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0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1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2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6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7.xml" ContentType="application/vnd.openxmlformats-officedocument.drawingml.chartshapes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8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9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0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1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DUCSM0011.ds.givaudan.com\HomeDirL$\natscha\Documents\DATEN\allergy\PeptideReactivity\DPRA\qDPRA_BASF\OECD and ECVAM\Training and protocol update\"/>
    </mc:Choice>
  </mc:AlternateContent>
  <bookViews>
    <workbookView xWindow="-110" yWindow="-110" windowWidth="23250" windowHeight="11810" tabRatio="854" activeTab="10"/>
  </bookViews>
  <sheets>
    <sheet name="Run specifications" sheetId="36" r:id="rId1"/>
    <sheet name="Application plate" sheetId="45" r:id="rId2"/>
    <sheet name="Assay plate layout" sheetId="28" r:id="rId3"/>
    <sheet name="t0 (inverse addtion)" sheetId="60" r:id="rId4"/>
    <sheet name="t1" sheetId="34" r:id="rId5"/>
    <sheet name="t2" sheetId="50" r:id="rId6"/>
    <sheet name="t3" sheetId="51" r:id="rId7"/>
    <sheet name="t4" sheetId="52" r:id="rId8"/>
    <sheet name="t5" sheetId="53" r:id="rId9"/>
    <sheet name="t6" sheetId="56" r:id="rId10"/>
    <sheet name="summary" sheetId="13" r:id="rId11"/>
    <sheet name="Evaluation (Subst. A)" sheetId="31" r:id="rId12"/>
    <sheet name="Evaluation (Subst. B)" sheetId="54" r:id="rId13"/>
    <sheet name="Evaluation (Subst. C)" sheetId="55" r:id="rId14"/>
    <sheet name="Evaluation (PC)" sheetId="44" r:id="rId15"/>
    <sheet name="Transfer sheet Historic data" sheetId="59" r:id="rId16"/>
  </sheets>
  <definedNames>
    <definedName name="_xlnm.Print_Area" localSheetId="2">'Assay plate layout'!$A$1:$AC$32</definedName>
    <definedName name="_xlnm.Print_Area" localSheetId="14">'Evaluation (PC)'!$A$1:$T$60</definedName>
    <definedName name="_xlnm.Print_Area" localSheetId="11">'Evaluation (Subst. A)'!$A$1:$T$62</definedName>
    <definedName name="_xlnm.Print_Area" localSheetId="12">'Evaluation (Subst. B)'!$A$1:$T$62</definedName>
    <definedName name="_xlnm.Print_Area" localSheetId="13">'Evaluation (Subst. C)'!$A$1:$T$62</definedName>
    <definedName name="_xlnm.Print_Area" localSheetId="0">'Run specifications'!$A$1:$N$15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3" l="1"/>
  <c r="E53" i="55" l="1"/>
  <c r="E53" i="54"/>
  <c r="E53" i="31"/>
  <c r="B43" i="60" l="1"/>
  <c r="B42" i="60"/>
  <c r="B41" i="60"/>
  <c r="B40" i="60"/>
  <c r="B39" i="60"/>
  <c r="C37" i="60"/>
  <c r="A37" i="60"/>
  <c r="K35" i="60"/>
  <c r="B35" i="60"/>
  <c r="K34" i="60"/>
  <c r="B34" i="60"/>
  <c r="K33" i="60"/>
  <c r="B33" i="60"/>
  <c r="K32" i="60"/>
  <c r="B32" i="60"/>
  <c r="K31" i="60"/>
  <c r="B31" i="60"/>
  <c r="C29" i="60"/>
  <c r="A29" i="60"/>
  <c r="K27" i="60"/>
  <c r="B27" i="60"/>
  <c r="K26" i="60"/>
  <c r="B26" i="60"/>
  <c r="K25" i="60"/>
  <c r="B25" i="60"/>
  <c r="K24" i="60"/>
  <c r="B24" i="60"/>
  <c r="K23" i="60"/>
  <c r="B23" i="60"/>
  <c r="C21" i="60"/>
  <c r="A21" i="60"/>
  <c r="Q19" i="60"/>
  <c r="C43" i="60" s="1"/>
  <c r="P19" i="60"/>
  <c r="D35" i="60" s="1"/>
  <c r="O19" i="60"/>
  <c r="D27" i="60" s="1"/>
  <c r="N19" i="60"/>
  <c r="E19" i="60" s="1"/>
  <c r="M19" i="60"/>
  <c r="K19" i="60"/>
  <c r="B19" i="60"/>
  <c r="Q18" i="60"/>
  <c r="C42" i="60" s="1"/>
  <c r="P18" i="60"/>
  <c r="E34" i="60" s="1"/>
  <c r="O18" i="60"/>
  <c r="E26" i="60" s="1"/>
  <c r="N18" i="60"/>
  <c r="D18" i="60" s="1"/>
  <c r="M18" i="60"/>
  <c r="K18" i="60"/>
  <c r="B18" i="60"/>
  <c r="Q17" i="60"/>
  <c r="C41" i="60" s="1"/>
  <c r="P17" i="60"/>
  <c r="D33" i="60" s="1"/>
  <c r="O17" i="60"/>
  <c r="D25" i="60" s="1"/>
  <c r="N17" i="60"/>
  <c r="C17" i="60" s="1"/>
  <c r="M17" i="60"/>
  <c r="K17" i="60"/>
  <c r="B17" i="60"/>
  <c r="Q16" i="60"/>
  <c r="C40" i="60" s="1"/>
  <c r="P16" i="60"/>
  <c r="E32" i="60" s="1"/>
  <c r="O16" i="60"/>
  <c r="D24" i="60" s="1"/>
  <c r="N16" i="60"/>
  <c r="E16" i="60" s="1"/>
  <c r="M16" i="60"/>
  <c r="K16" i="60"/>
  <c r="B16" i="60"/>
  <c r="Q15" i="60"/>
  <c r="C39" i="60" s="1"/>
  <c r="P15" i="60"/>
  <c r="D31" i="60" s="1"/>
  <c r="O15" i="60"/>
  <c r="D23" i="60" s="1"/>
  <c r="N15" i="60"/>
  <c r="C15" i="60" s="1"/>
  <c r="M15" i="60"/>
  <c r="K15" i="60"/>
  <c r="B15" i="60"/>
  <c r="Q14" i="60"/>
  <c r="P14" i="60"/>
  <c r="O14" i="60"/>
  <c r="N14" i="60"/>
  <c r="C13" i="60"/>
  <c r="A13" i="60"/>
  <c r="P8" i="60"/>
  <c r="P5" i="60"/>
  <c r="O5" i="60"/>
  <c r="O8" i="60" s="1"/>
  <c r="H19" i="60" s="1"/>
  <c r="C19" i="60" l="1"/>
  <c r="D15" i="60"/>
  <c r="C16" i="60"/>
  <c r="D17" i="60"/>
  <c r="G17" i="60" s="1"/>
  <c r="D16" i="60"/>
  <c r="C33" i="60"/>
  <c r="F33" i="60" s="1"/>
  <c r="E17" i="60"/>
  <c r="E18" i="60"/>
  <c r="H18" i="60" s="1"/>
  <c r="D19" i="60"/>
  <c r="C24" i="60"/>
  <c r="C35" i="60"/>
  <c r="H32" i="60"/>
  <c r="G25" i="60"/>
  <c r="H26" i="60"/>
  <c r="D43" i="60"/>
  <c r="E15" i="60"/>
  <c r="H15" i="60" s="1"/>
  <c r="G23" i="60"/>
  <c r="F16" i="60"/>
  <c r="J16" i="60" s="1"/>
  <c r="D40" i="60"/>
  <c r="G33" i="60"/>
  <c r="H34" i="60"/>
  <c r="C26" i="60"/>
  <c r="F26" i="60" s="1"/>
  <c r="E33" i="60"/>
  <c r="H33" i="60" s="1"/>
  <c r="G31" i="60"/>
  <c r="D41" i="60"/>
  <c r="D42" i="60"/>
  <c r="G27" i="60"/>
  <c r="F24" i="60"/>
  <c r="E25" i="60"/>
  <c r="H25" i="60" s="1"/>
  <c r="F35" i="60"/>
  <c r="J35" i="60" s="1"/>
  <c r="D39" i="60"/>
  <c r="G24" i="60"/>
  <c r="F17" i="60"/>
  <c r="I17" i="60" s="1"/>
  <c r="G18" i="60"/>
  <c r="G35" i="60"/>
  <c r="E24" i="60"/>
  <c r="H24" i="60" s="1"/>
  <c r="E35" i="60"/>
  <c r="H35" i="60" s="1"/>
  <c r="I16" i="60"/>
  <c r="J17" i="60"/>
  <c r="G16" i="60"/>
  <c r="E27" i="60"/>
  <c r="H27" i="60" s="1"/>
  <c r="E31" i="60"/>
  <c r="H31" i="60" s="1"/>
  <c r="C32" i="60"/>
  <c r="F32" i="60" s="1"/>
  <c r="C34" i="60"/>
  <c r="F34" i="60" s="1"/>
  <c r="D26" i="60"/>
  <c r="G26" i="60" s="1"/>
  <c r="J26" i="60" s="1"/>
  <c r="D32" i="60"/>
  <c r="G32" i="60" s="1"/>
  <c r="D34" i="60"/>
  <c r="G34" i="60" s="1"/>
  <c r="F15" i="60"/>
  <c r="H17" i="60"/>
  <c r="F19" i="60"/>
  <c r="E23" i="60"/>
  <c r="H23" i="60" s="1"/>
  <c r="G15" i="60"/>
  <c r="H16" i="60"/>
  <c r="G19" i="60"/>
  <c r="C18" i="60"/>
  <c r="F18" i="60" s="1"/>
  <c r="C23" i="60"/>
  <c r="F23" i="60" s="1"/>
  <c r="C25" i="60"/>
  <c r="F25" i="60" s="1"/>
  <c r="C27" i="60"/>
  <c r="F27" i="60" s="1"/>
  <c r="C31" i="60"/>
  <c r="F31" i="60" s="1"/>
  <c r="P8" i="34"/>
  <c r="O5" i="34"/>
  <c r="O8" i="34" s="1"/>
  <c r="J33" i="60" l="1"/>
  <c r="I33" i="60"/>
  <c r="I35" i="60"/>
  <c r="J24" i="60"/>
  <c r="I24" i="60"/>
  <c r="J27" i="60"/>
  <c r="I27" i="60"/>
  <c r="J32" i="60"/>
  <c r="I32" i="60"/>
  <c r="I25" i="60"/>
  <c r="J25" i="60"/>
  <c r="I19" i="60"/>
  <c r="J19" i="60"/>
  <c r="I23" i="60"/>
  <c r="J23" i="60"/>
  <c r="I26" i="60"/>
  <c r="J31" i="60"/>
  <c r="I31" i="60"/>
  <c r="J18" i="60"/>
  <c r="I18" i="60"/>
  <c r="I15" i="60"/>
  <c r="J15" i="60"/>
  <c r="J34" i="60"/>
  <c r="I34" i="60"/>
  <c r="B10" i="59"/>
  <c r="D3" i="59"/>
  <c r="E3" i="59"/>
  <c r="F3" i="59"/>
  <c r="G3" i="59"/>
  <c r="H3" i="59"/>
  <c r="I3" i="59"/>
  <c r="J3" i="59"/>
  <c r="K3" i="59"/>
  <c r="L3" i="59"/>
  <c r="M3" i="59"/>
  <c r="N3" i="59"/>
  <c r="D4" i="59"/>
  <c r="E4" i="59"/>
  <c r="F4" i="59"/>
  <c r="G4" i="59"/>
  <c r="H4" i="59"/>
  <c r="I4" i="59"/>
  <c r="J4" i="59"/>
  <c r="K4" i="59"/>
  <c r="L4" i="59"/>
  <c r="M4" i="59"/>
  <c r="N4" i="59"/>
  <c r="D5" i="59"/>
  <c r="E5" i="59"/>
  <c r="F5" i="59"/>
  <c r="G5" i="59"/>
  <c r="H5" i="59"/>
  <c r="I5" i="59"/>
  <c r="J5" i="59"/>
  <c r="K5" i="59"/>
  <c r="L5" i="59"/>
  <c r="M5" i="59"/>
  <c r="N5" i="59"/>
  <c r="D6" i="59"/>
  <c r="E6" i="59"/>
  <c r="F6" i="59"/>
  <c r="G6" i="59"/>
  <c r="H6" i="59"/>
  <c r="I6" i="59"/>
  <c r="J6" i="59"/>
  <c r="K6" i="59"/>
  <c r="L6" i="59"/>
  <c r="M6" i="59"/>
  <c r="N6" i="59"/>
  <c r="D7" i="59"/>
  <c r="E7" i="59"/>
  <c r="F7" i="59"/>
  <c r="G7" i="59"/>
  <c r="H7" i="59"/>
  <c r="I7" i="59"/>
  <c r="J7" i="59"/>
  <c r="K7" i="59"/>
  <c r="L7" i="59"/>
  <c r="M7" i="59"/>
  <c r="N7" i="59"/>
  <c r="C3" i="59"/>
  <c r="C7" i="59"/>
  <c r="C6" i="59"/>
  <c r="C5" i="59"/>
  <c r="C4" i="59"/>
  <c r="D2" i="59"/>
  <c r="E2" i="59"/>
  <c r="F2" i="59"/>
  <c r="G2" i="59"/>
  <c r="H2" i="59"/>
  <c r="I2" i="59"/>
  <c r="J2" i="59"/>
  <c r="K2" i="59"/>
  <c r="L2" i="59"/>
  <c r="M2" i="59"/>
  <c r="N2" i="59"/>
  <c r="C2" i="59"/>
  <c r="B3" i="59"/>
  <c r="B4" i="59"/>
  <c r="B5" i="59"/>
  <c r="B6" i="59"/>
  <c r="B7" i="59"/>
  <c r="B2" i="59"/>
  <c r="K35" i="56" l="1"/>
  <c r="K34" i="56"/>
  <c r="K33" i="56"/>
  <c r="K32" i="56"/>
  <c r="K31" i="56"/>
  <c r="K27" i="56"/>
  <c r="I42" i="13" s="1"/>
  <c r="K26" i="56"/>
  <c r="K25" i="56"/>
  <c r="K24" i="56"/>
  <c r="K23" i="56"/>
  <c r="K19" i="56"/>
  <c r="K18" i="56"/>
  <c r="K17" i="56"/>
  <c r="K16" i="56"/>
  <c r="K15" i="56"/>
  <c r="K35" i="53"/>
  <c r="K34" i="53"/>
  <c r="K33" i="53"/>
  <c r="K32" i="53"/>
  <c r="K31" i="53"/>
  <c r="K27" i="53"/>
  <c r="I41" i="13" s="1"/>
  <c r="K26" i="53"/>
  <c r="K25" i="53"/>
  <c r="K24" i="53"/>
  <c r="K23" i="53"/>
  <c r="K19" i="53"/>
  <c r="K18" i="53"/>
  <c r="K17" i="53"/>
  <c r="K16" i="53"/>
  <c r="K15" i="53"/>
  <c r="K35" i="52"/>
  <c r="K34" i="52"/>
  <c r="K33" i="52"/>
  <c r="K32" i="52"/>
  <c r="K31" i="52"/>
  <c r="K27" i="52"/>
  <c r="I40" i="13" s="1"/>
  <c r="K26" i="52"/>
  <c r="K25" i="52"/>
  <c r="K24" i="52"/>
  <c r="K23" i="52"/>
  <c r="K19" i="52"/>
  <c r="K18" i="52"/>
  <c r="K17" i="52"/>
  <c r="K16" i="52"/>
  <c r="K15" i="52"/>
  <c r="K35" i="51"/>
  <c r="K34" i="51"/>
  <c r="K33" i="51"/>
  <c r="K32" i="51"/>
  <c r="K31" i="51"/>
  <c r="K27" i="51"/>
  <c r="I39" i="13" s="1"/>
  <c r="K26" i="51"/>
  <c r="K25" i="51"/>
  <c r="K24" i="51"/>
  <c r="K23" i="51"/>
  <c r="K19" i="51"/>
  <c r="K18" i="51"/>
  <c r="K17" i="51"/>
  <c r="K16" i="51"/>
  <c r="K15" i="51"/>
  <c r="K35" i="50"/>
  <c r="K34" i="50"/>
  <c r="K33" i="50"/>
  <c r="K32" i="50"/>
  <c r="K31" i="50"/>
  <c r="K27" i="50"/>
  <c r="I38" i="13" s="1"/>
  <c r="K26" i="50"/>
  <c r="K25" i="50"/>
  <c r="K24" i="50"/>
  <c r="K23" i="50"/>
  <c r="K19" i="50"/>
  <c r="K18" i="50"/>
  <c r="K17" i="50"/>
  <c r="K16" i="50"/>
  <c r="K15" i="50"/>
  <c r="K35" i="34"/>
  <c r="K34" i="34"/>
  <c r="K33" i="34"/>
  <c r="K32" i="34"/>
  <c r="K31" i="34"/>
  <c r="K27" i="34"/>
  <c r="I37" i="13" s="1"/>
  <c r="K26" i="34"/>
  <c r="K25" i="34"/>
  <c r="K24" i="34"/>
  <c r="K23" i="34"/>
  <c r="K19" i="34"/>
  <c r="K18" i="34"/>
  <c r="K17" i="34"/>
  <c r="K16" i="34"/>
  <c r="K15" i="34"/>
  <c r="L42" i="13" l="1"/>
  <c r="L34" i="13"/>
  <c r="L26" i="13"/>
  <c r="L18" i="13"/>
  <c r="L10" i="13"/>
  <c r="I34" i="13"/>
  <c r="I26" i="13"/>
  <c r="I18" i="13"/>
  <c r="I10" i="13"/>
  <c r="F42" i="13"/>
  <c r="F34" i="13"/>
  <c r="F26" i="13"/>
  <c r="F18" i="13"/>
  <c r="F10" i="13"/>
  <c r="L41" i="13"/>
  <c r="L33" i="13"/>
  <c r="L25" i="13"/>
  <c r="L17" i="13"/>
  <c r="L9" i="13"/>
  <c r="I33" i="13"/>
  <c r="I25" i="13"/>
  <c r="I17" i="13"/>
  <c r="I9" i="13"/>
  <c r="F41" i="13"/>
  <c r="F33" i="13"/>
  <c r="F25" i="13"/>
  <c r="F17" i="13"/>
  <c r="F9" i="13"/>
  <c r="L40" i="13"/>
  <c r="L32" i="13"/>
  <c r="L24" i="13"/>
  <c r="L16" i="13"/>
  <c r="L8" i="13"/>
  <c r="I32" i="13"/>
  <c r="I24" i="13"/>
  <c r="I16" i="13"/>
  <c r="I8" i="13"/>
  <c r="F40" i="13"/>
  <c r="F32" i="13"/>
  <c r="F24" i="13"/>
  <c r="F16" i="13"/>
  <c r="F8" i="13"/>
  <c r="L39" i="13"/>
  <c r="L31" i="13"/>
  <c r="L23" i="13"/>
  <c r="L15" i="13"/>
  <c r="L7" i="13"/>
  <c r="I31" i="13"/>
  <c r="I23" i="13"/>
  <c r="I15" i="13"/>
  <c r="I7" i="13"/>
  <c r="F39" i="13"/>
  <c r="F31" i="13"/>
  <c r="F23" i="13"/>
  <c r="F15" i="13"/>
  <c r="F7" i="13"/>
  <c r="L38" i="13"/>
  <c r="L30" i="13"/>
  <c r="L22" i="13"/>
  <c r="L14" i="13"/>
  <c r="L6" i="13"/>
  <c r="I22" i="13"/>
  <c r="I14" i="13"/>
  <c r="I6" i="13"/>
  <c r="F38" i="13"/>
  <c r="F30" i="13"/>
  <c r="F22" i="13"/>
  <c r="F14" i="13"/>
  <c r="F6" i="13"/>
  <c r="L13" i="13"/>
  <c r="L21" i="13"/>
  <c r="L29" i="13"/>
  <c r="L37" i="13"/>
  <c r="L5" i="13"/>
  <c r="I13" i="13"/>
  <c r="I21" i="13"/>
  <c r="I29" i="13"/>
  <c r="I5" i="13"/>
  <c r="F13" i="13"/>
  <c r="F21" i="13"/>
  <c r="F29" i="13"/>
  <c r="F37" i="13"/>
  <c r="F5" i="13"/>
  <c r="I30" i="13" l="1"/>
  <c r="Y20" i="28"/>
  <c r="W20" i="28"/>
  <c r="U20" i="28"/>
  <c r="Z16" i="28"/>
  <c r="W16" i="28"/>
  <c r="T16" i="28"/>
  <c r="Q16" i="28"/>
  <c r="Z15" i="28"/>
  <c r="W15" i="28"/>
  <c r="T15" i="28"/>
  <c r="Q15" i="28"/>
  <c r="B15" i="45" l="1"/>
  <c r="F3" i="31" l="1"/>
  <c r="F3" i="44" l="1"/>
  <c r="F3" i="55"/>
  <c r="F3" i="54"/>
  <c r="B42" i="13" l="1"/>
  <c r="B34" i="13"/>
  <c r="B26" i="13"/>
  <c r="B18" i="13"/>
  <c r="B10" i="13"/>
  <c r="C12" i="44" s="1"/>
  <c r="V12" i="44" s="1"/>
  <c r="V22" i="44" s="1"/>
  <c r="B15" i="56"/>
  <c r="P8" i="56"/>
  <c r="P7" i="59" s="1"/>
  <c r="P5" i="56"/>
  <c r="O5" i="56"/>
  <c r="O8" i="56" s="1"/>
  <c r="O7" i="59" s="1"/>
  <c r="B43" i="56"/>
  <c r="B42" i="56"/>
  <c r="B41" i="56"/>
  <c r="B40" i="56"/>
  <c r="B39" i="56"/>
  <c r="C37" i="56"/>
  <c r="A37" i="56"/>
  <c r="B35" i="56"/>
  <c r="B34" i="56"/>
  <c r="B33" i="56"/>
  <c r="B32" i="56"/>
  <c r="B31" i="56"/>
  <c r="C29" i="56"/>
  <c r="A29" i="56"/>
  <c r="B27" i="56"/>
  <c r="B26" i="56"/>
  <c r="B25" i="56"/>
  <c r="B24" i="56"/>
  <c r="B23" i="56"/>
  <c r="C21" i="56"/>
  <c r="A21" i="56"/>
  <c r="Q19" i="56"/>
  <c r="C43" i="56" s="1"/>
  <c r="P19" i="56"/>
  <c r="C35" i="56" s="1"/>
  <c r="O19" i="56"/>
  <c r="E27" i="56" s="1"/>
  <c r="N19" i="56"/>
  <c r="E19" i="56" s="1"/>
  <c r="M19" i="56"/>
  <c r="B19" i="56"/>
  <c r="Q18" i="56"/>
  <c r="C42" i="56" s="1"/>
  <c r="P18" i="56"/>
  <c r="D34" i="56" s="1"/>
  <c r="O18" i="56"/>
  <c r="C26" i="56" s="1"/>
  <c r="N18" i="56"/>
  <c r="E18" i="56" s="1"/>
  <c r="M18" i="56"/>
  <c r="B18" i="56"/>
  <c r="Q17" i="56"/>
  <c r="C41" i="56" s="1"/>
  <c r="P17" i="56"/>
  <c r="E33" i="56" s="1"/>
  <c r="O17" i="56"/>
  <c r="D25" i="56" s="1"/>
  <c r="N17" i="56"/>
  <c r="E17" i="56" s="1"/>
  <c r="M17" i="56"/>
  <c r="B17" i="56"/>
  <c r="Q16" i="56"/>
  <c r="C40" i="56" s="1"/>
  <c r="P16" i="56"/>
  <c r="E32" i="56" s="1"/>
  <c r="O16" i="56"/>
  <c r="E24" i="56" s="1"/>
  <c r="N16" i="56"/>
  <c r="C16" i="56" s="1"/>
  <c r="M16" i="56"/>
  <c r="B16" i="56"/>
  <c r="Q15" i="56"/>
  <c r="C39" i="56" s="1"/>
  <c r="P15" i="56"/>
  <c r="C31" i="56" s="1"/>
  <c r="O15" i="56"/>
  <c r="E23" i="56" s="1"/>
  <c r="N15" i="56"/>
  <c r="E15" i="56" s="1"/>
  <c r="M15" i="56"/>
  <c r="Q14" i="56"/>
  <c r="P14" i="56"/>
  <c r="O14" i="56"/>
  <c r="N14" i="56"/>
  <c r="C13" i="56"/>
  <c r="A13" i="56"/>
  <c r="Q7" i="59" l="1"/>
  <c r="F16" i="56"/>
  <c r="B57" i="31"/>
  <c r="B57" i="55"/>
  <c r="B57" i="54"/>
  <c r="C18" i="56"/>
  <c r="V32" i="44"/>
  <c r="V42" i="44" s="1"/>
  <c r="V51" i="44" s="1"/>
  <c r="E16" i="56"/>
  <c r="H16" i="56" s="1"/>
  <c r="C15" i="56"/>
  <c r="F15" i="56" s="1"/>
  <c r="D16" i="56"/>
  <c r="G16" i="56" s="1"/>
  <c r="D27" i="56"/>
  <c r="G27" i="56" s="1"/>
  <c r="C17" i="56"/>
  <c r="F17" i="56" s="1"/>
  <c r="C23" i="56"/>
  <c r="C22" i="44"/>
  <c r="F48" i="44" s="1"/>
  <c r="C12" i="31"/>
  <c r="C12" i="55"/>
  <c r="V12" i="55" s="1"/>
  <c r="V22" i="55" s="1"/>
  <c r="C12" i="54"/>
  <c r="F18" i="56"/>
  <c r="D18" i="56"/>
  <c r="G18" i="56" s="1"/>
  <c r="C19" i="56"/>
  <c r="F19" i="56" s="1"/>
  <c r="C27" i="56"/>
  <c r="F27" i="56" s="1"/>
  <c r="C32" i="56"/>
  <c r="E34" i="56"/>
  <c r="H34" i="56" s="1"/>
  <c r="D17" i="56"/>
  <c r="G17" i="56" s="1"/>
  <c r="D19" i="56"/>
  <c r="G19" i="56" s="1"/>
  <c r="E25" i="56"/>
  <c r="D31" i="56"/>
  <c r="G31" i="56" s="1"/>
  <c r="D23" i="56"/>
  <c r="G23" i="56" s="1"/>
  <c r="E31" i="56"/>
  <c r="H31" i="56" s="1"/>
  <c r="C33" i="56"/>
  <c r="F33" i="56" s="1"/>
  <c r="D35" i="56"/>
  <c r="G35" i="56" s="1"/>
  <c r="D15" i="56"/>
  <c r="G15" i="56" s="1"/>
  <c r="H24" i="56"/>
  <c r="H19" i="56"/>
  <c r="F31" i="56"/>
  <c r="G25" i="56"/>
  <c r="D39" i="56"/>
  <c r="H32" i="56"/>
  <c r="H33" i="56"/>
  <c r="F26" i="56"/>
  <c r="H27" i="56"/>
  <c r="D40" i="56"/>
  <c r="H18" i="56"/>
  <c r="G34" i="56"/>
  <c r="F35" i="56"/>
  <c r="F32" i="56"/>
  <c r="H15" i="56"/>
  <c r="D41" i="56"/>
  <c r="H23" i="56"/>
  <c r="H17" i="56"/>
  <c r="D42" i="56"/>
  <c r="D43" i="56"/>
  <c r="F23" i="56"/>
  <c r="H25" i="56"/>
  <c r="C24" i="56"/>
  <c r="F24" i="56" s="1"/>
  <c r="E26" i="56"/>
  <c r="H26" i="56" s="1"/>
  <c r="D32" i="56"/>
  <c r="G32" i="56" s="1"/>
  <c r="E35" i="56"/>
  <c r="H35" i="56" s="1"/>
  <c r="D24" i="56"/>
  <c r="G24" i="56" s="1"/>
  <c r="C25" i="56"/>
  <c r="F25" i="56" s="1"/>
  <c r="D33" i="56"/>
  <c r="G33" i="56" s="1"/>
  <c r="C34" i="56"/>
  <c r="F34" i="56" s="1"/>
  <c r="D26" i="56"/>
  <c r="G26" i="56" s="1"/>
  <c r="M42" i="13" l="1"/>
  <c r="N42" i="13" s="1"/>
  <c r="M34" i="13"/>
  <c r="N34" i="13" s="1"/>
  <c r="X12" i="44" s="1"/>
  <c r="X22" i="44" s="1"/>
  <c r="M26" i="13"/>
  <c r="N26" i="13" s="1"/>
  <c r="Y12" i="44" s="1"/>
  <c r="Y22" i="44" s="1"/>
  <c r="M18" i="13"/>
  <c r="N18" i="13" s="1"/>
  <c r="Z12" i="44" s="1"/>
  <c r="Z22" i="44" s="1"/>
  <c r="M10" i="13"/>
  <c r="N10" i="13" s="1"/>
  <c r="AA12" i="44" s="1"/>
  <c r="AA22" i="44" s="1"/>
  <c r="V12" i="54"/>
  <c r="V22" i="54" s="1"/>
  <c r="V32" i="54" s="1"/>
  <c r="V42" i="54" s="1"/>
  <c r="V51" i="54" s="1"/>
  <c r="I59" i="54"/>
  <c r="V12" i="31"/>
  <c r="V22" i="31" s="1"/>
  <c r="V32" i="31" s="1"/>
  <c r="V42" i="31" s="1"/>
  <c r="V51" i="31" s="1"/>
  <c r="I59" i="31"/>
  <c r="V32" i="55"/>
  <c r="V42" i="55" s="1"/>
  <c r="V51" i="55" s="1"/>
  <c r="C22" i="54"/>
  <c r="F48" i="54" s="1"/>
  <c r="C22" i="55"/>
  <c r="C22" i="31"/>
  <c r="F48" i="31" s="1"/>
  <c r="J15" i="56"/>
  <c r="I15" i="56"/>
  <c r="I31" i="56"/>
  <c r="J31" i="56"/>
  <c r="J17" i="56"/>
  <c r="J34" i="56"/>
  <c r="I34" i="56"/>
  <c r="J27" i="56"/>
  <c r="I27" i="56"/>
  <c r="I24" i="56"/>
  <c r="J24" i="56"/>
  <c r="J32" i="56"/>
  <c r="I32" i="56"/>
  <c r="J18" i="13" s="1"/>
  <c r="J26" i="56"/>
  <c r="I26" i="56"/>
  <c r="J35" i="56"/>
  <c r="I35" i="56"/>
  <c r="I17" i="56"/>
  <c r="I33" i="56"/>
  <c r="J33" i="56"/>
  <c r="I16" i="56"/>
  <c r="J16" i="56"/>
  <c r="J18" i="56"/>
  <c r="I18" i="56"/>
  <c r="J25" i="56"/>
  <c r="I25" i="56"/>
  <c r="G26" i="13" s="1"/>
  <c r="J23" i="56"/>
  <c r="I23" i="56"/>
  <c r="J19" i="56"/>
  <c r="I19" i="56"/>
  <c r="F12" i="44" l="1"/>
  <c r="G10" i="59"/>
  <c r="E12" i="44"/>
  <c r="D12" i="44"/>
  <c r="D22" i="44" s="1"/>
  <c r="H12" i="44"/>
  <c r="W12" i="44"/>
  <c r="W22" i="44" s="1"/>
  <c r="G12" i="44"/>
  <c r="K26" i="13"/>
  <c r="Y12" i="55" s="1"/>
  <c r="Y22" i="55" s="1"/>
  <c r="J26" i="13"/>
  <c r="D10" i="13"/>
  <c r="E10" i="13" s="1"/>
  <c r="AA12" i="31" s="1"/>
  <c r="AA22" i="31" s="1"/>
  <c r="K10" i="13"/>
  <c r="AA12" i="55" s="1"/>
  <c r="AA22" i="55" s="1"/>
  <c r="J10" i="13"/>
  <c r="D42" i="13"/>
  <c r="E42" i="13" s="1"/>
  <c r="E26" i="13"/>
  <c r="Y12" i="31" s="1"/>
  <c r="Y22" i="31" s="1"/>
  <c r="D26" i="13"/>
  <c r="G18" i="13"/>
  <c r="H18" i="13" s="1"/>
  <c r="Z12" i="54" s="1"/>
  <c r="Z22" i="54" s="1"/>
  <c r="E18" i="13"/>
  <c r="Z12" i="31" s="1"/>
  <c r="Z22" i="31" s="1"/>
  <c r="D18" i="13"/>
  <c r="J42" i="13"/>
  <c r="K42" i="13" s="1"/>
  <c r="H42" i="13"/>
  <c r="W12" i="54" s="1"/>
  <c r="W22" i="54" s="1"/>
  <c r="G42" i="13"/>
  <c r="G34" i="13"/>
  <c r="H34" i="13" s="1"/>
  <c r="X12" i="54" s="1"/>
  <c r="X22" i="54" s="1"/>
  <c r="K34" i="13"/>
  <c r="X12" i="55" s="1"/>
  <c r="X22" i="55" s="1"/>
  <c r="J34" i="13"/>
  <c r="G10" i="13"/>
  <c r="H10" i="13" s="1"/>
  <c r="AA12" i="54" s="1"/>
  <c r="AA22" i="54" s="1"/>
  <c r="E34" i="13"/>
  <c r="X12" i="31" s="1"/>
  <c r="X22" i="31" s="1"/>
  <c r="D34" i="13"/>
  <c r="H12" i="54"/>
  <c r="F48" i="55"/>
  <c r="I59" i="55"/>
  <c r="G22" i="44"/>
  <c r="Z32" i="44"/>
  <c r="Z42" i="44" s="1"/>
  <c r="E22" i="44"/>
  <c r="F22" i="44"/>
  <c r="H22" i="44"/>
  <c r="AA32" i="44"/>
  <c r="AA42" i="44" s="1"/>
  <c r="K18" i="13"/>
  <c r="Z12" i="55" s="1"/>
  <c r="Z22" i="55" s="1"/>
  <c r="H26" i="13"/>
  <c r="Y12" i="54" s="1"/>
  <c r="Y22" i="54" s="1"/>
  <c r="C3" i="55"/>
  <c r="C2" i="55"/>
  <c r="D1" i="55"/>
  <c r="C1" i="55"/>
  <c r="C3" i="54"/>
  <c r="C2" i="54"/>
  <c r="D1" i="54"/>
  <c r="C1" i="54"/>
  <c r="D12" i="55" l="1"/>
  <c r="J53" i="55" s="1"/>
  <c r="H12" i="55"/>
  <c r="W12" i="55"/>
  <c r="W22" i="55" s="1"/>
  <c r="F12" i="55"/>
  <c r="Y32" i="55" s="1"/>
  <c r="Y42" i="55" s="1"/>
  <c r="E12" i="55"/>
  <c r="E22" i="55" s="1"/>
  <c r="G12" i="31"/>
  <c r="W12" i="31"/>
  <c r="W22" i="31" s="1"/>
  <c r="D12" i="31"/>
  <c r="J53" i="31" s="1"/>
  <c r="E12" i="31"/>
  <c r="Y32" i="31" s="1"/>
  <c r="Y42" i="31" s="1"/>
  <c r="F12" i="31"/>
  <c r="H12" i="31"/>
  <c r="D12" i="54"/>
  <c r="J53" i="54" s="1"/>
  <c r="G12" i="54"/>
  <c r="E12" i="54"/>
  <c r="F12" i="54"/>
  <c r="Z32" i="54" s="1"/>
  <c r="Z42" i="54" s="1"/>
  <c r="G12" i="55"/>
  <c r="F22" i="55" s="1"/>
  <c r="F22" i="31"/>
  <c r="G22" i="54"/>
  <c r="H22" i="55"/>
  <c r="E22" i="31"/>
  <c r="H22" i="31"/>
  <c r="AA32" i="31"/>
  <c r="AA42" i="31" s="1"/>
  <c r="Y32" i="54"/>
  <c r="Y42" i="54" s="1"/>
  <c r="X32" i="55"/>
  <c r="X42" i="55" s="1"/>
  <c r="H22" i="54"/>
  <c r="AA32" i="54"/>
  <c r="AA42" i="54" s="1"/>
  <c r="W32" i="31"/>
  <c r="W42" i="31" s="1"/>
  <c r="G22" i="31"/>
  <c r="Z32" i="31"/>
  <c r="Z42" i="31" s="1"/>
  <c r="E22" i="54"/>
  <c r="D22" i="54"/>
  <c r="D22" i="55"/>
  <c r="W32" i="55"/>
  <c r="W42" i="55" s="1"/>
  <c r="P5" i="53"/>
  <c r="O5" i="53"/>
  <c r="P5" i="52"/>
  <c r="O5" i="52"/>
  <c r="P5" i="51"/>
  <c r="O5" i="51"/>
  <c r="P5" i="50"/>
  <c r="O5" i="50"/>
  <c r="P2" i="59"/>
  <c r="P5" i="34"/>
  <c r="O2" i="59"/>
  <c r="D22" i="31" l="1"/>
  <c r="X32" i="31"/>
  <c r="X42" i="31" s="1"/>
  <c r="F22" i="54"/>
  <c r="G22" i="55"/>
  <c r="Z32" i="55"/>
  <c r="Z42" i="55" s="1"/>
  <c r="AA32" i="55"/>
  <c r="AA42" i="55" s="1"/>
  <c r="AC42" i="55" s="1"/>
  <c r="G48" i="55"/>
  <c r="G49" i="55" s="1"/>
  <c r="I22" i="31"/>
  <c r="Q2" i="59"/>
  <c r="B52" i="31"/>
  <c r="B52" i="54"/>
  <c r="B52" i="55"/>
  <c r="J22" i="31"/>
  <c r="G48" i="31"/>
  <c r="J22" i="55"/>
  <c r="I22" i="55"/>
  <c r="AB42" i="31"/>
  <c r="AC42" i="31"/>
  <c r="B43" i="53"/>
  <c r="B42" i="53"/>
  <c r="B41" i="53"/>
  <c r="B40" i="53"/>
  <c r="B39" i="53"/>
  <c r="A37" i="53"/>
  <c r="B35" i="53"/>
  <c r="B34" i="53"/>
  <c r="B33" i="53"/>
  <c r="B32" i="53"/>
  <c r="B31" i="53"/>
  <c r="A29" i="53"/>
  <c r="B27" i="53"/>
  <c r="B26" i="53"/>
  <c r="B25" i="53"/>
  <c r="B24" i="53"/>
  <c r="B23" i="53"/>
  <c r="A21" i="53"/>
  <c r="B19" i="53"/>
  <c r="B18" i="53"/>
  <c r="B17" i="53"/>
  <c r="B16" i="53"/>
  <c r="B15" i="53"/>
  <c r="A13" i="53"/>
  <c r="B43" i="52"/>
  <c r="B42" i="52"/>
  <c r="B41" i="52"/>
  <c r="B40" i="52"/>
  <c r="B39" i="52"/>
  <c r="A37" i="52"/>
  <c r="B35" i="52"/>
  <c r="B34" i="52"/>
  <c r="B33" i="52"/>
  <c r="B32" i="52"/>
  <c r="B31" i="52"/>
  <c r="A29" i="52"/>
  <c r="B27" i="52"/>
  <c r="B26" i="52"/>
  <c r="B25" i="52"/>
  <c r="B24" i="52"/>
  <c r="B23" i="52"/>
  <c r="A21" i="52"/>
  <c r="B19" i="52"/>
  <c r="B18" i="52"/>
  <c r="B17" i="52"/>
  <c r="B16" i="52"/>
  <c r="B15" i="52"/>
  <c r="A13" i="52"/>
  <c r="B43" i="51"/>
  <c r="B42" i="51"/>
  <c r="B41" i="51"/>
  <c r="B40" i="51"/>
  <c r="B39" i="51"/>
  <c r="A37" i="51"/>
  <c r="B35" i="51"/>
  <c r="B34" i="51"/>
  <c r="B33" i="51"/>
  <c r="B32" i="51"/>
  <c r="B31" i="51"/>
  <c r="A29" i="51"/>
  <c r="B27" i="51"/>
  <c r="B26" i="51"/>
  <c r="B25" i="51"/>
  <c r="B24" i="51"/>
  <c r="B23" i="51"/>
  <c r="A21" i="51"/>
  <c r="B19" i="51"/>
  <c r="B18" i="51"/>
  <c r="B17" i="51"/>
  <c r="B16" i="51"/>
  <c r="B15" i="51"/>
  <c r="A13" i="51"/>
  <c r="M19" i="53"/>
  <c r="M18" i="53"/>
  <c r="M17" i="53"/>
  <c r="M16" i="53"/>
  <c r="M15" i="53"/>
  <c r="M19" i="52"/>
  <c r="M18" i="52"/>
  <c r="M17" i="52"/>
  <c r="M16" i="52"/>
  <c r="M15" i="52"/>
  <c r="M19" i="51"/>
  <c r="M18" i="51"/>
  <c r="M17" i="51"/>
  <c r="M16" i="51"/>
  <c r="M15" i="51"/>
  <c r="M19" i="50"/>
  <c r="M18" i="50"/>
  <c r="M17" i="50"/>
  <c r="M16" i="50"/>
  <c r="M15" i="50"/>
  <c r="B43" i="50"/>
  <c r="B42" i="50"/>
  <c r="B41" i="50"/>
  <c r="B40" i="50"/>
  <c r="B39" i="50"/>
  <c r="A37" i="50"/>
  <c r="B35" i="50"/>
  <c r="B34" i="50"/>
  <c r="B33" i="50"/>
  <c r="B32" i="50"/>
  <c r="B31" i="50"/>
  <c r="A29" i="50"/>
  <c r="B27" i="50"/>
  <c r="B26" i="50"/>
  <c r="B25" i="50"/>
  <c r="B24" i="50"/>
  <c r="B23" i="50"/>
  <c r="A21" i="50"/>
  <c r="B19" i="50"/>
  <c r="B18" i="50"/>
  <c r="B17" i="50"/>
  <c r="B16" i="50"/>
  <c r="B15" i="50"/>
  <c r="M16" i="34"/>
  <c r="M19" i="34"/>
  <c r="M18" i="34"/>
  <c r="M17" i="34"/>
  <c r="M15" i="34"/>
  <c r="B24" i="34"/>
  <c r="B43" i="34"/>
  <c r="B42" i="34"/>
  <c r="B41" i="34"/>
  <c r="B40" i="34"/>
  <c r="B39" i="34"/>
  <c r="B35" i="34"/>
  <c r="B34" i="34"/>
  <c r="B33" i="34"/>
  <c r="B32" i="34"/>
  <c r="B31" i="34"/>
  <c r="B27" i="34"/>
  <c r="B26" i="34"/>
  <c r="B25" i="34"/>
  <c r="B23" i="34"/>
  <c r="B16" i="34"/>
  <c r="G6" i="31" s="1"/>
  <c r="Z6" i="31" s="1"/>
  <c r="Z16" i="31" s="1"/>
  <c r="Z26" i="31" s="1"/>
  <c r="Z36" i="31" s="1"/>
  <c r="B17" i="34"/>
  <c r="C24" i="13" s="1"/>
  <c r="B18" i="34"/>
  <c r="E6" i="31" s="1"/>
  <c r="X6" i="31" s="1"/>
  <c r="X16" i="31" s="1"/>
  <c r="X26" i="31" s="1"/>
  <c r="X36" i="31" s="1"/>
  <c r="B19" i="34"/>
  <c r="C40" i="13" s="1"/>
  <c r="B15" i="34"/>
  <c r="AB42" i="55" l="1"/>
  <c r="I48" i="55"/>
  <c r="J49" i="55" s="1"/>
  <c r="J52" i="55" s="1"/>
  <c r="J59" i="55" s="1"/>
  <c r="J58" i="55" s="1"/>
  <c r="J57" i="55" s="1"/>
  <c r="J56" i="55" s="1"/>
  <c r="J55" i="55" s="1"/>
  <c r="J54" i="55" s="1"/>
  <c r="J60" i="55" s="1"/>
  <c r="I48" i="31"/>
  <c r="J49" i="31" s="1"/>
  <c r="J52" i="31" s="1"/>
  <c r="J59" i="31" s="1"/>
  <c r="J58" i="31" s="1"/>
  <c r="J57" i="31" s="1"/>
  <c r="J56" i="31" s="1"/>
  <c r="J55" i="31" s="1"/>
  <c r="J54" i="31" s="1"/>
  <c r="J60" i="31" s="1"/>
  <c r="G49" i="31"/>
  <c r="G16" i="31"/>
  <c r="E16" i="31"/>
  <c r="C10" i="13"/>
  <c r="H6" i="55"/>
  <c r="AA6" i="55" s="1"/>
  <c r="AA16" i="55" s="1"/>
  <c r="AA26" i="55" s="1"/>
  <c r="AA36" i="55" s="1"/>
  <c r="H6" i="54"/>
  <c r="AA6" i="54" s="1"/>
  <c r="AA16" i="54" s="1"/>
  <c r="AA26" i="54" s="1"/>
  <c r="AA36" i="54" s="1"/>
  <c r="C41" i="13"/>
  <c r="C31" i="13"/>
  <c r="C22" i="13"/>
  <c r="C13" i="13"/>
  <c r="C9" i="13"/>
  <c r="C8" i="13"/>
  <c r="F6" i="44"/>
  <c r="Y6" i="44" s="1"/>
  <c r="Y16" i="44" s="1"/>
  <c r="Y26" i="44" s="1"/>
  <c r="C18" i="13"/>
  <c r="G6" i="54"/>
  <c r="Z6" i="54" s="1"/>
  <c r="Z16" i="54" s="1"/>
  <c r="Z26" i="54" s="1"/>
  <c r="Z36" i="54" s="1"/>
  <c r="G6" i="55"/>
  <c r="Z6" i="55" s="1"/>
  <c r="Z16" i="55" s="1"/>
  <c r="Z26" i="55" s="1"/>
  <c r="Z36" i="55" s="1"/>
  <c r="C42" i="13"/>
  <c r="D6" i="55"/>
  <c r="W6" i="55" s="1"/>
  <c r="W16" i="55" s="1"/>
  <c r="W26" i="55" s="1"/>
  <c r="W36" i="55" s="1"/>
  <c r="D6" i="54"/>
  <c r="W6" i="54" s="1"/>
  <c r="W16" i="54" s="1"/>
  <c r="W26" i="54" s="1"/>
  <c r="C37" i="13"/>
  <c r="C33" i="13"/>
  <c r="C32" i="13"/>
  <c r="C23" i="13"/>
  <c r="C14" i="13"/>
  <c r="C5" i="13"/>
  <c r="D6" i="31"/>
  <c r="W6" i="31" s="1"/>
  <c r="W16" i="31" s="1"/>
  <c r="W26" i="31" s="1"/>
  <c r="W36" i="31" s="1"/>
  <c r="H6" i="31"/>
  <c r="AA6" i="31" s="1"/>
  <c r="AA16" i="31" s="1"/>
  <c r="AA26" i="31" s="1"/>
  <c r="AA36" i="31" s="1"/>
  <c r="G6" i="44"/>
  <c r="Z6" i="44" s="1"/>
  <c r="Z16" i="44" s="1"/>
  <c r="Z26" i="44" s="1"/>
  <c r="Z36" i="44" s="1"/>
  <c r="C38" i="13"/>
  <c r="C29" i="13"/>
  <c r="C25" i="13"/>
  <c r="C15" i="13"/>
  <c r="C6" i="13"/>
  <c r="D6" i="44"/>
  <c r="W6" i="44" s="1"/>
  <c r="W16" i="44" s="1"/>
  <c r="W26" i="44" s="1"/>
  <c r="H6" i="44"/>
  <c r="AA6" i="44" s="1"/>
  <c r="AA16" i="44" s="1"/>
  <c r="AA26" i="44" s="1"/>
  <c r="AA36" i="44" s="1"/>
  <c r="C34" i="13"/>
  <c r="E6" i="55"/>
  <c r="X6" i="55" s="1"/>
  <c r="X16" i="55" s="1"/>
  <c r="X26" i="55" s="1"/>
  <c r="X36" i="55" s="1"/>
  <c r="E6" i="54"/>
  <c r="X6" i="54" s="1"/>
  <c r="X16" i="54" s="1"/>
  <c r="X26" i="54" s="1"/>
  <c r="C26" i="13"/>
  <c r="F6" i="54"/>
  <c r="Y6" i="54" s="1"/>
  <c r="Y16" i="54" s="1"/>
  <c r="Y26" i="54" s="1"/>
  <c r="Y36" i="54" s="1"/>
  <c r="F6" i="55"/>
  <c r="Y6" i="55" s="1"/>
  <c r="Y16" i="55" s="1"/>
  <c r="Y26" i="55" s="1"/>
  <c r="Y36" i="55" s="1"/>
  <c r="C39" i="13"/>
  <c r="C30" i="13"/>
  <c r="C21" i="13"/>
  <c r="C17" i="13"/>
  <c r="C16" i="13"/>
  <c r="C7" i="13"/>
  <c r="F6" i="31"/>
  <c r="Y6" i="31" s="1"/>
  <c r="Y16" i="31" s="1"/>
  <c r="Y26" i="31" s="1"/>
  <c r="Y36" i="31" s="1"/>
  <c r="E6" i="44"/>
  <c r="X6" i="44" s="1"/>
  <c r="X16" i="44" s="1"/>
  <c r="X26" i="44" s="1"/>
  <c r="C3" i="44"/>
  <c r="C2" i="44"/>
  <c r="D1" i="44"/>
  <c r="C1" i="44"/>
  <c r="C3" i="31"/>
  <c r="C2" i="31"/>
  <c r="D1" i="31"/>
  <c r="C1" i="31"/>
  <c r="B41" i="13"/>
  <c r="B40" i="13"/>
  <c r="B39" i="13"/>
  <c r="B38" i="13"/>
  <c r="B37" i="13"/>
  <c r="B33" i="13"/>
  <c r="B32" i="13"/>
  <c r="B31" i="13"/>
  <c r="B30" i="13"/>
  <c r="B29" i="13"/>
  <c r="B25" i="13"/>
  <c r="B24" i="13"/>
  <c r="B23" i="13"/>
  <c r="B22" i="13"/>
  <c r="B21" i="13"/>
  <c r="B17" i="13"/>
  <c r="B16" i="13"/>
  <c r="B15" i="13"/>
  <c r="B14" i="13"/>
  <c r="B13" i="13"/>
  <c r="B9" i="13"/>
  <c r="C11" i="31" s="1"/>
  <c r="B8" i="13"/>
  <c r="B7" i="13"/>
  <c r="B6" i="13"/>
  <c r="B5" i="13"/>
  <c r="M3" i="13"/>
  <c r="M2" i="13"/>
  <c r="J2" i="13"/>
  <c r="G2" i="13"/>
  <c r="D2" i="13"/>
  <c r="C37" i="53"/>
  <c r="C29" i="53"/>
  <c r="C21" i="53"/>
  <c r="Q19" i="53"/>
  <c r="C43" i="53" s="1"/>
  <c r="P19" i="53"/>
  <c r="E35" i="53" s="1"/>
  <c r="O19" i="53"/>
  <c r="E27" i="53" s="1"/>
  <c r="N19" i="53"/>
  <c r="E19" i="53" s="1"/>
  <c r="Q18" i="53"/>
  <c r="C42" i="53" s="1"/>
  <c r="P18" i="53"/>
  <c r="E34" i="53" s="1"/>
  <c r="O18" i="53"/>
  <c r="E26" i="53" s="1"/>
  <c r="N18" i="53"/>
  <c r="E18" i="53" s="1"/>
  <c r="Q17" i="53"/>
  <c r="C41" i="53" s="1"/>
  <c r="P17" i="53"/>
  <c r="D33" i="53" s="1"/>
  <c r="O17" i="53"/>
  <c r="D25" i="53" s="1"/>
  <c r="N17" i="53"/>
  <c r="D17" i="53" s="1"/>
  <c r="Q16" i="53"/>
  <c r="C40" i="53" s="1"/>
  <c r="P16" i="53"/>
  <c r="C32" i="53" s="1"/>
  <c r="O16" i="53"/>
  <c r="C24" i="53" s="1"/>
  <c r="N16" i="53"/>
  <c r="C16" i="53" s="1"/>
  <c r="Q15" i="53"/>
  <c r="C39" i="53" s="1"/>
  <c r="P15" i="53"/>
  <c r="E31" i="53" s="1"/>
  <c r="O15" i="53"/>
  <c r="E23" i="53" s="1"/>
  <c r="N15" i="53"/>
  <c r="C15" i="53" s="1"/>
  <c r="Q14" i="53"/>
  <c r="P14" i="53"/>
  <c r="O14" i="53"/>
  <c r="N14" i="53"/>
  <c r="C13" i="53"/>
  <c r="P8" i="53"/>
  <c r="P6" i="59" s="1"/>
  <c r="O8" i="53"/>
  <c r="O6" i="59" s="1"/>
  <c r="C37" i="52"/>
  <c r="C29" i="52"/>
  <c r="C21" i="52"/>
  <c r="Q19" i="52"/>
  <c r="C43" i="52" s="1"/>
  <c r="P19" i="52"/>
  <c r="E35" i="52" s="1"/>
  <c r="O19" i="52"/>
  <c r="E27" i="52" s="1"/>
  <c r="N19" i="52"/>
  <c r="E19" i="52" s="1"/>
  <c r="Q18" i="52"/>
  <c r="C42" i="52" s="1"/>
  <c r="P18" i="52"/>
  <c r="E34" i="52" s="1"/>
  <c r="O18" i="52"/>
  <c r="E26" i="52" s="1"/>
  <c r="N18" i="52"/>
  <c r="E18" i="52" s="1"/>
  <c r="Q17" i="52"/>
  <c r="C41" i="52" s="1"/>
  <c r="P17" i="52"/>
  <c r="D33" i="52" s="1"/>
  <c r="O17" i="52"/>
  <c r="D25" i="52" s="1"/>
  <c r="N17" i="52"/>
  <c r="D17" i="52" s="1"/>
  <c r="Q16" i="52"/>
  <c r="C40" i="52" s="1"/>
  <c r="P16" i="52"/>
  <c r="C32" i="52" s="1"/>
  <c r="O16" i="52"/>
  <c r="C24" i="52" s="1"/>
  <c r="N16" i="52"/>
  <c r="C16" i="52" s="1"/>
  <c r="Q15" i="52"/>
  <c r="C39" i="52" s="1"/>
  <c r="P15" i="52"/>
  <c r="E31" i="52" s="1"/>
  <c r="O15" i="52"/>
  <c r="E23" i="52" s="1"/>
  <c r="N15" i="52"/>
  <c r="E15" i="52" s="1"/>
  <c r="Q14" i="52"/>
  <c r="P14" i="52"/>
  <c r="O14" i="52"/>
  <c r="N14" i="52"/>
  <c r="C13" i="52"/>
  <c r="P8" i="52"/>
  <c r="P5" i="59" s="1"/>
  <c r="O8" i="52"/>
  <c r="O5" i="59" s="1"/>
  <c r="C37" i="51"/>
  <c r="C29" i="51"/>
  <c r="C21" i="51"/>
  <c r="Q19" i="51"/>
  <c r="C43" i="51" s="1"/>
  <c r="P19" i="51"/>
  <c r="E35" i="51" s="1"/>
  <c r="O19" i="51"/>
  <c r="E27" i="51" s="1"/>
  <c r="N19" i="51"/>
  <c r="E19" i="51" s="1"/>
  <c r="Q18" i="51"/>
  <c r="C42" i="51" s="1"/>
  <c r="P18" i="51"/>
  <c r="D34" i="51" s="1"/>
  <c r="O18" i="51"/>
  <c r="D26" i="51" s="1"/>
  <c r="N18" i="51"/>
  <c r="E18" i="51" s="1"/>
  <c r="Q17" i="51"/>
  <c r="C41" i="51" s="1"/>
  <c r="P17" i="51"/>
  <c r="D33" i="51" s="1"/>
  <c r="O17" i="51"/>
  <c r="C25" i="51" s="1"/>
  <c r="N17" i="51"/>
  <c r="C17" i="51" s="1"/>
  <c r="Q16" i="51"/>
  <c r="C40" i="51" s="1"/>
  <c r="P16" i="51"/>
  <c r="C32" i="51" s="1"/>
  <c r="O16" i="51"/>
  <c r="C24" i="51" s="1"/>
  <c r="N16" i="51"/>
  <c r="D16" i="51" s="1"/>
  <c r="Q15" i="51"/>
  <c r="C39" i="51" s="1"/>
  <c r="P15" i="51"/>
  <c r="E31" i="51" s="1"/>
  <c r="O15" i="51"/>
  <c r="E23" i="51" s="1"/>
  <c r="N15" i="51"/>
  <c r="E15" i="51" s="1"/>
  <c r="Q14" i="51"/>
  <c r="P14" i="51"/>
  <c r="O14" i="51"/>
  <c r="N14" i="51"/>
  <c r="C13" i="51"/>
  <c r="P8" i="51"/>
  <c r="P4" i="59" s="1"/>
  <c r="O8" i="51"/>
  <c r="O4" i="59" s="1"/>
  <c r="C37" i="50"/>
  <c r="C29" i="50"/>
  <c r="C21" i="50"/>
  <c r="Q19" i="50"/>
  <c r="C43" i="50" s="1"/>
  <c r="P19" i="50"/>
  <c r="E35" i="50" s="1"/>
  <c r="O19" i="50"/>
  <c r="C27" i="50" s="1"/>
  <c r="N19" i="50"/>
  <c r="E19" i="50" s="1"/>
  <c r="Q18" i="50"/>
  <c r="C42" i="50" s="1"/>
  <c r="P18" i="50"/>
  <c r="E34" i="50" s="1"/>
  <c r="O18" i="50"/>
  <c r="E26" i="50" s="1"/>
  <c r="N18" i="50"/>
  <c r="E18" i="50" s="1"/>
  <c r="Q17" i="50"/>
  <c r="C41" i="50" s="1"/>
  <c r="P17" i="50"/>
  <c r="D33" i="50" s="1"/>
  <c r="O17" i="50"/>
  <c r="D25" i="50" s="1"/>
  <c r="N17" i="50"/>
  <c r="D17" i="50" s="1"/>
  <c r="Q16" i="50"/>
  <c r="C40" i="50" s="1"/>
  <c r="P16" i="50"/>
  <c r="C32" i="50" s="1"/>
  <c r="O16" i="50"/>
  <c r="C24" i="50" s="1"/>
  <c r="N16" i="50"/>
  <c r="C16" i="50" s="1"/>
  <c r="Q15" i="50"/>
  <c r="C39" i="50" s="1"/>
  <c r="P15" i="50"/>
  <c r="E31" i="50" s="1"/>
  <c r="O15" i="50"/>
  <c r="E23" i="50" s="1"/>
  <c r="N15" i="50"/>
  <c r="E15" i="50" s="1"/>
  <c r="Q14" i="50"/>
  <c r="P14" i="50"/>
  <c r="O14" i="50"/>
  <c r="N14" i="50"/>
  <c r="C13" i="50"/>
  <c r="A13" i="50"/>
  <c r="P8" i="50"/>
  <c r="P3" i="59" s="1"/>
  <c r="O8" i="50"/>
  <c r="O3" i="59" s="1"/>
  <c r="C37" i="34"/>
  <c r="A37" i="34"/>
  <c r="C29" i="34"/>
  <c r="A29" i="34"/>
  <c r="C21" i="34"/>
  <c r="A21" i="34"/>
  <c r="Q19" i="34"/>
  <c r="C43" i="34" s="1"/>
  <c r="D43" i="34" s="1"/>
  <c r="P19" i="34"/>
  <c r="O19" i="34"/>
  <c r="N19" i="34"/>
  <c r="E19" i="34" s="1"/>
  <c r="H19" i="34" s="1"/>
  <c r="Q18" i="34"/>
  <c r="C42" i="34" s="1"/>
  <c r="D42" i="34" s="1"/>
  <c r="P18" i="34"/>
  <c r="E34" i="34" s="1"/>
  <c r="H34" i="34" s="1"/>
  <c r="O18" i="34"/>
  <c r="E26" i="34" s="1"/>
  <c r="H26" i="34" s="1"/>
  <c r="N18" i="34"/>
  <c r="D18" i="34" s="1"/>
  <c r="G18" i="34" s="1"/>
  <c r="Q17" i="34"/>
  <c r="C41" i="34" s="1"/>
  <c r="D41" i="34" s="1"/>
  <c r="P17" i="34"/>
  <c r="D33" i="34" s="1"/>
  <c r="G33" i="34" s="1"/>
  <c r="O17" i="34"/>
  <c r="D25" i="34" s="1"/>
  <c r="G25" i="34" s="1"/>
  <c r="N17" i="34"/>
  <c r="D17" i="34" s="1"/>
  <c r="G17" i="34" s="1"/>
  <c r="Q16" i="34"/>
  <c r="C40" i="34" s="1"/>
  <c r="D40" i="34" s="1"/>
  <c r="P16" i="34"/>
  <c r="C32" i="34" s="1"/>
  <c r="F32" i="34" s="1"/>
  <c r="O16" i="34"/>
  <c r="E24" i="34" s="1"/>
  <c r="H24" i="34" s="1"/>
  <c r="N16" i="34"/>
  <c r="D16" i="34" s="1"/>
  <c r="G16" i="34" s="1"/>
  <c r="C16" i="34"/>
  <c r="F16" i="34" s="1"/>
  <c r="Q15" i="34"/>
  <c r="C39" i="34" s="1"/>
  <c r="D39" i="34" s="1"/>
  <c r="P15" i="34"/>
  <c r="D31" i="34" s="1"/>
  <c r="G31" i="34" s="1"/>
  <c r="O15" i="34"/>
  <c r="D23" i="34" s="1"/>
  <c r="G23" i="34" s="1"/>
  <c r="N15" i="34"/>
  <c r="Q14" i="34"/>
  <c r="P14" i="34"/>
  <c r="O14" i="34"/>
  <c r="N14" i="34"/>
  <c r="C13" i="34"/>
  <c r="A13" i="34"/>
  <c r="L16" i="28"/>
  <c r="I16" i="28"/>
  <c r="J3" i="13" s="1"/>
  <c r="F16" i="28"/>
  <c r="G3" i="13" s="1"/>
  <c r="C16" i="28"/>
  <c r="D3" i="13" s="1"/>
  <c r="L15" i="28"/>
  <c r="I15" i="28"/>
  <c r="F15" i="28"/>
  <c r="C15" i="28"/>
  <c r="K15" i="45"/>
  <c r="H15" i="45"/>
  <c r="E15" i="45"/>
  <c r="K14" i="45"/>
  <c r="H14" i="45"/>
  <c r="E14" i="45"/>
  <c r="B14" i="45"/>
  <c r="N6" i="36"/>
  <c r="M6" i="36"/>
  <c r="N5" i="36"/>
  <c r="M5" i="36"/>
  <c r="N4" i="36"/>
  <c r="M4" i="36"/>
  <c r="N3" i="36"/>
  <c r="M3" i="36"/>
  <c r="Q6" i="59" l="1"/>
  <c r="N5" i="13"/>
  <c r="AA7" i="44" s="1"/>
  <c r="AA17" i="44" s="1"/>
  <c r="M13" i="13"/>
  <c r="N13" i="13" s="1"/>
  <c r="Z7" i="44" s="1"/>
  <c r="Z17" i="44" s="1"/>
  <c r="M29" i="13"/>
  <c r="N29" i="13" s="1"/>
  <c r="X7" i="44" s="1"/>
  <c r="X17" i="44" s="1"/>
  <c r="M37" i="13"/>
  <c r="N37" i="13" s="1"/>
  <c r="M21" i="13"/>
  <c r="N21" i="13" s="1"/>
  <c r="Y7" i="44" s="1"/>
  <c r="Y17" i="44" s="1"/>
  <c r="Q4" i="59"/>
  <c r="D15" i="34"/>
  <c r="G15" i="34" s="1"/>
  <c r="C15" i="34"/>
  <c r="F15" i="34" s="1"/>
  <c r="Q3" i="59"/>
  <c r="Q5" i="59"/>
  <c r="B56" i="31"/>
  <c r="B56" i="54"/>
  <c r="B56" i="55"/>
  <c r="B55" i="31"/>
  <c r="B55" i="55"/>
  <c r="B55" i="54"/>
  <c r="D19" i="52"/>
  <c r="G19" i="52" s="1"/>
  <c r="B54" i="31"/>
  <c r="B54" i="55"/>
  <c r="B54" i="54"/>
  <c r="C17" i="50"/>
  <c r="B53" i="31"/>
  <c r="B53" i="55"/>
  <c r="B53" i="54"/>
  <c r="C59" i="31"/>
  <c r="C58" i="31"/>
  <c r="D27" i="34"/>
  <c r="G27" i="34" s="1"/>
  <c r="C58" i="54"/>
  <c r="C59" i="54"/>
  <c r="D35" i="34"/>
  <c r="G35" i="34" s="1"/>
  <c r="C59" i="55"/>
  <c r="C58" i="55"/>
  <c r="W36" i="54"/>
  <c r="W32" i="54"/>
  <c r="W42" i="54" s="1"/>
  <c r="X36" i="54"/>
  <c r="X32" i="54"/>
  <c r="X42" i="54" s="1"/>
  <c r="W36" i="44"/>
  <c r="W32" i="44"/>
  <c r="W42" i="44" s="1"/>
  <c r="X36" i="44"/>
  <c r="X32" i="44"/>
  <c r="X42" i="44" s="1"/>
  <c r="Y36" i="44"/>
  <c r="Y32" i="44"/>
  <c r="Y42" i="44" s="1"/>
  <c r="D19" i="34"/>
  <c r="G19" i="34" s="1"/>
  <c r="V11" i="31"/>
  <c r="V21" i="31" s="1"/>
  <c r="V31" i="31" s="1"/>
  <c r="V41" i="31" s="1"/>
  <c r="V50" i="31" s="1"/>
  <c r="I58" i="31"/>
  <c r="D15" i="50"/>
  <c r="G15" i="50" s="1"/>
  <c r="G16" i="44"/>
  <c r="H16" i="54"/>
  <c r="E16" i="44"/>
  <c r="F16" i="55"/>
  <c r="E16" i="54"/>
  <c r="H16" i="44"/>
  <c r="H16" i="31"/>
  <c r="D16" i="54"/>
  <c r="G16" i="55"/>
  <c r="F16" i="44"/>
  <c r="H16" i="55"/>
  <c r="C17" i="52"/>
  <c r="E17" i="53"/>
  <c r="H17" i="53" s="1"/>
  <c r="F16" i="31"/>
  <c r="F16" i="54"/>
  <c r="E16" i="55"/>
  <c r="D16" i="44"/>
  <c r="D16" i="31"/>
  <c r="D16" i="55"/>
  <c r="G16" i="54"/>
  <c r="B30" i="31"/>
  <c r="D17" i="51"/>
  <c r="G17" i="51" s="1"/>
  <c r="D19" i="53"/>
  <c r="G19" i="53" s="1"/>
  <c r="D16" i="52"/>
  <c r="C19" i="52"/>
  <c r="F19" i="52" s="1"/>
  <c r="C15" i="50"/>
  <c r="F15" i="50" s="1"/>
  <c r="E17" i="50"/>
  <c r="C24" i="34"/>
  <c r="F24" i="34" s="1"/>
  <c r="C26" i="34"/>
  <c r="F26" i="34" s="1"/>
  <c r="E17" i="51"/>
  <c r="H17" i="51" s="1"/>
  <c r="C34" i="51"/>
  <c r="C15" i="51"/>
  <c r="F15" i="51" s="1"/>
  <c r="E16" i="51"/>
  <c r="H16" i="51" s="1"/>
  <c r="D24" i="51"/>
  <c r="G24" i="51" s="1"/>
  <c r="C8" i="44"/>
  <c r="V8" i="44" s="1"/>
  <c r="V18" i="44" s="1"/>
  <c r="C8" i="55"/>
  <c r="V8" i="55" s="1"/>
  <c r="V18" i="55" s="1"/>
  <c r="C8" i="54"/>
  <c r="C7" i="54"/>
  <c r="C7" i="55"/>
  <c r="V7" i="55" s="1"/>
  <c r="V17" i="55" s="1"/>
  <c r="V27" i="55" s="1"/>
  <c r="V37" i="55" s="1"/>
  <c r="C7" i="31"/>
  <c r="C7" i="44"/>
  <c r="V7" i="44" s="1"/>
  <c r="V17" i="44" s="1"/>
  <c r="V27" i="44" s="1"/>
  <c r="V37" i="44" s="1"/>
  <c r="C9" i="44"/>
  <c r="V9" i="44" s="1"/>
  <c r="V19" i="44" s="1"/>
  <c r="C9" i="55"/>
  <c r="V9" i="55" s="1"/>
  <c r="V19" i="55" s="1"/>
  <c r="C9" i="54"/>
  <c r="C10" i="44"/>
  <c r="V10" i="44" s="1"/>
  <c r="V20" i="44" s="1"/>
  <c r="C10" i="54"/>
  <c r="C10" i="55"/>
  <c r="V10" i="55" s="1"/>
  <c r="V20" i="55" s="1"/>
  <c r="C11" i="55"/>
  <c r="V11" i="55" s="1"/>
  <c r="V21" i="55" s="1"/>
  <c r="C11" i="54"/>
  <c r="C11" i="44"/>
  <c r="V11" i="44" s="1"/>
  <c r="V21" i="44" s="1"/>
  <c r="D16" i="53"/>
  <c r="C35" i="52"/>
  <c r="F35" i="52" s="1"/>
  <c r="D15" i="52"/>
  <c r="G15" i="52" s="1"/>
  <c r="E17" i="52"/>
  <c r="H17" i="52" s="1"/>
  <c r="C31" i="52"/>
  <c r="F31" i="52" s="1"/>
  <c r="E25" i="52"/>
  <c r="H25" i="52" s="1"/>
  <c r="C15" i="52"/>
  <c r="F15" i="52" s="1"/>
  <c r="D24" i="52"/>
  <c r="G24" i="52" s="1"/>
  <c r="E33" i="52"/>
  <c r="H33" i="52" s="1"/>
  <c r="E26" i="51"/>
  <c r="H26" i="51" s="1"/>
  <c r="E34" i="51"/>
  <c r="H34" i="51" s="1"/>
  <c r="D25" i="51"/>
  <c r="G25" i="51" s="1"/>
  <c r="C31" i="51"/>
  <c r="F31" i="51" s="1"/>
  <c r="C35" i="51"/>
  <c r="F35" i="51" s="1"/>
  <c r="C16" i="51"/>
  <c r="F16" i="51" s="1"/>
  <c r="C19" i="51"/>
  <c r="F19" i="51" s="1"/>
  <c r="E25" i="51"/>
  <c r="H25" i="51" s="1"/>
  <c r="E33" i="51"/>
  <c r="H33" i="51" s="1"/>
  <c r="C31" i="50"/>
  <c r="F31" i="50" s="1"/>
  <c r="C19" i="50"/>
  <c r="F19" i="50" s="1"/>
  <c r="D24" i="50"/>
  <c r="G24" i="50" s="1"/>
  <c r="E33" i="50"/>
  <c r="H33" i="50" s="1"/>
  <c r="D16" i="50"/>
  <c r="G16" i="50" s="1"/>
  <c r="D19" i="50"/>
  <c r="G19" i="50" s="1"/>
  <c r="E25" i="50"/>
  <c r="H25" i="50" s="1"/>
  <c r="C35" i="50"/>
  <c r="F35" i="50" s="1"/>
  <c r="E35" i="34"/>
  <c r="H35" i="34" s="1"/>
  <c r="C18" i="34"/>
  <c r="F18" i="34" s="1"/>
  <c r="E31" i="34"/>
  <c r="H31" i="34" s="1"/>
  <c r="E18" i="34"/>
  <c r="H18" i="34" s="1"/>
  <c r="E23" i="34"/>
  <c r="H23" i="34" s="1"/>
  <c r="E27" i="34"/>
  <c r="H27" i="34" s="1"/>
  <c r="E33" i="34"/>
  <c r="H33" i="34" s="1"/>
  <c r="E16" i="34"/>
  <c r="H16" i="34" s="1"/>
  <c r="I16" i="34" s="1"/>
  <c r="E25" i="34"/>
  <c r="H25" i="34" s="1"/>
  <c r="D15" i="53"/>
  <c r="G15" i="53" s="1"/>
  <c r="E15" i="53"/>
  <c r="C19" i="53"/>
  <c r="F19" i="53" s="1"/>
  <c r="D24" i="53"/>
  <c r="G24" i="53" s="1"/>
  <c r="E33" i="53"/>
  <c r="H33" i="53" s="1"/>
  <c r="E25" i="53"/>
  <c r="H25" i="53" s="1"/>
  <c r="C35" i="53"/>
  <c r="F35" i="53" s="1"/>
  <c r="C17" i="53"/>
  <c r="F17" i="53" s="1"/>
  <c r="C31" i="53"/>
  <c r="F31" i="53" s="1"/>
  <c r="C27" i="53"/>
  <c r="F27" i="53" s="1"/>
  <c r="D32" i="53"/>
  <c r="G32" i="53" s="1"/>
  <c r="E16" i="53"/>
  <c r="H16" i="53" s="1"/>
  <c r="C18" i="53"/>
  <c r="F18" i="53" s="1"/>
  <c r="D23" i="53"/>
  <c r="E24" i="53"/>
  <c r="H24" i="53" s="1"/>
  <c r="C26" i="53"/>
  <c r="F26" i="53" s="1"/>
  <c r="D27" i="53"/>
  <c r="G27" i="53" s="1"/>
  <c r="D31" i="53"/>
  <c r="G31" i="53" s="1"/>
  <c r="E32" i="53"/>
  <c r="H32" i="53" s="1"/>
  <c r="C34" i="53"/>
  <c r="F34" i="53" s="1"/>
  <c r="D35" i="53"/>
  <c r="G35" i="53" s="1"/>
  <c r="C23" i="53"/>
  <c r="F23" i="53" s="1"/>
  <c r="D18" i="53"/>
  <c r="G18" i="53" s="1"/>
  <c r="C25" i="53"/>
  <c r="F25" i="53" s="1"/>
  <c r="D26" i="53"/>
  <c r="G26" i="53" s="1"/>
  <c r="C33" i="53"/>
  <c r="F33" i="53" s="1"/>
  <c r="D34" i="53"/>
  <c r="G34" i="53" s="1"/>
  <c r="C27" i="52"/>
  <c r="F27" i="52" s="1"/>
  <c r="D43" i="52"/>
  <c r="E16" i="52"/>
  <c r="C18" i="52"/>
  <c r="F18" i="52" s="1"/>
  <c r="D23" i="52"/>
  <c r="G23" i="52" s="1"/>
  <c r="E24" i="52"/>
  <c r="H24" i="52" s="1"/>
  <c r="C26" i="52"/>
  <c r="F26" i="52" s="1"/>
  <c r="D27" i="52"/>
  <c r="G27" i="52" s="1"/>
  <c r="D31" i="52"/>
  <c r="G31" i="52" s="1"/>
  <c r="E32" i="52"/>
  <c r="H32" i="52" s="1"/>
  <c r="C34" i="52"/>
  <c r="D35" i="52"/>
  <c r="G35" i="52" s="1"/>
  <c r="C23" i="52"/>
  <c r="F23" i="52" s="1"/>
  <c r="D18" i="52"/>
  <c r="G18" i="52" s="1"/>
  <c r="C25" i="52"/>
  <c r="F25" i="52" s="1"/>
  <c r="D26" i="52"/>
  <c r="G26" i="52" s="1"/>
  <c r="C33" i="52"/>
  <c r="F33" i="52" s="1"/>
  <c r="D34" i="52"/>
  <c r="G34" i="52" s="1"/>
  <c r="D32" i="52"/>
  <c r="G32" i="52" s="1"/>
  <c r="C23" i="51"/>
  <c r="F23" i="51" s="1"/>
  <c r="C27" i="51"/>
  <c r="F27" i="51" s="1"/>
  <c r="D32" i="51"/>
  <c r="G32" i="51" s="1"/>
  <c r="D43" i="51"/>
  <c r="D15" i="51"/>
  <c r="G15" i="51" s="1"/>
  <c r="C18" i="51"/>
  <c r="F18" i="51" s="1"/>
  <c r="D19" i="51"/>
  <c r="G19" i="51" s="1"/>
  <c r="D23" i="51"/>
  <c r="G23" i="51" s="1"/>
  <c r="E24" i="51"/>
  <c r="H24" i="51" s="1"/>
  <c r="C26" i="51"/>
  <c r="F26" i="51" s="1"/>
  <c r="D27" i="51"/>
  <c r="G27" i="51" s="1"/>
  <c r="D31" i="51"/>
  <c r="G31" i="51" s="1"/>
  <c r="E32" i="51"/>
  <c r="H32" i="51" s="1"/>
  <c r="D35" i="51"/>
  <c r="G35" i="51" s="1"/>
  <c r="D18" i="51"/>
  <c r="G18" i="51" s="1"/>
  <c r="C33" i="51"/>
  <c r="F33" i="51" s="1"/>
  <c r="C23" i="50"/>
  <c r="F23" i="50" s="1"/>
  <c r="E16" i="50"/>
  <c r="H16" i="50" s="1"/>
  <c r="C18" i="50"/>
  <c r="F18" i="50" s="1"/>
  <c r="D23" i="50"/>
  <c r="G23" i="50" s="1"/>
  <c r="E24" i="50"/>
  <c r="H24" i="50" s="1"/>
  <c r="C26" i="50"/>
  <c r="F26" i="50" s="1"/>
  <c r="D27" i="50"/>
  <c r="G27" i="50" s="1"/>
  <c r="D31" i="50"/>
  <c r="G31" i="50" s="1"/>
  <c r="E32" i="50"/>
  <c r="H32" i="50" s="1"/>
  <c r="C34" i="50"/>
  <c r="F34" i="50" s="1"/>
  <c r="D35" i="50"/>
  <c r="G35" i="50" s="1"/>
  <c r="D18" i="50"/>
  <c r="G18" i="50" s="1"/>
  <c r="C25" i="50"/>
  <c r="F25" i="50" s="1"/>
  <c r="D26" i="50"/>
  <c r="G26" i="50" s="1"/>
  <c r="E27" i="50"/>
  <c r="H27" i="50" s="1"/>
  <c r="C33" i="50"/>
  <c r="F33" i="50" s="1"/>
  <c r="D34" i="50"/>
  <c r="G34" i="50" s="1"/>
  <c r="D32" i="50"/>
  <c r="G32" i="50" s="1"/>
  <c r="E17" i="34"/>
  <c r="H17" i="34" s="1"/>
  <c r="C34" i="34"/>
  <c r="F34" i="34" s="1"/>
  <c r="D24" i="34"/>
  <c r="G24" i="34" s="1"/>
  <c r="I24" i="34" s="1"/>
  <c r="D26" i="34"/>
  <c r="G26" i="34" s="1"/>
  <c r="I26" i="34" s="1"/>
  <c r="D32" i="34"/>
  <c r="G32" i="34" s="1"/>
  <c r="D34" i="34"/>
  <c r="G34" i="34" s="1"/>
  <c r="C17" i="34"/>
  <c r="F17" i="34" s="1"/>
  <c r="I17" i="34" s="1"/>
  <c r="C19" i="34"/>
  <c r="F19" i="34" s="1"/>
  <c r="J19" i="34" s="1"/>
  <c r="C23" i="34"/>
  <c r="F23" i="34" s="1"/>
  <c r="C25" i="34"/>
  <c r="F25" i="34" s="1"/>
  <c r="C27" i="34"/>
  <c r="F27" i="34" s="1"/>
  <c r="I27" i="34" s="1"/>
  <c r="C31" i="34"/>
  <c r="F31" i="34" s="1"/>
  <c r="J31" i="34" s="1"/>
  <c r="E32" i="34"/>
  <c r="H32" i="34" s="1"/>
  <c r="C33" i="34"/>
  <c r="F33" i="34" s="1"/>
  <c r="J33" i="34" s="1"/>
  <c r="C35" i="34"/>
  <c r="F35" i="34" s="1"/>
  <c r="E15" i="34"/>
  <c r="H15" i="34" s="1"/>
  <c r="B27" i="44"/>
  <c r="C8" i="31"/>
  <c r="C21" i="31"/>
  <c r="F45" i="31" s="1"/>
  <c r="C9" i="31"/>
  <c r="C10" i="31"/>
  <c r="F32" i="53"/>
  <c r="G25" i="53"/>
  <c r="G23" i="53"/>
  <c r="H19" i="53"/>
  <c r="H18" i="53"/>
  <c r="H15" i="53"/>
  <c r="H26" i="53"/>
  <c r="D43" i="53"/>
  <c r="D41" i="53"/>
  <c r="D39" i="53"/>
  <c r="F24" i="53"/>
  <c r="G17" i="53"/>
  <c r="G16" i="53"/>
  <c r="D42" i="53"/>
  <c r="H27" i="53"/>
  <c r="H35" i="53"/>
  <c r="H34" i="53"/>
  <c r="H31" i="53"/>
  <c r="F16" i="53"/>
  <c r="F15" i="53"/>
  <c r="D40" i="53"/>
  <c r="G33" i="53"/>
  <c r="H23" i="53"/>
  <c r="H16" i="52"/>
  <c r="H19" i="52"/>
  <c r="G25" i="52"/>
  <c r="H23" i="52"/>
  <c r="H26" i="52"/>
  <c r="H27" i="52"/>
  <c r="G33" i="52"/>
  <c r="D40" i="52"/>
  <c r="D42" i="52"/>
  <c r="H15" i="52"/>
  <c r="H18" i="52"/>
  <c r="F34" i="52"/>
  <c r="F16" i="52"/>
  <c r="F17" i="52"/>
  <c r="H31" i="52"/>
  <c r="H34" i="52"/>
  <c r="H35" i="52"/>
  <c r="F32" i="52"/>
  <c r="G16" i="52"/>
  <c r="G17" i="52"/>
  <c r="F24" i="52"/>
  <c r="D39" i="52"/>
  <c r="D41" i="52"/>
  <c r="H19" i="51"/>
  <c r="F32" i="51"/>
  <c r="H23" i="51"/>
  <c r="H27" i="51"/>
  <c r="G33" i="51"/>
  <c r="G34" i="51"/>
  <c r="D40" i="51"/>
  <c r="D42" i="51"/>
  <c r="H15" i="51"/>
  <c r="G26" i="51"/>
  <c r="F34" i="51"/>
  <c r="F17" i="51"/>
  <c r="H31" i="51"/>
  <c r="H35" i="51"/>
  <c r="H18" i="51"/>
  <c r="G16" i="51"/>
  <c r="F24" i="51"/>
  <c r="F25" i="51"/>
  <c r="D39" i="51"/>
  <c r="D41" i="51"/>
  <c r="D42" i="50"/>
  <c r="D40" i="50"/>
  <c r="G33" i="50"/>
  <c r="H26" i="50"/>
  <c r="H23" i="50"/>
  <c r="H35" i="50"/>
  <c r="F32" i="50"/>
  <c r="G25" i="50"/>
  <c r="H19" i="50"/>
  <c r="H18" i="50"/>
  <c r="H17" i="50"/>
  <c r="H15" i="50"/>
  <c r="H34" i="50"/>
  <c r="D43" i="50"/>
  <c r="D41" i="50"/>
  <c r="D39" i="50"/>
  <c r="F27" i="50"/>
  <c r="F24" i="50"/>
  <c r="G17" i="50"/>
  <c r="H31" i="50"/>
  <c r="F17" i="50"/>
  <c r="F16" i="50"/>
  <c r="J16" i="34"/>
  <c r="I32" i="34"/>
  <c r="M33" i="13" l="1"/>
  <c r="N33" i="13" s="1"/>
  <c r="X11" i="44" s="1"/>
  <c r="X21" i="44" s="1"/>
  <c r="M17" i="13"/>
  <c r="N17" i="13" s="1"/>
  <c r="Z11" i="44" s="1"/>
  <c r="Z21" i="44" s="1"/>
  <c r="M9" i="13"/>
  <c r="N9" i="13" s="1"/>
  <c r="AA11" i="44" s="1"/>
  <c r="AA21" i="44" s="1"/>
  <c r="M25" i="13"/>
  <c r="N25" i="13" s="1"/>
  <c r="Y11" i="44" s="1"/>
  <c r="Y21" i="44" s="1"/>
  <c r="M41" i="13"/>
  <c r="N41" i="13" s="1"/>
  <c r="N8" i="13"/>
  <c r="AA10" i="44" s="1"/>
  <c r="AA20" i="44" s="1"/>
  <c r="M8" i="13"/>
  <c r="M24" i="13"/>
  <c r="N24" i="13" s="1"/>
  <c r="Y10" i="44" s="1"/>
  <c r="Y20" i="44" s="1"/>
  <c r="N40" i="13"/>
  <c r="W10" i="44" s="1"/>
  <c r="W20" i="44" s="1"/>
  <c r="M40" i="13"/>
  <c r="M32" i="13"/>
  <c r="N32" i="13" s="1"/>
  <c r="X10" i="44" s="1"/>
  <c r="X20" i="44" s="1"/>
  <c r="N16" i="13"/>
  <c r="Z10" i="44" s="1"/>
  <c r="Z20" i="44" s="1"/>
  <c r="M16" i="13"/>
  <c r="M31" i="13"/>
  <c r="N31" i="13" s="1"/>
  <c r="X9" i="44" s="1"/>
  <c r="X19" i="44" s="1"/>
  <c r="M15" i="13"/>
  <c r="N15" i="13" s="1"/>
  <c r="Z9" i="44" s="1"/>
  <c r="Z19" i="44" s="1"/>
  <c r="M7" i="13"/>
  <c r="N7" i="13" s="1"/>
  <c r="AA9" i="44" s="1"/>
  <c r="AA19" i="44" s="1"/>
  <c r="M23" i="13"/>
  <c r="N23" i="13" s="1"/>
  <c r="Y9" i="44" s="1"/>
  <c r="Y19" i="44" s="1"/>
  <c r="N39" i="13"/>
  <c r="W9" i="44" s="1"/>
  <c r="W19" i="44" s="1"/>
  <c r="M39" i="13"/>
  <c r="M22" i="13"/>
  <c r="N22" i="13" s="1"/>
  <c r="Y8" i="44" s="1"/>
  <c r="Y18" i="44" s="1"/>
  <c r="M6" i="13"/>
  <c r="N6" i="13" s="1"/>
  <c r="AA8" i="44" s="1"/>
  <c r="AA18" i="44" s="1"/>
  <c r="M38" i="13"/>
  <c r="N38" i="13" s="1"/>
  <c r="M14" i="13"/>
  <c r="N14" i="13" s="1"/>
  <c r="Z8" i="44" s="1"/>
  <c r="Z18" i="44" s="1"/>
  <c r="M30" i="13"/>
  <c r="N30" i="13" s="1"/>
  <c r="X8" i="44" s="1"/>
  <c r="X18" i="44" s="1"/>
  <c r="E7" i="44"/>
  <c r="H7" i="44"/>
  <c r="W7" i="44"/>
  <c r="W17" i="44" s="1"/>
  <c r="D7" i="44"/>
  <c r="X27" i="44" s="1"/>
  <c r="X37" i="44" s="1"/>
  <c r="G7" i="44"/>
  <c r="F7" i="44"/>
  <c r="G29" i="13"/>
  <c r="H29" i="13" s="1"/>
  <c r="X7" i="54" s="1"/>
  <c r="X17" i="54" s="1"/>
  <c r="J13" i="13"/>
  <c r="K13" i="13" s="1"/>
  <c r="Z7" i="55" s="1"/>
  <c r="Z17" i="55" s="1"/>
  <c r="G37" i="13"/>
  <c r="H37" i="13" s="1"/>
  <c r="D21" i="13"/>
  <c r="E21" i="13" s="1"/>
  <c r="Y7" i="31" s="1"/>
  <c r="Y17" i="31" s="1"/>
  <c r="G13" i="13"/>
  <c r="H13" i="13" s="1"/>
  <c r="Z7" i="54" s="1"/>
  <c r="Z17" i="54" s="1"/>
  <c r="D13" i="13"/>
  <c r="E13" i="13" s="1"/>
  <c r="Z7" i="31" s="1"/>
  <c r="Z17" i="31" s="1"/>
  <c r="J23" i="34"/>
  <c r="I18" i="34"/>
  <c r="H10" i="59"/>
  <c r="I25" i="34"/>
  <c r="J35" i="34"/>
  <c r="J24" i="34"/>
  <c r="I15" i="34"/>
  <c r="I23" i="34"/>
  <c r="G48" i="44"/>
  <c r="I22" i="44"/>
  <c r="J22" i="44"/>
  <c r="G48" i="54"/>
  <c r="J22" i="54"/>
  <c r="I22" i="54"/>
  <c r="AC42" i="44"/>
  <c r="AB42" i="44"/>
  <c r="AB42" i="54"/>
  <c r="AC42" i="54"/>
  <c r="I34" i="34"/>
  <c r="V11" i="54"/>
  <c r="V21" i="54" s="1"/>
  <c r="V31" i="54" s="1"/>
  <c r="V41" i="54" s="1"/>
  <c r="V50" i="54" s="1"/>
  <c r="I58" i="54"/>
  <c r="V8" i="54"/>
  <c r="V18" i="54" s="1"/>
  <c r="V28" i="54" s="1"/>
  <c r="V38" i="54" s="1"/>
  <c r="V47" i="54" s="1"/>
  <c r="I55" i="54"/>
  <c r="V7" i="54"/>
  <c r="V17" i="54" s="1"/>
  <c r="V27" i="54" s="1"/>
  <c r="V37" i="54" s="1"/>
  <c r="I54" i="54"/>
  <c r="V8" i="31"/>
  <c r="V18" i="31" s="1"/>
  <c r="I55" i="31"/>
  <c r="V9" i="54"/>
  <c r="V19" i="54" s="1"/>
  <c r="I56" i="54"/>
  <c r="V7" i="31"/>
  <c r="V17" i="31" s="1"/>
  <c r="V27" i="31" s="1"/>
  <c r="V37" i="31" s="1"/>
  <c r="I54" i="31"/>
  <c r="V9" i="31"/>
  <c r="V19" i="31" s="1"/>
  <c r="V29" i="31" s="1"/>
  <c r="V39" i="31" s="1"/>
  <c r="V48" i="31" s="1"/>
  <c r="I56" i="31"/>
  <c r="V10" i="54"/>
  <c r="V20" i="54" s="1"/>
  <c r="V30" i="54" s="1"/>
  <c r="V40" i="54" s="1"/>
  <c r="V49" i="54" s="1"/>
  <c r="I57" i="54"/>
  <c r="V10" i="31"/>
  <c r="V20" i="31" s="1"/>
  <c r="V30" i="31" s="1"/>
  <c r="V40" i="31" s="1"/>
  <c r="V49" i="31" s="1"/>
  <c r="I57" i="31"/>
  <c r="V28" i="31"/>
  <c r="V38" i="31" s="1"/>
  <c r="V47" i="31" s="1"/>
  <c r="V31" i="55"/>
  <c r="V41" i="55" s="1"/>
  <c r="V50" i="55" s="1"/>
  <c r="V29" i="54"/>
  <c r="V39" i="54" s="1"/>
  <c r="V48" i="54" s="1"/>
  <c r="V28" i="55"/>
  <c r="V38" i="55" s="1"/>
  <c r="V47" i="55" s="1"/>
  <c r="E17" i="44"/>
  <c r="V30" i="55"/>
  <c r="V40" i="55" s="1"/>
  <c r="V49" i="55" s="1"/>
  <c r="V29" i="55"/>
  <c r="V39" i="55" s="1"/>
  <c r="V48" i="55" s="1"/>
  <c r="V28" i="44"/>
  <c r="V38" i="44" s="1"/>
  <c r="V47" i="44" s="1"/>
  <c r="F17" i="44"/>
  <c r="Y27" i="44"/>
  <c r="Y37" i="44" s="1"/>
  <c r="V31" i="44"/>
  <c r="V41" i="44" s="1"/>
  <c r="V50" i="44" s="1"/>
  <c r="V29" i="44"/>
  <c r="V39" i="44" s="1"/>
  <c r="V48" i="44" s="1"/>
  <c r="G17" i="44"/>
  <c r="Z27" i="44"/>
  <c r="Z37" i="44" s="1"/>
  <c r="W27" i="44"/>
  <c r="W37" i="44" s="1"/>
  <c r="V30" i="44"/>
  <c r="V40" i="44" s="1"/>
  <c r="V49" i="44" s="1"/>
  <c r="H17" i="44"/>
  <c r="AA27" i="44"/>
  <c r="AA37" i="44" s="1"/>
  <c r="B26" i="31"/>
  <c r="C18" i="44"/>
  <c r="F36" i="44" s="1"/>
  <c r="B30" i="44"/>
  <c r="C19" i="44"/>
  <c r="F39" i="44" s="1"/>
  <c r="B29" i="44"/>
  <c r="B26" i="44"/>
  <c r="H10" i="44"/>
  <c r="F10" i="44"/>
  <c r="E10" i="44"/>
  <c r="G10" i="44"/>
  <c r="H9" i="44"/>
  <c r="E9" i="44"/>
  <c r="F9" i="44"/>
  <c r="G9" i="44"/>
  <c r="D9" i="44"/>
  <c r="J25" i="34"/>
  <c r="B28" i="44"/>
  <c r="C21" i="44"/>
  <c r="F45" i="44" s="1"/>
  <c r="J27" i="34"/>
  <c r="I35" i="34"/>
  <c r="C17" i="31"/>
  <c r="F33" i="31" s="1"/>
  <c r="C17" i="44"/>
  <c r="F33" i="44" s="1"/>
  <c r="C20" i="44"/>
  <c r="F42" i="44" s="1"/>
  <c r="B27" i="54"/>
  <c r="C18" i="54"/>
  <c r="F36" i="54" s="1"/>
  <c r="B27" i="55"/>
  <c r="C18" i="55"/>
  <c r="B26" i="55"/>
  <c r="C17" i="55"/>
  <c r="B26" i="54"/>
  <c r="C17" i="54"/>
  <c r="F33" i="54" s="1"/>
  <c r="C21" i="54"/>
  <c r="F45" i="54" s="1"/>
  <c r="B30" i="54"/>
  <c r="C21" i="55"/>
  <c r="B30" i="55"/>
  <c r="B28" i="54"/>
  <c r="C19" i="54"/>
  <c r="F39" i="54" s="1"/>
  <c r="B29" i="55"/>
  <c r="C20" i="55"/>
  <c r="B28" i="55"/>
  <c r="C19" i="55"/>
  <c r="B29" i="54"/>
  <c r="C20" i="54"/>
  <c r="F42" i="54" s="1"/>
  <c r="I33" i="34"/>
  <c r="J18" i="34"/>
  <c r="J32" i="34"/>
  <c r="J17" i="34"/>
  <c r="I31" i="34"/>
  <c r="J26" i="34"/>
  <c r="J34" i="34"/>
  <c r="I19" i="34"/>
  <c r="J15" i="34"/>
  <c r="B27" i="31"/>
  <c r="C18" i="31"/>
  <c r="F36" i="31" s="1"/>
  <c r="C19" i="31"/>
  <c r="F39" i="31" s="1"/>
  <c r="B28" i="31"/>
  <c r="B29" i="31"/>
  <c r="C20" i="31"/>
  <c r="F42" i="31" s="1"/>
  <c r="J25" i="53"/>
  <c r="I25" i="53"/>
  <c r="J18" i="53"/>
  <c r="I18" i="53"/>
  <c r="J26" i="53"/>
  <c r="I26" i="53"/>
  <c r="J33" i="53"/>
  <c r="I33" i="53"/>
  <c r="I17" i="53"/>
  <c r="J17" i="53"/>
  <c r="J32" i="53"/>
  <c r="I32" i="53"/>
  <c r="J15" i="53"/>
  <c r="I15" i="53"/>
  <c r="I19" i="53"/>
  <c r="J19" i="53"/>
  <c r="J23" i="53"/>
  <c r="I23" i="53"/>
  <c r="J27" i="53"/>
  <c r="I27" i="53"/>
  <c r="G41" i="13" s="1"/>
  <c r="J34" i="53"/>
  <c r="I34" i="53"/>
  <c r="I16" i="53"/>
  <c r="J16" i="53"/>
  <c r="J24" i="53"/>
  <c r="I24" i="53"/>
  <c r="J31" i="53"/>
  <c r="I31" i="53"/>
  <c r="J35" i="53"/>
  <c r="I35" i="53"/>
  <c r="J24" i="52"/>
  <c r="I24" i="52"/>
  <c r="J19" i="52"/>
  <c r="I19" i="52"/>
  <c r="J15" i="52"/>
  <c r="I15" i="52"/>
  <c r="J27" i="52"/>
  <c r="I27" i="52"/>
  <c r="J23" i="52"/>
  <c r="I23" i="52"/>
  <c r="J18" i="52"/>
  <c r="I18" i="52"/>
  <c r="I35" i="52"/>
  <c r="J35" i="52"/>
  <c r="I33" i="52"/>
  <c r="J33" i="52"/>
  <c r="J26" i="52"/>
  <c r="I26" i="52"/>
  <c r="J17" i="52"/>
  <c r="I17" i="52"/>
  <c r="I34" i="52"/>
  <c r="J34" i="52"/>
  <c r="J25" i="52"/>
  <c r="I25" i="52"/>
  <c r="I32" i="52"/>
  <c r="J32" i="52"/>
  <c r="J16" i="52"/>
  <c r="I16" i="52"/>
  <c r="I31" i="52"/>
  <c r="J31" i="52"/>
  <c r="J27" i="51"/>
  <c r="I27" i="51"/>
  <c r="J23" i="51"/>
  <c r="I23" i="51"/>
  <c r="J17" i="51"/>
  <c r="I17" i="51"/>
  <c r="I34" i="51"/>
  <c r="J34" i="51"/>
  <c r="J18" i="51"/>
  <c r="I18" i="51"/>
  <c r="I35" i="51"/>
  <c r="J35" i="51"/>
  <c r="J26" i="51"/>
  <c r="I26" i="51"/>
  <c r="J16" i="51"/>
  <c r="I16" i="51"/>
  <c r="I31" i="51"/>
  <c r="J31" i="51"/>
  <c r="J24" i="51"/>
  <c r="I24" i="51"/>
  <c r="J25" i="51"/>
  <c r="I25" i="51"/>
  <c r="I33" i="51"/>
  <c r="J33" i="51"/>
  <c r="J19" i="51"/>
  <c r="I19" i="51"/>
  <c r="J15" i="51"/>
  <c r="I15" i="51"/>
  <c r="I32" i="51"/>
  <c r="J32" i="51"/>
  <c r="J33" i="50"/>
  <c r="I33" i="50"/>
  <c r="I18" i="50"/>
  <c r="J18" i="50"/>
  <c r="J26" i="50"/>
  <c r="I26" i="50"/>
  <c r="J34" i="50"/>
  <c r="I34" i="50"/>
  <c r="I15" i="50"/>
  <c r="J15" i="50"/>
  <c r="I19" i="50"/>
  <c r="J19" i="50"/>
  <c r="I23" i="50"/>
  <c r="J23" i="50"/>
  <c r="I27" i="50"/>
  <c r="J27" i="50"/>
  <c r="J31" i="50"/>
  <c r="I31" i="50"/>
  <c r="J35" i="50"/>
  <c r="I35" i="50"/>
  <c r="I17" i="50"/>
  <c r="J17" i="50"/>
  <c r="I25" i="50"/>
  <c r="J25" i="50"/>
  <c r="I16" i="50"/>
  <c r="J16" i="50"/>
  <c r="J24" i="50"/>
  <c r="I24" i="50"/>
  <c r="J32" i="50"/>
  <c r="I32" i="50"/>
  <c r="W11" i="44" l="1"/>
  <c r="W21" i="44" s="1"/>
  <c r="H11" i="44"/>
  <c r="E11" i="44"/>
  <c r="G11" i="44"/>
  <c r="AA31" i="44" s="1"/>
  <c r="AA41" i="44" s="1"/>
  <c r="F11" i="44"/>
  <c r="D11" i="44"/>
  <c r="J17" i="13"/>
  <c r="K17" i="13" s="1"/>
  <c r="Z11" i="55" s="1"/>
  <c r="Z21" i="55" s="1"/>
  <c r="J25" i="13"/>
  <c r="K25" i="13" s="1"/>
  <c r="Y11" i="55" s="1"/>
  <c r="Y21" i="55" s="1"/>
  <c r="D33" i="13"/>
  <c r="E33" i="13" s="1"/>
  <c r="X11" i="31" s="1"/>
  <c r="X21" i="31" s="1"/>
  <c r="D25" i="13"/>
  <c r="E25" i="13" s="1"/>
  <c r="Y11" i="31" s="1"/>
  <c r="Y21" i="31" s="1"/>
  <c r="J9" i="13"/>
  <c r="K9" i="13" s="1"/>
  <c r="AA11" i="55" s="1"/>
  <c r="AA21" i="55" s="1"/>
  <c r="D17" i="13"/>
  <c r="E17" i="13" s="1"/>
  <c r="Z11" i="31" s="1"/>
  <c r="Z21" i="31" s="1"/>
  <c r="D41" i="13"/>
  <c r="E41" i="13" s="1"/>
  <c r="J41" i="13"/>
  <c r="K41" i="13" s="1"/>
  <c r="G17" i="13"/>
  <c r="H17" i="13" s="1"/>
  <c r="Z11" i="54" s="1"/>
  <c r="Z21" i="54" s="1"/>
  <c r="J33" i="13"/>
  <c r="K33" i="13" s="1"/>
  <c r="X11" i="55" s="1"/>
  <c r="X21" i="55" s="1"/>
  <c r="G9" i="13"/>
  <c r="H9" i="13" s="1"/>
  <c r="AA11" i="54" s="1"/>
  <c r="AA21" i="54" s="1"/>
  <c r="D9" i="13"/>
  <c r="E9" i="13" s="1"/>
  <c r="AA11" i="31" s="1"/>
  <c r="AA21" i="31" s="1"/>
  <c r="G33" i="13"/>
  <c r="H33" i="13" s="1"/>
  <c r="X11" i="54" s="1"/>
  <c r="X21" i="54" s="1"/>
  <c r="G25" i="13"/>
  <c r="H25" i="13" s="1"/>
  <c r="Y11" i="54" s="1"/>
  <c r="Y21" i="54" s="1"/>
  <c r="G32" i="13"/>
  <c r="H32" i="13" s="1"/>
  <c r="X10" i="54" s="1"/>
  <c r="X20" i="54" s="1"/>
  <c r="E8" i="13"/>
  <c r="AA10" i="31" s="1"/>
  <c r="AA20" i="31" s="1"/>
  <c r="D8" i="13"/>
  <c r="G16" i="13"/>
  <c r="H16" i="13" s="1"/>
  <c r="Z10" i="54" s="1"/>
  <c r="Z20" i="54" s="1"/>
  <c r="K8" i="13"/>
  <c r="AA10" i="55" s="1"/>
  <c r="AA20" i="55" s="1"/>
  <c r="J8" i="13"/>
  <c r="J16" i="13"/>
  <c r="K16" i="13" s="1"/>
  <c r="Z10" i="55" s="1"/>
  <c r="Z20" i="55" s="1"/>
  <c r="K32" i="13"/>
  <c r="X10" i="55" s="1"/>
  <c r="X20" i="55" s="1"/>
  <c r="J32" i="13"/>
  <c r="J40" i="13"/>
  <c r="K40" i="13" s="1"/>
  <c r="E16" i="13"/>
  <c r="Z10" i="31" s="1"/>
  <c r="Z20" i="31" s="1"/>
  <c r="D16" i="13"/>
  <c r="G24" i="13"/>
  <c r="H24" i="13" s="1"/>
  <c r="Y10" i="54" s="1"/>
  <c r="Y20" i="54" s="1"/>
  <c r="E24" i="13"/>
  <c r="Y10" i="31" s="1"/>
  <c r="Y20" i="31" s="1"/>
  <c r="D24" i="13"/>
  <c r="D32" i="13"/>
  <c r="E32" i="13" s="1"/>
  <c r="X10" i="31" s="1"/>
  <c r="X20" i="31" s="1"/>
  <c r="H40" i="13"/>
  <c r="H10" i="54" s="1"/>
  <c r="G40" i="13"/>
  <c r="D40" i="13"/>
  <c r="E40" i="13" s="1"/>
  <c r="D10" i="44"/>
  <c r="X30" i="44" s="1"/>
  <c r="X40" i="44" s="1"/>
  <c r="G8" i="13"/>
  <c r="H8" i="13" s="1"/>
  <c r="AA10" i="54" s="1"/>
  <c r="AA20" i="54" s="1"/>
  <c r="J24" i="13"/>
  <c r="K24" i="13" s="1"/>
  <c r="Y10" i="55" s="1"/>
  <c r="Y20" i="55" s="1"/>
  <c r="G23" i="13"/>
  <c r="H23" i="13" s="1"/>
  <c r="Y9" i="54" s="1"/>
  <c r="Y19" i="54" s="1"/>
  <c r="G39" i="13"/>
  <c r="H39" i="13" s="1"/>
  <c r="J15" i="13"/>
  <c r="K15" i="13" s="1"/>
  <c r="Z9" i="55" s="1"/>
  <c r="Z19" i="55" s="1"/>
  <c r="J7" i="13"/>
  <c r="K7" i="13" s="1"/>
  <c r="AA9" i="55" s="1"/>
  <c r="AA19" i="55" s="1"/>
  <c r="D31" i="13"/>
  <c r="E31" i="13" s="1"/>
  <c r="X9" i="31" s="1"/>
  <c r="X19" i="31" s="1"/>
  <c r="D7" i="13"/>
  <c r="E7" i="13" s="1"/>
  <c r="AA9" i="31" s="1"/>
  <c r="AA19" i="31" s="1"/>
  <c r="G15" i="13"/>
  <c r="H15" i="13" s="1"/>
  <c r="Z9" i="54" s="1"/>
  <c r="Z19" i="54" s="1"/>
  <c r="D15" i="13"/>
  <c r="E15" i="13" s="1"/>
  <c r="Z9" i="31" s="1"/>
  <c r="Z19" i="31" s="1"/>
  <c r="G7" i="13"/>
  <c r="H7" i="13" s="1"/>
  <c r="AA9" i="54" s="1"/>
  <c r="AA19" i="54" s="1"/>
  <c r="D39" i="13"/>
  <c r="E39" i="13" s="1"/>
  <c r="G31" i="13"/>
  <c r="H31" i="13" s="1"/>
  <c r="X9" i="54" s="1"/>
  <c r="X19" i="54" s="1"/>
  <c r="D23" i="13"/>
  <c r="E23" i="13" s="1"/>
  <c r="Y9" i="31" s="1"/>
  <c r="Y19" i="31" s="1"/>
  <c r="J23" i="13"/>
  <c r="K23" i="13" s="1"/>
  <c r="Y9" i="55" s="1"/>
  <c r="Y19" i="55" s="1"/>
  <c r="J39" i="13"/>
  <c r="K39" i="13" s="1"/>
  <c r="J31" i="13"/>
  <c r="K31" i="13" s="1"/>
  <c r="X9" i="55" s="1"/>
  <c r="X19" i="55" s="1"/>
  <c r="W8" i="44"/>
  <c r="W18" i="44" s="1"/>
  <c r="E8" i="44"/>
  <c r="F8" i="44"/>
  <c r="D8" i="44"/>
  <c r="W28" i="44" s="1"/>
  <c r="W38" i="44" s="1"/>
  <c r="H8" i="44"/>
  <c r="G8" i="44"/>
  <c r="G14" i="13"/>
  <c r="H14" i="13" s="1"/>
  <c r="Z8" i="54" s="1"/>
  <c r="Z18" i="54" s="1"/>
  <c r="G38" i="13"/>
  <c r="H38" i="13" s="1"/>
  <c r="D38" i="13"/>
  <c r="E38" i="13" s="1"/>
  <c r="D30" i="13"/>
  <c r="E30" i="13" s="1"/>
  <c r="X8" i="31" s="1"/>
  <c r="X18" i="31" s="1"/>
  <c r="J14" i="13"/>
  <c r="K14" i="13" s="1"/>
  <c r="Z8" i="55" s="1"/>
  <c r="Z18" i="55" s="1"/>
  <c r="J6" i="13"/>
  <c r="K6" i="13" s="1"/>
  <c r="AA8" i="55" s="1"/>
  <c r="AA18" i="55" s="1"/>
  <c r="G30" i="13"/>
  <c r="H30" i="13" s="1"/>
  <c r="X8" i="54" s="1"/>
  <c r="X18" i="54" s="1"/>
  <c r="J22" i="13"/>
  <c r="K22" i="13" s="1"/>
  <c r="Y8" i="55" s="1"/>
  <c r="Y18" i="55" s="1"/>
  <c r="J38" i="13"/>
  <c r="K38" i="13" s="1"/>
  <c r="J30" i="13"/>
  <c r="K30" i="13" s="1"/>
  <c r="X8" i="55" s="1"/>
  <c r="X18" i="55" s="1"/>
  <c r="G22" i="13"/>
  <c r="H22" i="13" s="1"/>
  <c r="Y8" i="54" s="1"/>
  <c r="Y18" i="54" s="1"/>
  <c r="D14" i="13"/>
  <c r="E14" i="13" s="1"/>
  <c r="Z8" i="31" s="1"/>
  <c r="Z18" i="31" s="1"/>
  <c r="D22" i="13"/>
  <c r="E22" i="13" s="1"/>
  <c r="Y8" i="31" s="1"/>
  <c r="Y18" i="31" s="1"/>
  <c r="G6" i="13"/>
  <c r="H6" i="13" s="1"/>
  <c r="AA8" i="54" s="1"/>
  <c r="AA18" i="54" s="1"/>
  <c r="D6" i="13"/>
  <c r="E6" i="13" s="1"/>
  <c r="AA8" i="31" s="1"/>
  <c r="AA18" i="31" s="1"/>
  <c r="E7" i="54"/>
  <c r="G7" i="54"/>
  <c r="D7" i="54"/>
  <c r="W7" i="54"/>
  <c r="W17" i="54" s="1"/>
  <c r="D17" i="44"/>
  <c r="J21" i="13"/>
  <c r="K21" i="13" s="1"/>
  <c r="Y7" i="55" s="1"/>
  <c r="Y17" i="55" s="1"/>
  <c r="J37" i="13"/>
  <c r="K37" i="13" s="1"/>
  <c r="G5" i="13"/>
  <c r="H5" i="13" s="1"/>
  <c r="AA7" i="54" s="1"/>
  <c r="AA17" i="54" s="1"/>
  <c r="G21" i="13"/>
  <c r="H21" i="13" s="1"/>
  <c r="Y7" i="54" s="1"/>
  <c r="Y17" i="54" s="1"/>
  <c r="D29" i="13"/>
  <c r="E29" i="13" s="1"/>
  <c r="X7" i="31" s="1"/>
  <c r="X17" i="31" s="1"/>
  <c r="J5" i="13"/>
  <c r="K5" i="13" s="1"/>
  <c r="AA7" i="55" s="1"/>
  <c r="AA17" i="55" s="1"/>
  <c r="D37" i="13"/>
  <c r="E37" i="13" s="1"/>
  <c r="J29" i="13"/>
  <c r="K29" i="13" s="1"/>
  <c r="X7" i="55" s="1"/>
  <c r="X17" i="55" s="1"/>
  <c r="D5" i="13"/>
  <c r="E5" i="13" s="1"/>
  <c r="AA7" i="31" s="1"/>
  <c r="AA17" i="31" s="1"/>
  <c r="H7" i="54"/>
  <c r="AA27" i="54" s="1"/>
  <c r="AA37" i="54" s="1"/>
  <c r="F7" i="54"/>
  <c r="E17" i="54" s="1"/>
  <c r="J17" i="44"/>
  <c r="F10" i="54"/>
  <c r="I17" i="44"/>
  <c r="C26" i="44" s="1"/>
  <c r="I48" i="54"/>
  <c r="G49" i="54"/>
  <c r="G49" i="44"/>
  <c r="I48" i="44"/>
  <c r="F42" i="55"/>
  <c r="I57" i="55"/>
  <c r="F45" i="55"/>
  <c r="I58" i="55"/>
  <c r="F36" i="55"/>
  <c r="I55" i="55"/>
  <c r="F39" i="55"/>
  <c r="I56" i="55"/>
  <c r="F33" i="55"/>
  <c r="I54" i="55"/>
  <c r="G33" i="44"/>
  <c r="G34" i="44" s="1"/>
  <c r="H17" i="54"/>
  <c r="E18" i="44"/>
  <c r="G19" i="44"/>
  <c r="Z29" i="44"/>
  <c r="Z39" i="44" s="1"/>
  <c r="G20" i="44"/>
  <c r="Z30" i="44"/>
  <c r="Z40" i="44" s="1"/>
  <c r="H20" i="44"/>
  <c r="AA30" i="44"/>
  <c r="AA40" i="44" s="1"/>
  <c r="Z31" i="44"/>
  <c r="Z41" i="44" s="1"/>
  <c r="AC37" i="44"/>
  <c r="AB37" i="44"/>
  <c r="X27" i="54"/>
  <c r="X37" i="54" s="1"/>
  <c r="G18" i="44"/>
  <c r="Z28" i="44"/>
  <c r="Z38" i="44" s="1"/>
  <c r="F19" i="44"/>
  <c r="Y29" i="44"/>
  <c r="Y39" i="44" s="1"/>
  <c r="E20" i="44"/>
  <c r="D21" i="44"/>
  <c r="W31" i="44"/>
  <c r="W41" i="44" s="1"/>
  <c r="F21" i="44"/>
  <c r="Y31" i="44"/>
  <c r="Y41" i="44" s="1"/>
  <c r="D17" i="54"/>
  <c r="W27" i="54"/>
  <c r="W37" i="54" s="1"/>
  <c r="H18" i="44"/>
  <c r="AA28" i="44"/>
  <c r="AA38" i="44" s="1"/>
  <c r="D18" i="44"/>
  <c r="E19" i="44"/>
  <c r="X29" i="44"/>
  <c r="X39" i="44" s="1"/>
  <c r="E21" i="44"/>
  <c r="X31" i="44"/>
  <c r="X41" i="44" s="1"/>
  <c r="G17" i="54"/>
  <c r="Z27" i="54"/>
  <c r="Z37" i="54" s="1"/>
  <c r="F18" i="44"/>
  <c r="Y28" i="44"/>
  <c r="Y38" i="44" s="1"/>
  <c r="D19" i="44"/>
  <c r="W29" i="44"/>
  <c r="W39" i="44" s="1"/>
  <c r="H19" i="44"/>
  <c r="AA29" i="44"/>
  <c r="AA39" i="44" s="1"/>
  <c r="F20" i="44"/>
  <c r="Y30" i="44"/>
  <c r="Y40" i="44" s="1"/>
  <c r="H21" i="44"/>
  <c r="H41" i="13"/>
  <c r="F11" i="55" l="1"/>
  <c r="W11" i="55"/>
  <c r="W21" i="55" s="1"/>
  <c r="G11" i="55"/>
  <c r="D11" i="55"/>
  <c r="X31" i="55" s="1"/>
  <c r="X41" i="55" s="1"/>
  <c r="E11" i="55"/>
  <c r="H11" i="55"/>
  <c r="D11" i="31"/>
  <c r="G11" i="31"/>
  <c r="AA31" i="31" s="1"/>
  <c r="AA41" i="31" s="1"/>
  <c r="F11" i="31"/>
  <c r="H11" i="31"/>
  <c r="W11" i="31"/>
  <c r="W21" i="31" s="1"/>
  <c r="E11" i="31"/>
  <c r="E21" i="31" s="1"/>
  <c r="G21" i="44"/>
  <c r="W10" i="31"/>
  <c r="W20" i="31" s="1"/>
  <c r="F10" i="31"/>
  <c r="H10" i="31"/>
  <c r="G10" i="31"/>
  <c r="Z30" i="31" s="1"/>
  <c r="Z40" i="31" s="1"/>
  <c r="D10" i="31"/>
  <c r="E10" i="31"/>
  <c r="E10" i="55"/>
  <c r="W10" i="55"/>
  <c r="W20" i="55" s="1"/>
  <c r="F10" i="55"/>
  <c r="D10" i="55"/>
  <c r="G10" i="55"/>
  <c r="H10" i="55"/>
  <c r="H20" i="55" s="1"/>
  <c r="W30" i="44"/>
  <c r="W40" i="44" s="1"/>
  <c r="D10" i="54"/>
  <c r="D20" i="44"/>
  <c r="W10" i="54"/>
  <c r="W20" i="54" s="1"/>
  <c r="G10" i="54"/>
  <c r="E10" i="54"/>
  <c r="E9" i="55"/>
  <c r="F9" i="55"/>
  <c r="F19" i="55" s="1"/>
  <c r="W9" i="55"/>
  <c r="W19" i="55" s="1"/>
  <c r="H9" i="55"/>
  <c r="D9" i="55"/>
  <c r="G9" i="55"/>
  <c r="Z29" i="55" s="1"/>
  <c r="Z39" i="55" s="1"/>
  <c r="E9" i="31"/>
  <c r="E19" i="31" s="1"/>
  <c r="F9" i="31"/>
  <c r="W9" i="31"/>
  <c r="W19" i="31" s="1"/>
  <c r="H9" i="31"/>
  <c r="D9" i="31"/>
  <c r="D19" i="31" s="1"/>
  <c r="G9" i="31"/>
  <c r="Z29" i="31" s="1"/>
  <c r="Z39" i="31" s="1"/>
  <c r="G9" i="54"/>
  <c r="F9" i="54"/>
  <c r="D9" i="54"/>
  <c r="W29" i="54" s="1"/>
  <c r="W39" i="54" s="1"/>
  <c r="E9" i="54"/>
  <c r="E19" i="54" s="1"/>
  <c r="H9" i="54"/>
  <c r="W9" i="54"/>
  <c r="W19" i="54" s="1"/>
  <c r="W8" i="55"/>
  <c r="W18" i="55" s="1"/>
  <c r="F8" i="55"/>
  <c r="D8" i="55"/>
  <c r="AF9" i="55" s="1"/>
  <c r="G8" i="55"/>
  <c r="G18" i="55" s="1"/>
  <c r="E8" i="55"/>
  <c r="H8" i="55"/>
  <c r="F8" i="54"/>
  <c r="AF8" i="54" s="1"/>
  <c r="G8" i="54"/>
  <c r="G18" i="54" s="1"/>
  <c r="H8" i="54"/>
  <c r="W8" i="54"/>
  <c r="W18" i="54" s="1"/>
  <c r="D8" i="54"/>
  <c r="AD8" i="54" s="1"/>
  <c r="E8" i="54"/>
  <c r="AE8" i="54" s="1"/>
  <c r="W8" i="31"/>
  <c r="W18" i="31" s="1"/>
  <c r="D8" i="31"/>
  <c r="E8" i="31"/>
  <c r="H8" i="31"/>
  <c r="H18" i="31" s="1"/>
  <c r="J18" i="31" s="1"/>
  <c r="F8" i="31"/>
  <c r="G8" i="31"/>
  <c r="X28" i="44"/>
  <c r="X38" i="44" s="1"/>
  <c r="H7" i="55"/>
  <c r="D7" i="55"/>
  <c r="W7" i="55"/>
  <c r="W17" i="55" s="1"/>
  <c r="G7" i="55"/>
  <c r="AA27" i="55" s="1"/>
  <c r="AA37" i="55" s="1"/>
  <c r="E7" i="55"/>
  <c r="F7" i="55"/>
  <c r="W7" i="31"/>
  <c r="W17" i="31" s="1"/>
  <c r="F7" i="31"/>
  <c r="Y27" i="31" s="1"/>
  <c r="Y37" i="31" s="1"/>
  <c r="H7" i="31"/>
  <c r="G7" i="31"/>
  <c r="D7" i="31"/>
  <c r="AF8" i="31" s="1"/>
  <c r="E7" i="31"/>
  <c r="X27" i="31" s="1"/>
  <c r="X37" i="31" s="1"/>
  <c r="Y27" i="54"/>
  <c r="Y37" i="54" s="1"/>
  <c r="F17" i="54"/>
  <c r="J20" i="44"/>
  <c r="G42" i="44"/>
  <c r="I42" i="44" s="1"/>
  <c r="J49" i="54"/>
  <c r="J52" i="54" s="1"/>
  <c r="J59" i="54" s="1"/>
  <c r="J19" i="44"/>
  <c r="G45" i="44"/>
  <c r="I45" i="44" s="1"/>
  <c r="I20" i="44"/>
  <c r="C29" i="44" s="1"/>
  <c r="AF9" i="31"/>
  <c r="AE9" i="31"/>
  <c r="AD9" i="31"/>
  <c r="AD9" i="54"/>
  <c r="AF9" i="54"/>
  <c r="AE8" i="55"/>
  <c r="AD8" i="55"/>
  <c r="AF8" i="55"/>
  <c r="AD9" i="55"/>
  <c r="W11" i="54"/>
  <c r="W21" i="54" s="1"/>
  <c r="F11" i="54"/>
  <c r="H11" i="54"/>
  <c r="G11" i="54"/>
  <c r="D11" i="54"/>
  <c r="E11" i="54"/>
  <c r="I17" i="54"/>
  <c r="C26" i="54" s="1"/>
  <c r="J17" i="54"/>
  <c r="I33" i="44"/>
  <c r="J34" i="44" s="1"/>
  <c r="G39" i="44"/>
  <c r="I39" i="44" s="1"/>
  <c r="I18" i="44"/>
  <c r="C27" i="44" s="1"/>
  <c r="J49" i="44"/>
  <c r="J18" i="44"/>
  <c r="G33" i="54"/>
  <c r="G34" i="54" s="1"/>
  <c r="I19" i="44"/>
  <c r="C28" i="44" s="1"/>
  <c r="J21" i="44"/>
  <c r="G36" i="44"/>
  <c r="G37" i="44" s="1"/>
  <c r="I21" i="44"/>
  <c r="C30" i="44" s="1"/>
  <c r="H17" i="55"/>
  <c r="E18" i="31"/>
  <c r="X28" i="31"/>
  <c r="X38" i="31" s="1"/>
  <c r="G19" i="31"/>
  <c r="E19" i="55"/>
  <c r="X29" i="55"/>
  <c r="X39" i="55" s="1"/>
  <c r="E20" i="31"/>
  <c r="X30" i="31"/>
  <c r="X40" i="31" s="1"/>
  <c r="H20" i="54"/>
  <c r="AA30" i="54"/>
  <c r="AA40" i="54" s="1"/>
  <c r="G20" i="54"/>
  <c r="Z30" i="54"/>
  <c r="Z40" i="54" s="1"/>
  <c r="G20" i="55"/>
  <c r="Z30" i="55"/>
  <c r="Z40" i="55" s="1"/>
  <c r="D21" i="31"/>
  <c r="W31" i="31"/>
  <c r="W41" i="31" s="1"/>
  <c r="E21" i="55"/>
  <c r="E17" i="55"/>
  <c r="X27" i="55"/>
  <c r="X37" i="55" s="1"/>
  <c r="D18" i="55"/>
  <c r="W28" i="55"/>
  <c r="W38" i="55" s="1"/>
  <c r="F18" i="55"/>
  <c r="Y28" i="55"/>
  <c r="Y38" i="55" s="1"/>
  <c r="F18" i="31"/>
  <c r="Y28" i="31"/>
  <c r="Y38" i="31" s="1"/>
  <c r="X28" i="54"/>
  <c r="X38" i="54" s="1"/>
  <c r="F19" i="31"/>
  <c r="Y29" i="55"/>
  <c r="Y39" i="55" s="1"/>
  <c r="G20" i="31"/>
  <c r="F20" i="54"/>
  <c r="Y30" i="54"/>
  <c r="Y40" i="54" s="1"/>
  <c r="E20" i="55"/>
  <c r="X30" i="55"/>
  <c r="X40" i="55" s="1"/>
  <c r="F20" i="55"/>
  <c r="Y30" i="55"/>
  <c r="Y40" i="55" s="1"/>
  <c r="H21" i="31"/>
  <c r="G45" i="31" s="1"/>
  <c r="H21" i="55"/>
  <c r="AA31" i="55"/>
  <c r="AA41" i="55" s="1"/>
  <c r="F17" i="31"/>
  <c r="H17" i="31"/>
  <c r="AA27" i="31"/>
  <c r="AA37" i="31" s="1"/>
  <c r="F17" i="55"/>
  <c r="Y27" i="55"/>
  <c r="Y37" i="55" s="1"/>
  <c r="E18" i="55"/>
  <c r="G18" i="31"/>
  <c r="Z28" i="31"/>
  <c r="Z38" i="31" s="1"/>
  <c r="D18" i="54"/>
  <c r="H19" i="55"/>
  <c r="AA29" i="55"/>
  <c r="AA39" i="55" s="1"/>
  <c r="H20" i="31"/>
  <c r="G42" i="31" s="1"/>
  <c r="AA30" i="31"/>
  <c r="AA40" i="31" s="1"/>
  <c r="D20" i="54"/>
  <c r="W30" i="54"/>
  <c r="W40" i="54" s="1"/>
  <c r="D20" i="55"/>
  <c r="W30" i="55"/>
  <c r="W40" i="55" s="1"/>
  <c r="Z31" i="31"/>
  <c r="Z41" i="31" s="1"/>
  <c r="G21" i="55"/>
  <c r="Z31" i="55"/>
  <c r="Z41" i="55" s="1"/>
  <c r="G17" i="31"/>
  <c r="D17" i="55"/>
  <c r="W27" i="55"/>
  <c r="W37" i="55" s="1"/>
  <c r="F19" i="54"/>
  <c r="Y29" i="54"/>
  <c r="Y39" i="54" s="1"/>
  <c r="Z28" i="55"/>
  <c r="Z38" i="55" s="1"/>
  <c r="D18" i="31"/>
  <c r="W28" i="31"/>
  <c r="W38" i="31" s="1"/>
  <c r="Z28" i="54"/>
  <c r="Z38" i="54" s="1"/>
  <c r="G19" i="54"/>
  <c r="Z29" i="54"/>
  <c r="Z39" i="54" s="1"/>
  <c r="H19" i="31"/>
  <c r="I19" i="31" s="1"/>
  <c r="C28" i="31" s="1"/>
  <c r="AA29" i="31"/>
  <c r="AA39" i="31" s="1"/>
  <c r="D19" i="55"/>
  <c r="W29" i="55"/>
  <c r="W39" i="55" s="1"/>
  <c r="F20" i="31"/>
  <c r="Y30" i="31"/>
  <c r="Y40" i="31" s="1"/>
  <c r="E20" i="54"/>
  <c r="G42" i="54" s="1"/>
  <c r="X30" i="54"/>
  <c r="X40" i="54" s="1"/>
  <c r="F21" i="31"/>
  <c r="D21" i="55"/>
  <c r="F21" i="55"/>
  <c r="Y31" i="55"/>
  <c r="Y41" i="55" s="1"/>
  <c r="H18" i="55"/>
  <c r="H18" i="54"/>
  <c r="AA28" i="54"/>
  <c r="AA38" i="54" s="1"/>
  <c r="H19" i="54"/>
  <c r="J19" i="54" s="1"/>
  <c r="AA29" i="54"/>
  <c r="AA39" i="54" s="1"/>
  <c r="G19" i="55"/>
  <c r="AC39" i="44"/>
  <c r="AB39" i="44"/>
  <c r="AC40" i="44"/>
  <c r="AB40" i="44"/>
  <c r="AC38" i="44"/>
  <c r="AB38" i="44"/>
  <c r="AB37" i="54"/>
  <c r="AC37" i="54"/>
  <c r="AC41" i="44"/>
  <c r="AB41" i="44"/>
  <c r="D20" i="31"/>
  <c r="W30" i="31"/>
  <c r="W40" i="31" s="1"/>
  <c r="I17" i="55"/>
  <c r="C26" i="55" s="1"/>
  <c r="I10" i="59" l="1"/>
  <c r="E53" i="44"/>
  <c r="Y31" i="31"/>
  <c r="Y41" i="31" s="1"/>
  <c r="X31" i="31"/>
  <c r="X41" i="31" s="1"/>
  <c r="G21" i="31"/>
  <c r="W31" i="55"/>
  <c r="W41" i="55" s="1"/>
  <c r="AB41" i="55" s="1"/>
  <c r="AA30" i="55"/>
  <c r="AA40" i="55" s="1"/>
  <c r="D19" i="54"/>
  <c r="Y29" i="31"/>
  <c r="Y39" i="31" s="1"/>
  <c r="X29" i="31"/>
  <c r="X39" i="31" s="1"/>
  <c r="W29" i="31"/>
  <c r="W39" i="31" s="1"/>
  <c r="AB39" i="31" s="1"/>
  <c r="X29" i="54"/>
  <c r="X39" i="54" s="1"/>
  <c r="AA28" i="55"/>
  <c r="AA38" i="55" s="1"/>
  <c r="Y28" i="54"/>
  <c r="Y38" i="54" s="1"/>
  <c r="AA28" i="31"/>
  <c r="AA38" i="31" s="1"/>
  <c r="AE9" i="55"/>
  <c r="E18" i="54"/>
  <c r="F18" i="54"/>
  <c r="W28" i="54"/>
  <c r="W38" i="54" s="1"/>
  <c r="X28" i="55"/>
  <c r="X38" i="55" s="1"/>
  <c r="AE9" i="54"/>
  <c r="E17" i="31"/>
  <c r="G17" i="55"/>
  <c r="D17" i="31"/>
  <c r="AD8" i="31"/>
  <c r="AE10" i="31" s="1"/>
  <c r="AD10" i="31" s="1"/>
  <c r="C60" i="31" s="1"/>
  <c r="C62" i="31" s="1"/>
  <c r="Z27" i="55"/>
  <c r="Z37" i="55" s="1"/>
  <c r="AE8" i="31"/>
  <c r="W27" i="31"/>
  <c r="W37" i="31" s="1"/>
  <c r="Z27" i="31"/>
  <c r="Z37" i="31" s="1"/>
  <c r="I36" i="44"/>
  <c r="G43" i="44"/>
  <c r="G46" i="44"/>
  <c r="G36" i="54"/>
  <c r="G42" i="55"/>
  <c r="AE10" i="54"/>
  <c r="AD10" i="54" s="1"/>
  <c r="C60" i="54" s="1"/>
  <c r="C61" i="54" s="1"/>
  <c r="G33" i="55"/>
  <c r="G34" i="55" s="1"/>
  <c r="G39" i="31"/>
  <c r="J40" i="31" s="1"/>
  <c r="I19" i="55"/>
  <c r="C28" i="55" s="1"/>
  <c r="G36" i="31"/>
  <c r="G37" i="31" s="1"/>
  <c r="J17" i="55"/>
  <c r="I21" i="55"/>
  <c r="C30" i="55" s="1"/>
  <c r="J46" i="44"/>
  <c r="M10" i="59" s="1"/>
  <c r="J21" i="55"/>
  <c r="J21" i="31"/>
  <c r="G45" i="55"/>
  <c r="I45" i="55" s="1"/>
  <c r="J20" i="55"/>
  <c r="I20" i="55"/>
  <c r="C29" i="55" s="1"/>
  <c r="AE10" i="55"/>
  <c r="AD10" i="55" s="1"/>
  <c r="C60" i="55" s="1"/>
  <c r="C62" i="55" s="1"/>
  <c r="J19" i="31"/>
  <c r="G39" i="55"/>
  <c r="G40" i="55" s="1"/>
  <c r="J18" i="55"/>
  <c r="G33" i="31"/>
  <c r="G34" i="31" s="1"/>
  <c r="I17" i="31"/>
  <c r="C26" i="31" s="1"/>
  <c r="J19" i="55"/>
  <c r="J52" i="44"/>
  <c r="J59" i="44" s="1"/>
  <c r="J58" i="44" s="1"/>
  <c r="J57" i="44" s="1"/>
  <c r="J56" i="44" s="1"/>
  <c r="J55" i="44" s="1"/>
  <c r="J54" i="44" s="1"/>
  <c r="J60" i="44" s="1"/>
  <c r="N10" i="59"/>
  <c r="J17" i="31"/>
  <c r="J20" i="54"/>
  <c r="I33" i="54"/>
  <c r="J34" i="54" s="1"/>
  <c r="J20" i="31"/>
  <c r="I18" i="31"/>
  <c r="C27" i="31" s="1"/>
  <c r="G40" i="44"/>
  <c r="J40" i="44" s="1"/>
  <c r="K10" i="59" s="1"/>
  <c r="G39" i="54"/>
  <c r="G40" i="54" s="1"/>
  <c r="I20" i="54"/>
  <c r="C29" i="54" s="1"/>
  <c r="I20" i="31"/>
  <c r="C29" i="31" s="1"/>
  <c r="I21" i="31"/>
  <c r="C30" i="31" s="1"/>
  <c r="I18" i="55"/>
  <c r="C27" i="55" s="1"/>
  <c r="G36" i="55"/>
  <c r="G37" i="55" s="1"/>
  <c r="I19" i="54"/>
  <c r="C28" i="54" s="1"/>
  <c r="J37" i="44"/>
  <c r="J10" i="59" s="1"/>
  <c r="J43" i="44"/>
  <c r="J18" i="54"/>
  <c r="I18" i="54"/>
  <c r="C27" i="54" s="1"/>
  <c r="G27" i="44"/>
  <c r="G29" i="44" s="1"/>
  <c r="H27" i="44"/>
  <c r="AC40" i="31"/>
  <c r="AB40" i="31"/>
  <c r="AB37" i="31"/>
  <c r="AC37" i="31"/>
  <c r="AC39" i="55"/>
  <c r="AB39" i="55"/>
  <c r="AC39" i="31"/>
  <c r="AC40" i="55"/>
  <c r="AB40" i="55"/>
  <c r="AB38" i="55"/>
  <c r="AC38" i="55"/>
  <c r="F21" i="54"/>
  <c r="Y31" i="54"/>
  <c r="Y41" i="54" s="1"/>
  <c r="AB39" i="54"/>
  <c r="AC39" i="54"/>
  <c r="E21" i="54"/>
  <c r="X31" i="54"/>
  <c r="X41" i="54" s="1"/>
  <c r="AC41" i="55"/>
  <c r="AC40" i="54"/>
  <c r="AB40" i="54"/>
  <c r="AB38" i="54"/>
  <c r="AC38" i="54"/>
  <c r="AB41" i="31"/>
  <c r="AC41" i="31"/>
  <c r="D21" i="54"/>
  <c r="W31" i="54"/>
  <c r="W41" i="54" s="1"/>
  <c r="AC38" i="31"/>
  <c r="AB38" i="31"/>
  <c r="AB37" i="55"/>
  <c r="AC37" i="55"/>
  <c r="H21" i="54"/>
  <c r="AA31" i="54"/>
  <c r="AA41" i="54" s="1"/>
  <c r="G21" i="54"/>
  <c r="Z31" i="54"/>
  <c r="Z41" i="54" s="1"/>
  <c r="G46" i="55"/>
  <c r="G46" i="31"/>
  <c r="I45" i="31"/>
  <c r="J46" i="31"/>
  <c r="G43" i="55"/>
  <c r="I42" i="55"/>
  <c r="G43" i="54"/>
  <c r="I42" i="54"/>
  <c r="G43" i="31"/>
  <c r="I42" i="31"/>
  <c r="J43" i="31" s="1"/>
  <c r="I36" i="54"/>
  <c r="G37" i="54"/>
  <c r="I36" i="55" l="1"/>
  <c r="W51" i="44"/>
  <c r="C62" i="54"/>
  <c r="I33" i="55"/>
  <c r="J34" i="55" s="1"/>
  <c r="I39" i="54"/>
  <c r="I39" i="31"/>
  <c r="G40" i="31"/>
  <c r="G27" i="31"/>
  <c r="G29" i="31" s="1"/>
  <c r="J46" i="55"/>
  <c r="W51" i="55" s="1"/>
  <c r="J43" i="55"/>
  <c r="I39" i="55"/>
  <c r="J40" i="55" s="1"/>
  <c r="H27" i="55"/>
  <c r="I36" i="31"/>
  <c r="J37" i="31" s="1"/>
  <c r="I33" i="31"/>
  <c r="J34" i="31" s="1"/>
  <c r="C61" i="55"/>
  <c r="G27" i="55"/>
  <c r="G29" i="55" s="1"/>
  <c r="J37" i="55"/>
  <c r="W47" i="44"/>
  <c r="W48" i="44"/>
  <c r="W50" i="44"/>
  <c r="L10" i="59"/>
  <c r="W49" i="44"/>
  <c r="H27" i="31"/>
  <c r="G45" i="54"/>
  <c r="G46" i="54" s="1"/>
  <c r="J21" i="54"/>
  <c r="J37" i="54"/>
  <c r="W47" i="54" s="1"/>
  <c r="I21" i="54"/>
  <c r="C30" i="54" s="1"/>
  <c r="H27" i="54" s="1"/>
  <c r="J40" i="54"/>
  <c r="J43" i="54"/>
  <c r="C61" i="31"/>
  <c r="AB41" i="54"/>
  <c r="AC41" i="54"/>
  <c r="J58" i="54" s="1"/>
  <c r="J57" i="54" s="1"/>
  <c r="J56" i="54" s="1"/>
  <c r="J55" i="54" s="1"/>
  <c r="J54" i="54" s="1"/>
  <c r="J60" i="54" s="1"/>
  <c r="W49" i="31"/>
  <c r="W50" i="31"/>
  <c r="W51" i="31"/>
  <c r="W47" i="55" l="1"/>
  <c r="W50" i="55"/>
  <c r="E52" i="55"/>
  <c r="W47" i="31"/>
  <c r="W49" i="55"/>
  <c r="W48" i="31"/>
  <c r="E52" i="31"/>
  <c r="W48" i="55"/>
  <c r="W52" i="44"/>
  <c r="E55" i="44" s="1"/>
  <c r="E52" i="44"/>
  <c r="E10" i="59" s="1"/>
  <c r="F10" i="59"/>
  <c r="W49" i="54"/>
  <c r="I45" i="54"/>
  <c r="J46" i="54" s="1"/>
  <c r="E52" i="54" s="1"/>
  <c r="G27" i="54"/>
  <c r="G29" i="54" s="1"/>
  <c r="W48" i="54"/>
  <c r="W52" i="31" l="1"/>
  <c r="E55" i="31" s="1"/>
  <c r="W52" i="55"/>
  <c r="E55" i="55" s="1"/>
  <c r="W51" i="54"/>
  <c r="W50" i="54"/>
  <c r="W52" i="54" s="1"/>
  <c r="E55" i="54" s="1"/>
</calcChain>
</file>

<file path=xl/sharedStrings.xml><?xml version="1.0" encoding="utf-8"?>
<sst xmlns="http://schemas.openxmlformats.org/spreadsheetml/2006/main" count="1152" uniqueCount="239">
  <si>
    <t>k (min^-1*mM^-1)</t>
  </si>
  <si>
    <t>SD</t>
  </si>
  <si>
    <t>SD dp [%]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</si>
  <si>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</si>
  <si>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</si>
  <si>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</si>
  <si>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</si>
  <si>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</si>
  <si>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</si>
  <si>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</si>
  <si>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</si>
  <si>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</si>
  <si>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</si>
  <si>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</si>
  <si>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</si>
  <si>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</si>
  <si>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</si>
  <si>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</si>
  <si>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</si>
  <si>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</si>
  <si>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</si>
  <si>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</si>
  <si>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</si>
  <si>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 xml:space="preserve">mean Depletion [%] </t>
  </si>
  <si>
    <t>Slope</t>
  </si>
  <si>
    <t>Correlation</t>
  </si>
  <si>
    <t>k (s^-1 M^-1)</t>
  </si>
  <si>
    <t>k (mM^-1)</t>
  </si>
  <si>
    <t>40 µL mBrB</t>
  </si>
  <si>
    <t>µL</t>
  </si>
  <si>
    <t>20</t>
  </si>
  <si>
    <t>mean</t>
  </si>
  <si>
    <t>PC</t>
  </si>
  <si>
    <t>Depletion [%] 
[sample 1]</t>
  </si>
  <si>
    <t>Depletion [%] 
[sample 2]</t>
  </si>
  <si>
    <t>Depletion [%] 
[sample 3]</t>
  </si>
  <si>
    <t xml:space="preserve">Depletion [%] </t>
  </si>
  <si>
    <t>t [min]</t>
  </si>
  <si>
    <t>k obs [mM^-1]</t>
  </si>
  <si>
    <t>log k</t>
  </si>
  <si>
    <t>min</t>
  </si>
  <si>
    <t>vehicle</t>
  </si>
  <si>
    <t>1.25 mM PC</t>
  </si>
  <si>
    <t>2.5 mM PC</t>
  </si>
  <si>
    <t>5 mM PC</t>
  </si>
  <si>
    <t>10 mM PC</t>
  </si>
  <si>
    <t>20 mM PC</t>
  </si>
  <si>
    <t>Plate layout of APPLICATION PLATE</t>
  </si>
  <si>
    <t>3 substances</t>
  </si>
  <si>
    <t>2 substances</t>
  </si>
  <si>
    <t>1 substance</t>
  </si>
  <si>
    <t>2 mL Deep-Well Plate</t>
  </si>
  <si>
    <t>Project ID</t>
  </si>
  <si>
    <t>Storage conditions</t>
  </si>
  <si>
    <t>CAS No</t>
  </si>
  <si>
    <t>internal code no</t>
  </si>
  <si>
    <t>Lot</t>
  </si>
  <si>
    <t>MW [g/mol]</t>
  </si>
  <si>
    <r>
      <rPr>
        <b/>
        <u/>
        <sz val="12"/>
        <color indexed="10"/>
        <rFont val="Arial Narrow"/>
        <family val="2"/>
      </rPr>
      <t xml:space="preserve">mg/mL
needed </t>
    </r>
    <r>
      <rPr>
        <b/>
        <sz val="9"/>
        <rFont val="Arial Narrow"/>
        <family val="2"/>
      </rPr>
      <t>for given stock conc.</t>
    </r>
  </si>
  <si>
    <r>
      <rPr>
        <b/>
        <u/>
        <sz val="12"/>
        <color indexed="10"/>
        <rFont val="Arial Narrow"/>
        <family val="2"/>
      </rPr>
      <t xml:space="preserve">mg/5 mL
needed </t>
    </r>
    <r>
      <rPr>
        <b/>
        <sz val="9"/>
        <rFont val="Arial Narrow"/>
        <family val="2"/>
      </rPr>
      <t>for given stock conc.</t>
    </r>
  </si>
  <si>
    <t>purity [%]</t>
  </si>
  <si>
    <t>Run identification:</t>
  </si>
  <si>
    <t>NC</t>
  </si>
  <si>
    <t>BC</t>
  </si>
  <si>
    <t>SC</t>
  </si>
  <si>
    <t>120 µL peptide stock</t>
  </si>
  <si>
    <t>120 µL phosphate buffer</t>
  </si>
  <si>
    <t>40 µL test-substance / PC conc.</t>
  </si>
  <si>
    <t>sample preparation</t>
  </si>
  <si>
    <t>Test substance</t>
  </si>
  <si>
    <t>40 µL resp. test-subst. conc.</t>
  </si>
  <si>
    <t>40 µL resp. PC conc.</t>
  </si>
  <si>
    <t>mBrB:</t>
  </si>
  <si>
    <t>BC:</t>
  </si>
  <si>
    <t>VC:</t>
  </si>
  <si>
    <t>SC:</t>
  </si>
  <si>
    <t>SC corrected sample 1</t>
  </si>
  <si>
    <t>SC corrected sample 3</t>
  </si>
  <si>
    <t>SC corrected sample 2</t>
  </si>
  <si>
    <t>Conc. [mM]</t>
  </si>
  <si>
    <t>BC-corr. mean</t>
  </si>
  <si>
    <t>t1</t>
  </si>
  <si>
    <t>t2</t>
  </si>
  <si>
    <t>t3</t>
  </si>
  <si>
    <t>t4</t>
  </si>
  <si>
    <t>t5</t>
  </si>
  <si>
    <t>[min]</t>
  </si>
  <si>
    <t>30 min</t>
  </si>
  <si>
    <t>24 h</t>
  </si>
  <si>
    <t>for legend:</t>
  </si>
  <si>
    <t>reaction time [min]</t>
  </si>
  <si>
    <t>mean Depletion [%] - corrected</t>
  </si>
  <si>
    <t>Project-No.:</t>
  </si>
  <si>
    <t>Test substance:</t>
  </si>
  <si>
    <t>ln(100 - dp) at concentration</t>
  </si>
  <si>
    <r>
      <t>The maximum reactivity (k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) was at:</t>
    </r>
  </si>
  <si>
    <t>90 min</t>
  </si>
  <si>
    <t>150 min</t>
  </si>
  <si>
    <t>210 min</t>
  </si>
  <si>
    <t>Conc. of highest stock solution [mM]</t>
  </si>
  <si>
    <t>Measurement Data t1</t>
  </si>
  <si>
    <t>Measurement Data t2</t>
  </si>
  <si>
    <t>Measurement Data t3</t>
  </si>
  <si>
    <t>Measurement Data t4</t>
  </si>
  <si>
    <t>Measurement Data t5</t>
  </si>
  <si>
    <t>Stock conc. [mM]</t>
  </si>
  <si>
    <t>conc. [mM]</t>
  </si>
  <si>
    <t>wells [n]</t>
  </si>
  <si>
    <t>PC / substance / vehicle per well.</t>
  </si>
  <si>
    <t>PC / substance / vehicle per well:</t>
  </si>
  <si>
    <t>Reaction time points (incubation times):</t>
  </si>
  <si>
    <t>calculation of k 
for each time point</t>
  </si>
  <si>
    <t>10 min</t>
  </si>
  <si>
    <t>t6</t>
  </si>
  <si>
    <t xml:space="preserve">=&gt; prepare at least 3 mL of 20 mM test-substance stock solution </t>
  </si>
  <si>
    <t xml:space="preserve">=&gt; prepare at least 2 mL of 20 mM PC stock solution </t>
  </si>
  <si>
    <t>Measurement Data t6</t>
  </si>
  <si>
    <t>Threshold for positivity</t>
  </si>
  <si>
    <t>For Graphs</t>
  </si>
  <si>
    <t>Total amount needed  for 6 plates:</t>
  </si>
  <si>
    <t>=&gt; in each well above ca. 300 µL are prepared / transferred</t>
  </si>
  <si>
    <t>Plate layout per reaction time point; combined measurement = 6 x = 10, 30, 90, 150, 210, 1440 min</t>
  </si>
  <si>
    <t>&gt; 240 µL</t>
  </si>
  <si>
    <t>volume [mL]</t>
  </si>
  <si>
    <t>Correction of values &lt; 1 or &gt; 99% depletion</t>
  </si>
  <si>
    <t>Threshold for positivity:</t>
  </si>
  <si>
    <t>calculation of k 
for t1 until t5</t>
  </si>
  <si>
    <t>Depletion 24h / 5mM, but linearity not met</t>
  </si>
  <si>
    <t>Depletion 24h / 5mM statistically significant:</t>
  </si>
  <si>
    <t>Rate constants if nonlinear</t>
  </si>
  <si>
    <t>Check fore non-monotonic / interrupted time-course /Reversability:</t>
  </si>
  <si>
    <t>Rate constants calculated for single depletion values</t>
  </si>
  <si>
    <t>k (s^-1 M^-1) calculated for single depletion values</t>
  </si>
  <si>
    <t>LOG Rate constants calculated for single depletion values</t>
  </si>
  <si>
    <t>Max Log k</t>
  </si>
  <si>
    <t>Average Log K</t>
  </si>
  <si>
    <t>Check for non-monotonic / interrupted time-course</t>
  </si>
  <si>
    <t>SUM</t>
  </si>
  <si>
    <t>Date of test performance:</t>
  </si>
  <si>
    <t>to:</t>
  </si>
  <si>
    <t>dp at concentration [final concentration]</t>
  </si>
  <si>
    <t>BLIND CODE No.</t>
  </si>
  <si>
    <t>For ACN-soluble substances:</t>
  </si>
  <si>
    <t>For water-soluble substances:</t>
  </si>
  <si>
    <t>80 µL peptide stock</t>
  </si>
  <si>
    <t>preparation of assay plate:</t>
  </si>
  <si>
    <t>application:</t>
  </si>
  <si>
    <r>
      <t xml:space="preserve">add </t>
    </r>
    <r>
      <rPr>
        <b/>
        <sz val="8"/>
        <rFont val="Arial"/>
        <family val="2"/>
      </rPr>
      <t>only</t>
    </r>
    <r>
      <rPr>
        <sz val="8"/>
        <rFont val="Arial"/>
        <family val="2"/>
      </rPr>
      <t xml:space="preserve"> before measurement:</t>
    </r>
  </si>
  <si>
    <t>40 µL ACN</t>
  </si>
  <si>
    <t>40 µL phosphate buffer</t>
  </si>
  <si>
    <t>80 µL phosphate buffer</t>
  </si>
  <si>
    <t>40 µL resp. test-subst. conc. dissolved in buffer</t>
  </si>
  <si>
    <t>40 µL resp. PC conc. dissolved in ACN</t>
  </si>
  <si>
    <t>SC of test substance</t>
  </si>
  <si>
    <t>SC of PC</t>
  </si>
  <si>
    <t>0.667 mM peptide stock:</t>
  </si>
  <si>
    <t>phosphate buffer:</t>
  </si>
  <si>
    <t>1 mM peptide stock:</t>
  </si>
  <si>
    <t>+ jeweils 4.1 mL für NC und PC</t>
  </si>
  <si>
    <t>Cinnamic aldehyde</t>
  </si>
  <si>
    <t>RT</t>
  </si>
  <si>
    <t>104-55-2</t>
  </si>
  <si>
    <t>MKCB9907</t>
  </si>
  <si>
    <t>ACN</t>
  </si>
  <si>
    <r>
      <t>with a log k</t>
    </r>
    <r>
      <rPr>
        <b/>
        <vertAlign val="subscript"/>
        <sz val="8"/>
        <rFont val="Arial"/>
        <family val="2"/>
      </rPr>
      <t>max</t>
    </r>
    <r>
      <rPr>
        <b/>
        <sz val="8"/>
        <rFont val="Arial"/>
        <family val="2"/>
      </rPr>
      <t>:</t>
    </r>
  </si>
  <si>
    <t>Average ratio</t>
  </si>
  <si>
    <t>t-Test</t>
  </si>
  <si>
    <t>Ttest</t>
  </si>
  <si>
    <t>Depletion not time dependent?</t>
  </si>
  <si>
    <t>Potential fluorescence quenching?</t>
  </si>
  <si>
    <t>Potential autofluorescence?</t>
  </si>
  <si>
    <t>Depletion ev. from quenching?</t>
  </si>
  <si>
    <t>Depletion ev. from autofluorescence?</t>
  </si>
  <si>
    <t>For check Time independent depletion</t>
  </si>
  <si>
    <t>NC:</t>
  </si>
  <si>
    <t>PC:</t>
  </si>
  <si>
    <t>log k (s^-1 M^-1) calculated for single depletion values</t>
  </si>
  <si>
    <t>CV [%] of NC</t>
  </si>
  <si>
    <t>Vehikel</t>
  </si>
  <si>
    <t>1.25mM 
Subst. A</t>
  </si>
  <si>
    <t>1.25mM 
Subst. B</t>
  </si>
  <si>
    <t>1.25mM 
Subst. C</t>
  </si>
  <si>
    <t>2.5mM 
Subst. A</t>
  </si>
  <si>
    <t>2.5mM 
Subst. B</t>
  </si>
  <si>
    <t>2.5mM 
Subst. C</t>
  </si>
  <si>
    <t>5mM 
Subst. A</t>
  </si>
  <si>
    <t>5mM 
Subst. B</t>
  </si>
  <si>
    <t>5mM 
Subst. C</t>
  </si>
  <si>
    <t>10mM 
Subst. A</t>
  </si>
  <si>
    <t>10mM 
Subst. B</t>
  </si>
  <si>
    <t>10mM 
Subst. C</t>
  </si>
  <si>
    <t>20mM
Subst. A</t>
  </si>
  <si>
    <t>20mM
Subst. B</t>
  </si>
  <si>
    <t>20mM
Subst. C</t>
  </si>
  <si>
    <t>Vehicle</t>
  </si>
  <si>
    <t>NC (Peptide + Vehicle)</t>
  </si>
  <si>
    <t>BC (Buffer + Vehicle)</t>
  </si>
  <si>
    <t>SC Subst. A - 0.31 mM + Buffer</t>
  </si>
  <si>
    <t>SC Subst. B - 0.31 mM + Buffer</t>
  </si>
  <si>
    <t>SC Subst. C - 0.31 mM + Buffer</t>
  </si>
  <si>
    <t>SC Subst. A - 0.63 mM + Buffer</t>
  </si>
  <si>
    <t>SC Subst. B - 0.63 mM + Buffer</t>
  </si>
  <si>
    <t>SC Subst. C - 0.63 mM + Buffer</t>
  </si>
  <si>
    <t>SC Subst. A - 1.25 mM + Buffer</t>
  </si>
  <si>
    <t>SC Subst. B - 1.25 mM + Buffer</t>
  </si>
  <si>
    <t>SC Subst. C - 1.25 mM + Buffer</t>
  </si>
  <si>
    <t>SC Subst. A - 2.5 mM + Buffer</t>
  </si>
  <si>
    <t>SC Subst. B - 2.5 mM + Buffer</t>
  </si>
  <si>
    <t>SC Subst. C - 2.5 mM + Buffer</t>
  </si>
  <si>
    <t>SC Subst. A - 5 mM + Buffer</t>
  </si>
  <si>
    <t>SC Subst. B - 5 mM + Buffer</t>
  </si>
  <si>
    <t>SC Subst. C - 5 mM + Buffer</t>
  </si>
  <si>
    <t>SC
PC 0.31 mM + Buffer</t>
  </si>
  <si>
    <t>SC
PC 0.63 mM + Buffer</t>
  </si>
  <si>
    <t>SC
PC 1.25 mM + Buffer</t>
  </si>
  <si>
    <t>SC
PC 25 mM + Buffer</t>
  </si>
  <si>
    <t>SC
PC 5 mM + Buffer</t>
  </si>
  <si>
    <t>Substance A
0.31 mM + Peptide 0.5 mM</t>
  </si>
  <si>
    <t>Substance B
0.31 mM + Peptide 0.5 mM</t>
  </si>
  <si>
    <t>Substance C
0.31 mM + Peptide 0.5 mM</t>
  </si>
  <si>
    <t>Substance A
0.63 mM + Peptide 0.5 mM</t>
  </si>
  <si>
    <t>Substance B
0.63 mM + Peptide 0.5 mM</t>
  </si>
  <si>
    <t>Substance C
0.63 mM + Peptide 0.5 mM</t>
  </si>
  <si>
    <t>Substance A
1.25 mM + Peptide 0.5 mM</t>
  </si>
  <si>
    <t>Substance B
1.25 mM + Peptide 0.5 mM</t>
  </si>
  <si>
    <t>Substance C
1.25 mM + Peptide 0.5 mM</t>
  </si>
  <si>
    <t>Substance A
2.5 mM + Peptide 0.5 mM</t>
  </si>
  <si>
    <t>Substance B
2.5 mM + Peptide 0.5 mM</t>
  </si>
  <si>
    <t>Substance C
2.5 mM + Peptide 0.5 mM</t>
  </si>
  <si>
    <t>Substance A
5 mM + Peptide 0.5 mM</t>
  </si>
  <si>
    <t>Substance B
5 mM + Peptide 0.5 mM</t>
  </si>
  <si>
    <t>Substance C
5 mM + Peptide 0.5 mM</t>
  </si>
  <si>
    <t>0.31 mM PC + Peptide 0.5 mM</t>
  </si>
  <si>
    <t>0.63 mM PC + Peptide 0.5 mM</t>
  </si>
  <si>
    <t>1.25 mM PC + Peptide 0.5 mM</t>
  </si>
  <si>
    <t>2.5 mM PC + Peptide 0.5 mM</t>
  </si>
  <si>
    <t>5 mM PC + Peptide 0.5 mM</t>
  </si>
  <si>
    <t>NC (Peptide + ACN)</t>
  </si>
  <si>
    <t>BC (Buffer + ACN)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</si>
</sst>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0"/>
    <numFmt numFmtId="165" formatCode="0.000"/>
    <numFmt numFmtId="166" formatCode="0.0"/>
    <numFmt numFmtId="167" formatCode="0.00000"/>
    <numFmt numFmtId="168" formatCode="0.0000"/>
    <numFmt numFmtId="169" formatCode="0.0%"/>
    <numFmt numFmtId="170" formatCode="0.000000"/>
  </numFmts>
  <fonts count="26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u/>
      <sz val="12"/>
      <color indexed="10"/>
      <name val="Arial Narrow"/>
      <family val="2"/>
    </font>
    <font>
      <b/>
      <sz val="8"/>
      <color rgb="FF000000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sz val="8"/>
      <color rgb="FF00B05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8"/>
      <color theme="0" tint="-0.14999847407452621"/>
      <name val="Arial"/>
      <family val="2"/>
    </font>
    <font>
      <sz val="8"/>
      <color theme="0"/>
      <name val="Arial"/>
      <family val="2"/>
    </font>
    <font>
      <b/>
      <sz val="8"/>
      <color theme="0" tint="-0.1499984740745262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7" tint="0.59999389629810485"/>
      </patternFill>
    </fill>
    <fill>
      <patternFill patternType="gray0625">
        <bgColor theme="5" tint="0.59999389629810485"/>
      </patternFill>
    </fill>
    <fill>
      <patternFill patternType="gray0625">
        <bgColor rgb="FFFF9B9B"/>
      </patternFill>
    </fill>
    <fill>
      <patternFill patternType="gray0625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gray0625">
        <bgColor theme="0" tint="-4.9989318521683403E-2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rgb="FFD7E4BD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BAD7E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444">
    <xf numFmtId="0" fontId="0" fillId="0" borderId="0" xfId="0"/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Border="1"/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/>
    <xf numFmtId="0" fontId="3" fillId="0" borderId="0" xfId="0" applyFont="1" applyFill="1" applyBorder="1" applyAlignment="1">
      <alignment horizontal="center" vertical="center" wrapText="1" readingOrder="1"/>
    </xf>
    <xf numFmtId="166" fontId="0" fillId="7" borderId="1" xfId="0" applyNumberForma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166" fontId="0" fillId="7" borderId="1" xfId="0" applyNumberFormat="1" applyFill="1" applyBorder="1" applyAlignment="1">
      <alignment horizontal="center" vertical="center"/>
    </xf>
    <xf numFmtId="166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8" borderId="1" xfId="0" applyNumberForma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1" fillId="12" borderId="1" xfId="0" applyNumberFormat="1" applyFont="1" applyFill="1" applyBorder="1" applyAlignment="1">
      <alignment horizontal="center" vertical="center" wrapText="1"/>
    </xf>
    <xf numFmtId="166" fontId="0" fillId="12" borderId="1" xfId="0" applyNumberFormat="1" applyFill="1" applyBorder="1" applyAlignment="1">
      <alignment horizontal="center" vertical="center"/>
    </xf>
    <xf numFmtId="166" fontId="2" fillId="12" borderId="1" xfId="0" applyNumberFormat="1" applyFont="1" applyFill="1" applyBorder="1" applyAlignment="1">
      <alignment horizontal="center" vertical="center"/>
    </xf>
    <xf numFmtId="166" fontId="1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/>
    </xf>
    <xf numFmtId="166" fontId="0" fillId="9" borderId="1" xfId="0" applyNumberFormat="1" applyFill="1" applyBorder="1" applyAlignment="1">
      <alignment horizontal="center"/>
    </xf>
    <xf numFmtId="0" fontId="9" fillId="0" borderId="0" xfId="0" applyFont="1"/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9" borderId="15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/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69" fontId="7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center" vertical="center" wrapText="1" readingOrder="1"/>
    </xf>
    <xf numFmtId="0" fontId="4" fillId="0" borderId="24" xfId="0" applyFont="1" applyFill="1" applyBorder="1" applyAlignment="1">
      <alignment horizontal="center" vertical="center" wrapText="1" readingOrder="1"/>
    </xf>
    <xf numFmtId="0" fontId="4" fillId="9" borderId="25" xfId="0" applyFont="1" applyFill="1" applyBorder="1" applyAlignment="1">
      <alignment horizontal="center" vertical="center" wrapText="1" readingOrder="1"/>
    </xf>
    <xf numFmtId="0" fontId="0" fillId="0" borderId="27" xfId="0" applyBorder="1"/>
    <xf numFmtId="0" fontId="20" fillId="3" borderId="28" xfId="0" applyFont="1" applyFill="1" applyBorder="1" applyAlignment="1">
      <alignment horizontal="center" vertical="center" wrapText="1" readingOrder="1"/>
    </xf>
    <xf numFmtId="0" fontId="6" fillId="0" borderId="28" xfId="0" applyFont="1" applyFill="1" applyBorder="1" applyAlignment="1">
      <alignment horizontal="center" wrapText="1"/>
    </xf>
    <xf numFmtId="0" fontId="20" fillId="9" borderId="29" xfId="0" applyFont="1" applyFill="1" applyBorder="1" applyAlignment="1">
      <alignment horizontal="center" vertical="center" wrapText="1" readingOrder="1"/>
    </xf>
    <xf numFmtId="0" fontId="20" fillId="0" borderId="30" xfId="0" applyFont="1" applyFill="1" applyBorder="1" applyAlignment="1">
      <alignment horizontal="center" vertical="center" wrapText="1" readingOrder="1"/>
    </xf>
    <xf numFmtId="2" fontId="2" fillId="0" borderId="1" xfId="0" applyNumberFormat="1" applyFont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 wrapText="1" readingOrder="1"/>
    </xf>
    <xf numFmtId="0" fontId="4" fillId="17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7" fillId="0" borderId="0" xfId="0" quotePrefix="1" applyFont="1" applyFill="1"/>
    <xf numFmtId="0" fontId="7" fillId="0" borderId="0" xfId="0" applyFont="1" applyAlignment="1">
      <alignment horizontal="left"/>
    </xf>
    <xf numFmtId="0" fontId="4" fillId="18" borderId="26" xfId="0" applyFont="1" applyFill="1" applyBorder="1" applyAlignment="1">
      <alignment horizontal="center" vertical="center" wrapText="1" readingOrder="1"/>
    </xf>
    <xf numFmtId="0" fontId="4" fillId="19" borderId="24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66" fontId="5" fillId="10" borderId="14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7" borderId="3" xfId="0" applyFont="1" applyFill="1" applyBorder="1" applyAlignment="1" applyProtection="1">
      <alignment horizontal="center" vertical="center" wrapText="1" readingOrder="1"/>
      <protection locked="0"/>
    </xf>
    <xf numFmtId="0" fontId="4" fillId="7" borderId="1" xfId="0" applyFont="1" applyFill="1" applyBorder="1" applyAlignment="1" applyProtection="1">
      <alignment horizontal="center" vertical="center" wrapText="1" readingOrder="1"/>
      <protection locked="0"/>
    </xf>
    <xf numFmtId="0" fontId="4" fillId="6" borderId="1" xfId="0" applyFont="1" applyFill="1" applyBorder="1" applyAlignment="1" applyProtection="1">
      <alignment horizontal="center" vertical="center" wrapText="1" readingOrder="1"/>
      <protection locked="0"/>
    </xf>
    <xf numFmtId="0" fontId="4" fillId="8" borderId="1" xfId="0" applyFont="1" applyFill="1" applyBorder="1" applyAlignment="1" applyProtection="1">
      <alignment horizontal="center" vertical="center" wrapText="1" readingOrder="1"/>
      <protection locked="0"/>
    </xf>
    <xf numFmtId="0" fontId="4" fillId="8" borderId="4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quotePrefix="1" applyProtection="1">
      <protection locked="0"/>
    </xf>
    <xf numFmtId="0" fontId="4" fillId="7" borderId="2" xfId="0" applyFont="1" applyFill="1" applyBorder="1" applyAlignment="1" applyProtection="1">
      <alignment horizontal="center" vertical="center" wrapText="1" readingOrder="1"/>
      <protection locked="0"/>
    </xf>
    <xf numFmtId="0" fontId="4" fillId="7" borderId="16" xfId="0" applyFont="1" applyFill="1" applyBorder="1" applyAlignment="1" applyProtection="1">
      <alignment horizontal="center" vertical="center" wrapText="1" readingOrder="1"/>
      <protection locked="0"/>
    </xf>
    <xf numFmtId="0" fontId="4" fillId="7" borderId="6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 readingOrder="1"/>
      <protection locked="0"/>
    </xf>
    <xf numFmtId="0" fontId="14" fillId="6" borderId="1" xfId="0" applyFont="1" applyFill="1" applyBorder="1" applyAlignment="1" applyProtection="1">
      <alignment horizontal="center" vertical="center" wrapText="1" readingOrder="1"/>
      <protection locked="0"/>
    </xf>
    <xf numFmtId="0" fontId="14" fillId="8" borderId="1" xfId="0" applyFont="1" applyFill="1" applyBorder="1" applyAlignment="1" applyProtection="1">
      <alignment horizontal="center" vertical="center" wrapText="1" readingOrder="1"/>
      <protection locked="0"/>
    </xf>
    <xf numFmtId="0" fontId="14" fillId="9" borderId="1" xfId="0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wrapText="1" readingOrder="1"/>
      <protection locked="0"/>
    </xf>
    <xf numFmtId="0" fontId="4" fillId="6" borderId="3" xfId="0" applyFont="1" applyFill="1" applyBorder="1" applyAlignment="1" applyProtection="1">
      <alignment horizontal="center" vertical="center" wrapText="1" readingOrder="1"/>
      <protection locked="0"/>
    </xf>
    <xf numFmtId="0" fontId="4" fillId="6" borderId="4" xfId="0" applyFont="1" applyFill="1" applyBorder="1" applyAlignment="1" applyProtection="1">
      <alignment horizontal="center" vertical="center" wrapText="1" readingOrder="1"/>
      <protection locked="0"/>
    </xf>
    <xf numFmtId="0" fontId="4" fillId="6" borderId="6" xfId="0" applyFont="1" applyFill="1" applyBorder="1" applyAlignment="1" applyProtection="1">
      <alignment horizontal="center" vertical="center" wrapText="1" readingOrder="1"/>
      <protection locked="0"/>
    </xf>
    <xf numFmtId="0" fontId="4" fillId="8" borderId="2" xfId="0" applyFont="1" applyFill="1" applyBorder="1" applyAlignment="1" applyProtection="1">
      <alignment horizontal="center" vertical="center" wrapText="1" readingOrder="1"/>
      <protection locked="0"/>
    </xf>
    <xf numFmtId="0" fontId="4" fillId="8" borderId="3" xfId="0" applyFont="1" applyFill="1" applyBorder="1" applyAlignment="1" applyProtection="1">
      <alignment horizontal="center" vertical="center" wrapText="1" readingOrder="1"/>
      <protection locked="0"/>
    </xf>
    <xf numFmtId="0" fontId="4" fillId="8" borderId="6" xfId="0" applyFont="1" applyFill="1" applyBorder="1" applyAlignment="1" applyProtection="1">
      <alignment horizontal="center" vertical="center" wrapText="1" readingOrder="1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 wrapText="1"/>
    </xf>
    <xf numFmtId="166" fontId="0" fillId="0" borderId="16" xfId="0" applyNumberFormat="1" applyFill="1" applyBorder="1" applyAlignment="1" applyProtection="1">
      <alignment horizontal="center" vertical="center" wrapText="1"/>
    </xf>
    <xf numFmtId="166" fontId="0" fillId="0" borderId="9" xfId="0" applyNumberFormat="1" applyFill="1" applyBorder="1" applyAlignment="1" applyProtection="1">
      <alignment horizontal="center" vertical="center" wrapText="1"/>
    </xf>
    <xf numFmtId="166" fontId="2" fillId="0" borderId="3" xfId="0" applyNumberFormat="1" applyFon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66" fontId="0" fillId="0" borderId="2" xfId="0" applyNumberFormat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</xf>
    <xf numFmtId="166" fontId="0" fillId="0" borderId="6" xfId="0" applyNumberForma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horizontal="left"/>
    </xf>
    <xf numFmtId="0" fontId="4" fillId="6" borderId="2" xfId="0" applyFont="1" applyFill="1" applyBorder="1" applyAlignment="1" applyProtection="1">
      <alignment horizontal="center" vertical="center" wrapText="1" readingOrder="1"/>
    </xf>
    <xf numFmtId="0" fontId="4" fillId="6" borderId="3" xfId="0" applyFont="1" applyFill="1" applyBorder="1" applyAlignment="1" applyProtection="1">
      <alignment horizontal="center" vertical="center" wrapText="1" readingOrder="1"/>
    </xf>
    <xf numFmtId="0" fontId="4" fillId="8" borderId="2" xfId="0" applyFont="1" applyFill="1" applyBorder="1" applyAlignment="1" applyProtection="1">
      <alignment horizontal="center" vertical="center" wrapText="1" readingOrder="1"/>
    </xf>
    <xf numFmtId="0" fontId="4" fillId="8" borderId="3" xfId="0" applyFont="1" applyFill="1" applyBorder="1" applyAlignment="1" applyProtection="1">
      <alignment horizontal="center" vertical="center" wrapText="1" readingOrder="1"/>
    </xf>
    <xf numFmtId="0" fontId="19" fillId="0" borderId="0" xfId="0" applyFont="1" applyBorder="1" applyProtection="1"/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166" fontId="1" fillId="0" borderId="0" xfId="1" applyNumberForma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" fillId="0" borderId="0" xfId="1" quotePrefix="1" applyFont="1" applyProtection="1">
      <protection locked="0"/>
    </xf>
    <xf numFmtId="0" fontId="1" fillId="0" borderId="0" xfId="1" applyFont="1" applyAlignment="1" applyProtection="1">
      <alignment horizontal="center" vertical="center"/>
      <protection locked="0"/>
    </xf>
    <xf numFmtId="166" fontId="2" fillId="0" borderId="0" xfId="1" applyNumberFormat="1" applyFont="1" applyAlignment="1" applyProtection="1">
      <alignment horizontal="left" vertical="center"/>
    </xf>
    <xf numFmtId="166" fontId="1" fillId="0" borderId="1" xfId="1" quotePrefix="1" applyNumberFormat="1" applyFont="1" applyBorder="1" applyAlignment="1" applyProtection="1">
      <alignment horizontal="center" vertical="center"/>
    </xf>
    <xf numFmtId="2" fontId="1" fillId="0" borderId="1" xfId="1" quotePrefix="1" applyNumberFormat="1" applyFont="1" applyBorder="1" applyAlignment="1" applyProtection="1">
      <alignment horizontal="center" vertical="center"/>
    </xf>
    <xf numFmtId="165" fontId="1" fillId="0" borderId="1" xfId="1" quotePrefix="1" applyNumberFormat="1" applyFont="1" applyBorder="1" applyAlignment="1" applyProtection="1">
      <alignment horizontal="center" vertical="center"/>
    </xf>
    <xf numFmtId="168" fontId="1" fillId="0" borderId="1" xfId="1" quotePrefix="1" applyNumberFormat="1" applyFont="1" applyBorder="1" applyAlignment="1" applyProtection="1">
      <alignment horizontal="center" vertical="center"/>
    </xf>
    <xf numFmtId="2" fontId="1" fillId="0" borderId="1" xfId="1" applyNumberForma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168" fontId="1" fillId="0" borderId="1" xfId="1" applyNumberFormat="1" applyFill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170" fontId="1" fillId="0" borderId="5" xfId="1" applyNumberFormat="1" applyFill="1" applyBorder="1" applyAlignment="1" applyProtection="1">
      <alignment horizontal="center" vertical="center"/>
    </xf>
    <xf numFmtId="170" fontId="1" fillId="0" borderId="5" xfId="1" applyNumberFormat="1" applyBorder="1" applyAlignment="1" applyProtection="1">
      <alignment horizontal="center" vertical="center"/>
    </xf>
    <xf numFmtId="170" fontId="1" fillId="5" borderId="8" xfId="1" applyNumberFormat="1" applyFill="1" applyBorder="1" applyAlignment="1" applyProtection="1">
      <alignment horizontal="center" vertical="center"/>
    </xf>
    <xf numFmtId="166" fontId="1" fillId="0" borderId="34" xfId="1" applyNumberFormat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35" xfId="1" applyBorder="1" applyAlignment="1" applyProtection="1">
      <alignment horizontal="center" vertical="center"/>
    </xf>
    <xf numFmtId="0" fontId="1" fillId="0" borderId="35" xfId="1" applyBorder="1" applyProtection="1"/>
    <xf numFmtId="0" fontId="2" fillId="0" borderId="36" xfId="1" applyFont="1" applyBorder="1" applyProtection="1"/>
    <xf numFmtId="0" fontId="1" fillId="0" borderId="37" xfId="1" applyBorder="1" applyAlignment="1" applyProtection="1">
      <alignment horizontal="center" vertical="center"/>
    </xf>
    <xf numFmtId="167" fontId="1" fillId="4" borderId="1" xfId="1" applyNumberFormat="1" applyFill="1" applyBorder="1" applyAlignment="1" applyProtection="1">
      <alignment horizontal="center" vertical="center"/>
    </xf>
    <xf numFmtId="168" fontId="1" fillId="0" borderId="1" xfId="1" applyNumberFormat="1" applyBorder="1" applyAlignment="1" applyProtection="1">
      <alignment horizontal="center" vertical="center"/>
    </xf>
    <xf numFmtId="0" fontId="2" fillId="0" borderId="33" xfId="1" applyFont="1" applyBorder="1" applyProtection="1"/>
    <xf numFmtId="0" fontId="1" fillId="0" borderId="11" xfId="1" applyBorder="1" applyAlignment="1" applyProtection="1">
      <alignment horizontal="center" vertical="center"/>
    </xf>
    <xf numFmtId="167" fontId="1" fillId="5" borderId="1" xfId="1" applyNumberFormat="1" applyFill="1" applyBorder="1" applyAlignment="1" applyProtection="1">
      <alignment horizontal="center" vertical="center"/>
    </xf>
    <xf numFmtId="0" fontId="1" fillId="0" borderId="10" xfId="1" applyBorder="1" applyProtection="1"/>
    <xf numFmtId="2" fontId="2" fillId="0" borderId="15" xfId="1" applyNumberFormat="1" applyFont="1" applyBorder="1" applyAlignment="1" applyProtection="1">
      <alignment horizontal="center"/>
    </xf>
    <xf numFmtId="0" fontId="1" fillId="0" borderId="34" xfId="1" applyBorder="1" applyAlignment="1" applyProtection="1">
      <alignment horizontal="center" vertical="center"/>
    </xf>
    <xf numFmtId="167" fontId="1" fillId="0" borderId="35" xfId="1" applyNumberFormat="1" applyBorder="1" applyProtection="1"/>
    <xf numFmtId="168" fontId="1" fillId="0" borderId="10" xfId="1" applyNumberFormat="1" applyBorder="1" applyProtection="1"/>
    <xf numFmtId="168" fontId="1" fillId="0" borderId="35" xfId="1" applyNumberFormat="1" applyBorder="1" applyProtection="1"/>
    <xf numFmtId="0" fontId="1" fillId="0" borderId="34" xfId="1" applyBorder="1" applyProtection="1"/>
    <xf numFmtId="0" fontId="1" fillId="0" borderId="8" xfId="1" applyBorder="1" applyAlignment="1" applyProtection="1">
      <alignment horizontal="center" vertical="center"/>
    </xf>
    <xf numFmtId="0" fontId="1" fillId="0" borderId="0" xfId="1" applyProtection="1"/>
    <xf numFmtId="170" fontId="1" fillId="0" borderId="0" xfId="1" applyNumberFormat="1" applyProtection="1">
      <protection locked="0"/>
    </xf>
    <xf numFmtId="166" fontId="21" fillId="0" borderId="1" xfId="1" quotePrefix="1" applyNumberFormat="1" applyFont="1" applyBorder="1" applyAlignment="1" applyProtection="1">
      <alignment horizontal="center" vertical="center"/>
    </xf>
    <xf numFmtId="2" fontId="21" fillId="0" borderId="1" xfId="1" quotePrefix="1" applyNumberFormat="1" applyFont="1" applyBorder="1" applyAlignment="1" applyProtection="1">
      <alignment horizontal="center" vertical="center"/>
    </xf>
    <xf numFmtId="165" fontId="21" fillId="0" borderId="1" xfId="1" quotePrefix="1" applyNumberFormat="1" applyFont="1" applyBorder="1" applyAlignment="1" applyProtection="1">
      <alignment horizontal="center" vertical="center"/>
    </xf>
    <xf numFmtId="168" fontId="21" fillId="0" borderId="1" xfId="1" quotePrefix="1" applyNumberFormat="1" applyFont="1" applyBorder="1" applyAlignment="1" applyProtection="1">
      <alignment horizontal="center" vertical="center"/>
    </xf>
    <xf numFmtId="0" fontId="21" fillId="0" borderId="2" xfId="1" applyFont="1" applyBorder="1" applyAlignment="1" applyProtection="1">
      <alignment horizontal="center" vertical="center"/>
    </xf>
    <xf numFmtId="2" fontId="21" fillId="0" borderId="1" xfId="1" applyNumberFormat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3" fontId="0" fillId="0" borderId="1" xfId="0" applyNumberForma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 readingOrder="1"/>
    </xf>
    <xf numFmtId="3" fontId="1" fillId="0" borderId="8" xfId="0" applyNumberFormat="1" applyFon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3" fontId="19" fillId="0" borderId="0" xfId="0" applyNumberFormat="1" applyFont="1" applyBorder="1" applyProtection="1"/>
    <xf numFmtId="3" fontId="0" fillId="0" borderId="0" xfId="0" applyNumberFormat="1" applyBorder="1" applyAlignment="1" applyProtection="1">
      <alignment horizontal="center" vertical="center" wrapText="1"/>
      <protection locked="0"/>
    </xf>
    <xf numFmtId="0" fontId="1" fillId="0" borderId="11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37" xfId="1" applyBorder="1" applyProtection="1">
      <protection locked="0"/>
    </xf>
    <xf numFmtId="166" fontId="1" fillId="0" borderId="0" xfId="1" applyNumberFormat="1" applyBorder="1" applyAlignment="1" applyProtection="1">
      <alignment horizontal="center" vertical="center"/>
      <protection locked="0"/>
    </xf>
    <xf numFmtId="0" fontId="1" fillId="0" borderId="10" xfId="1" applyBorder="1" applyProtection="1">
      <protection locked="0"/>
    </xf>
    <xf numFmtId="2" fontId="23" fillId="0" borderId="1" xfId="1" quotePrefix="1" applyNumberFormat="1" applyFont="1" applyBorder="1" applyAlignment="1" applyProtection="1">
      <alignment horizontal="center" vertical="center"/>
    </xf>
    <xf numFmtId="14" fontId="5" fillId="2" borderId="0" xfId="0" applyNumberFormat="1" applyFont="1" applyFill="1" applyProtection="1"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 readingOrder="1"/>
    </xf>
    <xf numFmtId="0" fontId="4" fillId="3" borderId="1" xfId="0" applyFont="1" applyFill="1" applyBorder="1" applyAlignment="1" applyProtection="1">
      <alignment horizontal="center" vertical="center" wrapText="1" readingOrder="1"/>
    </xf>
    <xf numFmtId="0" fontId="0" fillId="0" borderId="0" xfId="0" applyBorder="1" applyProtection="1"/>
    <xf numFmtId="0" fontId="4" fillId="7" borderId="2" xfId="0" applyFont="1" applyFill="1" applyBorder="1" applyAlignment="1" applyProtection="1">
      <alignment horizontal="center" vertical="center" wrapText="1" readingOrder="1"/>
    </xf>
    <xf numFmtId="0" fontId="4" fillId="7" borderId="16" xfId="0" applyFont="1" applyFill="1" applyBorder="1" applyAlignment="1" applyProtection="1">
      <alignment horizontal="center" vertical="center" wrapText="1" readingOrder="1"/>
    </xf>
    <xf numFmtId="0" fontId="4" fillId="7" borderId="1" xfId="0" applyFont="1" applyFill="1" applyBorder="1" applyAlignment="1" applyProtection="1">
      <alignment horizontal="center" vertical="center" wrapText="1" readingOrder="1"/>
    </xf>
    <xf numFmtId="0" fontId="4" fillId="7" borderId="6" xfId="0" applyFont="1" applyFill="1" applyBorder="1" applyAlignment="1" applyProtection="1">
      <alignment horizontal="center" vertical="center" wrapText="1" readingOrder="1"/>
    </xf>
    <xf numFmtId="0" fontId="4" fillId="7" borderId="3" xfId="0" applyFont="1" applyFill="1" applyBorder="1" applyAlignment="1" applyProtection="1">
      <alignment horizontal="center" vertical="center" wrapText="1" readingOrder="1"/>
    </xf>
    <xf numFmtId="1" fontId="0" fillId="0" borderId="0" xfId="0" applyNumberFormat="1" applyBorder="1" applyAlignment="1" applyProtection="1">
      <alignment horizontal="center" vertical="center"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 readingOrder="1"/>
    </xf>
    <xf numFmtId="0" fontId="4" fillId="6" borderId="4" xfId="0" applyFont="1" applyFill="1" applyBorder="1" applyAlignment="1" applyProtection="1">
      <alignment horizontal="center" vertical="center" wrapText="1" readingOrder="1"/>
    </xf>
    <xf numFmtId="0" fontId="4" fillId="6" borderId="6" xfId="0" applyFont="1" applyFill="1" applyBorder="1" applyAlignment="1" applyProtection="1">
      <alignment horizontal="center" vertical="center" wrapText="1" readingOrder="1"/>
    </xf>
    <xf numFmtId="0" fontId="4" fillId="8" borderId="1" xfId="0" applyFont="1" applyFill="1" applyBorder="1" applyAlignment="1" applyProtection="1">
      <alignment horizontal="center" vertical="center" wrapText="1" readingOrder="1"/>
    </xf>
    <xf numFmtId="0" fontId="4" fillId="8" borderId="4" xfId="0" applyFont="1" applyFill="1" applyBorder="1" applyAlignment="1" applyProtection="1">
      <alignment horizontal="center" vertical="center" wrapText="1" readingOrder="1"/>
    </xf>
    <xf numFmtId="0" fontId="4" fillId="8" borderId="6" xfId="0" applyFont="1" applyFill="1" applyBorder="1" applyAlignment="1" applyProtection="1">
      <alignment horizontal="center" vertical="center" wrapText="1" readingOrder="1"/>
    </xf>
    <xf numFmtId="165" fontId="0" fillId="0" borderId="0" xfId="0" applyNumberFormat="1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 wrapText="1" readingOrder="1"/>
    </xf>
    <xf numFmtId="0" fontId="1" fillId="0" borderId="0" xfId="0" applyFont="1" applyProtection="1">
      <protection locked="0"/>
    </xf>
    <xf numFmtId="166" fontId="2" fillId="0" borderId="0" xfId="1" applyNumberFormat="1" applyFont="1" applyAlignment="1" applyProtection="1">
      <alignment horizontal="left" vertical="center"/>
      <protection locked="0"/>
    </xf>
    <xf numFmtId="0" fontId="1" fillId="0" borderId="34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0" fillId="0" borderId="33" xfId="0" applyBorder="1" applyProtection="1">
      <protection locked="0"/>
    </xf>
    <xf numFmtId="0" fontId="2" fillId="0" borderId="0" xfId="1" applyFont="1" applyAlignment="1" applyProtection="1">
      <alignment horizontal="right" vertical="center"/>
    </xf>
    <xf numFmtId="166" fontId="1" fillId="0" borderId="0" xfId="1" applyNumberForma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2" fontId="1" fillId="0" borderId="1" xfId="1" applyNumberFormat="1" applyBorder="1" applyAlignment="1" applyProtection="1">
      <alignment horizontal="center"/>
    </xf>
    <xf numFmtId="0" fontId="1" fillId="0" borderId="1" xfId="1" applyBorder="1" applyAlignment="1" applyProtection="1">
      <alignment horizontal="center"/>
    </xf>
    <xf numFmtId="2" fontId="1" fillId="2" borderId="1" xfId="1" applyNumberFormat="1" applyFill="1" applyBorder="1" applyAlignment="1" applyProtection="1">
      <alignment horizontal="center"/>
    </xf>
    <xf numFmtId="0" fontId="22" fillId="0" borderId="0" xfId="1" applyFont="1" applyProtection="1"/>
    <xf numFmtId="0" fontId="21" fillId="0" borderId="0" xfId="1" applyFont="1" applyAlignment="1" applyProtection="1">
      <alignment horizontal="center" vertical="center"/>
    </xf>
    <xf numFmtId="0" fontId="21" fillId="0" borderId="0" xfId="1" applyFont="1" applyProtection="1"/>
    <xf numFmtId="2" fontId="1" fillId="0" borderId="0" xfId="1" applyNumberFormat="1" applyProtection="1"/>
    <xf numFmtId="0" fontId="1" fillId="0" borderId="1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0" fillId="0" borderId="9" xfId="0" applyBorder="1" applyProtection="1"/>
    <xf numFmtId="0" fontId="2" fillId="0" borderId="6" xfId="1" applyFont="1" applyBorder="1" applyAlignment="1" applyProtection="1">
      <alignment horizontal="center"/>
    </xf>
    <xf numFmtId="0" fontId="0" fillId="0" borderId="30" xfId="0" applyBorder="1"/>
    <xf numFmtId="0" fontId="1" fillId="0" borderId="47" xfId="0" applyFont="1" applyFill="1" applyBorder="1" applyAlignment="1">
      <alignment horizontal="center" vertical="center" wrapText="1"/>
    </xf>
    <xf numFmtId="0" fontId="20" fillId="9" borderId="30" xfId="0" applyFont="1" applyFill="1" applyBorder="1" applyAlignment="1">
      <alignment horizontal="center" vertical="center" wrapText="1" readingOrder="1"/>
    </xf>
    <xf numFmtId="0" fontId="4" fillId="15" borderId="26" xfId="0" applyFont="1" applyFill="1" applyBorder="1" applyAlignment="1">
      <alignment horizontal="center" vertical="center" wrapText="1" readingOrder="1"/>
    </xf>
    <xf numFmtId="0" fontId="4" fillId="9" borderId="19" xfId="0" applyFont="1" applyFill="1" applyBorder="1" applyAlignment="1">
      <alignment horizontal="center" vertical="center" wrapText="1" readingOrder="1"/>
    </xf>
    <xf numFmtId="0" fontId="4" fillId="18" borderId="50" xfId="0" applyFont="1" applyFill="1" applyBorder="1" applyAlignment="1">
      <alignment horizontal="center" vertical="center" wrapText="1" readingOrder="1"/>
    </xf>
    <xf numFmtId="0" fontId="20" fillId="9" borderId="28" xfId="0" applyFont="1" applyFill="1" applyBorder="1" applyAlignment="1">
      <alignment horizontal="center" vertical="center" wrapText="1" readingOrder="1"/>
    </xf>
    <xf numFmtId="0" fontId="4" fillId="15" borderId="24" xfId="0" applyFont="1" applyFill="1" applyBorder="1" applyAlignment="1">
      <alignment horizontal="center" vertical="center" wrapText="1" readingOrder="1"/>
    </xf>
    <xf numFmtId="0" fontId="4" fillId="9" borderId="10" xfId="0" applyFont="1" applyFill="1" applyBorder="1" applyAlignment="1">
      <alignment horizontal="center" vertical="center" wrapText="1" readingOrder="1"/>
    </xf>
    <xf numFmtId="0" fontId="4" fillId="22" borderId="47" xfId="0" applyFont="1" applyFill="1" applyBorder="1" applyAlignment="1">
      <alignment horizontal="center" vertical="center" wrapText="1" readingOrder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 readingOrder="1"/>
    </xf>
    <xf numFmtId="0" fontId="4" fillId="19" borderId="50" xfId="0" applyFont="1" applyFill="1" applyBorder="1" applyAlignment="1">
      <alignment horizontal="center" vertical="center" wrapText="1" readingOrder="1"/>
    </xf>
    <xf numFmtId="0" fontId="4" fillId="0" borderId="50" xfId="0" applyFont="1" applyFill="1" applyBorder="1" applyAlignment="1">
      <alignment horizontal="center" vertical="center" wrapText="1" readingOrder="1"/>
    </xf>
    <xf numFmtId="0" fontId="4" fillId="9" borderId="50" xfId="0" applyFont="1" applyFill="1" applyBorder="1" applyAlignment="1">
      <alignment horizontal="center" vertical="center" wrapText="1" readingOrder="1"/>
    </xf>
    <xf numFmtId="0" fontId="4" fillId="15" borderId="56" xfId="0" applyFont="1" applyFill="1" applyBorder="1" applyAlignment="1">
      <alignment horizontal="center" vertical="center" wrapText="1" readingOrder="1"/>
    </xf>
    <xf numFmtId="0" fontId="7" fillId="0" borderId="0" xfId="0" quotePrefix="1" applyFont="1"/>
    <xf numFmtId="0" fontId="1" fillId="0" borderId="1" xfId="1" applyBorder="1" applyAlignment="1" applyProtection="1">
      <alignment horizontal="center" vertical="center"/>
    </xf>
    <xf numFmtId="0" fontId="1" fillId="0" borderId="3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1" applyBorder="1" applyAlignment="1" applyProtection="1">
      <alignment horizontal="right"/>
      <protection locked="0"/>
    </xf>
    <xf numFmtId="0" fontId="1" fillId="0" borderId="0" xfId="1" applyFont="1" applyBorder="1" applyAlignment="1" applyProtection="1">
      <alignment horizontal="center" wrapText="1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Protection="1">
      <protection locked="0"/>
    </xf>
    <xf numFmtId="0" fontId="14" fillId="7" borderId="0" xfId="0" applyFont="1" applyFill="1" applyBorder="1" applyAlignment="1">
      <alignment horizontal="center" vertical="center" wrapText="1" readingOrder="1"/>
    </xf>
    <xf numFmtId="0" fontId="14" fillId="12" borderId="0" xfId="0" applyFont="1" applyFill="1" applyBorder="1" applyAlignment="1">
      <alignment horizontal="center" vertical="center" wrapText="1" readingOrder="1"/>
    </xf>
    <xf numFmtId="0" fontId="14" fillId="8" borderId="0" xfId="0" applyFont="1" applyFill="1" applyBorder="1" applyAlignment="1">
      <alignment horizontal="center" vertical="center" wrapText="1" readingOrder="1"/>
    </xf>
    <xf numFmtId="0" fontId="14" fillId="7" borderId="10" xfId="0" applyFont="1" applyFill="1" applyBorder="1" applyAlignment="1">
      <alignment horizontal="center" vertical="center" wrapText="1" readingOrder="1"/>
    </xf>
    <xf numFmtId="0" fontId="14" fillId="12" borderId="10" xfId="0" applyFont="1" applyFill="1" applyBorder="1" applyAlignment="1">
      <alignment horizontal="center" vertical="center" wrapText="1" readingOrder="1"/>
    </xf>
    <xf numFmtId="0" fontId="1" fillId="0" borderId="1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1" fillId="0" borderId="1" xfId="1" applyBorder="1" applyAlignment="1" applyProtection="1">
      <alignment horizontal="right" wrapText="1"/>
      <protection locked="0"/>
    </xf>
    <xf numFmtId="0" fontId="1" fillId="0" borderId="1" xfId="1" applyFill="1" applyBorder="1" applyProtection="1"/>
    <xf numFmtId="0" fontId="2" fillId="0" borderId="1" xfId="1" applyFont="1" applyBorder="1" applyAlignment="1" applyProtection="1">
      <protection locked="0"/>
    </xf>
    <xf numFmtId="2" fontId="2" fillId="20" borderId="1" xfId="1" applyNumberFormat="1" applyFont="1" applyFill="1" applyBorder="1" applyProtection="1"/>
    <xf numFmtId="166" fontId="1" fillId="0" borderId="2" xfId="1" applyNumberFormat="1" applyBorder="1" applyAlignment="1" applyProtection="1">
      <alignment horizontal="left" vertical="center"/>
      <protection locked="0"/>
    </xf>
    <xf numFmtId="166" fontId="1" fillId="0" borderId="2" xfId="1" applyNumberForma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2" fontId="0" fillId="12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/>
    </xf>
    <xf numFmtId="0" fontId="1" fillId="0" borderId="8" xfId="1" applyBorder="1" applyAlignment="1" applyProtection="1">
      <alignment horizontal="center" vertical="center"/>
    </xf>
    <xf numFmtId="0" fontId="22" fillId="0" borderId="0" xfId="1" applyFont="1" applyProtection="1">
      <protection locked="0"/>
    </xf>
    <xf numFmtId="0" fontId="22" fillId="0" borderId="0" xfId="1" applyFont="1" applyAlignment="1" applyProtection="1">
      <alignment horizontal="center" vertical="center"/>
    </xf>
    <xf numFmtId="166" fontId="22" fillId="0" borderId="1" xfId="1" quotePrefix="1" applyNumberFormat="1" applyFont="1" applyBorder="1" applyAlignment="1" applyProtection="1">
      <alignment horizontal="center" vertical="center"/>
    </xf>
    <xf numFmtId="2" fontId="22" fillId="0" borderId="1" xfId="1" quotePrefix="1" applyNumberFormat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2" fontId="22" fillId="0" borderId="1" xfId="1" applyNumberFormat="1" applyFont="1" applyBorder="1" applyAlignment="1" applyProtection="1">
      <alignment horizontal="center" vertical="center"/>
    </xf>
    <xf numFmtId="2" fontId="22" fillId="0" borderId="0" xfId="1" applyNumberFormat="1" applyFont="1" applyProtection="1">
      <protection locked="0"/>
    </xf>
    <xf numFmtId="2" fontId="1" fillId="0" borderId="8" xfId="1" applyNumberFormat="1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1" applyFont="1" applyBorder="1" applyProtection="1"/>
    <xf numFmtId="0" fontId="1" fillId="0" borderId="1" xfId="1" applyBorder="1" applyProtection="1"/>
    <xf numFmtId="0" fontId="1" fillId="0" borderId="0" xfId="1" applyBorder="1" applyProtection="1"/>
    <xf numFmtId="2" fontId="24" fillId="0" borderId="1" xfId="1" applyNumberFormat="1" applyFont="1" applyBorder="1" applyAlignment="1" applyProtection="1">
      <alignment horizontal="center"/>
    </xf>
    <xf numFmtId="0" fontId="1" fillId="0" borderId="0" xfId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 wrapText="1"/>
    </xf>
    <xf numFmtId="0" fontId="1" fillId="0" borderId="7" xfId="1" applyBorder="1" applyAlignment="1" applyProtection="1">
      <alignment horizontal="center"/>
    </xf>
    <xf numFmtId="2" fontId="24" fillId="0" borderId="7" xfId="1" applyNumberFormat="1" applyFont="1" applyBorder="1" applyAlignment="1" applyProtection="1">
      <alignment horizontal="center"/>
    </xf>
    <xf numFmtId="0" fontId="24" fillId="0" borderId="1" xfId="1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/>
    <xf numFmtId="3" fontId="0" fillId="0" borderId="37" xfId="0" applyNumberFormat="1" applyBorder="1" applyAlignment="1">
      <alignment horizontal="center"/>
    </xf>
    <xf numFmtId="2" fontId="24" fillId="0" borderId="0" xfId="1" applyNumberFormat="1" applyFont="1" applyBorder="1" applyAlignment="1" applyProtection="1">
      <alignment horizontal="center"/>
    </xf>
    <xf numFmtId="17" fontId="17" fillId="2" borderId="12" xfId="0" quotePrefix="1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5" xfId="0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/>
      <protection locked="0"/>
    </xf>
    <xf numFmtId="0" fontId="18" fillId="2" borderId="41" xfId="0" applyFont="1" applyFill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 textRotation="90"/>
    </xf>
    <xf numFmtId="49" fontId="12" fillId="0" borderId="10" xfId="0" applyNumberFormat="1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10" borderId="11" xfId="0" applyFont="1" applyFill="1" applyBorder="1" applyAlignment="1" applyProtection="1">
      <alignment horizontal="center" wrapText="1"/>
    </xf>
    <xf numFmtId="0" fontId="5" fillId="21" borderId="1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 vertical="center"/>
    </xf>
    <xf numFmtId="0" fontId="0" fillId="0" borderId="35" xfId="0" applyBorder="1" applyProtection="1"/>
    <xf numFmtId="0" fontId="0" fillId="0" borderId="36" xfId="0" applyBorder="1" applyProtection="1"/>
    <xf numFmtId="0" fontId="18" fillId="0" borderId="34" xfId="0" applyFont="1" applyBorder="1" applyAlignment="1" applyProtection="1">
      <alignment horizontal="left"/>
    </xf>
    <xf numFmtId="0" fontId="0" fillId="0" borderId="11" xfId="0" applyBorder="1" applyProtection="1"/>
    <xf numFmtId="0" fontId="18" fillId="0" borderId="10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0" fillId="0" borderId="15" xfId="0" applyBorder="1" applyProtection="1"/>
    <xf numFmtId="0" fontId="5" fillId="0" borderId="44" xfId="0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5" fillId="0" borderId="14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14" fillId="0" borderId="31" xfId="1" applyFont="1" applyFill="1" applyBorder="1" applyAlignment="1" applyProtection="1">
      <alignment horizontal="center" vertical="center" wrapText="1" readingOrder="1"/>
    </xf>
    <xf numFmtId="0" fontId="14" fillId="14" borderId="31" xfId="1" applyFont="1" applyFill="1" applyBorder="1" applyAlignment="1" applyProtection="1">
      <alignment horizontal="center" vertical="center" wrapText="1" readingOrder="1"/>
    </xf>
    <xf numFmtId="0" fontId="14" fillId="13" borderId="31" xfId="1" applyFont="1" applyFill="1" applyBorder="1" applyAlignment="1" applyProtection="1">
      <alignment horizontal="center" vertical="center" wrapText="1" readingOrder="1"/>
    </xf>
    <xf numFmtId="0" fontId="14" fillId="24" borderId="31" xfId="1" applyFont="1" applyFill="1" applyBorder="1" applyAlignment="1" applyProtection="1">
      <alignment horizontal="center" vertical="center" wrapText="1" readingOrder="1"/>
    </xf>
    <xf numFmtId="0" fontId="14" fillId="9" borderId="31" xfId="1" applyFont="1" applyFill="1" applyBorder="1" applyAlignment="1" applyProtection="1">
      <alignment horizontal="center" vertical="center" wrapText="1" readingOrder="1"/>
    </xf>
    <xf numFmtId="0" fontId="14" fillId="15" borderId="31" xfId="1" applyFont="1" applyFill="1" applyBorder="1" applyAlignment="1" applyProtection="1">
      <alignment horizontal="center" vertical="center" wrapText="1" readingOrder="1"/>
    </xf>
    <xf numFmtId="0" fontId="18" fillId="0" borderId="10" xfId="0" applyFont="1" applyFill="1" applyBorder="1" applyAlignment="1" applyProtection="1">
      <alignment horizontal="center"/>
    </xf>
    <xf numFmtId="0" fontId="3" fillId="26" borderId="57" xfId="0" applyFont="1" applyFill="1" applyBorder="1" applyAlignment="1" applyProtection="1">
      <alignment horizontal="center" vertical="center" wrapText="1"/>
      <protection locked="0"/>
    </xf>
    <xf numFmtId="0" fontId="3" fillId="27" borderId="57" xfId="0" applyFont="1" applyFill="1" applyBorder="1" applyAlignment="1" applyProtection="1">
      <alignment horizontal="center" vertical="center" wrapText="1"/>
      <protection locked="0"/>
    </xf>
    <xf numFmtId="0" fontId="3" fillId="28" borderId="57" xfId="0" applyFont="1" applyFill="1" applyBorder="1" applyAlignment="1" applyProtection="1">
      <alignment horizontal="center" vertical="center" wrapText="1"/>
      <protection locked="0"/>
    </xf>
    <xf numFmtId="0" fontId="3" fillId="29" borderId="57" xfId="0" applyFont="1" applyFill="1" applyBorder="1" applyAlignment="1" applyProtection="1">
      <alignment horizontal="center" vertical="center" wrapText="1"/>
      <protection locked="0"/>
    </xf>
    <xf numFmtId="0" fontId="3" fillId="30" borderId="57" xfId="0" applyFont="1" applyFill="1" applyBorder="1" applyAlignment="1" applyProtection="1">
      <alignment horizontal="center" vertical="center" wrapText="1"/>
      <protection locked="0"/>
    </xf>
    <xf numFmtId="0" fontId="3" fillId="31" borderId="57" xfId="0" applyFont="1" applyFill="1" applyBorder="1" applyAlignment="1" applyProtection="1">
      <alignment horizontal="center" vertical="center" wrapText="1"/>
      <protection locked="0"/>
    </xf>
    <xf numFmtId="0" fontId="3" fillId="32" borderId="57" xfId="0" applyFont="1" applyFill="1" applyBorder="1" applyAlignment="1" applyProtection="1">
      <alignment horizontal="center" vertical="center" wrapText="1"/>
      <protection locked="0"/>
    </xf>
    <xf numFmtId="0" fontId="3" fillId="33" borderId="57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6" borderId="57" xfId="0" applyFont="1" applyFill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25" fillId="2" borderId="57" xfId="0" applyFont="1" applyFill="1" applyBorder="1" applyAlignment="1" applyProtection="1">
      <alignment horizontal="center" vertical="center" wrapText="1"/>
      <protection locked="0"/>
    </xf>
    <xf numFmtId="0" fontId="5" fillId="7" borderId="2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  <xf numFmtId="0" fontId="5" fillId="9" borderId="9" xfId="1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 wrapText="1"/>
    </xf>
    <xf numFmtId="0" fontId="20" fillId="25" borderId="27" xfId="1" applyFont="1" applyFill="1" applyBorder="1" applyAlignment="1" applyProtection="1">
      <alignment horizontal="center" vertical="center" wrapText="1" readingOrder="1"/>
    </xf>
    <xf numFmtId="0" fontId="20" fillId="25" borderId="28" xfId="1" applyFont="1" applyFill="1" applyBorder="1" applyAlignment="1" applyProtection="1">
      <alignment horizontal="center" vertical="center" wrapText="1" readingOrder="1"/>
    </xf>
    <xf numFmtId="0" fontId="20" fillId="25" borderId="30" xfId="1" applyFont="1" applyFill="1" applyBorder="1" applyAlignment="1" applyProtection="1">
      <alignment horizontal="center" vertical="center" wrapText="1" readingOrder="1"/>
    </xf>
    <xf numFmtId="0" fontId="20" fillId="16" borderId="27" xfId="1" applyFont="1" applyFill="1" applyBorder="1" applyAlignment="1" applyProtection="1">
      <alignment horizontal="center" vertical="center" wrapText="1" readingOrder="1"/>
    </xf>
    <xf numFmtId="0" fontId="20" fillId="16" borderId="28" xfId="1" applyFont="1" applyFill="1" applyBorder="1" applyAlignment="1" applyProtection="1">
      <alignment horizontal="center" vertical="center" wrapText="1" readingOrder="1"/>
    </xf>
    <xf numFmtId="0" fontId="20" fillId="16" borderId="30" xfId="1" applyFont="1" applyFill="1" applyBorder="1" applyAlignment="1" applyProtection="1">
      <alignment horizontal="center" vertical="center" wrapText="1" readingOrder="1"/>
    </xf>
    <xf numFmtId="0" fontId="14" fillId="7" borderId="27" xfId="1" applyFont="1" applyFill="1" applyBorder="1" applyAlignment="1" applyProtection="1">
      <alignment horizontal="center" vertical="center" wrapText="1" readingOrder="1"/>
    </xf>
    <xf numFmtId="0" fontId="14" fillId="7" borderId="28" xfId="1" applyFont="1" applyFill="1" applyBorder="1" applyAlignment="1" applyProtection="1">
      <alignment horizontal="center" vertical="center" wrapText="1" readingOrder="1"/>
    </xf>
    <xf numFmtId="0" fontId="14" fillId="7" borderId="30" xfId="1" applyFont="1" applyFill="1" applyBorder="1" applyAlignment="1" applyProtection="1">
      <alignment horizontal="center" vertical="center" wrapText="1" readingOrder="1"/>
    </xf>
    <xf numFmtId="0" fontId="14" fillId="23" borderId="27" xfId="1" applyFont="1" applyFill="1" applyBorder="1" applyAlignment="1" applyProtection="1">
      <alignment horizontal="center" vertical="center" wrapText="1" readingOrder="1"/>
    </xf>
    <xf numFmtId="0" fontId="14" fillId="23" borderId="28" xfId="1" applyFont="1" applyFill="1" applyBorder="1" applyAlignment="1" applyProtection="1">
      <alignment horizontal="center" vertical="center" wrapText="1" readingOrder="1"/>
    </xf>
    <xf numFmtId="0" fontId="14" fillId="23" borderId="30" xfId="1" applyFont="1" applyFill="1" applyBorder="1" applyAlignment="1" applyProtection="1">
      <alignment horizontal="center" vertical="center" wrapText="1" readingOrder="1"/>
    </xf>
    <xf numFmtId="0" fontId="14" fillId="8" borderId="27" xfId="1" applyFont="1" applyFill="1" applyBorder="1" applyAlignment="1" applyProtection="1">
      <alignment horizontal="center" vertical="center" wrapText="1" readingOrder="1"/>
    </xf>
    <xf numFmtId="0" fontId="14" fillId="8" borderId="28" xfId="1" applyFont="1" applyFill="1" applyBorder="1" applyAlignment="1" applyProtection="1">
      <alignment horizontal="center" vertical="center" wrapText="1" readingOrder="1"/>
    </xf>
    <xf numFmtId="0" fontId="14" fillId="8" borderId="30" xfId="1" applyFont="1" applyFill="1" applyBorder="1" applyAlignment="1" applyProtection="1">
      <alignment horizontal="center" vertical="center" wrapText="1" readingOrder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/>
    <xf numFmtId="0" fontId="1" fillId="0" borderId="51" xfId="0" applyFont="1" applyBorder="1" applyAlignment="1">
      <alignment horizontal="center" vertical="center" wrapText="1"/>
    </xf>
    <xf numFmtId="0" fontId="0" fillId="0" borderId="18" xfId="0" applyBorder="1" applyAlignment="1"/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14" fillId="9" borderId="0" xfId="0" applyFont="1" applyFill="1" applyBorder="1" applyAlignment="1">
      <alignment horizontal="center" vertical="center" wrapText="1" readingOrder="1"/>
    </xf>
    <xf numFmtId="0" fontId="14" fillId="7" borderId="0" xfId="0" applyFont="1" applyFill="1" applyBorder="1" applyAlignment="1">
      <alignment horizontal="center" vertical="center" wrapText="1" readingOrder="1"/>
    </xf>
    <xf numFmtId="0" fontId="14" fillId="12" borderId="0" xfId="0" applyFont="1" applyFill="1" applyBorder="1" applyAlignment="1">
      <alignment horizontal="center" vertical="center" wrapText="1" readingOrder="1"/>
    </xf>
    <xf numFmtId="0" fontId="14" fillId="8" borderId="0" xfId="0" applyFont="1" applyFill="1" applyBorder="1" applyAlignment="1">
      <alignment horizontal="center" vertical="center" wrapText="1" readingOrder="1"/>
    </xf>
    <xf numFmtId="0" fontId="14" fillId="7" borderId="10" xfId="0" applyFont="1" applyFill="1" applyBorder="1" applyAlignment="1">
      <alignment horizontal="center" vertical="center" wrapText="1" readingOrder="1"/>
    </xf>
    <xf numFmtId="0" fontId="14" fillId="12" borderId="10" xfId="0" applyFont="1" applyFill="1" applyBorder="1" applyAlignment="1">
      <alignment horizontal="center" vertical="center" wrapText="1" readingOrder="1"/>
    </xf>
    <xf numFmtId="0" fontId="14" fillId="8" borderId="10" xfId="0" applyFont="1" applyFill="1" applyBorder="1" applyAlignment="1">
      <alignment horizontal="center" vertical="center" wrapText="1" readingOrder="1"/>
    </xf>
    <xf numFmtId="0" fontId="2" fillId="0" borderId="1" xfId="1" applyFont="1" applyBorder="1" applyAlignment="1" applyProtection="1">
      <alignment horizontal="left"/>
    </xf>
    <xf numFmtId="0" fontId="1" fillId="0" borderId="7" xfId="1" applyBorder="1" applyAlignment="1" applyProtection="1">
      <alignment horizontal="center" vertical="center" wrapText="1"/>
    </xf>
    <xf numFmtId="0" fontId="1" fillId="0" borderId="32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center" wrapText="1"/>
      <protection locked="0"/>
    </xf>
    <xf numFmtId="0" fontId="1" fillId="0" borderId="32" xfId="1" applyFont="1" applyBorder="1" applyAlignment="1" applyProtection="1">
      <alignment horizontal="center" wrapText="1"/>
      <protection locked="0"/>
    </xf>
    <xf numFmtId="0" fontId="1" fillId="0" borderId="8" xfId="1" applyFont="1" applyBorder="1" applyAlignment="1" applyProtection="1">
      <alignment horizontal="center" wrapText="1"/>
      <protection locked="0"/>
    </xf>
    <xf numFmtId="0" fontId="21" fillId="0" borderId="1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21" fillId="0" borderId="32" xfId="1" applyFont="1" applyBorder="1" applyAlignment="1" applyProtection="1">
      <alignment horizontal="center" vertical="center"/>
    </xf>
    <xf numFmtId="0" fontId="21" fillId="0" borderId="8" xfId="1" applyFont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32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</xf>
  </cellXfs>
  <cellStyles count="3">
    <cellStyle name="Normal" xfId="0" builtinId="0"/>
    <cellStyle name="Prozent 2" xfId="2"/>
    <cellStyle name="Standard 2" xfId="1"/>
  </cellStyles>
  <dxfs count="4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F9B9B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't0 (inverse addtion)'!$A$13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't0 (inverse addtion)'!$J$15:$J$19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't0 (inverse addtion)'!$J$15:$J$19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't0 (inverse addtion)'!$A$15:$A$19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't0 (inverse addtion)'!$I$15:$I$19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A-421D-8A6E-FF472F2F3541}"/>
            </c:ext>
          </c:extLst>
        </c:ser>
        <c:ser>
          <c:idx val="1"/>
          <c:order val="1"/>
          <c:tx>
            <c:strRef>
              <c:f>'t0 (inverse addtion)'!$A$21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't0 (inverse addtion)'!$J$23:$J$27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't0 (inverse addtion)'!$J$23:$J$27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't0 (inverse addtion)'!$A$23:$A$27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't0 (inverse addtion)'!$I$23:$I$27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5A-421D-8A6E-FF472F2F3541}"/>
            </c:ext>
          </c:extLst>
        </c:ser>
        <c:ser>
          <c:idx val="2"/>
          <c:order val="2"/>
          <c:tx>
            <c:strRef>
              <c:f>'t0 (inverse addtion)'!$A$29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B9B"/>
              </a:solidFill>
              <a:ln w="9525">
                <a:solidFill>
                  <a:srgbClr val="FF717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't0 (inverse addtion)'!$J$31:$J$35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't0 (inverse addtion)'!$J$31:$J$35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't0 (inverse addtion)'!$A$31:$A$35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't0 (inverse addtion)'!$I$31:$I$35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5A-421D-8A6E-FF472F2F3541}"/>
            </c:ext>
          </c:extLst>
        </c:ser>
        <c:ser>
          <c:idx val="4"/>
          <c:order val="3"/>
          <c:tx>
            <c:strRef>
              <c:f>'t0 (inverse addtion)'!$A$37</c:f>
              <c:strCache>
                <c:ptCount val="1"/>
                <c:pt idx="0">
                  <c:v>PC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't0 (inverse addtion)'!$A$39:$A$43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't0 (inverse addtion)'!$D$39:$D$43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5A-421D-8A6E-FF472F2F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81760"/>
        <c:axId val="76984320"/>
      </c:scatterChart>
      <c:valAx>
        <c:axId val="76981760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84320"/>
        <c:crosses val="autoZero"/>
        <c:crossBetween val="midCat"/>
      </c:valAx>
      <c:valAx>
        <c:axId val="76984320"/>
        <c:scaling>
          <c:orientation val="minMax"/>
          <c:max val="100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aseline="0"/>
                  <a:t>Peptide Depletion [%]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8176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6087376719482"/>
          <c:y val="0.31908137645842566"/>
          <c:w val="0.20537627908984932"/>
          <c:h val="0.4127781447961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specifications'!$D$11</c:f>
              <c:strCache>
                <c:ptCount val="1"/>
                <c:pt idx="0">
                  <c:v>30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A)'!$D$16:$H$16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A)'!$W$18:$AA$18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D2-4AB4-BBB6-0CA8078DF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26976"/>
        <c:axId val="185017472"/>
      </c:scatterChart>
      <c:valAx>
        <c:axId val="18332697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017472"/>
        <c:crosses val="autoZero"/>
        <c:crossBetween val="midCat"/>
      </c:valAx>
      <c:valAx>
        <c:axId val="1850174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32697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specifications'!$D$12</c:f>
              <c:strCache>
                <c:ptCount val="1"/>
                <c:pt idx="0">
                  <c:v>90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A)'!$D$16:$H$16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A)'!$W$19:$AA$19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DB-40C6-888C-CA2226578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25472"/>
        <c:axId val="186027392"/>
      </c:scatterChart>
      <c:valAx>
        <c:axId val="18602547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027392"/>
        <c:crosses val="autoZero"/>
        <c:crossBetween val="midCat"/>
      </c:valAx>
      <c:valAx>
        <c:axId val="18602739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02547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specifications'!$D$13</c:f>
              <c:strCache>
                <c:ptCount val="1"/>
                <c:pt idx="0">
                  <c:v>150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A)'!$D$16:$H$16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A)'!$W$20:$AA$20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62-4FA3-AE36-D83A008C0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71168"/>
        <c:axId val="186473088"/>
      </c:scatterChart>
      <c:valAx>
        <c:axId val="18647116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473088"/>
        <c:crosses val="autoZero"/>
        <c:crossBetween val="midCat"/>
      </c:valAx>
      <c:valAx>
        <c:axId val="1864730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47116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specifications'!$D$14</c:f>
              <c:strCache>
                <c:ptCount val="1"/>
                <c:pt idx="0">
                  <c:v>210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A)'!$D$16:$H$16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A)'!$W$21:$AA$21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1D-4B00-8436-20FFE2C1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36800"/>
        <c:axId val="187039104"/>
      </c:scatterChart>
      <c:valAx>
        <c:axId val="1870368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039104"/>
        <c:crosses val="autoZero"/>
        <c:crossBetween val="midCat"/>
      </c:valAx>
      <c:valAx>
        <c:axId val="18703910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03680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specifications'!$D$15</c:f>
              <c:strCache>
                <c:ptCount val="1"/>
                <c:pt idx="0">
                  <c:v>24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A)'!$D$16:$H$16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A)'!$W$22:$AA$22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4-4C2D-9FEB-58ECEB89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78080"/>
        <c:axId val="187280384"/>
      </c:scatterChart>
      <c:valAx>
        <c:axId val="18727808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280384"/>
        <c:crosses val="autoZero"/>
        <c:crossBetween val="midCat"/>
      </c:valAx>
      <c:valAx>
        <c:axId val="18728038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2780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09571604671024"/>
          <c:y val="6.5476159788076596E-2"/>
          <c:w val="0.64305342778211261"/>
          <c:h val="0.69524854928358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'Evaluation (Subst. B)'!$C$25</c:f>
              <c:strCache>
                <c:ptCount val="1"/>
                <c:pt idx="0">
                  <c:v>k obs [mM^-1]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B)'!$B$26:$B$30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90</c:v>
                </c:pt>
                <c:pt idx="3">
                  <c:v>150</c:v>
                </c:pt>
                <c:pt idx="4">
                  <c:v>210</c:v>
                </c:pt>
              </c:numCache>
            </c:numRef>
          </c:xVal>
          <c:yVal>
            <c:numRef>
              <c:f>'Evaluation (Subst. B)'!$C$26:$C$30</c:f>
              <c:numCache>
                <c:formatCode>0.0000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3-8B84-6F7E1FFF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54592"/>
        <c:axId val="187456896"/>
      </c:scatterChart>
      <c:valAx>
        <c:axId val="187454592"/>
        <c:scaling>
          <c:orientation val="minMax"/>
          <c:max val="2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56896"/>
        <c:crosses val="autoZero"/>
        <c:crossBetween val="midCat"/>
        <c:majorUnit val="30"/>
        <c:minorUnit val="30"/>
      </c:valAx>
      <c:valAx>
        <c:axId val="1874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5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specifications'!$D$11</c:f>
              <c:strCache>
                <c:ptCount val="1"/>
                <c:pt idx="0">
                  <c:v>30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B)'!$D$16:$H$16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B)'!$W$18:$AA$18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4D-41C4-B6A8-E16E300B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4512"/>
        <c:axId val="187586816"/>
      </c:scatterChart>
      <c:valAx>
        <c:axId val="18758451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586816"/>
        <c:crosses val="autoZero"/>
        <c:crossBetween val="midCat"/>
      </c:valAx>
      <c:valAx>
        <c:axId val="18758681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5845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'Run specifications'!$D$12</c:f>
          <c:strCache>
            <c:ptCount val="1"/>
            <c:pt idx="0">
              <c:v>90 min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specifications'!$D$12</c:f>
              <c:strCache>
                <c:ptCount val="1"/>
                <c:pt idx="0">
                  <c:v>90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B)'!$D$16:$H$16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B)'!$W$19:$AA$19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4D-41C4-B6A8-E16E300B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18112"/>
        <c:axId val="189817600"/>
      </c:scatterChart>
      <c:valAx>
        <c:axId val="18941811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817600"/>
        <c:crosses val="autoZero"/>
        <c:crossBetween val="midCat"/>
      </c:valAx>
      <c:valAx>
        <c:axId val="18981760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4181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'Run specifications'!$D$13</c:f>
          <c:strCache>
            <c:ptCount val="1"/>
            <c:pt idx="0">
              <c:v>150 min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specifications'!$D$13</c:f>
              <c:strCache>
                <c:ptCount val="1"/>
                <c:pt idx="0">
                  <c:v>150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B)'!$D$16:$H$16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B)'!$W$20:$AA$20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1D-40C9-BC8A-49FFB546C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54176"/>
        <c:axId val="190356096"/>
      </c:scatterChart>
      <c:valAx>
        <c:axId val="19035417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0356096"/>
        <c:crosses val="autoZero"/>
        <c:crossBetween val="midCat"/>
      </c:valAx>
      <c:valAx>
        <c:axId val="19035609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035417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'Run specifications'!$D$14</c:f>
          <c:strCache>
            <c:ptCount val="1"/>
            <c:pt idx="0">
              <c:v>210 min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specifications'!$D$14</c:f>
              <c:strCache>
                <c:ptCount val="1"/>
                <c:pt idx="0">
                  <c:v>210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B)'!$D$16:$H$16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B)'!$W$21:$AA$21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4D-41C4-B6A8-E16E300B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47456"/>
        <c:axId val="192679936"/>
      </c:scatterChart>
      <c:valAx>
        <c:axId val="19254745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679936"/>
        <c:crosses val="autoZero"/>
        <c:crossBetween val="midCat"/>
      </c:valAx>
      <c:valAx>
        <c:axId val="19267993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54745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't1'!$A$13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't1'!$J$15:$J$19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't1'!$J$15:$J$19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't1'!$A$15:$A$19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't1'!$I$15:$I$19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EC-4C14-A0D0-AD95334A9C74}"/>
            </c:ext>
          </c:extLst>
        </c:ser>
        <c:ser>
          <c:idx val="1"/>
          <c:order val="1"/>
          <c:tx>
            <c:strRef>
              <c:f>'t1'!$A$21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't1'!$J$23:$J$27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't1'!$J$23:$J$27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't1'!$A$23:$A$27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't1'!$I$23:$I$27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EC-4C14-A0D0-AD95334A9C74}"/>
            </c:ext>
          </c:extLst>
        </c:ser>
        <c:ser>
          <c:idx val="2"/>
          <c:order val="2"/>
          <c:tx>
            <c:strRef>
              <c:f>'t1'!$A$29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B9B"/>
              </a:solidFill>
              <a:ln w="9525">
                <a:solidFill>
                  <a:srgbClr val="FF717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't1'!$J$31:$J$35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't1'!$J$31:$J$35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't1'!$A$31:$A$35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't1'!$I$31:$I$35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EC-4C14-A0D0-AD95334A9C74}"/>
            </c:ext>
          </c:extLst>
        </c:ser>
        <c:ser>
          <c:idx val="4"/>
          <c:order val="3"/>
          <c:tx>
            <c:strRef>
              <c:f>'t1'!$A$37</c:f>
              <c:strCache>
                <c:ptCount val="1"/>
                <c:pt idx="0">
                  <c:v>PC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't1'!$A$39:$A$43</c:f>
              <c:numCache>
                <c:formatCode>0.0</c:formatCode>
                <c:ptCount val="5"/>
                <c:pt idx="0" formatCode="0.00">
                  <c:v>1.25</c:v>
                </c:pt>
                <c:pt idx="1">
                  <c:v>2.5</c:v>
                </c:pt>
                <c:pt idx="2" formatCode="0">
                  <c:v>5</c:v>
                </c:pt>
                <c:pt idx="3" formatCode="0">
                  <c:v>10</c:v>
                </c:pt>
                <c:pt idx="4" formatCode="0">
                  <c:v>20</c:v>
                </c:pt>
              </c:numCache>
            </c:numRef>
          </c:xVal>
          <c:yVal>
            <c:numRef>
              <c:f>'t1'!$D$39:$D$43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AD-4AE8-A8AD-8468DDFE0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81760"/>
        <c:axId val="76984320"/>
      </c:scatterChart>
      <c:valAx>
        <c:axId val="76981760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84320"/>
        <c:crosses val="autoZero"/>
        <c:crossBetween val="midCat"/>
      </c:valAx>
      <c:valAx>
        <c:axId val="76984320"/>
        <c:scaling>
          <c:orientation val="minMax"/>
          <c:max val="100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aseline="0"/>
                  <a:t>Peptide Depletion [%]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8176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6087376719482"/>
          <c:y val="0.31908137645842566"/>
          <c:w val="0.20537627908984932"/>
          <c:h val="0.4127781447961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'Run specifications'!$D$15</c:f>
          <c:strCache>
            <c:ptCount val="1"/>
            <c:pt idx="0">
              <c:v>24 h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specifications'!$D$15</c:f>
              <c:strCache>
                <c:ptCount val="1"/>
                <c:pt idx="0">
                  <c:v>24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B)'!$D$16:$H$16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B)'!$W$22:$AA$22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B4-42FA-B21D-754507110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16192"/>
        <c:axId val="193018112"/>
      </c:scatterChart>
      <c:valAx>
        <c:axId val="19301619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3018112"/>
        <c:crosses val="autoZero"/>
        <c:crossBetween val="midCat"/>
      </c:valAx>
      <c:valAx>
        <c:axId val="19301811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301619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'Run specifications'!$D$10</c:f>
          <c:strCache>
            <c:ptCount val="1"/>
            <c:pt idx="0">
              <c:v>10 min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specifications'!$D$10</c:f>
              <c:strCache>
                <c:ptCount val="1"/>
                <c:pt idx="0">
                  <c:v>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B)'!$D$16:$H$16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B)'!$W$17:$AA$17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53-4AAD-96DF-FD9FC535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1440"/>
        <c:axId val="193583360"/>
      </c:scatterChart>
      <c:valAx>
        <c:axId val="19358144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3583360"/>
        <c:crosses val="autoZero"/>
        <c:crossBetween val="midCat"/>
      </c:valAx>
      <c:valAx>
        <c:axId val="19358336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358144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09571604671024"/>
          <c:y val="6.5476159788076596E-2"/>
          <c:w val="0.64305342778211261"/>
          <c:h val="0.69524854928358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'Evaluation (Subst. C)'!$C$25</c:f>
              <c:strCache>
                <c:ptCount val="1"/>
                <c:pt idx="0">
                  <c:v>k obs [mM^-1]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C)'!$B$26:$B$31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90</c:v>
                </c:pt>
                <c:pt idx="3">
                  <c:v>150</c:v>
                </c:pt>
                <c:pt idx="4">
                  <c:v>210</c:v>
                </c:pt>
              </c:numCache>
            </c:numRef>
          </c:xVal>
          <c:yVal>
            <c:numRef>
              <c:f>'Evaluation (Subst. C)'!$C$26:$C$31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09-4ECA-A7F2-438508B4A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59712"/>
        <c:axId val="202690944"/>
      </c:scatterChart>
      <c:valAx>
        <c:axId val="202659712"/>
        <c:scaling>
          <c:orientation val="minMax"/>
          <c:max val="2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690944"/>
        <c:crosses val="autoZero"/>
        <c:crossBetween val="midCat"/>
        <c:majorUnit val="30"/>
        <c:minorUnit val="30"/>
      </c:valAx>
      <c:valAx>
        <c:axId val="20269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65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specifications'!$D$10</c:f>
              <c:strCache>
                <c:ptCount val="1"/>
                <c:pt idx="0">
                  <c:v>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C)'!$W$17:$AA$17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DD-40E9-836D-CAB417FBA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39392"/>
        <c:axId val="203044352"/>
      </c:scatterChart>
      <c:valAx>
        <c:axId val="20293939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044352"/>
        <c:crosses val="autoZero"/>
        <c:crossBetween val="midCat"/>
      </c:valAx>
      <c:valAx>
        <c:axId val="20304435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93939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specifications'!$D$11</c:f>
              <c:strCache>
                <c:ptCount val="1"/>
                <c:pt idx="0">
                  <c:v>30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C)'!$W$18:$AA$18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7C-41A2-9A3D-D23CDEC3E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14848"/>
        <c:axId val="203217152"/>
      </c:scatterChart>
      <c:valAx>
        <c:axId val="20321484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217152"/>
        <c:crosses val="autoZero"/>
        <c:crossBetween val="midCat"/>
      </c:valAx>
      <c:valAx>
        <c:axId val="20321715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21484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specifications'!$D$12</c:f>
              <c:strCache>
                <c:ptCount val="1"/>
                <c:pt idx="0">
                  <c:v>90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C)'!$W$19:$AA$19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40-4CB4-828B-472C740F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75936"/>
        <c:axId val="205978240"/>
      </c:scatterChart>
      <c:valAx>
        <c:axId val="20597593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5978240"/>
        <c:crosses val="autoZero"/>
        <c:crossBetween val="midCat"/>
      </c:valAx>
      <c:valAx>
        <c:axId val="20597824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597593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specifications'!$D$13</c:f>
              <c:strCache>
                <c:ptCount val="1"/>
                <c:pt idx="0">
                  <c:v>150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C)'!$W$20:$AA$20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39-422D-9B8E-9D8E376FC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67456"/>
        <c:axId val="206469760"/>
      </c:scatterChart>
      <c:valAx>
        <c:axId val="20646745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469760"/>
        <c:crosses val="autoZero"/>
        <c:crossBetween val="midCat"/>
      </c:valAx>
      <c:valAx>
        <c:axId val="20646976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46745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specifications'!$D$14</c:f>
              <c:strCache>
                <c:ptCount val="1"/>
                <c:pt idx="0">
                  <c:v>210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C)'!$W$21:$AA$21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A0-429D-87AC-184EAE6CE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79072"/>
        <c:axId val="206981376"/>
      </c:scatterChart>
      <c:valAx>
        <c:axId val="20697907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981376"/>
        <c:crosses val="autoZero"/>
        <c:crossBetween val="midCat"/>
      </c:valAx>
      <c:valAx>
        <c:axId val="20698137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97907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specifications'!$D$15</c:f>
              <c:strCache>
                <c:ptCount val="1"/>
                <c:pt idx="0">
                  <c:v>24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C)'!$W$22:$AA$22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B1-4FFC-905B-EAA9FFDD6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06432"/>
        <c:axId val="207109120"/>
      </c:scatterChart>
      <c:valAx>
        <c:axId val="20710643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09120"/>
        <c:crosses val="autoZero"/>
        <c:crossBetween val="midCat"/>
      </c:valAx>
      <c:valAx>
        <c:axId val="20710912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0643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09571604671024"/>
          <c:y val="6.5476159788076596E-2"/>
          <c:w val="0.64305342778211261"/>
          <c:h val="0.69524854928358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'Evaluation (PC)'!$C$25</c:f>
              <c:strCache>
                <c:ptCount val="1"/>
                <c:pt idx="0">
                  <c:v>k obs [mM^-1]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(PC)'!$B$26:$B$31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90</c:v>
                </c:pt>
                <c:pt idx="3">
                  <c:v>150</c:v>
                </c:pt>
                <c:pt idx="4">
                  <c:v>210</c:v>
                </c:pt>
              </c:numCache>
            </c:numRef>
          </c:xVal>
          <c:yVal>
            <c:numRef>
              <c:f>'Evaluation (PC)'!$C$26:$C$31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24-4990-9278-B4E3EC23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55040"/>
        <c:axId val="207262080"/>
      </c:scatterChart>
      <c:valAx>
        <c:axId val="207255040"/>
        <c:scaling>
          <c:orientation val="minMax"/>
          <c:max val="2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262080"/>
        <c:crosses val="autoZero"/>
        <c:crossBetween val="midCat"/>
        <c:majorUnit val="30"/>
        <c:minorUnit val="30"/>
      </c:valAx>
      <c:valAx>
        <c:axId val="2072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25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't2'!$A$13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't2'!$J$15:$J$19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't2'!$J$15:$J$19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't2'!$B$15:$B$19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't2'!$I$15:$I$19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98-44CE-AE8C-8ED8EEC1EDCF}"/>
            </c:ext>
          </c:extLst>
        </c:ser>
        <c:ser>
          <c:idx val="1"/>
          <c:order val="1"/>
          <c:tx>
            <c:strRef>
              <c:f>'t2'!$A$21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't2'!$J$23:$J$27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't2'!$J$23:$J$27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't2'!$B$23:$B$27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't2'!$I$23:$I$27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98-44CE-AE8C-8ED8EEC1EDCF}"/>
            </c:ext>
          </c:extLst>
        </c:ser>
        <c:ser>
          <c:idx val="2"/>
          <c:order val="2"/>
          <c:tx>
            <c:strRef>
              <c:f>'t2'!$A$29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B9B"/>
              </a:solidFill>
              <a:ln w="9525">
                <a:solidFill>
                  <a:srgbClr val="FF717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't2'!$J$31:$J$35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't2'!$J$31:$J$35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't2'!$B$31:$B$35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't2'!$I$31:$I$35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98-44CE-AE8C-8ED8EEC1EDCF}"/>
            </c:ext>
          </c:extLst>
        </c:ser>
        <c:ser>
          <c:idx val="4"/>
          <c:order val="3"/>
          <c:tx>
            <c:strRef>
              <c:f>'t2'!$A$37</c:f>
              <c:strCache>
                <c:ptCount val="1"/>
                <c:pt idx="0">
                  <c:v>PC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't2'!$B$39:$B$43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't2'!$D$39:$D$43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98-44CE-AE8C-8ED8EEC1E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92352"/>
        <c:axId val="80695296"/>
      </c:scatterChart>
      <c:valAx>
        <c:axId val="80692352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695296"/>
        <c:crosses val="autoZero"/>
        <c:crossBetween val="midCat"/>
      </c:valAx>
      <c:valAx>
        <c:axId val="80695296"/>
        <c:scaling>
          <c:orientation val="minMax"/>
          <c:max val="100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aseline="0"/>
                  <a:t>Peptide Depletion [%]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6923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6087376719482"/>
          <c:y val="0.31908137645842566"/>
          <c:w val="0.20537627908984932"/>
          <c:h val="0.4127781447961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specifications'!$D$10</c:f>
              <c:strCache>
                <c:ptCount val="1"/>
                <c:pt idx="0">
                  <c:v>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(PC)'!$D$16:$H$16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">
                  <c:v>0.625</c:v>
                </c:pt>
                <c:pt idx="4" formatCode="0.00">
                  <c:v>0.3125</c:v>
                </c:pt>
              </c:numCache>
            </c:numRef>
          </c:xVal>
          <c:yVal>
            <c:numRef>
              <c:f>'Evaluation (PC)'!$W$17:$AA$17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79-4865-A987-D2456AD91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40064"/>
        <c:axId val="207651584"/>
      </c:scatterChart>
      <c:valAx>
        <c:axId val="20764006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51584"/>
        <c:crosses val="autoZero"/>
        <c:crossBetween val="midCat"/>
      </c:valAx>
      <c:valAx>
        <c:axId val="20765158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400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specifications'!$D$11</c:f>
              <c:strCache>
                <c:ptCount val="1"/>
                <c:pt idx="0">
                  <c:v>30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(PC)'!$D$16:$H$16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">
                  <c:v>0.625</c:v>
                </c:pt>
                <c:pt idx="4" formatCode="0.00">
                  <c:v>0.3125</c:v>
                </c:pt>
              </c:numCache>
            </c:numRef>
          </c:xVal>
          <c:yVal>
            <c:numRef>
              <c:f>'Evaluation (PC)'!$W$18:$AA$18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20-4A81-A083-7A58D3C4A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81248"/>
        <c:axId val="207930880"/>
      </c:scatterChart>
      <c:valAx>
        <c:axId val="20778124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930880"/>
        <c:crosses val="autoZero"/>
        <c:crossBetween val="midCat"/>
      </c:valAx>
      <c:valAx>
        <c:axId val="20793088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78124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specifications'!$D$12</c:f>
              <c:strCache>
                <c:ptCount val="1"/>
                <c:pt idx="0">
                  <c:v>90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(PC)'!$D$16:$H$16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">
                  <c:v>0.625</c:v>
                </c:pt>
                <c:pt idx="4" formatCode="0.00">
                  <c:v>0.3125</c:v>
                </c:pt>
              </c:numCache>
            </c:numRef>
          </c:xVal>
          <c:yVal>
            <c:numRef>
              <c:f>'Evaluation (PC)'!$W$19:$AA$19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3A-4D12-BB90-4F0A52C3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28736"/>
        <c:axId val="208630912"/>
      </c:scatterChart>
      <c:valAx>
        <c:axId val="20862873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630912"/>
        <c:crosses val="autoZero"/>
        <c:crossBetween val="midCat"/>
      </c:valAx>
      <c:valAx>
        <c:axId val="20863091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62873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specifications'!$D$13</c:f>
              <c:strCache>
                <c:ptCount val="1"/>
                <c:pt idx="0">
                  <c:v>150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(PC)'!$D$16:$H$16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">
                  <c:v>0.625</c:v>
                </c:pt>
                <c:pt idx="4" formatCode="0.00">
                  <c:v>0.3125</c:v>
                </c:pt>
              </c:numCache>
            </c:numRef>
          </c:xVal>
          <c:yVal>
            <c:numRef>
              <c:f>'Evaluation (PC)'!$W$20:$AA$20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B0-4B83-A74B-9567BC2CC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17472"/>
        <c:axId val="209392384"/>
      </c:scatterChart>
      <c:valAx>
        <c:axId val="20901747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392384"/>
        <c:crosses val="autoZero"/>
        <c:crossBetween val="midCat"/>
      </c:valAx>
      <c:valAx>
        <c:axId val="20939238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01747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specifications'!$D$14</c:f>
              <c:strCache>
                <c:ptCount val="1"/>
                <c:pt idx="0">
                  <c:v>210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(PC)'!$D$16:$H$16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">
                  <c:v>0.625</c:v>
                </c:pt>
                <c:pt idx="4" formatCode="0.00">
                  <c:v>0.3125</c:v>
                </c:pt>
              </c:numCache>
            </c:numRef>
          </c:xVal>
          <c:yVal>
            <c:numRef>
              <c:f>'Evaluation (PC)'!$W$21:$AA$21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A6-4624-87C8-A0D7475F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5856"/>
        <c:axId val="209990784"/>
      </c:scatterChart>
      <c:valAx>
        <c:axId val="20954585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990784"/>
        <c:crosses val="autoZero"/>
        <c:crossBetween val="midCat"/>
      </c:valAx>
      <c:valAx>
        <c:axId val="20999078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4585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specifications'!$D$15</c:f>
              <c:strCache>
                <c:ptCount val="1"/>
                <c:pt idx="0">
                  <c:v>24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(PC)'!$D$16:$H$16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">
                  <c:v>0.625</c:v>
                </c:pt>
                <c:pt idx="4" formatCode="0.00">
                  <c:v>0.3125</c:v>
                </c:pt>
              </c:numCache>
            </c:numRef>
          </c:xVal>
          <c:yVal>
            <c:numRef>
              <c:f>'Evaluation (PC)'!$W$22:$AA$22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E-4E37-B2CE-4C630B3C8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0512"/>
        <c:axId val="210133760"/>
      </c:scatterChart>
      <c:valAx>
        <c:axId val="210000512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133760"/>
        <c:crosses val="autoZero"/>
        <c:crossBetween val="midCat"/>
        <c:majorUnit val="1"/>
      </c:valAx>
      <c:valAx>
        <c:axId val="21013376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005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't3'!$A$13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't3'!$J$15:$J$19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't3'!$J$15:$J$19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't3'!$B$15:$B$19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't3'!$I$15:$I$19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FC-4A08-B7CC-1B19A0743A7C}"/>
            </c:ext>
          </c:extLst>
        </c:ser>
        <c:ser>
          <c:idx val="1"/>
          <c:order val="1"/>
          <c:tx>
            <c:strRef>
              <c:f>'t3'!$A$21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't3'!$J$23:$J$27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't3'!$J$23:$J$27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't3'!$B$23:$B$27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't3'!$I$23:$I$27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FC-4A08-B7CC-1B19A0743A7C}"/>
            </c:ext>
          </c:extLst>
        </c:ser>
        <c:ser>
          <c:idx val="2"/>
          <c:order val="2"/>
          <c:tx>
            <c:strRef>
              <c:f>'t3'!$A$29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B9B"/>
              </a:solidFill>
              <a:ln w="9525">
                <a:solidFill>
                  <a:srgbClr val="FF717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't3'!$J$31:$J$35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't3'!$J$31:$J$35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't3'!$B$31:$B$35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't3'!$I$31:$I$35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FC-4A08-B7CC-1B19A0743A7C}"/>
            </c:ext>
          </c:extLst>
        </c:ser>
        <c:ser>
          <c:idx val="4"/>
          <c:order val="3"/>
          <c:tx>
            <c:strRef>
              <c:f>'t3'!$A$37</c:f>
              <c:strCache>
                <c:ptCount val="1"/>
                <c:pt idx="0">
                  <c:v>PC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't3'!$B$39:$B$43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't3'!$D$39:$D$43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FC-4A08-B7CC-1B19A0743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45216"/>
        <c:axId val="80781696"/>
      </c:scatterChart>
      <c:valAx>
        <c:axId val="80745216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781696"/>
        <c:crosses val="autoZero"/>
        <c:crossBetween val="midCat"/>
      </c:valAx>
      <c:valAx>
        <c:axId val="80781696"/>
        <c:scaling>
          <c:orientation val="minMax"/>
          <c:max val="100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aseline="0"/>
                  <a:t>Peptide Depletion [%]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74521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6087376719482"/>
          <c:y val="0.31908137645842566"/>
          <c:w val="0.20537627908984932"/>
          <c:h val="0.4127781447961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't4'!$A$13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't4'!$J$15:$J$19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't4'!$J$15:$J$19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't4'!$B$15:$B$19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't4'!$I$15:$I$19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A-45DB-9CC1-B7EA26178D24}"/>
            </c:ext>
          </c:extLst>
        </c:ser>
        <c:ser>
          <c:idx val="1"/>
          <c:order val="1"/>
          <c:tx>
            <c:strRef>
              <c:f>'t4'!$A$21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't4'!$J$23:$J$27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't4'!$J$23:$J$27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't4'!$B$23:$B$27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't4'!$I$23:$I$27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0A-45DB-9CC1-B7EA26178D24}"/>
            </c:ext>
          </c:extLst>
        </c:ser>
        <c:ser>
          <c:idx val="2"/>
          <c:order val="2"/>
          <c:tx>
            <c:strRef>
              <c:f>'t4'!$A$29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B9B"/>
              </a:solidFill>
              <a:ln w="9525">
                <a:solidFill>
                  <a:srgbClr val="FF717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't4'!$J$31:$J$35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't4'!$J$31:$J$35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't4'!$B$31:$B$35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't4'!$I$31:$I$35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0A-45DB-9CC1-B7EA26178D24}"/>
            </c:ext>
          </c:extLst>
        </c:ser>
        <c:ser>
          <c:idx val="4"/>
          <c:order val="3"/>
          <c:tx>
            <c:strRef>
              <c:f>'t4'!$A$37</c:f>
              <c:strCache>
                <c:ptCount val="1"/>
                <c:pt idx="0">
                  <c:v>PC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't4'!$B$39:$B$43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't4'!$D$39:$D$43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0A-45DB-9CC1-B7EA26178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39456"/>
        <c:axId val="82122624"/>
      </c:scatterChart>
      <c:valAx>
        <c:axId val="81939456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122624"/>
        <c:crosses val="autoZero"/>
        <c:crossBetween val="midCat"/>
      </c:valAx>
      <c:valAx>
        <c:axId val="82122624"/>
        <c:scaling>
          <c:orientation val="minMax"/>
          <c:max val="100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aseline="0"/>
                  <a:t>Peptide Depletion [%]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93945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6087376719482"/>
          <c:y val="0.31908137645842566"/>
          <c:w val="0.20537627908984932"/>
          <c:h val="0.4127781447961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't5'!$A$13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't5'!$J$15:$J$19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't5'!$J$15:$J$19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't5'!$B$15:$B$19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't5'!$I$15:$I$19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61-475C-9FF2-1BA8984B6D39}"/>
            </c:ext>
          </c:extLst>
        </c:ser>
        <c:ser>
          <c:idx val="1"/>
          <c:order val="1"/>
          <c:tx>
            <c:strRef>
              <c:f>'t5'!$A$21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't5'!$J$23:$J$27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't5'!$J$23:$J$27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't5'!$B$23:$B$27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't5'!$I$23:$I$27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61-475C-9FF2-1BA8984B6D39}"/>
            </c:ext>
          </c:extLst>
        </c:ser>
        <c:ser>
          <c:idx val="2"/>
          <c:order val="2"/>
          <c:tx>
            <c:strRef>
              <c:f>'t5'!$A$29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B9B"/>
              </a:solidFill>
              <a:ln w="9525">
                <a:solidFill>
                  <a:srgbClr val="FF717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't5'!$J$31:$J$35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't5'!$J$31:$J$35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't5'!$B$31:$B$35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't5'!$I$31:$I$35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61-475C-9FF2-1BA8984B6D39}"/>
            </c:ext>
          </c:extLst>
        </c:ser>
        <c:ser>
          <c:idx val="4"/>
          <c:order val="3"/>
          <c:tx>
            <c:strRef>
              <c:f>'t5'!$A$37</c:f>
              <c:strCache>
                <c:ptCount val="1"/>
                <c:pt idx="0">
                  <c:v>PC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't5'!$B$39:$B$43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't5'!$D$39:$D$43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61-475C-9FF2-1BA8984B6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77056"/>
        <c:axId val="130080128"/>
      </c:scatterChart>
      <c:valAx>
        <c:axId val="130077056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0080128"/>
        <c:crosses val="autoZero"/>
        <c:crossBetween val="midCat"/>
      </c:valAx>
      <c:valAx>
        <c:axId val="130080128"/>
        <c:scaling>
          <c:orientation val="minMax"/>
          <c:max val="100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aseline="0"/>
                  <a:t>Peptide Depletion [%]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007705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6087376719482"/>
          <c:y val="0.31908137645842566"/>
          <c:w val="0.20537627908984932"/>
          <c:h val="0.4127781447961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't6'!$A$13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't6'!$J$15:$J$19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't6'!$J$15:$J$19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't6'!$B$15:$B$19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't6'!$I$15:$I$19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37-401B-A145-723675DE08FC}"/>
            </c:ext>
          </c:extLst>
        </c:ser>
        <c:ser>
          <c:idx val="1"/>
          <c:order val="1"/>
          <c:tx>
            <c:strRef>
              <c:f>'t6'!$A$21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't6'!$J$23:$J$27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't6'!$J$23:$J$27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't6'!$B$23:$B$27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't6'!$I$23:$I$27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37-401B-A145-723675DE08FC}"/>
            </c:ext>
          </c:extLst>
        </c:ser>
        <c:ser>
          <c:idx val="2"/>
          <c:order val="2"/>
          <c:tx>
            <c:strRef>
              <c:f>'t6'!$A$29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B9B"/>
              </a:solidFill>
              <a:ln w="9525">
                <a:solidFill>
                  <a:srgbClr val="FF717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't6'!$J$31:$J$35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't6'!$J$31:$J$35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't6'!$B$31:$B$35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't6'!$I$31:$I$35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37-401B-A145-723675DE08FC}"/>
            </c:ext>
          </c:extLst>
        </c:ser>
        <c:ser>
          <c:idx val="4"/>
          <c:order val="3"/>
          <c:tx>
            <c:strRef>
              <c:f>'t6'!$A$37</c:f>
              <c:strCache>
                <c:ptCount val="1"/>
                <c:pt idx="0">
                  <c:v>PC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't6'!$B$39:$B$43</c:f>
              <c:numCache>
                <c:formatCode>0.00</c:formatCode>
                <c:ptCount val="5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 formatCode="0.0">
                  <c:v>2.5</c:v>
                </c:pt>
                <c:pt idx="4" formatCode="0.0">
                  <c:v>5</c:v>
                </c:pt>
              </c:numCache>
            </c:numRef>
          </c:xVal>
          <c:yVal>
            <c:numRef>
              <c:f>'t6'!$D$39:$D$43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37-401B-A145-723675DE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83648"/>
        <c:axId val="168364288"/>
      </c:scatterChart>
      <c:valAx>
        <c:axId val="167483648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364288"/>
        <c:crosses val="autoZero"/>
        <c:crossBetween val="midCat"/>
      </c:valAx>
      <c:valAx>
        <c:axId val="168364288"/>
        <c:scaling>
          <c:orientation val="minMax"/>
          <c:max val="100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aseline="0"/>
                  <a:t>Peptide Depletion [%]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48364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6087376719482"/>
          <c:y val="0.31908137645842566"/>
          <c:w val="0.20537627908984932"/>
          <c:h val="0.41277814479611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09571604671024"/>
          <c:y val="6.5476159788076596E-2"/>
          <c:w val="0.64305342778211261"/>
          <c:h val="0.69524854928358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'Evaluation (Subst. A)'!$C$25</c:f>
              <c:strCache>
                <c:ptCount val="1"/>
                <c:pt idx="0">
                  <c:v>k obs [mM^-1]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A)'!$B$26:$B$31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90</c:v>
                </c:pt>
                <c:pt idx="3">
                  <c:v>150</c:v>
                </c:pt>
                <c:pt idx="4">
                  <c:v>210</c:v>
                </c:pt>
              </c:numCache>
            </c:numRef>
          </c:xVal>
          <c:yVal>
            <c:numRef>
              <c:f>'Evaluation (Subst. A)'!$C$26:$C$31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5-4B5F-8945-02DC5249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13344"/>
        <c:axId val="181081600"/>
      </c:scatterChart>
      <c:valAx>
        <c:axId val="179113344"/>
        <c:scaling>
          <c:orientation val="minMax"/>
          <c:max val="2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081600"/>
        <c:crosses val="autoZero"/>
        <c:crossBetween val="midCat"/>
        <c:majorUnit val="30"/>
        <c:minorUnit val="30"/>
      </c:valAx>
      <c:valAx>
        <c:axId val="18108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11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45628366100806"/>
          <c:y val="0.17634259259259263"/>
          <c:w val="0.71966015682551121"/>
          <c:h val="0.5593357275099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'Run specifications'!$D$10</c:f>
              <c:strCache>
                <c:ptCount val="1"/>
                <c:pt idx="0">
                  <c:v>10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'Evaluation (Subst. A)'!$D$16:$H$16</c:f>
              <c:numCache>
                <c:formatCode>0.0</c:formatCode>
                <c:ptCount val="5"/>
                <c:pt idx="0">
                  <c:v>5</c:v>
                </c:pt>
                <c:pt idx="1">
                  <c:v>2.5</c:v>
                </c:pt>
                <c:pt idx="2" formatCode="0.00">
                  <c:v>1.25</c:v>
                </c:pt>
                <c:pt idx="3" formatCode="0.000">
                  <c:v>0.625</c:v>
                </c:pt>
                <c:pt idx="4" formatCode="0.0000">
                  <c:v>0.3125</c:v>
                </c:pt>
              </c:numCache>
            </c:numRef>
          </c:xVal>
          <c:yVal>
            <c:numRef>
              <c:f>'Evaluation (Subst. A)'!$W$17:$AA$17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96-4023-BCCA-367A0BC62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03264"/>
        <c:axId val="183272192"/>
      </c:scatterChart>
      <c:valAx>
        <c:axId val="18180326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272192"/>
        <c:crosses val="autoZero"/>
        <c:crossBetween val="midCat"/>
      </c:valAx>
      <c:valAx>
        <c:axId val="18327219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8032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116417</xdr:rowOff>
    </xdr:from>
    <xdr:to>
      <xdr:col>4</xdr:col>
      <xdr:colOff>254000</xdr:colOff>
      <xdr:row>18</xdr:row>
      <xdr:rowOff>110067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C22BE1C-5A45-4333-8A63-316BBD3BB3EA}"/>
            </a:ext>
          </a:extLst>
        </xdr:cNvPr>
        <xdr:cNvSpPr txBox="1"/>
      </xdr:nvSpPr>
      <xdr:spPr>
        <a:xfrm>
          <a:off x="254000" y="3723217"/>
          <a:ext cx="3987800" cy="37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Please adjust information in yellow boxes!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581523</xdr:colOff>
      <xdr:row>21</xdr:row>
      <xdr:rowOff>2885</xdr:rowOff>
    </xdr:from>
    <xdr:to>
      <xdr:col>16</xdr:col>
      <xdr:colOff>755072</xdr:colOff>
      <xdr:row>38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14A5DFC-F259-4860-89C3-9018033A7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736023</xdr:colOff>
      <xdr:row>21</xdr:row>
      <xdr:rowOff>216477</xdr:rowOff>
    </xdr:from>
    <xdr:to>
      <xdr:col>15</xdr:col>
      <xdr:colOff>0</xdr:colOff>
      <xdr:row>22</xdr:row>
      <xdr:rowOff>43296</xdr:rowOff>
    </xdr:to>
    <xdr:sp macro="" textlink="'Run specifications'!D15">
      <xdr:nvSpPr>
        <xdr:cNvPr id="3" name="Textfeld 2">
          <a:extLst>
            <a:ext uri="{FF2B5EF4-FFF2-40B4-BE49-F238E27FC236}">
              <a16:creationId xmlns:a16="http://schemas.microsoft.com/office/drawing/2014/main" id="{C2BF438D-78E7-42AE-9EF9-CC213DD2C0EA}"/>
            </a:ext>
          </a:extLst>
        </xdr:cNvPr>
        <xdr:cNvSpPr txBox="1"/>
      </xdr:nvSpPr>
      <xdr:spPr>
        <a:xfrm>
          <a:off x="8689398" y="4045527"/>
          <a:ext cx="921327" cy="255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1088B03-D2F2-486E-B7C0-1D7D54590DF1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24 h</a:t>
          </a:fld>
          <a:endParaRPr lang="de-D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122873</xdr:rowOff>
    </xdr:from>
    <xdr:to>
      <xdr:col>3</xdr:col>
      <xdr:colOff>677545</xdr:colOff>
      <xdr:row>45</xdr:row>
      <xdr:rowOff>122873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0E9F4E6-F1BA-47EB-8CAD-9324E9B8D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576263</xdr:colOff>
      <xdr:row>44</xdr:row>
      <xdr:rowOff>6350</xdr:rowOff>
    </xdr:from>
    <xdr:to>
      <xdr:col>2</xdr:col>
      <xdr:colOff>689293</xdr:colOff>
      <xdr:row>45</xdr:row>
      <xdr:rowOff>117475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87C987F-BB91-4940-9222-C8C1104E8FBD}"/>
            </a:ext>
          </a:extLst>
        </xdr:cNvPr>
        <xdr:cNvSpPr txBox="1"/>
      </xdr:nvSpPr>
      <xdr:spPr>
        <a:xfrm>
          <a:off x="1217613" y="5403850"/>
          <a:ext cx="75438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/>
            <a:t>time[min]</a:t>
          </a:r>
          <a:endParaRPr lang="de-DE" sz="1100"/>
        </a:p>
      </xdr:txBody>
    </xdr:sp>
    <xdr:clientData/>
  </xdr:twoCellAnchor>
  <xdr:twoCellAnchor>
    <xdr:from>
      <xdr:col>10</xdr:col>
      <xdr:colOff>69850</xdr:colOff>
      <xdr:row>1</xdr:row>
      <xdr:rowOff>57150</xdr:rowOff>
    </xdr:from>
    <xdr:to>
      <xdr:col>14</xdr:col>
      <xdr:colOff>558800</xdr:colOff>
      <xdr:row>19</xdr:row>
      <xdr:rowOff>114300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2F7B4D5-AA6D-4DD0-B989-987E11F83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12700</xdr:colOff>
      <xdr:row>1</xdr:row>
      <xdr:rowOff>57150</xdr:rowOff>
    </xdr:from>
    <xdr:to>
      <xdr:col>19</xdr:col>
      <xdr:colOff>501650</xdr:colOff>
      <xdr:row>19</xdr:row>
      <xdr:rowOff>114300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CF1B3F72-ABEC-4D1D-B97E-86D47D9EE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63500</xdr:colOff>
      <xdr:row>20</xdr:row>
      <xdr:rowOff>25400</xdr:rowOff>
    </xdr:from>
    <xdr:to>
      <xdr:col>14</xdr:col>
      <xdr:colOff>552450</xdr:colOff>
      <xdr:row>38</xdr:row>
      <xdr:rowOff>69850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31EC8C97-34DC-4CC2-8999-B371A47D2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6350</xdr:colOff>
      <xdr:row>20</xdr:row>
      <xdr:rowOff>25400</xdr:rowOff>
    </xdr:from>
    <xdr:to>
      <xdr:col>19</xdr:col>
      <xdr:colOff>495300</xdr:colOff>
      <xdr:row>38</xdr:row>
      <xdr:rowOff>69850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48677C2E-1E4C-42EA-95BD-795D33EB6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69850</xdr:colOff>
      <xdr:row>39</xdr:row>
      <xdr:rowOff>0</xdr:rowOff>
    </xdr:from>
    <xdr:to>
      <xdr:col>14</xdr:col>
      <xdr:colOff>558800</xdr:colOff>
      <xdr:row>56</xdr:row>
      <xdr:rowOff>31750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F29127A2-CC87-438F-A515-01BE1AB52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39</xdr:row>
      <xdr:rowOff>7937</xdr:rowOff>
    </xdr:from>
    <xdr:to>
      <xdr:col>19</xdr:col>
      <xdr:colOff>488950</xdr:colOff>
      <xdr:row>56</xdr:row>
      <xdr:rowOff>39687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ED707384-8C21-4346-BF46-3A11A29A4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0.06994</cdr:y>
    </cdr:from>
    <cdr:to>
      <cdr:x>0.08011</cdr:x>
      <cdr:y>0.72842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880F93C-6D15-4554-8F2C-7FDC908166E7}"/>
            </a:ext>
          </a:extLst>
        </cdr:cNvPr>
        <cdr:cNvSpPr txBox="1"/>
      </cdr:nvSpPr>
      <cdr:spPr>
        <a:xfrm xmlns:a="http://schemas.openxmlformats.org/drawingml/2006/main">
          <a:off x="0" y="149227"/>
          <a:ext cx="230187" cy="1404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de-DE" sz="1050"/>
            <a:t>k observed [mM</a:t>
          </a:r>
          <a:r>
            <a:rPr lang="de-DE" sz="1050" baseline="30000"/>
            <a:t>-1</a:t>
          </a:r>
          <a:r>
            <a:rPr lang="de-DE" sz="1050"/>
            <a:t>]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953</xdr:rowOff>
    </xdr:from>
    <xdr:to>
      <xdr:col>3</xdr:col>
      <xdr:colOff>708025</xdr:colOff>
      <xdr:row>46</xdr:row>
      <xdr:rowOff>953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F97E678-DACA-4E59-A79D-09104B40F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576263</xdr:colOff>
      <xdr:row>44</xdr:row>
      <xdr:rowOff>6350</xdr:rowOff>
    </xdr:from>
    <xdr:to>
      <xdr:col>2</xdr:col>
      <xdr:colOff>689293</xdr:colOff>
      <xdr:row>45</xdr:row>
      <xdr:rowOff>117475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D9559C7-C37F-4FE2-91AC-C4244ABCBBC2}"/>
            </a:ext>
          </a:extLst>
        </xdr:cNvPr>
        <xdr:cNvSpPr txBox="1"/>
      </xdr:nvSpPr>
      <xdr:spPr>
        <a:xfrm>
          <a:off x="1216343" y="5485130"/>
          <a:ext cx="753110" cy="24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/>
            <a:t>time[min]</a:t>
          </a:r>
          <a:endParaRPr lang="de-DE" sz="1100"/>
        </a:p>
      </xdr:txBody>
    </xdr:sp>
    <xdr:clientData/>
  </xdr:twoCellAnchor>
  <xdr:twoCellAnchor>
    <xdr:from>
      <xdr:col>15</xdr:col>
      <xdr:colOff>12700</xdr:colOff>
      <xdr:row>1</xdr:row>
      <xdr:rowOff>57150</xdr:rowOff>
    </xdr:from>
    <xdr:to>
      <xdr:col>19</xdr:col>
      <xdr:colOff>501650</xdr:colOff>
      <xdr:row>19</xdr:row>
      <xdr:rowOff>114300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9246E39-FC90-493F-841A-290D8B95D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63500</xdr:colOff>
      <xdr:row>20</xdr:row>
      <xdr:rowOff>25400</xdr:rowOff>
    </xdr:from>
    <xdr:to>
      <xdr:col>14</xdr:col>
      <xdr:colOff>552450</xdr:colOff>
      <xdr:row>38</xdr:row>
      <xdr:rowOff>69850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9434704-F27E-431C-B7B1-2C2C47D58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6350</xdr:colOff>
      <xdr:row>20</xdr:row>
      <xdr:rowOff>25400</xdr:rowOff>
    </xdr:from>
    <xdr:to>
      <xdr:col>19</xdr:col>
      <xdr:colOff>495300</xdr:colOff>
      <xdr:row>38</xdr:row>
      <xdr:rowOff>69850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8EE76ECF-0114-49E3-BF04-9FFB574F6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69850</xdr:colOff>
      <xdr:row>39</xdr:row>
      <xdr:rowOff>0</xdr:rowOff>
    </xdr:from>
    <xdr:to>
      <xdr:col>14</xdr:col>
      <xdr:colOff>558800</xdr:colOff>
      <xdr:row>56</xdr:row>
      <xdr:rowOff>31750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C7D3F5BA-5361-4BFA-9095-8261A22DA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53788</xdr:colOff>
      <xdr:row>39</xdr:row>
      <xdr:rowOff>35858</xdr:rowOff>
    </xdr:from>
    <xdr:to>
      <xdr:col>19</xdr:col>
      <xdr:colOff>542738</xdr:colOff>
      <xdr:row>56</xdr:row>
      <xdr:rowOff>67608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FCCE84CD-19DC-4DF3-A5D7-A9612D135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57150</xdr:colOff>
      <xdr:row>1</xdr:row>
      <xdr:rowOff>57150</xdr:rowOff>
    </xdr:from>
    <xdr:to>
      <xdr:col>14</xdr:col>
      <xdr:colOff>546100</xdr:colOff>
      <xdr:row>19</xdr:row>
      <xdr:rowOff>114300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66CAF931-3309-4DF5-9258-01B3DA7E7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11947</xdr:colOff>
      <xdr:row>21</xdr:row>
      <xdr:rowOff>33673</xdr:rowOff>
    </xdr:from>
    <xdr:to>
      <xdr:col>16</xdr:col>
      <xdr:colOff>762769</xdr:colOff>
      <xdr:row>38</xdr:row>
      <xdr:rowOff>106988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0.06994</cdr:y>
    </cdr:from>
    <cdr:to>
      <cdr:x>0.08011</cdr:x>
      <cdr:y>0.72842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880F93C-6D15-4554-8F2C-7FDC908166E7}"/>
            </a:ext>
          </a:extLst>
        </cdr:cNvPr>
        <cdr:cNvSpPr txBox="1"/>
      </cdr:nvSpPr>
      <cdr:spPr>
        <a:xfrm xmlns:a="http://schemas.openxmlformats.org/drawingml/2006/main">
          <a:off x="0" y="149227"/>
          <a:ext cx="230187" cy="1404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de-DE" sz="1050"/>
            <a:t>k observed [mM</a:t>
          </a:r>
          <a:r>
            <a:rPr lang="de-DE" sz="1050" baseline="30000"/>
            <a:t>-1</a:t>
          </a:r>
          <a:r>
            <a:rPr lang="de-DE" sz="1050"/>
            <a:t>]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5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  <cdr:relSizeAnchor xmlns:cdr="http://schemas.openxmlformats.org/drawingml/2006/chartDrawing">
    <cdr:from>
      <cdr:x>0.41454</cdr:x>
      <cdr:y>0.03261</cdr:y>
    </cdr:from>
    <cdr:to>
      <cdr:x>0.62083</cdr:x>
      <cdr:y>0.13043</cdr:y>
    </cdr:to>
    <cdr:sp macro="" textlink="'Run specifications'!$D$11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1F836435-389D-49AF-ABC3-399281B2EEBC}"/>
            </a:ext>
          </a:extLst>
        </cdr:cNvPr>
        <cdr:cNvSpPr txBox="1"/>
      </cdr:nvSpPr>
      <cdr:spPr>
        <a:xfrm xmlns:a="http://schemas.openxmlformats.org/drawingml/2006/main">
          <a:off x="1339850" y="85725"/>
          <a:ext cx="6667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5BE423E-8656-497C-B778-EFC3D930C143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30 min</a:t>
          </a:fld>
          <a:endParaRPr lang="de-DE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5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5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7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9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11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121920</xdr:rowOff>
    </xdr:from>
    <xdr:to>
      <xdr:col>3</xdr:col>
      <xdr:colOff>708025</xdr:colOff>
      <xdr:row>46</xdr:row>
      <xdr:rowOff>121920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ACA5BEF-70B5-4FBE-8796-96BA03F86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576263</xdr:colOff>
      <xdr:row>45</xdr:row>
      <xdr:rowOff>6350</xdr:rowOff>
    </xdr:from>
    <xdr:to>
      <xdr:col>2</xdr:col>
      <xdr:colOff>689293</xdr:colOff>
      <xdr:row>46</xdr:row>
      <xdr:rowOff>117475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395DFAF-C868-4442-95CA-81B2D70B8867}"/>
            </a:ext>
          </a:extLst>
        </xdr:cNvPr>
        <xdr:cNvSpPr txBox="1"/>
      </xdr:nvSpPr>
      <xdr:spPr>
        <a:xfrm>
          <a:off x="1216343" y="5485130"/>
          <a:ext cx="753110" cy="24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/>
            <a:t>time[min]</a:t>
          </a:r>
          <a:endParaRPr lang="de-DE" sz="1100"/>
        </a:p>
      </xdr:txBody>
    </xdr:sp>
    <xdr:clientData/>
  </xdr:twoCellAnchor>
  <xdr:twoCellAnchor>
    <xdr:from>
      <xdr:col>10</xdr:col>
      <xdr:colOff>69850</xdr:colOff>
      <xdr:row>1</xdr:row>
      <xdr:rowOff>57150</xdr:rowOff>
    </xdr:from>
    <xdr:to>
      <xdr:col>14</xdr:col>
      <xdr:colOff>558800</xdr:colOff>
      <xdr:row>19</xdr:row>
      <xdr:rowOff>114300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08DE8CB-5E7E-4C4F-AF5D-CDED11B86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12700</xdr:colOff>
      <xdr:row>1</xdr:row>
      <xdr:rowOff>57150</xdr:rowOff>
    </xdr:from>
    <xdr:to>
      <xdr:col>19</xdr:col>
      <xdr:colOff>501650</xdr:colOff>
      <xdr:row>19</xdr:row>
      <xdr:rowOff>114300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CF01F9D-38D9-4DB4-BB5E-BE3C6FAC0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63500</xdr:colOff>
      <xdr:row>20</xdr:row>
      <xdr:rowOff>25400</xdr:rowOff>
    </xdr:from>
    <xdr:to>
      <xdr:col>14</xdr:col>
      <xdr:colOff>552450</xdr:colOff>
      <xdr:row>39</xdr:row>
      <xdr:rowOff>69850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E6C444C2-B42C-4AC5-8296-50C85D717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6350</xdr:colOff>
      <xdr:row>20</xdr:row>
      <xdr:rowOff>25400</xdr:rowOff>
    </xdr:from>
    <xdr:to>
      <xdr:col>19</xdr:col>
      <xdr:colOff>495300</xdr:colOff>
      <xdr:row>39</xdr:row>
      <xdr:rowOff>69850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688B7650-4337-4621-AA40-752625AD1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69850</xdr:colOff>
      <xdr:row>40</xdr:row>
      <xdr:rowOff>0</xdr:rowOff>
    </xdr:from>
    <xdr:to>
      <xdr:col>14</xdr:col>
      <xdr:colOff>558800</xdr:colOff>
      <xdr:row>57</xdr:row>
      <xdr:rowOff>31750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483E0870-EAF1-4C1C-85C5-53EC679C4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674687</xdr:colOff>
      <xdr:row>40</xdr:row>
      <xdr:rowOff>7937</xdr:rowOff>
    </xdr:from>
    <xdr:to>
      <xdr:col>19</xdr:col>
      <xdr:colOff>481012</xdr:colOff>
      <xdr:row>57</xdr:row>
      <xdr:rowOff>39687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7BAC6DF6-81FC-4EAB-BC96-784E737F0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0.06994</cdr:y>
    </cdr:from>
    <cdr:to>
      <cdr:x>0.08011</cdr:x>
      <cdr:y>0.72842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880F93C-6D15-4554-8F2C-7FDC908166E7}"/>
            </a:ext>
          </a:extLst>
        </cdr:cNvPr>
        <cdr:cNvSpPr txBox="1"/>
      </cdr:nvSpPr>
      <cdr:spPr>
        <a:xfrm xmlns:a="http://schemas.openxmlformats.org/drawingml/2006/main">
          <a:off x="0" y="149227"/>
          <a:ext cx="230187" cy="1404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de-DE" sz="1050"/>
            <a:t>k observed [mM</a:t>
          </a:r>
          <a:r>
            <a:rPr lang="de-DE" sz="1050" baseline="30000"/>
            <a:t>-1</a:t>
          </a:r>
          <a:r>
            <a:rPr lang="de-DE" sz="1050"/>
            <a:t>]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0.4176</cdr:x>
      <cdr:y>0.04412</cdr:y>
    </cdr:from>
    <cdr:to>
      <cdr:x>0.65995</cdr:x>
      <cdr:y>0.17896</cdr:y>
    </cdr:to>
    <cdr:sp macro="" textlink="'Run specifications'!$D$10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B8FB36D4-9B1F-44EE-9357-980A2CCB78B9}"/>
            </a:ext>
          </a:extLst>
        </cdr:cNvPr>
        <cdr:cNvSpPr txBox="1"/>
      </cdr:nvSpPr>
      <cdr:spPr>
        <a:xfrm xmlns:a="http://schemas.openxmlformats.org/drawingml/2006/main">
          <a:off x="1894977" y="152978"/>
          <a:ext cx="1099705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E117EC3-5AF1-4A31-AE9C-033BD81A7EFA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10 min</a:t>
          </a:fld>
          <a:endParaRPr lang="de-DE" sz="11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3</xdr:col>
      <xdr:colOff>708025</xdr:colOff>
      <xdr:row>47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C1B91A-8ED8-4ACA-9543-4FDCE74BB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</xdr:row>
      <xdr:rowOff>12700</xdr:rowOff>
    </xdr:from>
    <xdr:to>
      <xdr:col>14</xdr:col>
      <xdr:colOff>508000</xdr:colOff>
      <xdr:row>19</xdr:row>
      <xdr:rowOff>69850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1A50356-4DFB-44AF-8351-B425631F8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539750</xdr:colOff>
      <xdr:row>1</xdr:row>
      <xdr:rowOff>6350</xdr:rowOff>
    </xdr:from>
    <xdr:to>
      <xdr:col>19</xdr:col>
      <xdr:colOff>387350</xdr:colOff>
      <xdr:row>19</xdr:row>
      <xdr:rowOff>63500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23919C7-BA98-4FE5-B8A4-15F41F2CE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20637</xdr:colOff>
      <xdr:row>19</xdr:row>
      <xdr:rowOff>96838</xdr:rowOff>
    </xdr:from>
    <xdr:to>
      <xdr:col>14</xdr:col>
      <xdr:colOff>509587</xdr:colOff>
      <xdr:row>39</xdr:row>
      <xdr:rowOff>26988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D0A7C84A-DD1B-4817-B449-2ACC643C8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533400</xdr:colOff>
      <xdr:row>19</xdr:row>
      <xdr:rowOff>95250</xdr:rowOff>
    </xdr:from>
    <xdr:to>
      <xdr:col>19</xdr:col>
      <xdr:colOff>381000</xdr:colOff>
      <xdr:row>39</xdr:row>
      <xdr:rowOff>25400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6E5A8C34-E61A-4041-B37A-9CC286FCC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19050</xdr:colOff>
      <xdr:row>39</xdr:row>
      <xdr:rowOff>38100</xdr:rowOff>
    </xdr:from>
    <xdr:to>
      <xdr:col>14</xdr:col>
      <xdr:colOff>508000</xdr:colOff>
      <xdr:row>56</xdr:row>
      <xdr:rowOff>69850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7C247BB-1DEF-4C5F-A35C-0DCD2F1B8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523875</xdr:colOff>
      <xdr:row>39</xdr:row>
      <xdr:rowOff>47625</xdr:rowOff>
    </xdr:from>
    <xdr:to>
      <xdr:col>19</xdr:col>
      <xdr:colOff>330200</xdr:colOff>
      <xdr:row>56</xdr:row>
      <xdr:rowOff>79375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BFB4F646-0079-450A-A3C3-9448040BA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0.06994</cdr:y>
    </cdr:from>
    <cdr:to>
      <cdr:x>0.08011</cdr:x>
      <cdr:y>0.72842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880F93C-6D15-4554-8F2C-7FDC908166E7}"/>
            </a:ext>
          </a:extLst>
        </cdr:cNvPr>
        <cdr:cNvSpPr txBox="1"/>
      </cdr:nvSpPr>
      <cdr:spPr>
        <a:xfrm xmlns:a="http://schemas.openxmlformats.org/drawingml/2006/main">
          <a:off x="0" y="149227"/>
          <a:ext cx="230187" cy="1404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de-DE" sz="1050"/>
            <a:t>k observed [mM</a:t>
          </a:r>
          <a:r>
            <a:rPr lang="de-DE" sz="1050" baseline="30000"/>
            <a:t>-1</a:t>
          </a:r>
          <a:r>
            <a:rPr lang="de-DE" sz="1050"/>
            <a:t>]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0.44936</cdr:x>
      <cdr:y>0.85333</cdr:y>
    </cdr:from>
    <cdr:to>
      <cdr:x>0.72596</cdr:x>
      <cdr:y>0.97833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395DFAF-C868-4442-95CA-81B2D70B8867}"/>
            </a:ext>
          </a:extLst>
        </cdr:cNvPr>
        <cdr:cNvSpPr txBox="1"/>
      </cdr:nvSpPr>
      <cdr:spPr>
        <a:xfrm xmlns:a="http://schemas.openxmlformats.org/drawingml/2006/main">
          <a:off x="1225550" y="1625600"/>
          <a:ext cx="75438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/>
            <a:t>time[min]</a:t>
          </a:r>
          <a:endParaRPr lang="de-DE" sz="11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11947</xdr:colOff>
      <xdr:row>21</xdr:row>
      <xdr:rowOff>33673</xdr:rowOff>
    </xdr:from>
    <xdr:to>
      <xdr:col>16</xdr:col>
      <xdr:colOff>762769</xdr:colOff>
      <xdr:row>38</xdr:row>
      <xdr:rowOff>106988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0.33472</cdr:x>
      <cdr:y>0.86686</cdr:y>
    </cdr:from>
    <cdr:to>
      <cdr:x>0.81705</cdr:x>
      <cdr:y>0.95467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1A3921E-C78C-497A-95A7-7382826C8684}"/>
            </a:ext>
          </a:extLst>
        </cdr:cNvPr>
        <cdr:cNvSpPr txBox="1"/>
      </cdr:nvSpPr>
      <cdr:spPr>
        <a:xfrm xmlns:a="http://schemas.openxmlformats.org/drawingml/2006/main">
          <a:off x="1022350" y="1943100"/>
          <a:ext cx="14732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concentration [mM]</a:t>
          </a:r>
        </a:p>
      </cdr:txBody>
    </cdr:sp>
  </cdr:relSizeAnchor>
  <cdr:relSizeAnchor xmlns:cdr="http://schemas.openxmlformats.org/drawingml/2006/chartDrawing">
    <cdr:from>
      <cdr:x>0.01247</cdr:x>
      <cdr:y>0.26912</cdr:y>
    </cdr:from>
    <cdr:to>
      <cdr:x>0.08732</cdr:x>
      <cdr:y>0.64873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86D37F-A6D6-4D6C-A290-190C2D63E04B}"/>
            </a:ext>
          </a:extLst>
        </cdr:cNvPr>
        <cdr:cNvSpPr txBox="1"/>
      </cdr:nvSpPr>
      <cdr:spPr>
        <a:xfrm xmlns:a="http://schemas.openxmlformats.org/drawingml/2006/main" rot="16200000">
          <a:off x="-273050" y="914400"/>
          <a:ext cx="850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50"/>
            <a:t>ln(100-dp)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0.4176</cdr:x>
      <cdr:y>0.04412</cdr:y>
    </cdr:from>
    <cdr:to>
      <cdr:x>0.65995</cdr:x>
      <cdr:y>0.17896</cdr:y>
    </cdr:to>
    <cdr:sp macro="" textlink="'Run specifications'!$D$10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B8FB36D4-9B1F-44EE-9357-980A2CCB78B9}"/>
            </a:ext>
          </a:extLst>
        </cdr:cNvPr>
        <cdr:cNvSpPr txBox="1"/>
      </cdr:nvSpPr>
      <cdr:spPr>
        <a:xfrm xmlns:a="http://schemas.openxmlformats.org/drawingml/2006/main">
          <a:off x="1894977" y="152978"/>
          <a:ext cx="1099705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E117EC3-5AF1-4A31-AE9C-033BD81A7EFA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10 min</a:t>
          </a:fld>
          <a:endParaRPr lang="de-D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581523</xdr:colOff>
      <xdr:row>21</xdr:row>
      <xdr:rowOff>2885</xdr:rowOff>
    </xdr:from>
    <xdr:to>
      <xdr:col>16</xdr:col>
      <xdr:colOff>755072</xdr:colOff>
      <xdr:row>38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A6CAB4F-F81E-488B-BFFE-926BBE0D6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614797</xdr:colOff>
      <xdr:row>21</xdr:row>
      <xdr:rowOff>233795</xdr:rowOff>
    </xdr:from>
    <xdr:to>
      <xdr:col>14</xdr:col>
      <xdr:colOff>753342</xdr:colOff>
      <xdr:row>23</xdr:row>
      <xdr:rowOff>25977</xdr:rowOff>
    </xdr:to>
    <xdr:sp macro="" textlink="'Run specifications'!D11">
      <xdr:nvSpPr>
        <xdr:cNvPr id="3" name="Textfeld 2">
          <a:extLst>
            <a:ext uri="{FF2B5EF4-FFF2-40B4-BE49-F238E27FC236}">
              <a16:creationId xmlns:a16="http://schemas.microsoft.com/office/drawing/2014/main" id="{C9B4A16F-560E-4330-AF2C-21D31E4EDCAE}"/>
            </a:ext>
          </a:extLst>
        </xdr:cNvPr>
        <xdr:cNvSpPr txBox="1"/>
      </xdr:nvSpPr>
      <xdr:spPr>
        <a:xfrm>
          <a:off x="8624456" y="4113068"/>
          <a:ext cx="969818" cy="3723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83CED25-70E1-499C-9801-90DF4D938F68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30 min</a:t>
          </a:fld>
          <a:endParaRPr lang="de-D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581523</xdr:colOff>
      <xdr:row>21</xdr:row>
      <xdr:rowOff>2885</xdr:rowOff>
    </xdr:from>
    <xdr:to>
      <xdr:col>16</xdr:col>
      <xdr:colOff>755072</xdr:colOff>
      <xdr:row>38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EC9BBC5-9CAB-43DA-B84B-AD48F69DC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736023</xdr:colOff>
      <xdr:row>21</xdr:row>
      <xdr:rowOff>199159</xdr:rowOff>
    </xdr:from>
    <xdr:to>
      <xdr:col>15</xdr:col>
      <xdr:colOff>216477</xdr:colOff>
      <xdr:row>22</xdr:row>
      <xdr:rowOff>8659</xdr:rowOff>
    </xdr:to>
    <xdr:sp macro="" textlink="'Run specifications'!D12">
      <xdr:nvSpPr>
        <xdr:cNvPr id="3" name="Textfeld 2">
          <a:extLst>
            <a:ext uri="{FF2B5EF4-FFF2-40B4-BE49-F238E27FC236}">
              <a16:creationId xmlns:a16="http://schemas.microsoft.com/office/drawing/2014/main" id="{F3138AB6-DB44-4BCC-A4AE-C41EC4D349AA}"/>
            </a:ext>
          </a:extLst>
        </xdr:cNvPr>
        <xdr:cNvSpPr txBox="1"/>
      </xdr:nvSpPr>
      <xdr:spPr>
        <a:xfrm>
          <a:off x="8745682" y="4078432"/>
          <a:ext cx="1143000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748F15-31CA-4003-B55A-65020B14B139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90 min</a:t>
          </a:fld>
          <a:endParaRPr lang="de-D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581523</xdr:colOff>
      <xdr:row>21</xdr:row>
      <xdr:rowOff>2885</xdr:rowOff>
    </xdr:from>
    <xdr:to>
      <xdr:col>16</xdr:col>
      <xdr:colOff>755072</xdr:colOff>
      <xdr:row>38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49F41BE-9573-49F7-92D1-E5A833DAF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580159</xdr:colOff>
      <xdr:row>21</xdr:row>
      <xdr:rowOff>147204</xdr:rowOff>
    </xdr:from>
    <xdr:to>
      <xdr:col>15</xdr:col>
      <xdr:colOff>666750</xdr:colOff>
      <xdr:row>22</xdr:row>
      <xdr:rowOff>25978</xdr:rowOff>
    </xdr:to>
    <xdr:sp macro="" textlink="'Run specifications'!D13">
      <xdr:nvSpPr>
        <xdr:cNvPr id="3" name="Textfeld 2">
          <a:extLst>
            <a:ext uri="{FF2B5EF4-FFF2-40B4-BE49-F238E27FC236}">
              <a16:creationId xmlns:a16="http://schemas.microsoft.com/office/drawing/2014/main" id="{CF84B5CA-02F6-4629-8CCA-E1F536AF0950}"/>
            </a:ext>
          </a:extLst>
        </xdr:cNvPr>
        <xdr:cNvSpPr txBox="1"/>
      </xdr:nvSpPr>
      <xdr:spPr>
        <a:xfrm>
          <a:off x="8589818" y="4026477"/>
          <a:ext cx="174913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B3DB570-C9BA-4589-A36A-37E9CDCDED74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150 min</a:t>
          </a:fld>
          <a:endParaRPr lang="de-D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581523</xdr:colOff>
      <xdr:row>21</xdr:row>
      <xdr:rowOff>2885</xdr:rowOff>
    </xdr:from>
    <xdr:to>
      <xdr:col>16</xdr:col>
      <xdr:colOff>755072</xdr:colOff>
      <xdr:row>38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1CD182E-40D3-4665-951F-B6EDDFF2F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736023</xdr:colOff>
      <xdr:row>21</xdr:row>
      <xdr:rowOff>216477</xdr:rowOff>
    </xdr:from>
    <xdr:to>
      <xdr:col>15</xdr:col>
      <xdr:colOff>0</xdr:colOff>
      <xdr:row>22</xdr:row>
      <xdr:rowOff>43296</xdr:rowOff>
    </xdr:to>
    <xdr:sp macro="" textlink="'Run specifications'!D14">
      <xdr:nvSpPr>
        <xdr:cNvPr id="3" name="Textfeld 2">
          <a:extLst>
            <a:ext uri="{FF2B5EF4-FFF2-40B4-BE49-F238E27FC236}">
              <a16:creationId xmlns:a16="http://schemas.microsoft.com/office/drawing/2014/main" id="{712137A6-D52E-4E22-820D-FD41B63AD82F}"/>
            </a:ext>
          </a:extLst>
        </xdr:cNvPr>
        <xdr:cNvSpPr txBox="1"/>
      </xdr:nvSpPr>
      <xdr:spPr>
        <a:xfrm>
          <a:off x="8745682" y="4095750"/>
          <a:ext cx="926523" cy="259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E669485-7754-4EED-A328-BE46305BC9FB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210 min</a:t>
          </a:fld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view="pageBreakPreview" zoomScale="90" zoomScaleNormal="100" zoomScaleSheetLayoutView="90" workbookViewId="0"/>
  </sheetViews>
  <sheetFormatPr defaultColWidth="11.44140625" defaultRowHeight="10" x14ac:dyDescent="0.2"/>
  <cols>
    <col min="1" max="1" width="4.6640625" style="120" customWidth="1"/>
    <col min="2" max="2" width="7.77734375" style="120" customWidth="1"/>
    <col min="3" max="3" width="19.44140625" style="120" customWidth="1"/>
    <col min="4" max="4" width="42.6640625" style="120" customWidth="1"/>
    <col min="5" max="5" width="8.33203125" style="120" customWidth="1"/>
    <col min="6" max="6" width="11.77734375" style="120" bestFit="1" customWidth="1"/>
    <col min="7" max="7" width="13.77734375" style="120" customWidth="1"/>
    <col min="8" max="8" width="16.44140625" style="120" customWidth="1"/>
    <col min="9" max="9" width="15" style="120" bestFit="1" customWidth="1"/>
    <col min="10" max="10" width="11.44140625" style="120"/>
    <col min="11" max="11" width="15" style="120" bestFit="1" customWidth="1"/>
    <col min="12" max="12" width="11.44140625" style="120"/>
    <col min="13" max="14" width="13.44140625" style="120" customWidth="1"/>
    <col min="15" max="16384" width="11.44140625" style="120"/>
  </cols>
  <sheetData>
    <row r="1" spans="2:14" ht="15.5" x14ac:dyDescent="0.35">
      <c r="B1" s="326" t="s">
        <v>61</v>
      </c>
      <c r="C1" s="327"/>
      <c r="D1" s="195"/>
      <c r="F1" s="326" t="s">
        <v>138</v>
      </c>
      <c r="I1" s="193"/>
      <c r="J1" s="326" t="s">
        <v>139</v>
      </c>
      <c r="K1" s="193"/>
    </row>
    <row r="2" spans="2:14" ht="71" x14ac:dyDescent="0.3">
      <c r="B2" s="328"/>
      <c r="C2" s="329" t="s">
        <v>52</v>
      </c>
      <c r="D2" s="328" t="s">
        <v>141</v>
      </c>
      <c r="E2" s="330" t="s">
        <v>53</v>
      </c>
      <c r="F2" s="331" t="s">
        <v>54</v>
      </c>
      <c r="G2" s="332" t="s">
        <v>55</v>
      </c>
      <c r="H2" s="331" t="s">
        <v>56</v>
      </c>
      <c r="I2" s="331" t="s">
        <v>99</v>
      </c>
      <c r="J2" s="332" t="s">
        <v>60</v>
      </c>
      <c r="K2" s="328" t="s">
        <v>41</v>
      </c>
      <c r="L2" s="333" t="s">
        <v>57</v>
      </c>
      <c r="M2" s="334" t="s">
        <v>58</v>
      </c>
      <c r="N2" s="334" t="s">
        <v>59</v>
      </c>
    </row>
    <row r="3" spans="2:14" ht="15.5" x14ac:dyDescent="0.2">
      <c r="B3" s="335" t="s">
        <v>32</v>
      </c>
      <c r="C3" s="315"/>
      <c r="D3" s="37" t="s">
        <v>159</v>
      </c>
      <c r="E3" s="38" t="s">
        <v>160</v>
      </c>
      <c r="F3" s="316" t="s">
        <v>161</v>
      </c>
      <c r="G3" s="32"/>
      <c r="H3" s="317" t="s">
        <v>162</v>
      </c>
      <c r="I3" s="316" t="s">
        <v>30</v>
      </c>
      <c r="J3" s="39">
        <v>0.99099999999999999</v>
      </c>
      <c r="K3" s="32" t="s">
        <v>163</v>
      </c>
      <c r="L3" s="32">
        <v>132.16</v>
      </c>
      <c r="M3" s="67">
        <f>IF(ISNUMBER(L3),L3*(I3/1000)*1000/(J3*1000),"n/a")</f>
        <v>2.667204843592331</v>
      </c>
      <c r="N3" s="67">
        <f>IF(ISNUMBER(L3),L3*(I3/1000)*1000/(J3*1000)*5,"n/a")</f>
        <v>13.336024217961654</v>
      </c>
    </row>
    <row r="4" spans="2:14" ht="15.5" x14ac:dyDescent="0.2">
      <c r="B4" s="335" t="s">
        <v>15</v>
      </c>
      <c r="C4" s="315"/>
      <c r="D4" s="37"/>
      <c r="E4" s="38"/>
      <c r="F4" s="316"/>
      <c r="G4" s="32"/>
      <c r="H4" s="317"/>
      <c r="I4" s="316" t="s">
        <v>30</v>
      </c>
      <c r="J4" s="39"/>
      <c r="K4" s="32" t="s">
        <v>163</v>
      </c>
      <c r="L4" s="32"/>
      <c r="M4" s="67" t="str">
        <f>IF(ISNUMBER(L4),L4*(I4/1000)*1000/(J4*1000),"n/a")</f>
        <v>n/a</v>
      </c>
      <c r="N4" s="67" t="str">
        <f>IF(ISNUMBER(L4),L4*(I4/1000)*1000/(J4*1000)*5,"n/a")</f>
        <v>n/a</v>
      </c>
    </row>
    <row r="5" spans="2:14" ht="15.5" x14ac:dyDescent="0.2">
      <c r="B5" s="335" t="s">
        <v>16</v>
      </c>
      <c r="C5" s="315"/>
      <c r="D5" s="37"/>
      <c r="E5" s="38"/>
      <c r="F5" s="316"/>
      <c r="G5" s="32"/>
      <c r="H5" s="317"/>
      <c r="I5" s="316" t="s">
        <v>30</v>
      </c>
      <c r="J5" s="39"/>
      <c r="K5" s="32" t="s">
        <v>163</v>
      </c>
      <c r="L5" s="32"/>
      <c r="M5" s="67" t="str">
        <f>IF(ISNUMBER(L5),L5*(I5/1000)*1000/(J5*1000),"n/a")</f>
        <v>n/a</v>
      </c>
      <c r="N5" s="67" t="str">
        <f>IF(ISNUMBER(L5),L5*(I5/1000)*1000/(J5*1000)*5,"n/a")</f>
        <v>n/a</v>
      </c>
    </row>
    <row r="6" spans="2:14" ht="15.5" x14ac:dyDescent="0.2">
      <c r="B6" s="335" t="s">
        <v>17</v>
      </c>
      <c r="C6" s="315"/>
      <c r="D6" s="37"/>
      <c r="E6" s="38"/>
      <c r="F6" s="316"/>
      <c r="G6" s="32"/>
      <c r="H6" s="317"/>
      <c r="I6" s="316" t="s">
        <v>30</v>
      </c>
      <c r="J6" s="39"/>
      <c r="K6" s="32" t="s">
        <v>163</v>
      </c>
      <c r="L6" s="32"/>
      <c r="M6" s="67" t="str">
        <f>IF(ISNUMBER(L6),L6*(I6/1000)*1000/(J6*1000),"n/a")</f>
        <v>n/a</v>
      </c>
      <c r="N6" s="67" t="str">
        <f>IF(ISNUMBER(L6),L6*(I6/1000)*1000/(J6*1000)*5,"n/a")</f>
        <v>n/a</v>
      </c>
    </row>
    <row r="8" spans="2:14" ht="15.5" x14ac:dyDescent="0.35">
      <c r="B8" s="336" t="s">
        <v>110</v>
      </c>
      <c r="C8" s="337"/>
      <c r="D8" s="338"/>
      <c r="E8" s="339" t="s">
        <v>125</v>
      </c>
      <c r="F8" s="337"/>
      <c r="G8" s="338"/>
    </row>
    <row r="9" spans="2:14" ht="15.5" x14ac:dyDescent="0.35">
      <c r="B9" s="340"/>
      <c r="C9" s="341" t="s">
        <v>86</v>
      </c>
      <c r="D9" s="342" t="s">
        <v>89</v>
      </c>
      <c r="E9" s="340"/>
      <c r="F9" s="355">
        <v>13.89</v>
      </c>
      <c r="G9" s="343"/>
    </row>
    <row r="10" spans="2:14" ht="15.5" x14ac:dyDescent="0.35">
      <c r="B10" s="344" t="s">
        <v>81</v>
      </c>
      <c r="C10" s="318">
        <v>10</v>
      </c>
      <c r="D10" s="319" t="s">
        <v>112</v>
      </c>
      <c r="I10" s="345"/>
    </row>
    <row r="11" spans="2:14" ht="15.5" x14ac:dyDescent="0.35">
      <c r="B11" s="346" t="s">
        <v>82</v>
      </c>
      <c r="C11" s="320">
        <v>30</v>
      </c>
      <c r="D11" s="321" t="s">
        <v>87</v>
      </c>
      <c r="I11" s="345"/>
    </row>
    <row r="12" spans="2:14" ht="15.5" x14ac:dyDescent="0.35">
      <c r="B12" s="347" t="s">
        <v>83</v>
      </c>
      <c r="C12" s="322">
        <v>90</v>
      </c>
      <c r="D12" s="323" t="s">
        <v>96</v>
      </c>
      <c r="I12" s="345"/>
    </row>
    <row r="13" spans="2:14" ht="15.5" x14ac:dyDescent="0.35">
      <c r="B13" s="347" t="s">
        <v>84</v>
      </c>
      <c r="C13" s="322">
        <v>150</v>
      </c>
      <c r="D13" s="323" t="s">
        <v>97</v>
      </c>
      <c r="I13" s="345"/>
    </row>
    <row r="14" spans="2:14" ht="15.5" x14ac:dyDescent="0.35">
      <c r="B14" s="347" t="s">
        <v>85</v>
      </c>
      <c r="C14" s="322">
        <v>210</v>
      </c>
      <c r="D14" s="323" t="s">
        <v>98</v>
      </c>
      <c r="I14" s="345"/>
    </row>
    <row r="15" spans="2:14" ht="15.5" x14ac:dyDescent="0.35">
      <c r="B15" s="348" t="s">
        <v>113</v>
      </c>
      <c r="C15" s="324">
        <v>1440</v>
      </c>
      <c r="D15" s="325" t="s">
        <v>88</v>
      </c>
    </row>
  </sheetData>
  <sheetProtection algorithmName="SHA-512" hashValue="ztp+DKYb9PMtgWXqjOeDbXVPtBmw/Y56csRC/ViCIvWtdE6xnoUwe3m4lLUSEzIhAcWNt9kHVgMOEofpV7MRYQ==" saltValue="WCGvdwMPJrkzePUJpQgGfQ==" spinCount="100000" sheet="1" objects="1" scenarios="1"/>
  <printOptions headings="1" gridLines="1"/>
  <pageMargins left="0.7" right="0.7" top="0.78740157499999996" bottom="0.78740157499999996" header="0.3" footer="0.3"/>
  <pageSetup paperSize="9" scale="80" fitToWidth="2" orientation="landscape" r:id="rId1"/>
  <headerFooter>
    <oddHeader>&amp;L&amp;F&amp;C&amp;A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BreakPreview" zoomScaleNormal="100" zoomScaleSheetLayoutView="100" workbookViewId="0"/>
  </sheetViews>
  <sheetFormatPr defaultColWidth="9.109375" defaultRowHeight="10" x14ac:dyDescent="0.2"/>
  <cols>
    <col min="1" max="1" width="9.109375" style="66"/>
    <col min="2" max="13" width="10.77734375" style="66" customWidth="1"/>
    <col min="14" max="17" width="14.44140625" style="66" customWidth="1"/>
    <col min="18" max="18" width="20.109375" style="66" customWidth="1"/>
    <col min="19" max="23" width="13" style="70" customWidth="1"/>
    <col min="24" max="16384" width="9.109375" style="66"/>
  </cols>
  <sheetData>
    <row r="1" spans="1:23" ht="11.5" x14ac:dyDescent="0.25">
      <c r="A1" s="126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W2" s="66"/>
    </row>
    <row r="3" spans="1:23" x14ac:dyDescent="0.2">
      <c r="A3" s="69"/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O3" s="72" t="s">
        <v>73</v>
      </c>
      <c r="W3" s="66"/>
    </row>
    <row r="4" spans="1:23" ht="13.5" customHeight="1" x14ac:dyDescent="0.2">
      <c r="A4" s="73" t="s">
        <v>15</v>
      </c>
      <c r="B4" s="356"/>
      <c r="C4" s="356"/>
      <c r="D4" s="357"/>
      <c r="E4" s="356"/>
      <c r="F4" s="356"/>
      <c r="G4" s="356"/>
      <c r="H4" s="356"/>
      <c r="I4" s="357"/>
      <c r="J4" s="357"/>
      <c r="K4" s="357"/>
      <c r="L4" s="357"/>
      <c r="M4" s="356"/>
      <c r="O4" s="72" t="s">
        <v>31</v>
      </c>
      <c r="P4" s="72" t="s">
        <v>1</v>
      </c>
      <c r="W4" s="66"/>
    </row>
    <row r="5" spans="1:23" ht="13.5" customHeight="1" x14ac:dyDescent="0.2">
      <c r="A5" s="73" t="s">
        <v>16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O5" s="176" t="e">
        <f>AVERAGE(B5:M5)</f>
        <v>#DIV/0!</v>
      </c>
      <c r="P5" s="176" t="e">
        <f>STDEV(B5:M5)</f>
        <v>#DIV/0!</v>
      </c>
      <c r="W5" s="66"/>
    </row>
    <row r="6" spans="1:23" ht="13.5" customHeight="1" x14ac:dyDescent="0.2">
      <c r="A6" s="73" t="s">
        <v>17</v>
      </c>
      <c r="B6" s="356"/>
      <c r="C6" s="357"/>
      <c r="D6" s="357"/>
      <c r="E6" s="357"/>
      <c r="F6" s="357"/>
      <c r="G6" s="357"/>
      <c r="H6" s="357"/>
      <c r="I6" s="357"/>
      <c r="J6" s="357"/>
      <c r="K6" s="358"/>
      <c r="L6" s="358"/>
      <c r="M6" s="358"/>
      <c r="O6" s="79" t="s">
        <v>74</v>
      </c>
      <c r="P6" s="69"/>
      <c r="W6" s="66"/>
    </row>
    <row r="7" spans="1:23" ht="13.5" customHeight="1" x14ac:dyDescent="0.2">
      <c r="A7" s="73" t="s">
        <v>18</v>
      </c>
      <c r="B7" s="356"/>
      <c r="C7" s="357"/>
      <c r="D7" s="357"/>
      <c r="E7" s="359"/>
      <c r="F7" s="357"/>
      <c r="G7" s="359"/>
      <c r="H7" s="357"/>
      <c r="I7" s="359"/>
      <c r="J7" s="359"/>
      <c r="K7" s="358"/>
      <c r="L7" s="358"/>
      <c r="M7" s="358"/>
      <c r="O7" s="79" t="s">
        <v>80</v>
      </c>
      <c r="P7" s="79" t="s">
        <v>1</v>
      </c>
      <c r="W7" s="66"/>
    </row>
    <row r="8" spans="1:23" ht="13.5" customHeight="1" x14ac:dyDescent="0.2">
      <c r="A8" s="73" t="s">
        <v>19</v>
      </c>
      <c r="B8" s="357"/>
      <c r="C8" s="357"/>
      <c r="D8" s="357"/>
      <c r="E8" s="360"/>
      <c r="F8" s="360"/>
      <c r="G8" s="359"/>
      <c r="H8" s="357"/>
      <c r="I8" s="360"/>
      <c r="J8" s="360"/>
      <c r="K8" s="358"/>
      <c r="L8" s="358"/>
      <c r="M8" s="358"/>
      <c r="N8" s="80"/>
      <c r="O8" s="177" t="e">
        <f>AVERAGE(B4:M4)-O5</f>
        <v>#DIV/0!</v>
      </c>
      <c r="P8" s="177" t="e">
        <f>STDEV(B4:M4)</f>
        <v>#DIV/0!</v>
      </c>
      <c r="W8" s="66"/>
    </row>
    <row r="9" spans="1:23" ht="13.5" customHeight="1" x14ac:dyDescent="0.2">
      <c r="A9" s="73" t="s">
        <v>20</v>
      </c>
      <c r="B9" s="357"/>
      <c r="C9" s="357"/>
      <c r="D9" s="359"/>
      <c r="E9" s="362"/>
      <c r="F9" s="360"/>
      <c r="G9" s="357"/>
      <c r="H9" s="359"/>
      <c r="I9" s="364"/>
      <c r="J9" s="364"/>
      <c r="K9" s="358"/>
      <c r="L9" s="358"/>
      <c r="M9" s="358"/>
      <c r="N9" s="81"/>
      <c r="P9" s="82"/>
      <c r="W9" s="66"/>
    </row>
    <row r="10" spans="1:23" ht="13.5" customHeight="1" x14ac:dyDescent="0.2">
      <c r="A10" s="73" t="s">
        <v>21</v>
      </c>
      <c r="B10" s="359"/>
      <c r="C10" s="359"/>
      <c r="D10" s="359"/>
      <c r="E10" s="362"/>
      <c r="F10" s="360"/>
      <c r="G10" s="361"/>
      <c r="H10" s="366"/>
      <c r="I10" s="366"/>
      <c r="J10" s="366"/>
      <c r="K10" s="358"/>
      <c r="L10" s="358"/>
      <c r="M10" s="358"/>
      <c r="W10" s="66"/>
    </row>
    <row r="11" spans="1:23" ht="13.5" customHeight="1" x14ac:dyDescent="0.2">
      <c r="A11" s="73" t="s">
        <v>22</v>
      </c>
      <c r="B11" s="359"/>
      <c r="C11" s="360"/>
      <c r="D11" s="362"/>
      <c r="E11" s="363"/>
      <c r="F11" s="366"/>
      <c r="G11" s="358"/>
      <c r="H11" s="358"/>
      <c r="I11" s="358"/>
      <c r="J11" s="358"/>
      <c r="K11" s="358"/>
      <c r="L11" s="358"/>
      <c r="M11" s="358"/>
    </row>
    <row r="12" spans="1:23" ht="13.5" customHeight="1" x14ac:dyDescent="0.2">
      <c r="A12" s="69"/>
    </row>
    <row r="13" spans="1:23" ht="13" x14ac:dyDescent="0.3">
      <c r="A13" s="119" t="str">
        <f>'Run specifications'!B4</f>
        <v>A</v>
      </c>
      <c r="C13" s="121">
        <f>'Run specifications'!D4</f>
        <v>0</v>
      </c>
      <c r="L13" s="65" t="s">
        <v>75</v>
      </c>
      <c r="N13" s="70"/>
      <c r="O13" s="70"/>
      <c r="P13" s="70"/>
      <c r="Q13" s="70"/>
    </row>
    <row r="14" spans="1:23" ht="51.75" customHeight="1" x14ac:dyDescent="0.2">
      <c r="A14" s="83" t="s">
        <v>105</v>
      </c>
      <c r="B14" s="83" t="s">
        <v>106</v>
      </c>
      <c r="C14" s="84" t="s">
        <v>76</v>
      </c>
      <c r="D14" s="75" t="s">
        <v>78</v>
      </c>
      <c r="E14" s="85" t="s">
        <v>77</v>
      </c>
      <c r="F14" s="74" t="s">
        <v>33</v>
      </c>
      <c r="G14" s="75" t="s">
        <v>34</v>
      </c>
      <c r="H14" s="83" t="s">
        <v>35</v>
      </c>
      <c r="I14" s="74" t="s">
        <v>23</v>
      </c>
      <c r="J14" s="75" t="s">
        <v>2</v>
      </c>
      <c r="K14" s="75" t="s">
        <v>166</v>
      </c>
      <c r="L14" s="86" t="s">
        <v>105</v>
      </c>
      <c r="M14" s="86" t="s">
        <v>106</v>
      </c>
      <c r="N14" s="87" t="str">
        <f>'Run specifications'!B4</f>
        <v>A</v>
      </c>
      <c r="O14" s="88" t="str">
        <f>'Run specifications'!B5</f>
        <v>B</v>
      </c>
      <c r="P14" s="89" t="str">
        <f>'Run specifications'!B6</f>
        <v>C</v>
      </c>
      <c r="Q14" s="90" t="str">
        <f>'Run specifications'!B3</f>
        <v>PC</v>
      </c>
    </row>
    <row r="15" spans="1:23" ht="10.5" x14ac:dyDescent="0.25">
      <c r="A15" s="105">
        <v>1.25</v>
      </c>
      <c r="B15" s="105">
        <f>A15/4</f>
        <v>0.3125</v>
      </c>
      <c r="C15" s="181">
        <f>B6-$N$15</f>
        <v>0</v>
      </c>
      <c r="D15" s="182">
        <f>C6-$N$15</f>
        <v>0</v>
      </c>
      <c r="E15" s="183">
        <f>D6-$N$15</f>
        <v>0</v>
      </c>
      <c r="F15" s="112" t="e">
        <f>(1-(C15/$O$8))*100</f>
        <v>#DIV/0!</v>
      </c>
      <c r="G15" s="110" t="e">
        <f t="shared" ref="F15:H19" si="0">(1-(D15/$O$8))*100</f>
        <v>#DIV/0!</v>
      </c>
      <c r="H15" s="118" t="e">
        <f t="shared" si="0"/>
        <v>#DIV/0!</v>
      </c>
      <c r="I15" s="114" t="e">
        <f>AVERAGE(F15:H15)</f>
        <v>#DIV/0!</v>
      </c>
      <c r="J15" s="115" t="e">
        <f>STDEV(F15:H15)</f>
        <v>#DIV/0!</v>
      </c>
      <c r="K15" s="282" t="e">
        <f>TTEST(B6:D6,$B$4:$M$4,2,3)</f>
        <v>#DIV/0!</v>
      </c>
      <c r="L15" s="104">
        <v>1.25</v>
      </c>
      <c r="M15" s="105">
        <f>L15/4</f>
        <v>0.3125</v>
      </c>
      <c r="N15" s="178">
        <f t="shared" ref="N15:P19" si="1">K6</f>
        <v>0</v>
      </c>
      <c r="O15" s="178">
        <f t="shared" si="1"/>
        <v>0</v>
      </c>
      <c r="P15" s="178">
        <f t="shared" si="1"/>
        <v>0</v>
      </c>
      <c r="Q15" s="179">
        <f>I11</f>
        <v>0</v>
      </c>
    </row>
    <row r="16" spans="1:23" ht="10.5" x14ac:dyDescent="0.25">
      <c r="A16" s="116">
        <v>2.5</v>
      </c>
      <c r="B16" s="105">
        <f t="shared" ref="B16:B19" si="2">A16/4</f>
        <v>0.625</v>
      </c>
      <c r="C16" s="181">
        <f>B7-$N$16</f>
        <v>0</v>
      </c>
      <c r="D16" s="182">
        <f>C7-$N$16</f>
        <v>0</v>
      </c>
      <c r="E16" s="183">
        <f>D7-$N$16</f>
        <v>0</v>
      </c>
      <c r="F16" s="112" t="e">
        <f>(1-(C16/$O$8))*100</f>
        <v>#DIV/0!</v>
      </c>
      <c r="G16" s="110" t="e">
        <f t="shared" si="0"/>
        <v>#DIV/0!</v>
      </c>
      <c r="H16" s="118" t="e">
        <f t="shared" si="0"/>
        <v>#DIV/0!</v>
      </c>
      <c r="I16" s="114" t="e">
        <f>AVERAGE(F16:H16)</f>
        <v>#DIV/0!</v>
      </c>
      <c r="J16" s="115" t="e">
        <f>STDEV(F16:H16)</f>
        <v>#DIV/0!</v>
      </c>
      <c r="K16" s="282" t="e">
        <f>TTEST(B7:D7,$B$4:$M$4,2,3)</f>
        <v>#DIV/0!</v>
      </c>
      <c r="L16" s="106">
        <v>2.5</v>
      </c>
      <c r="M16" s="105">
        <f>L16/4</f>
        <v>0.625</v>
      </c>
      <c r="N16" s="178">
        <f t="shared" si="1"/>
        <v>0</v>
      </c>
      <c r="O16" s="178">
        <f t="shared" si="1"/>
        <v>0</v>
      </c>
      <c r="P16" s="178">
        <f t="shared" si="1"/>
        <v>0</v>
      </c>
      <c r="Q16" s="180">
        <f>J11</f>
        <v>0</v>
      </c>
    </row>
    <row r="17" spans="1:17" ht="10.5" x14ac:dyDescent="0.25">
      <c r="A17" s="117">
        <v>5</v>
      </c>
      <c r="B17" s="105">
        <f t="shared" si="2"/>
        <v>1.25</v>
      </c>
      <c r="C17" s="181">
        <f>B8-$N$17</f>
        <v>0</v>
      </c>
      <c r="D17" s="182">
        <f>C8-$N$17</f>
        <v>0</v>
      </c>
      <c r="E17" s="183">
        <f>D8-$N$17</f>
        <v>0</v>
      </c>
      <c r="F17" s="112" t="e">
        <f>(1-(C17/$O$8))*100</f>
        <v>#DIV/0!</v>
      </c>
      <c r="G17" s="110" t="e">
        <f t="shared" si="0"/>
        <v>#DIV/0!</v>
      </c>
      <c r="H17" s="118" t="e">
        <f t="shared" si="0"/>
        <v>#DIV/0!</v>
      </c>
      <c r="I17" s="114" t="e">
        <f>AVERAGE(F17:H17)</f>
        <v>#DIV/0!</v>
      </c>
      <c r="J17" s="115" t="e">
        <f>STDEV(F17:H17)</f>
        <v>#DIV/0!</v>
      </c>
      <c r="K17" s="282" t="e">
        <f>TTEST(B8:D8,$B$4:$M$4,2,3)</f>
        <v>#DIV/0!</v>
      </c>
      <c r="L17" s="106">
        <v>5</v>
      </c>
      <c r="M17" s="105">
        <f t="shared" ref="M17:M19" si="3">L17/4</f>
        <v>1.25</v>
      </c>
      <c r="N17" s="178">
        <f t="shared" si="1"/>
        <v>0</v>
      </c>
      <c r="O17" s="178">
        <f t="shared" si="1"/>
        <v>0</v>
      </c>
      <c r="P17" s="178">
        <f t="shared" si="1"/>
        <v>0</v>
      </c>
      <c r="Q17" s="180">
        <f>K11</f>
        <v>0</v>
      </c>
    </row>
    <row r="18" spans="1:17" ht="10.5" x14ac:dyDescent="0.25">
      <c r="A18" s="117">
        <v>10</v>
      </c>
      <c r="B18" s="107">
        <f t="shared" si="2"/>
        <v>2.5</v>
      </c>
      <c r="C18" s="181">
        <f>B9-$N$18</f>
        <v>0</v>
      </c>
      <c r="D18" s="182">
        <f>C9-$N$18</f>
        <v>0</v>
      </c>
      <c r="E18" s="183">
        <f>D9-$N$18</f>
        <v>0</v>
      </c>
      <c r="F18" s="112" t="e">
        <f>(1-(C18/$O$8))*100</f>
        <v>#DIV/0!</v>
      </c>
      <c r="G18" s="110" t="e">
        <f t="shared" si="0"/>
        <v>#DIV/0!</v>
      </c>
      <c r="H18" s="118" t="e">
        <f t="shared" si="0"/>
        <v>#DIV/0!</v>
      </c>
      <c r="I18" s="114" t="e">
        <f>AVERAGE(F18:H18)</f>
        <v>#DIV/0!</v>
      </c>
      <c r="J18" s="115" t="e">
        <f>STDEV(F18:H18)</f>
        <v>#DIV/0!</v>
      </c>
      <c r="K18" s="282" t="e">
        <f>TTEST(B9:D9,$B$4:$M$4,2,3)</f>
        <v>#DIV/0!</v>
      </c>
      <c r="L18" s="106">
        <v>10</v>
      </c>
      <c r="M18" s="107">
        <f t="shared" si="3"/>
        <v>2.5</v>
      </c>
      <c r="N18" s="178">
        <f t="shared" si="1"/>
        <v>0</v>
      </c>
      <c r="O18" s="178">
        <f t="shared" si="1"/>
        <v>0</v>
      </c>
      <c r="P18" s="178">
        <f t="shared" si="1"/>
        <v>0</v>
      </c>
      <c r="Q18" s="180">
        <f>L11</f>
        <v>0</v>
      </c>
    </row>
    <row r="19" spans="1:17" ht="10.5" x14ac:dyDescent="0.25">
      <c r="A19" s="117">
        <v>20</v>
      </c>
      <c r="B19" s="107">
        <f t="shared" si="2"/>
        <v>5</v>
      </c>
      <c r="C19" s="181">
        <f>B10-$N$19</f>
        <v>0</v>
      </c>
      <c r="D19" s="182">
        <f>C10-$N$19</f>
        <v>0</v>
      </c>
      <c r="E19" s="183">
        <f>D10-$N$19</f>
        <v>0</v>
      </c>
      <c r="F19" s="112" t="e">
        <f t="shared" si="0"/>
        <v>#DIV/0!</v>
      </c>
      <c r="G19" s="110" t="e">
        <f t="shared" si="0"/>
        <v>#DIV/0!</v>
      </c>
      <c r="H19" s="118" t="e">
        <f t="shared" si="0"/>
        <v>#DIV/0!</v>
      </c>
      <c r="I19" s="114" t="e">
        <f>AVERAGE(F19:H19)</f>
        <v>#DIV/0!</v>
      </c>
      <c r="J19" s="115" t="e">
        <f>STDEV(F19:H19)</f>
        <v>#DIV/0!</v>
      </c>
      <c r="K19" s="282" t="e">
        <f>TTEST(B10:D10,$B$4:$M$4,2,3)</f>
        <v>#DIV/0!</v>
      </c>
      <c r="L19" s="106">
        <v>20</v>
      </c>
      <c r="M19" s="107">
        <f t="shared" si="3"/>
        <v>5</v>
      </c>
      <c r="N19" s="178">
        <f t="shared" si="1"/>
        <v>0</v>
      </c>
      <c r="O19" s="178">
        <f t="shared" si="1"/>
        <v>0</v>
      </c>
      <c r="P19" s="178">
        <f t="shared" si="1"/>
        <v>0</v>
      </c>
      <c r="Q19" s="180">
        <f>M11</f>
        <v>0</v>
      </c>
    </row>
    <row r="20" spans="1:17" ht="10.5" x14ac:dyDescent="0.2">
      <c r="A20" s="91"/>
      <c r="C20" s="91"/>
      <c r="D20" s="91"/>
      <c r="E20" s="91"/>
      <c r="F20" s="92"/>
      <c r="G20" s="92"/>
      <c r="H20" s="92"/>
      <c r="I20" s="93"/>
      <c r="J20" s="94"/>
      <c r="K20" s="283"/>
    </row>
    <row r="21" spans="1:17" ht="13" x14ac:dyDescent="0.3">
      <c r="A21" s="119" t="str">
        <f>'Run specifications'!B5</f>
        <v>B</v>
      </c>
      <c r="C21" s="121">
        <f>'Run specifications'!D5</f>
        <v>0</v>
      </c>
      <c r="K21" s="220"/>
    </row>
    <row r="22" spans="1:17" ht="30" x14ac:dyDescent="0.2">
      <c r="A22" s="95" t="s">
        <v>105</v>
      </c>
      <c r="B22" s="95" t="s">
        <v>106</v>
      </c>
      <c r="C22" s="96" t="s">
        <v>76</v>
      </c>
      <c r="D22" s="76" t="s">
        <v>78</v>
      </c>
      <c r="E22" s="97" t="s">
        <v>77</v>
      </c>
      <c r="F22" s="96" t="s">
        <v>33</v>
      </c>
      <c r="G22" s="76" t="s">
        <v>34</v>
      </c>
      <c r="H22" s="97" t="s">
        <v>35</v>
      </c>
      <c r="I22" s="98" t="s">
        <v>23</v>
      </c>
      <c r="J22" s="76" t="s">
        <v>2</v>
      </c>
      <c r="K22" s="76" t="s">
        <v>166</v>
      </c>
    </row>
    <row r="23" spans="1:17" ht="10.5" x14ac:dyDescent="0.2">
      <c r="A23" s="105">
        <v>1.25</v>
      </c>
      <c r="B23" s="105">
        <f>A23/4</f>
        <v>0.3125</v>
      </c>
      <c r="C23" s="181">
        <f>E6-$O$15</f>
        <v>0</v>
      </c>
      <c r="D23" s="182">
        <f>F6-$O$15</f>
        <v>0</v>
      </c>
      <c r="E23" s="184">
        <f>G6-$O$15</f>
        <v>0</v>
      </c>
      <c r="F23" s="112" t="e">
        <f>(1-(C23/$O$8))*100</f>
        <v>#DIV/0!</v>
      </c>
      <c r="G23" s="110" t="e">
        <f t="shared" ref="G23:H27" si="4">(1-(D23/$O$8))*100</f>
        <v>#DIV/0!</v>
      </c>
      <c r="H23" s="113" t="e">
        <f t="shared" si="4"/>
        <v>#DIV/0!</v>
      </c>
      <c r="I23" s="114" t="e">
        <f>AVERAGE(F23:H23)</f>
        <v>#DIV/0!</v>
      </c>
      <c r="J23" s="115" t="e">
        <f>STDEV(F23:H23)</f>
        <v>#DIV/0!</v>
      </c>
      <c r="K23" s="282" t="e">
        <f>TTEST(E6:G6,$B$4:$M$4,2,3)</f>
        <v>#DIV/0!</v>
      </c>
    </row>
    <row r="24" spans="1:17" ht="10.5" x14ac:dyDescent="0.2">
      <c r="A24" s="116">
        <v>2.5</v>
      </c>
      <c r="B24" s="105">
        <f>A24/4</f>
        <v>0.625</v>
      </c>
      <c r="C24" s="181">
        <f>E7-$O$16</f>
        <v>0</v>
      </c>
      <c r="D24" s="182">
        <f>F7-$O$16</f>
        <v>0</v>
      </c>
      <c r="E24" s="184">
        <f>G7-$O$16</f>
        <v>0</v>
      </c>
      <c r="F24" s="112" t="e">
        <f>(1-(C24/$O$8))*100</f>
        <v>#DIV/0!</v>
      </c>
      <c r="G24" s="110" t="e">
        <f t="shared" si="4"/>
        <v>#DIV/0!</v>
      </c>
      <c r="H24" s="113" t="e">
        <f t="shared" si="4"/>
        <v>#DIV/0!</v>
      </c>
      <c r="I24" s="114" t="e">
        <f>AVERAGE(F24:H24)</f>
        <v>#DIV/0!</v>
      </c>
      <c r="J24" s="115" t="e">
        <f>STDEV(F24:H24)</f>
        <v>#DIV/0!</v>
      </c>
      <c r="K24" s="282" t="e">
        <f>TTEST(E7:G7,$B$4:$M$4,2,3)</f>
        <v>#DIV/0!</v>
      </c>
    </row>
    <row r="25" spans="1:17" ht="10.5" x14ac:dyDescent="0.2">
      <c r="A25" s="117">
        <v>5</v>
      </c>
      <c r="B25" s="105">
        <f t="shared" ref="B25:B27" si="5">A25/4</f>
        <v>1.25</v>
      </c>
      <c r="C25" s="181">
        <f>E8-$O$17</f>
        <v>0</v>
      </c>
      <c r="D25" s="182">
        <f>F8-$O$17</f>
        <v>0</v>
      </c>
      <c r="E25" s="184">
        <f>G8-$O$17</f>
        <v>0</v>
      </c>
      <c r="F25" s="112" t="e">
        <f>(1-(C25/$O$8))*100</f>
        <v>#DIV/0!</v>
      </c>
      <c r="G25" s="110" t="e">
        <f t="shared" si="4"/>
        <v>#DIV/0!</v>
      </c>
      <c r="H25" s="113" t="e">
        <f t="shared" si="4"/>
        <v>#DIV/0!</v>
      </c>
      <c r="I25" s="114" t="e">
        <f>AVERAGE(F25:H25)</f>
        <v>#DIV/0!</v>
      </c>
      <c r="J25" s="115" t="e">
        <f>STDEV(F25:H25)</f>
        <v>#DIV/0!</v>
      </c>
      <c r="K25" s="282" t="e">
        <f>TTEST(E8:G8,$B$4:$M$4,2,3)</f>
        <v>#DIV/0!</v>
      </c>
    </row>
    <row r="26" spans="1:17" ht="10.5" x14ac:dyDescent="0.2">
      <c r="A26" s="117">
        <v>10</v>
      </c>
      <c r="B26" s="107">
        <f t="shared" si="5"/>
        <v>2.5</v>
      </c>
      <c r="C26" s="181">
        <f>E9-$O$18</f>
        <v>0</v>
      </c>
      <c r="D26" s="182">
        <f>F9-$O$18</f>
        <v>0</v>
      </c>
      <c r="E26" s="184">
        <f>G9-$O$18</f>
        <v>0</v>
      </c>
      <c r="F26" s="112" t="e">
        <f>(1-(C26/$O$8))*100</f>
        <v>#DIV/0!</v>
      </c>
      <c r="G26" s="110" t="e">
        <f t="shared" si="4"/>
        <v>#DIV/0!</v>
      </c>
      <c r="H26" s="113" t="e">
        <f t="shared" si="4"/>
        <v>#DIV/0!</v>
      </c>
      <c r="I26" s="114" t="e">
        <f>AVERAGE(F26:H26)</f>
        <v>#DIV/0!</v>
      </c>
      <c r="J26" s="115" t="e">
        <f>STDEV(F26:H26)</f>
        <v>#DIV/0!</v>
      </c>
      <c r="K26" s="282" t="e">
        <f>TTEST(E9:G9,$B$4:$M$4,2,3)</f>
        <v>#DIV/0!</v>
      </c>
    </row>
    <row r="27" spans="1:17" ht="10.5" x14ac:dyDescent="0.2">
      <c r="A27" s="117">
        <v>20</v>
      </c>
      <c r="B27" s="107">
        <f t="shared" si="5"/>
        <v>5</v>
      </c>
      <c r="C27" s="181">
        <f>E10-$O$19</f>
        <v>0</v>
      </c>
      <c r="D27" s="182">
        <f>F10-$O$19</f>
        <v>0</v>
      </c>
      <c r="E27" s="184">
        <f>G10-$O$19</f>
        <v>0</v>
      </c>
      <c r="F27" s="112" t="e">
        <f>(1-(C27/$O$8))*100</f>
        <v>#DIV/0!</v>
      </c>
      <c r="G27" s="110" t="e">
        <f t="shared" si="4"/>
        <v>#DIV/0!</v>
      </c>
      <c r="H27" s="113" t="e">
        <f t="shared" si="4"/>
        <v>#DIV/0!</v>
      </c>
      <c r="I27" s="114" t="e">
        <f>AVERAGE(F27:H27)</f>
        <v>#DIV/0!</v>
      </c>
      <c r="J27" s="115" t="e">
        <f>STDEV(F27:H27)</f>
        <v>#DIV/0!</v>
      </c>
      <c r="K27" s="282" t="e">
        <f>TTEST(E10:G10,$B$4:$M$4,2,3)</f>
        <v>#DIV/0!</v>
      </c>
    </row>
    <row r="28" spans="1:17" ht="10.5" x14ac:dyDescent="0.2">
      <c r="A28" s="91"/>
      <c r="C28" s="91"/>
      <c r="D28" s="91"/>
      <c r="E28" s="91"/>
      <c r="F28" s="92"/>
      <c r="G28" s="92"/>
      <c r="H28" s="92"/>
      <c r="I28" s="93"/>
      <c r="J28" s="94"/>
      <c r="K28" s="283"/>
    </row>
    <row r="29" spans="1:17" ht="13" x14ac:dyDescent="0.3">
      <c r="A29" s="119" t="str">
        <f>'Run specifications'!B6</f>
        <v>C</v>
      </c>
      <c r="C29" s="121">
        <f>'Run specifications'!D6</f>
        <v>0</v>
      </c>
      <c r="K29" s="220"/>
    </row>
    <row r="30" spans="1:17" ht="30" x14ac:dyDescent="0.2">
      <c r="A30" s="99" t="s">
        <v>105</v>
      </c>
      <c r="B30" s="99" t="s">
        <v>106</v>
      </c>
      <c r="C30" s="100" t="s">
        <v>76</v>
      </c>
      <c r="D30" s="77" t="s">
        <v>78</v>
      </c>
      <c r="E30" s="78" t="s">
        <v>77</v>
      </c>
      <c r="F30" s="100" t="s">
        <v>33</v>
      </c>
      <c r="G30" s="77" t="s">
        <v>34</v>
      </c>
      <c r="H30" s="78" t="s">
        <v>35</v>
      </c>
      <c r="I30" s="101" t="s">
        <v>23</v>
      </c>
      <c r="J30" s="77" t="s">
        <v>2</v>
      </c>
      <c r="K30" s="77" t="s">
        <v>166</v>
      </c>
    </row>
    <row r="31" spans="1:17" ht="10.5" x14ac:dyDescent="0.2">
      <c r="A31" s="105">
        <v>1.25</v>
      </c>
      <c r="B31" s="105">
        <f>A31/4</f>
        <v>0.3125</v>
      </c>
      <c r="C31" s="181">
        <f>H6-$P$15</f>
        <v>0</v>
      </c>
      <c r="D31" s="182">
        <f>I6-$P$15</f>
        <v>0</v>
      </c>
      <c r="E31" s="184">
        <f>J6-$P$15</f>
        <v>0</v>
      </c>
      <c r="F31" s="112" t="e">
        <f>(1-(C31/$O$8))*100</f>
        <v>#DIV/0!</v>
      </c>
      <c r="G31" s="110" t="e">
        <f t="shared" ref="G31:H35" si="6">(1-(D31/$O$8))*100</f>
        <v>#DIV/0!</v>
      </c>
      <c r="H31" s="113" t="e">
        <f t="shared" si="6"/>
        <v>#DIV/0!</v>
      </c>
      <c r="I31" s="114" t="e">
        <f>AVERAGE(F31:H31)</f>
        <v>#DIV/0!</v>
      </c>
      <c r="J31" s="115" t="e">
        <f>STDEV(F31:H31)</f>
        <v>#DIV/0!</v>
      </c>
      <c r="K31" s="282" t="e">
        <f>TTEST(H6:J6,$B$4:$M$4,2,3)</f>
        <v>#DIV/0!</v>
      </c>
    </row>
    <row r="32" spans="1:17" ht="10.5" x14ac:dyDescent="0.2">
      <c r="A32" s="116">
        <v>2.5</v>
      </c>
      <c r="B32" s="105">
        <f t="shared" ref="B32:B35" si="7">A32/4</f>
        <v>0.625</v>
      </c>
      <c r="C32" s="181">
        <f>H7-$P$16</f>
        <v>0</v>
      </c>
      <c r="D32" s="182">
        <f>I7-$P$16</f>
        <v>0</v>
      </c>
      <c r="E32" s="184">
        <f>J7-$P$16</f>
        <v>0</v>
      </c>
      <c r="F32" s="112" t="e">
        <f>(1-(C32/$O$8))*100</f>
        <v>#DIV/0!</v>
      </c>
      <c r="G32" s="110" t="e">
        <f t="shared" si="6"/>
        <v>#DIV/0!</v>
      </c>
      <c r="H32" s="113" t="e">
        <f t="shared" si="6"/>
        <v>#DIV/0!</v>
      </c>
      <c r="I32" s="114" t="e">
        <f>AVERAGE(F32:H32)</f>
        <v>#DIV/0!</v>
      </c>
      <c r="J32" s="115" t="e">
        <f>STDEV(F32:H32)</f>
        <v>#DIV/0!</v>
      </c>
      <c r="K32" s="282" t="e">
        <f>TTEST(H7:J7,$B$4:$M$4,2,3)</f>
        <v>#DIV/0!</v>
      </c>
    </row>
    <row r="33" spans="1:11" ht="10.5" x14ac:dyDescent="0.2">
      <c r="A33" s="117">
        <v>5</v>
      </c>
      <c r="B33" s="105">
        <f t="shared" si="7"/>
        <v>1.25</v>
      </c>
      <c r="C33" s="181">
        <f>H8-$P$17</f>
        <v>0</v>
      </c>
      <c r="D33" s="182">
        <f>I8-$P$17</f>
        <v>0</v>
      </c>
      <c r="E33" s="184">
        <f>J8-$P$17</f>
        <v>0</v>
      </c>
      <c r="F33" s="112" t="e">
        <f>(1-(C33/$O$8))*100</f>
        <v>#DIV/0!</v>
      </c>
      <c r="G33" s="110" t="e">
        <f t="shared" si="6"/>
        <v>#DIV/0!</v>
      </c>
      <c r="H33" s="113" t="e">
        <f t="shared" si="6"/>
        <v>#DIV/0!</v>
      </c>
      <c r="I33" s="114" t="e">
        <f>AVERAGE(F33:H33)</f>
        <v>#DIV/0!</v>
      </c>
      <c r="J33" s="115" t="e">
        <f>STDEV(F33:H33)</f>
        <v>#DIV/0!</v>
      </c>
      <c r="K33" s="282" t="e">
        <f>TTEST(H8:J8,$B$4:$M$4,2,3)</f>
        <v>#DIV/0!</v>
      </c>
    </row>
    <row r="34" spans="1:11" ht="10.5" x14ac:dyDescent="0.2">
      <c r="A34" s="117">
        <v>10</v>
      </c>
      <c r="B34" s="107">
        <f t="shared" si="7"/>
        <v>2.5</v>
      </c>
      <c r="C34" s="181">
        <f>H9-$P$18</f>
        <v>0</v>
      </c>
      <c r="D34" s="182">
        <f>I9-$P$18</f>
        <v>0</v>
      </c>
      <c r="E34" s="184">
        <f>J9-$P$18</f>
        <v>0</v>
      </c>
      <c r="F34" s="112" t="e">
        <f>(1-(C34/$O$8))*100</f>
        <v>#DIV/0!</v>
      </c>
      <c r="G34" s="110" t="e">
        <f t="shared" si="6"/>
        <v>#DIV/0!</v>
      </c>
      <c r="H34" s="113" t="e">
        <f t="shared" si="6"/>
        <v>#DIV/0!</v>
      </c>
      <c r="I34" s="114" t="e">
        <f>AVERAGE(F34:H34)</f>
        <v>#DIV/0!</v>
      </c>
      <c r="J34" s="115" t="e">
        <f>STDEV(F34:H34)</f>
        <v>#DIV/0!</v>
      </c>
      <c r="K34" s="282" t="e">
        <f>TTEST(H9:J9,$B$4:$M$4,2,3)</f>
        <v>#DIV/0!</v>
      </c>
    </row>
    <row r="35" spans="1:11" ht="10.5" x14ac:dyDescent="0.2">
      <c r="A35" s="117">
        <v>20</v>
      </c>
      <c r="B35" s="107">
        <f t="shared" si="7"/>
        <v>5</v>
      </c>
      <c r="C35" s="181">
        <f>H10-$P$19</f>
        <v>0</v>
      </c>
      <c r="D35" s="182">
        <f>I10-$P$19</f>
        <v>0</v>
      </c>
      <c r="E35" s="184">
        <f>J10-$P$19</f>
        <v>0</v>
      </c>
      <c r="F35" s="112" t="e">
        <f>(1-(C35/$O$8))*100</f>
        <v>#DIV/0!</v>
      </c>
      <c r="G35" s="110" t="e">
        <f t="shared" si="6"/>
        <v>#DIV/0!</v>
      </c>
      <c r="H35" s="113" t="e">
        <f t="shared" si="6"/>
        <v>#DIV/0!</v>
      </c>
      <c r="I35" s="114" t="e">
        <f>AVERAGE(F35:H35)</f>
        <v>#DIV/0!</v>
      </c>
      <c r="J35" s="115" t="e">
        <f>STDEV(F35:H35)</f>
        <v>#DIV/0!</v>
      </c>
      <c r="K35" s="282" t="e">
        <f>TTEST(H10:J10,$B$4:$M$4,2,3)</f>
        <v>#DIV/0!</v>
      </c>
    </row>
    <row r="36" spans="1:11" x14ac:dyDescent="0.2">
      <c r="J36" s="102"/>
    </row>
    <row r="37" spans="1:11" ht="13" x14ac:dyDescent="0.3">
      <c r="A37" s="119" t="str">
        <f>'Run specifications'!B3</f>
        <v>PC</v>
      </c>
      <c r="C37" s="121" t="str">
        <f>'Run specifications'!D3</f>
        <v>Cinnamic aldehyde</v>
      </c>
    </row>
    <row r="38" spans="1:11" ht="30" x14ac:dyDescent="0.2">
      <c r="A38" s="103" t="s">
        <v>105</v>
      </c>
      <c r="B38" s="103" t="s">
        <v>106</v>
      </c>
      <c r="C38" s="103" t="s">
        <v>76</v>
      </c>
      <c r="D38" s="103" t="s">
        <v>36</v>
      </c>
    </row>
    <row r="39" spans="1:11" x14ac:dyDescent="0.2">
      <c r="A39" s="108">
        <v>1.25</v>
      </c>
      <c r="B39" s="105">
        <f>A39/4</f>
        <v>0.3125</v>
      </c>
      <c r="C39" s="182">
        <f>B11-Q15</f>
        <v>0</v>
      </c>
      <c r="D39" s="110" t="e">
        <f>(1-(C39/$O$8))*100</f>
        <v>#DIV/0!</v>
      </c>
    </row>
    <row r="40" spans="1:11" x14ac:dyDescent="0.2">
      <c r="A40" s="111">
        <v>2.5</v>
      </c>
      <c r="B40" s="105">
        <f t="shared" ref="B40:B43" si="8">A40/4</f>
        <v>0.625</v>
      </c>
      <c r="C40" s="182">
        <f>C11-Q16</f>
        <v>0</v>
      </c>
      <c r="D40" s="110" t="e">
        <f>(1-(C40/$O$8))*100</f>
        <v>#DIV/0!</v>
      </c>
    </row>
    <row r="41" spans="1:11" x14ac:dyDescent="0.2">
      <c r="A41" s="109">
        <v>5</v>
      </c>
      <c r="B41" s="105">
        <f t="shared" si="8"/>
        <v>1.25</v>
      </c>
      <c r="C41" s="182">
        <f>D11-Q17</f>
        <v>0</v>
      </c>
      <c r="D41" s="110" t="e">
        <f>(1-(C41/$O$8))*100</f>
        <v>#DIV/0!</v>
      </c>
    </row>
    <row r="42" spans="1:11" x14ac:dyDescent="0.2">
      <c r="A42" s="109">
        <v>10</v>
      </c>
      <c r="B42" s="107">
        <f t="shared" si="8"/>
        <v>2.5</v>
      </c>
      <c r="C42" s="182">
        <f>E11-Q18</f>
        <v>0</v>
      </c>
      <c r="D42" s="110" t="e">
        <f>(1-(C42/$O$8))*100</f>
        <v>#DIV/0!</v>
      </c>
    </row>
    <row r="43" spans="1:11" x14ac:dyDescent="0.2">
      <c r="A43" s="109">
        <v>20</v>
      </c>
      <c r="B43" s="107">
        <f t="shared" si="8"/>
        <v>5</v>
      </c>
      <c r="C43" s="182">
        <f>F11-Q19</f>
        <v>0</v>
      </c>
      <c r="D43" s="110" t="e">
        <f>(1-(C43/$O$8))*100</f>
        <v>#DIV/0!</v>
      </c>
    </row>
  </sheetData>
  <sheetProtection algorithmName="SHA-512" hashValue="o+edpSnoggHUTOspbCst0RWQPuCP5k4OTcCm5qrKfST1Fg5fbcqihfeG4txOqAAZlAMnpnE1wcuPlkhN5v0+uQ==" saltValue="xjH4SGP1BRlOYixwm0jsTA==" spinCount="100000" sheet="1" objects="1" scenarios="1"/>
  <printOptions headings="1" gridLines="1"/>
  <pageMargins left="0.75" right="0.75" top="1" bottom="1" header="0.5" footer="0.5"/>
  <pageSetup paperSize="9" scale="74" pageOrder="overThenDown" orientation="landscape" r:id="rId1"/>
  <headerFooter alignWithMargins="0">
    <oddHeader>&amp;L&amp;F&amp;C&amp;A</oddHeader>
  </headerFooter>
  <ignoredErrors>
    <ignoredError sqref="K20:K22 K28:K30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view="pageBreakPreview" topLeftCell="G1" zoomScaleNormal="100" zoomScaleSheetLayoutView="100" workbookViewId="0">
      <selection activeCell="M5" sqref="M5"/>
    </sheetView>
  </sheetViews>
  <sheetFormatPr defaultColWidth="12" defaultRowHeight="10" x14ac:dyDescent="0.2"/>
  <cols>
    <col min="1" max="1" width="3.6640625" customWidth="1"/>
    <col min="2" max="3" width="19.44140625" style="2" customWidth="1"/>
    <col min="4" max="9" width="19.44140625" style="5" customWidth="1"/>
    <col min="10" max="12" width="19.44140625" style="2" customWidth="1"/>
    <col min="13" max="14" width="19.44140625" customWidth="1"/>
  </cols>
  <sheetData>
    <row r="1" spans="1:20" ht="10.5" x14ac:dyDescent="0.25">
      <c r="A1" s="36" t="s">
        <v>124</v>
      </c>
      <c r="C1"/>
      <c r="D1"/>
      <c r="E1"/>
      <c r="F1"/>
      <c r="G1"/>
      <c r="H1"/>
      <c r="I1"/>
      <c r="J1"/>
      <c r="K1"/>
      <c r="L1"/>
    </row>
    <row r="2" spans="1:20" ht="10.5" x14ac:dyDescent="0.2">
      <c r="D2" s="414" t="str">
        <f>'Run specifications'!B4</f>
        <v>A</v>
      </c>
      <c r="E2" s="414"/>
      <c r="F2" s="268"/>
      <c r="G2" s="415" t="str">
        <f>'Run specifications'!B5</f>
        <v>B</v>
      </c>
      <c r="H2" s="415"/>
      <c r="I2" s="269"/>
      <c r="J2" s="416" t="str">
        <f>'Run specifications'!B6</f>
        <v>C</v>
      </c>
      <c r="K2" s="416"/>
      <c r="L2" s="270"/>
      <c r="M2" s="413" t="str">
        <f>'Run specifications'!B3</f>
        <v>PC</v>
      </c>
      <c r="N2" s="413"/>
    </row>
    <row r="3" spans="1:20" ht="15.75" customHeight="1" x14ac:dyDescent="0.2">
      <c r="D3" s="417">
        <f>'Assay plate layout'!C16</f>
        <v>0</v>
      </c>
      <c r="E3" s="417"/>
      <c r="F3" s="271"/>
      <c r="G3" s="418">
        <f>'Assay plate layout'!F16</f>
        <v>0</v>
      </c>
      <c r="H3" s="418"/>
      <c r="I3" s="272"/>
      <c r="J3" s="419">
        <f>'Assay plate layout'!I16</f>
        <v>0</v>
      </c>
      <c r="K3" s="419"/>
      <c r="L3" s="270"/>
      <c r="M3" s="413" t="str">
        <f>'Run specifications'!D3</f>
        <v>Cinnamic aldehyde</v>
      </c>
      <c r="N3" s="413"/>
    </row>
    <row r="4" spans="1:20" s="6" customFormat="1" ht="20" x14ac:dyDescent="0.2">
      <c r="B4" s="13" t="s">
        <v>90</v>
      </c>
      <c r="C4" s="13" t="s">
        <v>79</v>
      </c>
      <c r="D4" s="16" t="s">
        <v>23</v>
      </c>
      <c r="E4" s="17" t="s">
        <v>91</v>
      </c>
      <c r="F4" s="17" t="s">
        <v>167</v>
      </c>
      <c r="G4" s="25" t="s">
        <v>23</v>
      </c>
      <c r="H4" s="25" t="s">
        <v>91</v>
      </c>
      <c r="I4" s="25" t="s">
        <v>167</v>
      </c>
      <c r="J4" s="22" t="s">
        <v>23</v>
      </c>
      <c r="K4" s="22" t="s">
        <v>91</v>
      </c>
      <c r="L4" s="22" t="s">
        <v>167</v>
      </c>
      <c r="M4" s="28" t="s">
        <v>36</v>
      </c>
      <c r="N4" s="28" t="s">
        <v>91</v>
      </c>
    </row>
    <row r="5" spans="1:20" ht="12" customHeight="1" x14ac:dyDescent="0.2">
      <c r="B5" s="20">
        <f>'Run specifications'!C10</f>
        <v>10</v>
      </c>
      <c r="C5" s="49">
        <f>'t1'!$B$15</f>
        <v>0.3125</v>
      </c>
      <c r="D5" s="18" t="e">
        <f>'t1'!I15-'t0 (inverse addtion)'!I15</f>
        <v>#DIV/0!</v>
      </c>
      <c r="E5" s="19" t="e">
        <f t="shared" ref="E5:E10" si="0">IF(D5&lt;1,1,IF(D5&gt;99,99,D5))</f>
        <v>#DIV/0!</v>
      </c>
      <c r="F5" s="286" t="e">
        <f>'t1'!K15</f>
        <v>#DIV/0!</v>
      </c>
      <c r="G5" s="26" t="e">
        <f>'t1'!I23-'t0 (inverse addtion)'!I23</f>
        <v>#DIV/0!</v>
      </c>
      <c r="H5" s="27" t="e">
        <f t="shared" ref="H5:H10" si="1">IF(G5&lt;1,1,IF(G5&gt;99,99,G5))</f>
        <v>#DIV/0!</v>
      </c>
      <c r="I5" s="284" t="e">
        <f>'t1'!K23</f>
        <v>#DIV/0!</v>
      </c>
      <c r="J5" s="23" t="e">
        <f>'t1'!I31-'t0 (inverse addtion)'!I31</f>
        <v>#DIV/0!</v>
      </c>
      <c r="K5" s="24" t="e">
        <f t="shared" ref="K5:K10" si="2">IF(J5&lt;1,1,IF(J5&gt;99,99,J5))</f>
        <v>#DIV/0!</v>
      </c>
      <c r="L5" s="288" t="e">
        <f>'t1'!K31</f>
        <v>#DIV/0!</v>
      </c>
      <c r="M5" s="30" t="e">
        <f>'t1'!D39-'t0 (inverse addtion)'!D39</f>
        <v>#DIV/0!</v>
      </c>
      <c r="N5" s="29" t="e">
        <f t="shared" ref="N5:N10" si="3">IF(M5&lt;1,1,IF(M5&gt;99,99,M5))</f>
        <v>#DIV/0!</v>
      </c>
      <c r="P5" s="6"/>
    </row>
    <row r="6" spans="1:20" ht="12" customHeight="1" x14ac:dyDescent="0.2">
      <c r="B6" s="20">
        <f>'Run specifications'!C11</f>
        <v>30</v>
      </c>
      <c r="C6" s="49">
        <f>'t1'!$B$15</f>
        <v>0.3125</v>
      </c>
      <c r="D6" s="18" t="e">
        <f>'t2'!I15-'t0 (inverse addtion)'!I15</f>
        <v>#DIV/0!</v>
      </c>
      <c r="E6" s="19" t="e">
        <f t="shared" si="0"/>
        <v>#DIV/0!</v>
      </c>
      <c r="F6" s="286" t="e">
        <f>'t2'!K15</f>
        <v>#DIV/0!</v>
      </c>
      <c r="G6" s="26" t="e">
        <f>'t2'!I23-'t0 (inverse addtion)'!I23</f>
        <v>#DIV/0!</v>
      </c>
      <c r="H6" s="27" t="e">
        <f t="shared" si="1"/>
        <v>#DIV/0!</v>
      </c>
      <c r="I6" s="284" t="e">
        <f>'t2'!K23</f>
        <v>#DIV/0!</v>
      </c>
      <c r="J6" s="23" t="e">
        <f>'t2'!I31-'t0 (inverse addtion)'!I31</f>
        <v>#DIV/0!</v>
      </c>
      <c r="K6" s="24" t="e">
        <f t="shared" si="2"/>
        <v>#DIV/0!</v>
      </c>
      <c r="L6" s="288" t="e">
        <f>'t2'!K31</f>
        <v>#DIV/0!</v>
      </c>
      <c r="M6" s="30" t="e">
        <f>'t2'!D39-'t0 (inverse addtion)'!D39</f>
        <v>#DIV/0!</v>
      </c>
      <c r="N6" s="29" t="e">
        <f t="shared" si="3"/>
        <v>#DIV/0!</v>
      </c>
      <c r="P6" s="6"/>
      <c r="Q6" s="4"/>
      <c r="R6" s="4"/>
      <c r="S6" s="4"/>
      <c r="T6" s="4"/>
    </row>
    <row r="7" spans="1:20" ht="12" customHeight="1" x14ac:dyDescent="0.2">
      <c r="B7" s="20">
        <f>'Run specifications'!C12</f>
        <v>90</v>
      </c>
      <c r="C7" s="49">
        <f>'t1'!$B$15</f>
        <v>0.3125</v>
      </c>
      <c r="D7" s="18" t="e">
        <f>'t3'!I15-'t0 (inverse addtion)'!I15</f>
        <v>#DIV/0!</v>
      </c>
      <c r="E7" s="19" t="e">
        <f t="shared" si="0"/>
        <v>#DIV/0!</v>
      </c>
      <c r="F7" s="286" t="e">
        <f>'t3'!K15</f>
        <v>#DIV/0!</v>
      </c>
      <c r="G7" s="26" t="e">
        <f>'t3'!I23-'t0 (inverse addtion)'!I23</f>
        <v>#DIV/0!</v>
      </c>
      <c r="H7" s="27" t="e">
        <f t="shared" si="1"/>
        <v>#DIV/0!</v>
      </c>
      <c r="I7" s="284" t="e">
        <f>'t3'!K23</f>
        <v>#DIV/0!</v>
      </c>
      <c r="J7" s="23" t="e">
        <f>'t3'!I31-'t0 (inverse addtion)'!I31</f>
        <v>#DIV/0!</v>
      </c>
      <c r="K7" s="24" t="e">
        <f t="shared" si="2"/>
        <v>#DIV/0!</v>
      </c>
      <c r="L7" s="288" t="e">
        <f>'t3'!K31</f>
        <v>#DIV/0!</v>
      </c>
      <c r="M7" s="30" t="e">
        <f>'t3'!D39-'t0 (inverse addtion)'!D39</f>
        <v>#DIV/0!</v>
      </c>
      <c r="N7" s="29" t="e">
        <f t="shared" si="3"/>
        <v>#DIV/0!</v>
      </c>
      <c r="P7" s="6"/>
      <c r="Q7" s="15"/>
      <c r="R7" s="15"/>
      <c r="S7" s="4"/>
      <c r="T7" s="4"/>
    </row>
    <row r="8" spans="1:20" ht="12" customHeight="1" x14ac:dyDescent="0.2">
      <c r="B8" s="20">
        <f>'Run specifications'!C13</f>
        <v>150</v>
      </c>
      <c r="C8" s="49">
        <f>'t1'!$B$15</f>
        <v>0.3125</v>
      </c>
      <c r="D8" s="18" t="e">
        <f>'t4'!I15-'t0 (inverse addtion)'!I15</f>
        <v>#DIV/0!</v>
      </c>
      <c r="E8" s="19" t="e">
        <f t="shared" si="0"/>
        <v>#DIV/0!</v>
      </c>
      <c r="F8" s="286" t="e">
        <f>'t4'!K15</f>
        <v>#DIV/0!</v>
      </c>
      <c r="G8" s="26" t="e">
        <f>'t4'!I23-'t0 (inverse addtion)'!I23</f>
        <v>#DIV/0!</v>
      </c>
      <c r="H8" s="27" t="e">
        <f t="shared" si="1"/>
        <v>#DIV/0!</v>
      </c>
      <c r="I8" s="284" t="e">
        <f>'t4'!K23</f>
        <v>#DIV/0!</v>
      </c>
      <c r="J8" s="23" t="e">
        <f>'t4'!I31-'t0 (inverse addtion)'!I31</f>
        <v>#DIV/0!</v>
      </c>
      <c r="K8" s="24" t="e">
        <f t="shared" si="2"/>
        <v>#DIV/0!</v>
      </c>
      <c r="L8" s="288" t="e">
        <f>'t4'!K31</f>
        <v>#DIV/0!</v>
      </c>
      <c r="M8" s="30" t="e">
        <f>'t4'!D39-'t0 (inverse addtion)'!D39</f>
        <v>#DIV/0!</v>
      </c>
      <c r="N8" s="29" t="e">
        <f t="shared" si="3"/>
        <v>#DIV/0!</v>
      </c>
      <c r="P8" s="6"/>
      <c r="Q8" s="4"/>
      <c r="R8" s="4"/>
      <c r="S8" s="4"/>
      <c r="T8" s="4"/>
    </row>
    <row r="9" spans="1:20" ht="12" customHeight="1" x14ac:dyDescent="0.2">
      <c r="B9" s="20">
        <f>'Run specifications'!C14</f>
        <v>210</v>
      </c>
      <c r="C9" s="49">
        <f>'t1'!$B$15</f>
        <v>0.3125</v>
      </c>
      <c r="D9" s="18" t="e">
        <f>'t5'!I15-'t0 (inverse addtion)'!I15</f>
        <v>#DIV/0!</v>
      </c>
      <c r="E9" s="19" t="e">
        <f t="shared" si="0"/>
        <v>#DIV/0!</v>
      </c>
      <c r="F9" s="286" t="e">
        <f>'t5'!K15</f>
        <v>#DIV/0!</v>
      </c>
      <c r="G9" s="26" t="e">
        <f>'t5'!I23-'t0 (inverse addtion)'!I23</f>
        <v>#DIV/0!</v>
      </c>
      <c r="H9" s="27" t="e">
        <f t="shared" si="1"/>
        <v>#DIV/0!</v>
      </c>
      <c r="I9" s="284" t="e">
        <f>'t5'!K23</f>
        <v>#DIV/0!</v>
      </c>
      <c r="J9" s="23" t="e">
        <f>'t5'!I31-'t0 (inverse addtion)'!I31</f>
        <v>#DIV/0!</v>
      </c>
      <c r="K9" s="24" t="e">
        <f t="shared" si="2"/>
        <v>#DIV/0!</v>
      </c>
      <c r="L9" s="288" t="e">
        <f>'t5'!K31</f>
        <v>#DIV/0!</v>
      </c>
      <c r="M9" s="30" t="e">
        <f>'t5'!D39-'t0 (inverse addtion)'!D39</f>
        <v>#DIV/0!</v>
      </c>
      <c r="N9" s="29" t="e">
        <f t="shared" si="3"/>
        <v>#DIV/0!</v>
      </c>
      <c r="Q9" s="4"/>
      <c r="R9" s="4"/>
      <c r="S9" s="4"/>
      <c r="T9" s="4"/>
    </row>
    <row r="10" spans="1:20" ht="12" customHeight="1" x14ac:dyDescent="0.2">
      <c r="B10" s="20">
        <f>'Run specifications'!C15</f>
        <v>1440</v>
      </c>
      <c r="C10" s="49">
        <f>'t1'!$B$15</f>
        <v>0.3125</v>
      </c>
      <c r="D10" s="18" t="e">
        <f>'t6'!I15-'t0 (inverse addtion)'!I15</f>
        <v>#DIV/0!</v>
      </c>
      <c r="E10" s="19" t="e">
        <f t="shared" si="0"/>
        <v>#DIV/0!</v>
      </c>
      <c r="F10" s="286" t="e">
        <f>'t6'!K15</f>
        <v>#DIV/0!</v>
      </c>
      <c r="G10" s="26" t="e">
        <f>'t6'!I23-'t0 (inverse addtion)'!I23</f>
        <v>#DIV/0!</v>
      </c>
      <c r="H10" s="27" t="e">
        <f t="shared" si="1"/>
        <v>#DIV/0!</v>
      </c>
      <c r="I10" s="284" t="e">
        <f>'t6'!K23</f>
        <v>#DIV/0!</v>
      </c>
      <c r="J10" s="23" t="e">
        <f>'t6'!I31-'t0 (inverse addtion)'!I31</f>
        <v>#DIV/0!</v>
      </c>
      <c r="K10" s="24" t="e">
        <f t="shared" si="2"/>
        <v>#DIV/0!</v>
      </c>
      <c r="L10" s="288" t="e">
        <f>'t6'!K31</f>
        <v>#DIV/0!</v>
      </c>
      <c r="M10" s="30" t="e">
        <f>'t6'!D39-'t0 (inverse addtion)'!D39</f>
        <v>#DIV/0!</v>
      </c>
      <c r="N10" s="29" t="e">
        <f t="shared" si="3"/>
        <v>#DIV/0!</v>
      </c>
      <c r="Q10" s="4"/>
      <c r="R10" s="4"/>
      <c r="S10" s="4"/>
      <c r="T10" s="4"/>
    </row>
    <row r="11" spans="1:20" ht="12" customHeight="1" x14ac:dyDescent="0.2">
      <c r="B11" s="21"/>
      <c r="C11" s="21"/>
      <c r="D11" s="1"/>
      <c r="E11" s="7"/>
      <c r="F11" s="285"/>
      <c r="G11" s="1"/>
      <c r="H11" s="7"/>
      <c r="I11" s="285"/>
      <c r="J11" s="1"/>
      <c r="K11" s="7"/>
      <c r="L11" s="285"/>
      <c r="M11" s="4"/>
      <c r="N11" s="4"/>
      <c r="O11" s="4"/>
      <c r="P11" s="4"/>
      <c r="Q11" s="4"/>
      <c r="R11" s="4"/>
      <c r="S11" s="4"/>
      <c r="T11" s="4"/>
    </row>
    <row r="12" spans="1:20" ht="22.5" customHeight="1" x14ac:dyDescent="0.2">
      <c r="B12" s="13" t="s">
        <v>90</v>
      </c>
      <c r="C12" s="13" t="s">
        <v>79</v>
      </c>
      <c r="D12" s="16" t="s">
        <v>23</v>
      </c>
      <c r="E12" s="17" t="s">
        <v>91</v>
      </c>
      <c r="F12" s="287" t="s">
        <v>167</v>
      </c>
      <c r="G12" s="25" t="s">
        <v>23</v>
      </c>
      <c r="H12" s="25" t="s">
        <v>91</v>
      </c>
      <c r="I12" s="25" t="s">
        <v>167</v>
      </c>
      <c r="J12" s="22" t="s">
        <v>23</v>
      </c>
      <c r="K12" s="22" t="s">
        <v>91</v>
      </c>
      <c r="L12" s="22" t="s">
        <v>167</v>
      </c>
      <c r="M12" s="28" t="s">
        <v>36</v>
      </c>
      <c r="N12" s="28" t="s">
        <v>91</v>
      </c>
      <c r="O12" s="4"/>
      <c r="P12" s="4"/>
      <c r="Q12" s="4"/>
      <c r="R12" s="4"/>
      <c r="S12" s="4"/>
      <c r="T12" s="4"/>
    </row>
    <row r="13" spans="1:20" ht="12" customHeight="1" x14ac:dyDescent="0.2">
      <c r="B13" s="20">
        <f>'Run specifications'!C10</f>
        <v>10</v>
      </c>
      <c r="C13" s="49">
        <f>'t1'!$B$16</f>
        <v>0.625</v>
      </c>
      <c r="D13" s="18" t="e">
        <f>'t1'!I16-'t0 (inverse addtion)'!I16</f>
        <v>#DIV/0!</v>
      </c>
      <c r="E13" s="19" t="e">
        <f t="shared" ref="E13:E18" si="4">IF(D13&lt;1,1,IF(D13&gt;99,99,D13))</f>
        <v>#DIV/0!</v>
      </c>
      <c r="F13" s="286" t="e">
        <f>'t1'!K16</f>
        <v>#DIV/0!</v>
      </c>
      <c r="G13" s="26" t="e">
        <f>'t1'!I24-'t0 (inverse addtion)'!I24</f>
        <v>#DIV/0!</v>
      </c>
      <c r="H13" s="27" t="e">
        <f t="shared" ref="H13:H18" si="5">IF(G13&lt;1,1,IF(G13&gt;99,99,G13))</f>
        <v>#DIV/0!</v>
      </c>
      <c r="I13" s="284" t="e">
        <f>'t1'!K24</f>
        <v>#DIV/0!</v>
      </c>
      <c r="J13" s="23" t="e">
        <f>'t1'!I32-'t0 (inverse addtion)'!I32</f>
        <v>#DIV/0!</v>
      </c>
      <c r="K13" s="24" t="e">
        <f t="shared" ref="K13:K18" si="6">IF(J13&lt;1,1,IF(J13&gt;99,99,J13))</f>
        <v>#DIV/0!</v>
      </c>
      <c r="L13" s="288" t="e">
        <f>'t1'!K32</f>
        <v>#DIV/0!</v>
      </c>
      <c r="M13" s="30" t="e">
        <f>'t1'!D40-'t0 (inverse addtion)'!D40</f>
        <v>#DIV/0!</v>
      </c>
      <c r="N13" s="29" t="e">
        <f t="shared" ref="N13:N18" si="7">IF(M13&lt;1,1,IF(M13&gt;99,99,M13))</f>
        <v>#DIV/0!</v>
      </c>
    </row>
    <row r="14" spans="1:20" ht="12" customHeight="1" x14ac:dyDescent="0.2">
      <c r="B14" s="20">
        <f>'Run specifications'!C11</f>
        <v>30</v>
      </c>
      <c r="C14" s="49">
        <f>'t1'!$B$16</f>
        <v>0.625</v>
      </c>
      <c r="D14" s="18" t="e">
        <f>'t2'!I16-'t0 (inverse addtion)'!I16</f>
        <v>#DIV/0!</v>
      </c>
      <c r="E14" s="19" t="e">
        <f t="shared" si="4"/>
        <v>#DIV/0!</v>
      </c>
      <c r="F14" s="286" t="e">
        <f>'t2'!K16</f>
        <v>#DIV/0!</v>
      </c>
      <c r="G14" s="26" t="e">
        <f>'t2'!I24-'t0 (inverse addtion)'!I24</f>
        <v>#DIV/0!</v>
      </c>
      <c r="H14" s="27" t="e">
        <f t="shared" si="5"/>
        <v>#DIV/0!</v>
      </c>
      <c r="I14" s="284" t="e">
        <f>'t2'!K24</f>
        <v>#DIV/0!</v>
      </c>
      <c r="J14" s="23" t="e">
        <f>'t2'!I32-'t0 (inverse addtion)'!I32</f>
        <v>#DIV/0!</v>
      </c>
      <c r="K14" s="24" t="e">
        <f t="shared" si="6"/>
        <v>#DIV/0!</v>
      </c>
      <c r="L14" s="288" t="e">
        <f>'t2'!K32</f>
        <v>#DIV/0!</v>
      </c>
      <c r="M14" s="30" t="e">
        <f>'t2'!D40-'t0 (inverse addtion)'!D40</f>
        <v>#DIV/0!</v>
      </c>
      <c r="N14" s="29" t="e">
        <f t="shared" si="7"/>
        <v>#DIV/0!</v>
      </c>
    </row>
    <row r="15" spans="1:20" ht="12" customHeight="1" x14ac:dyDescent="0.2">
      <c r="B15" s="20">
        <f>'Run specifications'!C12</f>
        <v>90</v>
      </c>
      <c r="C15" s="49">
        <f>'t1'!$B$16</f>
        <v>0.625</v>
      </c>
      <c r="D15" s="18" t="e">
        <f>'t3'!I16-'t0 (inverse addtion)'!I16</f>
        <v>#DIV/0!</v>
      </c>
      <c r="E15" s="19" t="e">
        <f t="shared" si="4"/>
        <v>#DIV/0!</v>
      </c>
      <c r="F15" s="286" t="e">
        <f>'t3'!K16</f>
        <v>#DIV/0!</v>
      </c>
      <c r="G15" s="26" t="e">
        <f>'t3'!I24-'t0 (inverse addtion)'!I24</f>
        <v>#DIV/0!</v>
      </c>
      <c r="H15" s="27" t="e">
        <f t="shared" si="5"/>
        <v>#DIV/0!</v>
      </c>
      <c r="I15" s="284" t="e">
        <f>'t3'!K24</f>
        <v>#DIV/0!</v>
      </c>
      <c r="J15" s="23" t="e">
        <f>'t3'!I32-'t0 (inverse addtion)'!I32</f>
        <v>#DIV/0!</v>
      </c>
      <c r="K15" s="24" t="e">
        <f t="shared" si="6"/>
        <v>#DIV/0!</v>
      </c>
      <c r="L15" s="288" t="e">
        <f>'t3'!K32</f>
        <v>#DIV/0!</v>
      </c>
      <c r="M15" s="30" t="e">
        <f>'t3'!D40-'t0 (inverse addtion)'!D40</f>
        <v>#DIV/0!</v>
      </c>
      <c r="N15" s="29" t="e">
        <f t="shared" si="7"/>
        <v>#DIV/0!</v>
      </c>
    </row>
    <row r="16" spans="1:20" ht="12" customHeight="1" x14ac:dyDescent="0.2">
      <c r="B16" s="20">
        <f>'Run specifications'!C13</f>
        <v>150</v>
      </c>
      <c r="C16" s="49">
        <f>'t1'!$B$16</f>
        <v>0.625</v>
      </c>
      <c r="D16" s="18" t="e">
        <f>'t4'!I16-'t0 (inverse addtion)'!I16</f>
        <v>#DIV/0!</v>
      </c>
      <c r="E16" s="19" t="e">
        <f t="shared" si="4"/>
        <v>#DIV/0!</v>
      </c>
      <c r="F16" s="286" t="e">
        <f>'t4'!K16</f>
        <v>#DIV/0!</v>
      </c>
      <c r="G16" s="26" t="e">
        <f>'t4'!I24-'t0 (inverse addtion)'!I24</f>
        <v>#DIV/0!</v>
      </c>
      <c r="H16" s="27" t="e">
        <f t="shared" si="5"/>
        <v>#DIV/0!</v>
      </c>
      <c r="I16" s="284" t="e">
        <f>'t4'!K24</f>
        <v>#DIV/0!</v>
      </c>
      <c r="J16" s="23" t="e">
        <f>'t4'!I32-'t0 (inverse addtion)'!I32</f>
        <v>#DIV/0!</v>
      </c>
      <c r="K16" s="24" t="e">
        <f t="shared" si="6"/>
        <v>#DIV/0!</v>
      </c>
      <c r="L16" s="288" t="e">
        <f>'t4'!K32</f>
        <v>#DIV/0!</v>
      </c>
      <c r="M16" s="30" t="e">
        <f>'t4'!D40-'t0 (inverse addtion)'!D40</f>
        <v>#DIV/0!</v>
      </c>
      <c r="N16" s="29" t="e">
        <f t="shared" si="7"/>
        <v>#DIV/0!</v>
      </c>
    </row>
    <row r="17" spans="2:14" ht="12" customHeight="1" x14ac:dyDescent="0.2">
      <c r="B17" s="20">
        <f>'Run specifications'!C14</f>
        <v>210</v>
      </c>
      <c r="C17" s="49">
        <f>'t1'!$B$16</f>
        <v>0.625</v>
      </c>
      <c r="D17" s="18" t="e">
        <f>'t5'!I16-'t0 (inverse addtion)'!I16</f>
        <v>#DIV/0!</v>
      </c>
      <c r="E17" s="19" t="e">
        <f t="shared" si="4"/>
        <v>#DIV/0!</v>
      </c>
      <c r="F17" s="286" t="e">
        <f>'t5'!K16</f>
        <v>#DIV/0!</v>
      </c>
      <c r="G17" s="26" t="e">
        <f>'t5'!I24-'t0 (inverse addtion)'!I24</f>
        <v>#DIV/0!</v>
      </c>
      <c r="H17" s="27" t="e">
        <f t="shared" si="5"/>
        <v>#DIV/0!</v>
      </c>
      <c r="I17" s="284" t="e">
        <f>'t5'!K24</f>
        <v>#DIV/0!</v>
      </c>
      <c r="J17" s="23" t="e">
        <f>'t5'!I32-'t0 (inverse addtion)'!I32</f>
        <v>#DIV/0!</v>
      </c>
      <c r="K17" s="24" t="e">
        <f t="shared" si="6"/>
        <v>#DIV/0!</v>
      </c>
      <c r="L17" s="288" t="e">
        <f>'t5'!K32</f>
        <v>#DIV/0!</v>
      </c>
      <c r="M17" s="30" t="e">
        <f>'t5'!D40-'t0 (inverse addtion)'!D40</f>
        <v>#DIV/0!</v>
      </c>
      <c r="N17" s="29" t="e">
        <f t="shared" si="7"/>
        <v>#DIV/0!</v>
      </c>
    </row>
    <row r="18" spans="2:14" ht="12" customHeight="1" x14ac:dyDescent="0.2">
      <c r="B18" s="20">
        <f>'Run specifications'!C15</f>
        <v>1440</v>
      </c>
      <c r="C18" s="49">
        <f>'t1'!$B$16</f>
        <v>0.625</v>
      </c>
      <c r="D18" s="18" t="e">
        <f>'t6'!I16-'t0 (inverse addtion)'!I16</f>
        <v>#DIV/0!</v>
      </c>
      <c r="E18" s="19" t="e">
        <f t="shared" si="4"/>
        <v>#DIV/0!</v>
      </c>
      <c r="F18" s="286" t="e">
        <f>'t6'!K16</f>
        <v>#DIV/0!</v>
      </c>
      <c r="G18" s="26" t="e">
        <f>'t6'!I24-'t0 (inverse addtion)'!I24</f>
        <v>#DIV/0!</v>
      </c>
      <c r="H18" s="27" t="e">
        <f t="shared" si="5"/>
        <v>#DIV/0!</v>
      </c>
      <c r="I18" s="284" t="e">
        <f>'t6'!K24</f>
        <v>#DIV/0!</v>
      </c>
      <c r="J18" s="23" t="e">
        <f>'t6'!I32-'t0 (inverse addtion)'!I32</f>
        <v>#DIV/0!</v>
      </c>
      <c r="K18" s="24" t="e">
        <f t="shared" si="6"/>
        <v>#DIV/0!</v>
      </c>
      <c r="L18" s="288" t="e">
        <f>'t6'!K32</f>
        <v>#DIV/0!</v>
      </c>
      <c r="M18" s="30" t="e">
        <f>'t6'!D40-'t0 (inverse addtion)'!D40</f>
        <v>#DIV/0!</v>
      </c>
      <c r="N18" s="29" t="e">
        <f t="shared" si="7"/>
        <v>#DIV/0!</v>
      </c>
    </row>
    <row r="19" spans="2:14" ht="12" customHeight="1" x14ac:dyDescent="0.2">
      <c r="B19" s="21"/>
      <c r="C19" s="21"/>
      <c r="D19" s="1"/>
      <c r="E19" s="7"/>
      <c r="F19" s="285"/>
      <c r="G19" s="1"/>
      <c r="H19" s="7"/>
      <c r="I19" s="285"/>
      <c r="J19" s="1"/>
      <c r="K19" s="7"/>
      <c r="L19" s="285"/>
    </row>
    <row r="20" spans="2:14" ht="22.5" customHeight="1" x14ac:dyDescent="0.2">
      <c r="B20" s="13" t="s">
        <v>90</v>
      </c>
      <c r="C20" s="13" t="s">
        <v>79</v>
      </c>
      <c r="D20" s="16" t="s">
        <v>23</v>
      </c>
      <c r="E20" s="17" t="s">
        <v>91</v>
      </c>
      <c r="F20" s="287" t="s">
        <v>167</v>
      </c>
      <c r="G20" s="25" t="s">
        <v>23</v>
      </c>
      <c r="H20" s="25" t="s">
        <v>91</v>
      </c>
      <c r="I20" s="25" t="s">
        <v>167</v>
      </c>
      <c r="J20" s="22" t="s">
        <v>23</v>
      </c>
      <c r="K20" s="22" t="s">
        <v>91</v>
      </c>
      <c r="L20" s="22" t="s">
        <v>167</v>
      </c>
      <c r="M20" s="28" t="s">
        <v>36</v>
      </c>
      <c r="N20" s="28" t="s">
        <v>91</v>
      </c>
    </row>
    <row r="21" spans="2:14" ht="12" customHeight="1" x14ac:dyDescent="0.2">
      <c r="B21" s="20">
        <f>'Run specifications'!C10</f>
        <v>10</v>
      </c>
      <c r="C21" s="49">
        <f>'t1'!$B$17</f>
        <v>1.25</v>
      </c>
      <c r="D21" s="18" t="e">
        <f>'t1'!I17-'t0 (inverse addtion)'!I17</f>
        <v>#DIV/0!</v>
      </c>
      <c r="E21" s="19" t="e">
        <f t="shared" ref="E21:E26" si="8">IF(D21&lt;1,1,IF(D21&gt;99,99,D21))</f>
        <v>#DIV/0!</v>
      </c>
      <c r="F21" s="286" t="e">
        <f>'t1'!K17</f>
        <v>#DIV/0!</v>
      </c>
      <c r="G21" s="26" t="e">
        <f>'t1'!I25-'t0 (inverse addtion)'!I25</f>
        <v>#DIV/0!</v>
      </c>
      <c r="H21" s="27" t="e">
        <f t="shared" ref="H21:H26" si="9">IF(G21&lt;1,1,IF(G21&gt;99,99,G21))</f>
        <v>#DIV/0!</v>
      </c>
      <c r="I21" s="284" t="e">
        <f>'t1'!K25</f>
        <v>#DIV/0!</v>
      </c>
      <c r="J21" s="23" t="e">
        <f>'t1'!I33-'t0 (inverse addtion)'!I33</f>
        <v>#DIV/0!</v>
      </c>
      <c r="K21" s="24" t="e">
        <f t="shared" ref="K21:K26" si="10">IF(J21&lt;1,1,IF(J21&gt;99,99,J21))</f>
        <v>#DIV/0!</v>
      </c>
      <c r="L21" s="288" t="e">
        <f>'t1'!K33</f>
        <v>#DIV/0!</v>
      </c>
      <c r="M21" s="30" t="e">
        <f>'t1'!D41-'t0 (inverse addtion)'!D41</f>
        <v>#DIV/0!</v>
      </c>
      <c r="N21" s="29" t="e">
        <f t="shared" ref="N21:N26" si="11">IF(M21&lt;1,1,IF(M21&gt;99,99,M21))</f>
        <v>#DIV/0!</v>
      </c>
    </row>
    <row r="22" spans="2:14" ht="12" customHeight="1" x14ac:dyDescent="0.2">
      <c r="B22" s="20">
        <f>'Run specifications'!C11</f>
        <v>30</v>
      </c>
      <c r="C22" s="49">
        <f>'t1'!$B$17</f>
        <v>1.25</v>
      </c>
      <c r="D22" s="18" t="e">
        <f>'t2'!I17-'t0 (inverse addtion)'!I17</f>
        <v>#DIV/0!</v>
      </c>
      <c r="E22" s="19" t="e">
        <f t="shared" si="8"/>
        <v>#DIV/0!</v>
      </c>
      <c r="F22" s="286" t="e">
        <f>'t2'!K17</f>
        <v>#DIV/0!</v>
      </c>
      <c r="G22" s="26" t="e">
        <f>'t2'!I25-'t0 (inverse addtion)'!I25</f>
        <v>#DIV/0!</v>
      </c>
      <c r="H22" s="27" t="e">
        <f t="shared" si="9"/>
        <v>#DIV/0!</v>
      </c>
      <c r="I22" s="284" t="e">
        <f>'t2'!K25</f>
        <v>#DIV/0!</v>
      </c>
      <c r="J22" s="23" t="e">
        <f>'t2'!I33-'t0 (inverse addtion)'!I33</f>
        <v>#DIV/0!</v>
      </c>
      <c r="K22" s="24" t="e">
        <f t="shared" si="10"/>
        <v>#DIV/0!</v>
      </c>
      <c r="L22" s="288" t="e">
        <f>'t2'!K33</f>
        <v>#DIV/0!</v>
      </c>
      <c r="M22" s="30" t="e">
        <f>'t2'!D41-'t0 (inverse addtion)'!D41</f>
        <v>#DIV/0!</v>
      </c>
      <c r="N22" s="29" t="e">
        <f t="shared" si="11"/>
        <v>#DIV/0!</v>
      </c>
    </row>
    <row r="23" spans="2:14" ht="12" customHeight="1" x14ac:dyDescent="0.2">
      <c r="B23" s="20">
        <f>'Run specifications'!C12</f>
        <v>90</v>
      </c>
      <c r="C23" s="49">
        <f>'t1'!$B$17</f>
        <v>1.25</v>
      </c>
      <c r="D23" s="18" t="e">
        <f>'t3'!I17-'t0 (inverse addtion)'!I17</f>
        <v>#DIV/0!</v>
      </c>
      <c r="E23" s="19" t="e">
        <f t="shared" si="8"/>
        <v>#DIV/0!</v>
      </c>
      <c r="F23" s="286" t="e">
        <f>'t3'!K17</f>
        <v>#DIV/0!</v>
      </c>
      <c r="G23" s="26" t="e">
        <f>'t3'!I25-'t0 (inverse addtion)'!I25</f>
        <v>#DIV/0!</v>
      </c>
      <c r="H23" s="27" t="e">
        <f t="shared" si="9"/>
        <v>#DIV/0!</v>
      </c>
      <c r="I23" s="284" t="e">
        <f>'t3'!K25</f>
        <v>#DIV/0!</v>
      </c>
      <c r="J23" s="23" t="e">
        <f>'t3'!I33-'t0 (inverse addtion)'!I33</f>
        <v>#DIV/0!</v>
      </c>
      <c r="K23" s="24" t="e">
        <f t="shared" si="10"/>
        <v>#DIV/0!</v>
      </c>
      <c r="L23" s="288" t="e">
        <f>'t3'!K33</f>
        <v>#DIV/0!</v>
      </c>
      <c r="M23" s="30" t="e">
        <f>'t3'!D41-'t0 (inverse addtion)'!D41</f>
        <v>#DIV/0!</v>
      </c>
      <c r="N23" s="29" t="e">
        <f t="shared" si="11"/>
        <v>#DIV/0!</v>
      </c>
    </row>
    <row r="24" spans="2:14" ht="12" customHeight="1" x14ac:dyDescent="0.2">
      <c r="B24" s="20">
        <f>'Run specifications'!C13</f>
        <v>150</v>
      </c>
      <c r="C24" s="49">
        <f>'t1'!$B$17</f>
        <v>1.25</v>
      </c>
      <c r="D24" s="18" t="e">
        <f>'t4'!I17-'t0 (inverse addtion)'!I17</f>
        <v>#DIV/0!</v>
      </c>
      <c r="E24" s="19" t="e">
        <f t="shared" si="8"/>
        <v>#DIV/0!</v>
      </c>
      <c r="F24" s="286" t="e">
        <f>'t4'!K17</f>
        <v>#DIV/0!</v>
      </c>
      <c r="G24" s="26" t="e">
        <f>'t4'!I25-'t0 (inverse addtion)'!I25</f>
        <v>#DIV/0!</v>
      </c>
      <c r="H24" s="27" t="e">
        <f t="shared" si="9"/>
        <v>#DIV/0!</v>
      </c>
      <c r="I24" s="284" t="e">
        <f>'t4'!K25</f>
        <v>#DIV/0!</v>
      </c>
      <c r="J24" s="23" t="e">
        <f>'t4'!I33-'t0 (inverse addtion)'!I33</f>
        <v>#DIV/0!</v>
      </c>
      <c r="K24" s="24" t="e">
        <f t="shared" si="10"/>
        <v>#DIV/0!</v>
      </c>
      <c r="L24" s="288" t="e">
        <f>'t4'!K33</f>
        <v>#DIV/0!</v>
      </c>
      <c r="M24" s="30" t="e">
        <f>'t4'!D41-'t0 (inverse addtion)'!D41</f>
        <v>#DIV/0!</v>
      </c>
      <c r="N24" s="29" t="e">
        <f t="shared" si="11"/>
        <v>#DIV/0!</v>
      </c>
    </row>
    <row r="25" spans="2:14" ht="12" customHeight="1" x14ac:dyDescent="0.2">
      <c r="B25" s="20">
        <f>'Run specifications'!C14</f>
        <v>210</v>
      </c>
      <c r="C25" s="49">
        <f>'t1'!$B$17</f>
        <v>1.25</v>
      </c>
      <c r="D25" s="18" t="e">
        <f>'t5'!I17-'t0 (inverse addtion)'!I17</f>
        <v>#DIV/0!</v>
      </c>
      <c r="E25" s="19" t="e">
        <f t="shared" si="8"/>
        <v>#DIV/0!</v>
      </c>
      <c r="F25" s="286" t="e">
        <f>'t5'!K17</f>
        <v>#DIV/0!</v>
      </c>
      <c r="G25" s="26" t="e">
        <f>'t5'!I25-'t0 (inverse addtion)'!I25</f>
        <v>#DIV/0!</v>
      </c>
      <c r="H25" s="27" t="e">
        <f t="shared" si="9"/>
        <v>#DIV/0!</v>
      </c>
      <c r="I25" s="284" t="e">
        <f>'t5'!K25</f>
        <v>#DIV/0!</v>
      </c>
      <c r="J25" s="23" t="e">
        <f>'t5'!I33-'t0 (inverse addtion)'!I33</f>
        <v>#DIV/0!</v>
      </c>
      <c r="K25" s="24" t="e">
        <f t="shared" si="10"/>
        <v>#DIV/0!</v>
      </c>
      <c r="L25" s="288" t="e">
        <f>'t5'!K33</f>
        <v>#DIV/0!</v>
      </c>
      <c r="M25" s="30" t="e">
        <f>'t5'!D41-'t0 (inverse addtion)'!D41</f>
        <v>#DIV/0!</v>
      </c>
      <c r="N25" s="29" t="e">
        <f t="shared" si="11"/>
        <v>#DIV/0!</v>
      </c>
    </row>
    <row r="26" spans="2:14" ht="12" customHeight="1" x14ac:dyDescent="0.2">
      <c r="B26" s="20">
        <f>'Run specifications'!C15</f>
        <v>1440</v>
      </c>
      <c r="C26" s="49">
        <f>'t1'!$B$17</f>
        <v>1.25</v>
      </c>
      <c r="D26" s="18" t="e">
        <f>'t6'!I17-'t0 (inverse addtion)'!I17</f>
        <v>#DIV/0!</v>
      </c>
      <c r="E26" s="19" t="e">
        <f t="shared" si="8"/>
        <v>#DIV/0!</v>
      </c>
      <c r="F26" s="286" t="e">
        <f>'t6'!K17</f>
        <v>#DIV/0!</v>
      </c>
      <c r="G26" s="26" t="e">
        <f>'t6'!I25-'t0 (inverse addtion)'!I25</f>
        <v>#DIV/0!</v>
      </c>
      <c r="H26" s="27" t="e">
        <f t="shared" si="9"/>
        <v>#DIV/0!</v>
      </c>
      <c r="I26" s="284" t="e">
        <f>'t6'!K25</f>
        <v>#DIV/0!</v>
      </c>
      <c r="J26" s="23" t="e">
        <f>'t6'!I33-'t0 (inverse addtion)'!I33</f>
        <v>#DIV/0!</v>
      </c>
      <c r="K26" s="24" t="e">
        <f t="shared" si="10"/>
        <v>#DIV/0!</v>
      </c>
      <c r="L26" s="288" t="e">
        <f>'t6'!K33</f>
        <v>#DIV/0!</v>
      </c>
      <c r="M26" s="30" t="e">
        <f>'t6'!D41-'t0 (inverse addtion)'!D41</f>
        <v>#DIV/0!</v>
      </c>
      <c r="N26" s="29" t="e">
        <f t="shared" si="11"/>
        <v>#DIV/0!</v>
      </c>
    </row>
    <row r="27" spans="2:14" ht="12" customHeight="1" x14ac:dyDescent="0.2">
      <c r="B27" s="21"/>
      <c r="C27" s="21"/>
      <c r="D27" s="1"/>
      <c r="E27" s="7"/>
      <c r="F27" s="285"/>
      <c r="G27" s="1"/>
      <c r="H27" s="7"/>
      <c r="I27" s="285"/>
      <c r="J27" s="1"/>
      <c r="K27" s="7"/>
      <c r="L27" s="285"/>
    </row>
    <row r="28" spans="2:14" ht="22.5" customHeight="1" x14ac:dyDescent="0.2">
      <c r="B28" s="13" t="s">
        <v>90</v>
      </c>
      <c r="C28" s="13" t="s">
        <v>79</v>
      </c>
      <c r="D28" s="16" t="s">
        <v>23</v>
      </c>
      <c r="E28" s="17" t="s">
        <v>91</v>
      </c>
      <c r="F28" s="287" t="s">
        <v>167</v>
      </c>
      <c r="G28" s="25" t="s">
        <v>23</v>
      </c>
      <c r="H28" s="25" t="s">
        <v>91</v>
      </c>
      <c r="I28" s="25" t="s">
        <v>167</v>
      </c>
      <c r="J28" s="22" t="s">
        <v>23</v>
      </c>
      <c r="K28" s="22" t="s">
        <v>91</v>
      </c>
      <c r="L28" s="22" t="s">
        <v>167</v>
      </c>
      <c r="M28" s="28" t="s">
        <v>36</v>
      </c>
      <c r="N28" s="28" t="s">
        <v>91</v>
      </c>
    </row>
    <row r="29" spans="2:14" ht="12" customHeight="1" x14ac:dyDescent="0.2">
      <c r="B29" s="20">
        <f>'Run specifications'!C10</f>
        <v>10</v>
      </c>
      <c r="C29" s="20">
        <f>'t1'!$B$18</f>
        <v>2.5</v>
      </c>
      <c r="D29" s="18" t="e">
        <f>'t1'!I18-'t0 (inverse addtion)'!I18</f>
        <v>#DIV/0!</v>
      </c>
      <c r="E29" s="19" t="e">
        <f t="shared" ref="E29:E34" si="12">IF(D29&lt;1,1,IF(D29&gt;99,99,D29))</f>
        <v>#DIV/0!</v>
      </c>
      <c r="F29" s="286" t="e">
        <f>'t1'!K18</f>
        <v>#DIV/0!</v>
      </c>
      <c r="G29" s="26" t="e">
        <f>'t1'!I26-'t0 (inverse addtion)'!I26</f>
        <v>#DIV/0!</v>
      </c>
      <c r="H29" s="27" t="e">
        <f t="shared" ref="H29:H34" si="13">IF(G29&lt;1,1,IF(G29&gt;99,99,G29))</f>
        <v>#DIV/0!</v>
      </c>
      <c r="I29" s="284" t="e">
        <f>'t1'!K26</f>
        <v>#DIV/0!</v>
      </c>
      <c r="J29" s="23" t="e">
        <f>'t1'!I34-'t0 (inverse addtion)'!I34</f>
        <v>#DIV/0!</v>
      </c>
      <c r="K29" s="24" t="e">
        <f t="shared" ref="K29:K34" si="14">IF(J29&lt;1,1,IF(J29&gt;99,99,J29))</f>
        <v>#DIV/0!</v>
      </c>
      <c r="L29" s="288" t="e">
        <f>'t1'!K34</f>
        <v>#DIV/0!</v>
      </c>
      <c r="M29" s="30" t="e">
        <f>'t1'!D42-'t0 (inverse addtion)'!D42</f>
        <v>#DIV/0!</v>
      </c>
      <c r="N29" s="29" t="e">
        <f t="shared" ref="N29:N34" si="15">IF(M29&lt;1,1,IF(M29&gt;99,99,M29))</f>
        <v>#DIV/0!</v>
      </c>
    </row>
    <row r="30" spans="2:14" ht="12" customHeight="1" x14ac:dyDescent="0.2">
      <c r="B30" s="20">
        <f>'Run specifications'!C11</f>
        <v>30</v>
      </c>
      <c r="C30" s="20">
        <f>'t1'!$B$18</f>
        <v>2.5</v>
      </c>
      <c r="D30" s="18" t="e">
        <f>'t2'!I18-'t0 (inverse addtion)'!I18</f>
        <v>#DIV/0!</v>
      </c>
      <c r="E30" s="19" t="e">
        <f t="shared" si="12"/>
        <v>#DIV/0!</v>
      </c>
      <c r="F30" s="286" t="e">
        <f>'t2'!K18</f>
        <v>#DIV/0!</v>
      </c>
      <c r="G30" s="26" t="e">
        <f>'t2'!I26-'t0 (inverse addtion)'!I26</f>
        <v>#DIV/0!</v>
      </c>
      <c r="H30" s="27" t="e">
        <f t="shared" si="13"/>
        <v>#DIV/0!</v>
      </c>
      <c r="I30" s="284" t="e">
        <f>'t2'!K26</f>
        <v>#DIV/0!</v>
      </c>
      <c r="J30" s="23" t="e">
        <f>'t2'!I34-'t0 (inverse addtion)'!I34</f>
        <v>#DIV/0!</v>
      </c>
      <c r="K30" s="24" t="e">
        <f t="shared" si="14"/>
        <v>#DIV/0!</v>
      </c>
      <c r="L30" s="288" t="e">
        <f>'t2'!K34</f>
        <v>#DIV/0!</v>
      </c>
      <c r="M30" s="30" t="e">
        <f>'t2'!D42-'t0 (inverse addtion)'!D42</f>
        <v>#DIV/0!</v>
      </c>
      <c r="N30" s="29" t="e">
        <f t="shared" si="15"/>
        <v>#DIV/0!</v>
      </c>
    </row>
    <row r="31" spans="2:14" ht="12" customHeight="1" x14ac:dyDescent="0.2">
      <c r="B31" s="20">
        <f>'Run specifications'!C12</f>
        <v>90</v>
      </c>
      <c r="C31" s="20">
        <f>'t1'!$B$18</f>
        <v>2.5</v>
      </c>
      <c r="D31" s="18" t="e">
        <f>'t3'!I18-'t0 (inverse addtion)'!I18</f>
        <v>#DIV/0!</v>
      </c>
      <c r="E31" s="19" t="e">
        <f t="shared" si="12"/>
        <v>#DIV/0!</v>
      </c>
      <c r="F31" s="286" t="e">
        <f>'t3'!K18</f>
        <v>#DIV/0!</v>
      </c>
      <c r="G31" s="26" t="e">
        <f>'t3'!I26-'t0 (inverse addtion)'!I26</f>
        <v>#DIV/0!</v>
      </c>
      <c r="H31" s="27" t="e">
        <f t="shared" si="13"/>
        <v>#DIV/0!</v>
      </c>
      <c r="I31" s="284" t="e">
        <f>'t3'!K26</f>
        <v>#DIV/0!</v>
      </c>
      <c r="J31" s="23" t="e">
        <f>'t3'!I34-'t0 (inverse addtion)'!I34</f>
        <v>#DIV/0!</v>
      </c>
      <c r="K31" s="24" t="e">
        <f t="shared" si="14"/>
        <v>#DIV/0!</v>
      </c>
      <c r="L31" s="288" t="e">
        <f>'t3'!K34</f>
        <v>#DIV/0!</v>
      </c>
      <c r="M31" s="30" t="e">
        <f>'t3'!D42-'t0 (inverse addtion)'!D42</f>
        <v>#DIV/0!</v>
      </c>
      <c r="N31" s="29" t="e">
        <f t="shared" si="15"/>
        <v>#DIV/0!</v>
      </c>
    </row>
    <row r="32" spans="2:14" ht="12" customHeight="1" x14ac:dyDescent="0.2">
      <c r="B32" s="20">
        <f>'Run specifications'!C13</f>
        <v>150</v>
      </c>
      <c r="C32" s="20">
        <f>'t1'!$B$18</f>
        <v>2.5</v>
      </c>
      <c r="D32" s="18" t="e">
        <f>'t4'!I18-'t0 (inverse addtion)'!I18</f>
        <v>#DIV/0!</v>
      </c>
      <c r="E32" s="19" t="e">
        <f t="shared" si="12"/>
        <v>#DIV/0!</v>
      </c>
      <c r="F32" s="286" t="e">
        <f>'t4'!K18</f>
        <v>#DIV/0!</v>
      </c>
      <c r="G32" s="26" t="e">
        <f>'t4'!I26-'t0 (inverse addtion)'!I26</f>
        <v>#DIV/0!</v>
      </c>
      <c r="H32" s="27" t="e">
        <f t="shared" si="13"/>
        <v>#DIV/0!</v>
      </c>
      <c r="I32" s="284" t="e">
        <f>'t4'!K26</f>
        <v>#DIV/0!</v>
      </c>
      <c r="J32" s="23" t="e">
        <f>'t4'!I34-'t0 (inverse addtion)'!I34</f>
        <v>#DIV/0!</v>
      </c>
      <c r="K32" s="24" t="e">
        <f t="shared" si="14"/>
        <v>#DIV/0!</v>
      </c>
      <c r="L32" s="288" t="e">
        <f>'t4'!K34</f>
        <v>#DIV/0!</v>
      </c>
      <c r="M32" s="30" t="e">
        <f>'t4'!D42-'t0 (inverse addtion)'!D42</f>
        <v>#DIV/0!</v>
      </c>
      <c r="N32" s="29" t="e">
        <f t="shared" si="15"/>
        <v>#DIV/0!</v>
      </c>
    </row>
    <row r="33" spans="2:14" ht="12" customHeight="1" x14ac:dyDescent="0.2">
      <c r="B33" s="20">
        <f>'Run specifications'!C14</f>
        <v>210</v>
      </c>
      <c r="C33" s="20">
        <f>'t1'!$B$18</f>
        <v>2.5</v>
      </c>
      <c r="D33" s="18" t="e">
        <f>'t5'!I18-'t0 (inverse addtion)'!I18</f>
        <v>#DIV/0!</v>
      </c>
      <c r="E33" s="19" t="e">
        <f t="shared" si="12"/>
        <v>#DIV/0!</v>
      </c>
      <c r="F33" s="286" t="e">
        <f>'t5'!K18</f>
        <v>#DIV/0!</v>
      </c>
      <c r="G33" s="26" t="e">
        <f>'t5'!I26-'t0 (inverse addtion)'!I26</f>
        <v>#DIV/0!</v>
      </c>
      <c r="H33" s="27" t="e">
        <f t="shared" si="13"/>
        <v>#DIV/0!</v>
      </c>
      <c r="I33" s="284" t="e">
        <f>'t5'!K26</f>
        <v>#DIV/0!</v>
      </c>
      <c r="J33" s="23" t="e">
        <f>'t5'!I34-'t0 (inverse addtion)'!I34</f>
        <v>#DIV/0!</v>
      </c>
      <c r="K33" s="24" t="e">
        <f t="shared" si="14"/>
        <v>#DIV/0!</v>
      </c>
      <c r="L33" s="288" t="e">
        <f>'t5'!K34</f>
        <v>#DIV/0!</v>
      </c>
      <c r="M33" s="30" t="e">
        <f>'t5'!D42-'t0 (inverse addtion)'!D42</f>
        <v>#DIV/0!</v>
      </c>
      <c r="N33" s="29" t="e">
        <f t="shared" si="15"/>
        <v>#DIV/0!</v>
      </c>
    </row>
    <row r="34" spans="2:14" ht="12" customHeight="1" x14ac:dyDescent="0.2">
      <c r="B34" s="20">
        <f>'Run specifications'!C15</f>
        <v>1440</v>
      </c>
      <c r="C34" s="20">
        <f>'t1'!$B$18</f>
        <v>2.5</v>
      </c>
      <c r="D34" s="18" t="e">
        <f>'t6'!I18-'t0 (inverse addtion)'!I18</f>
        <v>#DIV/0!</v>
      </c>
      <c r="E34" s="19" t="e">
        <f t="shared" si="12"/>
        <v>#DIV/0!</v>
      </c>
      <c r="F34" s="286" t="e">
        <f>'t6'!K18</f>
        <v>#DIV/0!</v>
      </c>
      <c r="G34" s="26" t="e">
        <f>'t6'!I26-'t0 (inverse addtion)'!I26</f>
        <v>#DIV/0!</v>
      </c>
      <c r="H34" s="27" t="e">
        <f t="shared" si="13"/>
        <v>#DIV/0!</v>
      </c>
      <c r="I34" s="284" t="e">
        <f>'t6'!K26</f>
        <v>#DIV/0!</v>
      </c>
      <c r="J34" s="23" t="e">
        <f>'t6'!I34-'t0 (inverse addtion)'!I34</f>
        <v>#DIV/0!</v>
      </c>
      <c r="K34" s="24" t="e">
        <f t="shared" si="14"/>
        <v>#DIV/0!</v>
      </c>
      <c r="L34" s="288" t="e">
        <f>'t6'!K34</f>
        <v>#DIV/0!</v>
      </c>
      <c r="M34" s="30" t="e">
        <f>'t6'!D42-'t0 (inverse addtion)'!D42</f>
        <v>#DIV/0!</v>
      </c>
      <c r="N34" s="29" t="e">
        <f t="shared" si="15"/>
        <v>#DIV/0!</v>
      </c>
    </row>
    <row r="35" spans="2:14" ht="12" customHeight="1" x14ac:dyDescent="0.2">
      <c r="B35" s="21"/>
      <c r="C35" s="21"/>
      <c r="D35" s="1"/>
      <c r="E35" s="7"/>
      <c r="F35" s="285"/>
      <c r="G35" s="1"/>
      <c r="H35" s="7"/>
      <c r="I35" s="285"/>
      <c r="J35" s="1"/>
      <c r="K35" s="7"/>
      <c r="L35" s="285"/>
    </row>
    <row r="36" spans="2:14" ht="22.5" customHeight="1" x14ac:dyDescent="0.2">
      <c r="B36" s="13" t="s">
        <v>90</v>
      </c>
      <c r="C36" s="13" t="s">
        <v>79</v>
      </c>
      <c r="D36" s="16" t="s">
        <v>23</v>
      </c>
      <c r="E36" s="17" t="s">
        <v>91</v>
      </c>
      <c r="F36" s="287" t="s">
        <v>167</v>
      </c>
      <c r="G36" s="25" t="s">
        <v>23</v>
      </c>
      <c r="H36" s="25" t="s">
        <v>91</v>
      </c>
      <c r="I36" s="25" t="s">
        <v>167</v>
      </c>
      <c r="J36" s="22" t="s">
        <v>23</v>
      </c>
      <c r="K36" s="22" t="s">
        <v>91</v>
      </c>
      <c r="L36" s="22" t="s">
        <v>167</v>
      </c>
      <c r="M36" s="28" t="s">
        <v>36</v>
      </c>
      <c r="N36" s="28" t="s">
        <v>91</v>
      </c>
    </row>
    <row r="37" spans="2:14" ht="12" customHeight="1" x14ac:dyDescent="0.2">
      <c r="B37" s="20">
        <f>'Run specifications'!C10</f>
        <v>10</v>
      </c>
      <c r="C37" s="20">
        <f>'t1'!$B$19</f>
        <v>5</v>
      </c>
      <c r="D37" s="18" t="e">
        <f>'t1'!I19-'t0 (inverse addtion)'!I19</f>
        <v>#DIV/0!</v>
      </c>
      <c r="E37" s="19" t="e">
        <f t="shared" ref="E37:E42" si="16">IF(D37&lt;1,1,IF(D37&gt;99,99,D37))</f>
        <v>#DIV/0!</v>
      </c>
      <c r="F37" s="286" t="e">
        <f>'t1'!K19</f>
        <v>#DIV/0!</v>
      </c>
      <c r="G37" s="26" t="e">
        <f>'t1'!I27-'t0 (inverse addtion)'!I27</f>
        <v>#DIV/0!</v>
      </c>
      <c r="H37" s="27" t="e">
        <f t="shared" ref="H37:H42" si="17">IF(G37&lt;1,1,IF(G37&gt;99,99,G37))</f>
        <v>#DIV/0!</v>
      </c>
      <c r="I37" s="26" t="e">
        <f>'t1'!K27</f>
        <v>#DIV/0!</v>
      </c>
      <c r="J37" s="23" t="e">
        <f>'t1'!I35-'t0 (inverse addtion)'!I35</f>
        <v>#DIV/0!</v>
      </c>
      <c r="K37" s="24" t="e">
        <f t="shared" ref="K37:K42" si="18">IF(J37&lt;1,1,IF(J37&gt;99,99,J37))</f>
        <v>#DIV/0!</v>
      </c>
      <c r="L37" s="288" t="e">
        <f>'t1'!K35</f>
        <v>#DIV/0!</v>
      </c>
      <c r="M37" s="30" t="e">
        <f>'t1'!D43-'t0 (inverse addtion)'!D43</f>
        <v>#DIV/0!</v>
      </c>
      <c r="N37" s="29" t="e">
        <f t="shared" ref="N37:N42" si="19">IF(M37&lt;1,1,IF(M37&gt;99,99,M37))</f>
        <v>#DIV/0!</v>
      </c>
    </row>
    <row r="38" spans="2:14" ht="12" customHeight="1" x14ac:dyDescent="0.2">
      <c r="B38" s="20">
        <f>'Run specifications'!C11</f>
        <v>30</v>
      </c>
      <c r="C38" s="20">
        <f>'t1'!$B$19</f>
        <v>5</v>
      </c>
      <c r="D38" s="18" t="e">
        <f>'t2'!I19-'t0 (inverse addtion)'!I19</f>
        <v>#DIV/0!</v>
      </c>
      <c r="E38" s="19" t="e">
        <f t="shared" si="16"/>
        <v>#DIV/0!</v>
      </c>
      <c r="F38" s="286" t="e">
        <f>'t2'!K19</f>
        <v>#DIV/0!</v>
      </c>
      <c r="G38" s="26" t="e">
        <f>'t2'!I27-'t0 (inverse addtion)'!I27</f>
        <v>#DIV/0!</v>
      </c>
      <c r="H38" s="27" t="e">
        <f t="shared" si="17"/>
        <v>#DIV/0!</v>
      </c>
      <c r="I38" s="26" t="e">
        <f>'t2'!K27</f>
        <v>#DIV/0!</v>
      </c>
      <c r="J38" s="23" t="e">
        <f>'t2'!I35-'t0 (inverse addtion)'!I35</f>
        <v>#DIV/0!</v>
      </c>
      <c r="K38" s="24" t="e">
        <f t="shared" si="18"/>
        <v>#DIV/0!</v>
      </c>
      <c r="L38" s="288" t="e">
        <f>'t2'!K35</f>
        <v>#DIV/0!</v>
      </c>
      <c r="M38" s="30" t="e">
        <f>'t2'!D43-'t0 (inverse addtion)'!D43</f>
        <v>#DIV/0!</v>
      </c>
      <c r="N38" s="29" t="e">
        <f t="shared" si="19"/>
        <v>#DIV/0!</v>
      </c>
    </row>
    <row r="39" spans="2:14" ht="12" customHeight="1" x14ac:dyDescent="0.2">
      <c r="B39" s="20">
        <f>'Run specifications'!C12</f>
        <v>90</v>
      </c>
      <c r="C39" s="20">
        <f>'t1'!$B$19</f>
        <v>5</v>
      </c>
      <c r="D39" s="18" t="e">
        <f>'t3'!I19-'t0 (inverse addtion)'!I19</f>
        <v>#DIV/0!</v>
      </c>
      <c r="E39" s="19" t="e">
        <f t="shared" si="16"/>
        <v>#DIV/0!</v>
      </c>
      <c r="F39" s="286" t="e">
        <f>'t3'!K19</f>
        <v>#DIV/0!</v>
      </c>
      <c r="G39" s="26" t="e">
        <f>'t3'!I27-'t0 (inverse addtion)'!I27</f>
        <v>#DIV/0!</v>
      </c>
      <c r="H39" s="27" t="e">
        <f t="shared" si="17"/>
        <v>#DIV/0!</v>
      </c>
      <c r="I39" s="26" t="e">
        <f>'t3'!K27</f>
        <v>#DIV/0!</v>
      </c>
      <c r="J39" s="23" t="e">
        <f>'t3'!I35-'t0 (inverse addtion)'!I35</f>
        <v>#DIV/0!</v>
      </c>
      <c r="K39" s="24" t="e">
        <f t="shared" si="18"/>
        <v>#DIV/0!</v>
      </c>
      <c r="L39" s="288" t="e">
        <f>'t3'!K35</f>
        <v>#DIV/0!</v>
      </c>
      <c r="M39" s="30" t="e">
        <f>'t3'!D43-'t0 (inverse addtion)'!D43</f>
        <v>#DIV/0!</v>
      </c>
      <c r="N39" s="29" t="e">
        <f t="shared" si="19"/>
        <v>#DIV/0!</v>
      </c>
    </row>
    <row r="40" spans="2:14" ht="12" customHeight="1" x14ac:dyDescent="0.2">
      <c r="B40" s="20">
        <f>'Run specifications'!C13</f>
        <v>150</v>
      </c>
      <c r="C40" s="20">
        <f>'t1'!$B$19</f>
        <v>5</v>
      </c>
      <c r="D40" s="18" t="e">
        <f>'t4'!I19-'t0 (inverse addtion)'!I19</f>
        <v>#DIV/0!</v>
      </c>
      <c r="E40" s="19" t="e">
        <f t="shared" si="16"/>
        <v>#DIV/0!</v>
      </c>
      <c r="F40" s="286" t="e">
        <f>'t4'!K19</f>
        <v>#DIV/0!</v>
      </c>
      <c r="G40" s="26" t="e">
        <f>'t4'!I27-'t0 (inverse addtion)'!I27</f>
        <v>#DIV/0!</v>
      </c>
      <c r="H40" s="27" t="e">
        <f t="shared" si="17"/>
        <v>#DIV/0!</v>
      </c>
      <c r="I40" s="26" t="e">
        <f>'t4'!K27</f>
        <v>#DIV/0!</v>
      </c>
      <c r="J40" s="23" t="e">
        <f>'t4'!I35-'t0 (inverse addtion)'!I35</f>
        <v>#DIV/0!</v>
      </c>
      <c r="K40" s="24" t="e">
        <f t="shared" si="18"/>
        <v>#DIV/0!</v>
      </c>
      <c r="L40" s="288" t="e">
        <f>'t4'!K35</f>
        <v>#DIV/0!</v>
      </c>
      <c r="M40" s="30" t="e">
        <f>'t4'!D43-'t0 (inverse addtion)'!D43</f>
        <v>#DIV/0!</v>
      </c>
      <c r="N40" s="29" t="e">
        <f t="shared" si="19"/>
        <v>#DIV/0!</v>
      </c>
    </row>
    <row r="41" spans="2:14" ht="12" customHeight="1" x14ac:dyDescent="0.2">
      <c r="B41" s="20">
        <f>'Run specifications'!C14</f>
        <v>210</v>
      </c>
      <c r="C41" s="20">
        <f>'t1'!$B$19</f>
        <v>5</v>
      </c>
      <c r="D41" s="18" t="e">
        <f>'t5'!I19-'t0 (inverse addtion)'!I19</f>
        <v>#DIV/0!</v>
      </c>
      <c r="E41" s="19" t="e">
        <f t="shared" si="16"/>
        <v>#DIV/0!</v>
      </c>
      <c r="F41" s="286" t="e">
        <f>'t5'!K19</f>
        <v>#DIV/0!</v>
      </c>
      <c r="G41" s="26" t="e">
        <f>'t5'!I27-'t0 (inverse addtion)'!I27</f>
        <v>#DIV/0!</v>
      </c>
      <c r="H41" s="27" t="e">
        <f t="shared" si="17"/>
        <v>#DIV/0!</v>
      </c>
      <c r="I41" s="26" t="e">
        <f>'t5'!K27</f>
        <v>#DIV/0!</v>
      </c>
      <c r="J41" s="23" t="e">
        <f>'t5'!I35-'t0 (inverse addtion)'!I35</f>
        <v>#DIV/0!</v>
      </c>
      <c r="K41" s="24" t="e">
        <f t="shared" si="18"/>
        <v>#DIV/0!</v>
      </c>
      <c r="L41" s="288" t="e">
        <f>'t5'!K35</f>
        <v>#DIV/0!</v>
      </c>
      <c r="M41" s="30" t="e">
        <f>'t5'!D43-'t0 (inverse addtion)'!D43</f>
        <v>#DIV/0!</v>
      </c>
      <c r="N41" s="29" t="e">
        <f t="shared" si="19"/>
        <v>#DIV/0!</v>
      </c>
    </row>
    <row r="42" spans="2:14" ht="12" customHeight="1" x14ac:dyDescent="0.2">
      <c r="B42" s="20">
        <f>'Run specifications'!C15</f>
        <v>1440</v>
      </c>
      <c r="C42" s="20">
        <f>'t1'!$B$19</f>
        <v>5</v>
      </c>
      <c r="D42" s="18" t="e">
        <f>'t6'!I19-'t0 (inverse addtion)'!I19</f>
        <v>#DIV/0!</v>
      </c>
      <c r="E42" s="19" t="e">
        <f t="shared" si="16"/>
        <v>#DIV/0!</v>
      </c>
      <c r="F42" s="286" t="e">
        <f>'t6'!K19</f>
        <v>#DIV/0!</v>
      </c>
      <c r="G42" s="26" t="e">
        <f>'t6'!I27-'t0 (inverse addtion)'!I27</f>
        <v>#DIV/0!</v>
      </c>
      <c r="H42" s="27" t="e">
        <f t="shared" si="17"/>
        <v>#DIV/0!</v>
      </c>
      <c r="I42" s="26" t="e">
        <f>'t6'!K27</f>
        <v>#DIV/0!</v>
      </c>
      <c r="J42" s="23" t="e">
        <f>'t6'!I35-'t0 (inverse addtion)'!I35</f>
        <v>#DIV/0!</v>
      </c>
      <c r="K42" s="24" t="e">
        <f t="shared" si="18"/>
        <v>#DIV/0!</v>
      </c>
      <c r="L42" s="288" t="e">
        <f>'t6'!K35</f>
        <v>#DIV/0!</v>
      </c>
      <c r="M42" s="30" t="e">
        <f>'t6'!D43-'t0 (inverse addtion)'!D43</f>
        <v>#DIV/0!</v>
      </c>
      <c r="N42" s="29" t="e">
        <f t="shared" si="19"/>
        <v>#DIV/0!</v>
      </c>
    </row>
  </sheetData>
  <mergeCells count="8">
    <mergeCell ref="M3:N3"/>
    <mergeCell ref="D2:E2"/>
    <mergeCell ref="G2:H2"/>
    <mergeCell ref="J2:K2"/>
    <mergeCell ref="M2:N2"/>
    <mergeCell ref="D3:E3"/>
    <mergeCell ref="G3:H3"/>
    <mergeCell ref="J3:K3"/>
  </mergeCells>
  <printOptions headings="1" gridLines="1"/>
  <pageMargins left="0.7" right="0.7" top="0.78740157499999996" bottom="0.78740157499999996" header="0.3" footer="0.3"/>
  <pageSetup paperSize="9" scale="64" orientation="landscape" r:id="rId1"/>
  <headerFooter>
    <oddHeader>&amp;L&amp;F&amp;C&amp;A&amp;R&amp;P von &amp;N</oddHeader>
  </headerFooter>
  <ignoredErrors>
    <ignoredError sqref="G11 G27 G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view="pageBreakPreview" topLeftCell="A13" zoomScale="85" zoomScaleNormal="100" zoomScaleSheetLayoutView="85" workbookViewId="0">
      <selection activeCell="E60" sqref="E60"/>
    </sheetView>
  </sheetViews>
  <sheetFormatPr defaultColWidth="12" defaultRowHeight="10" x14ac:dyDescent="0.2"/>
  <cols>
    <col min="1" max="1" width="17.6640625" style="127" customWidth="1"/>
    <col min="2" max="2" width="19.77734375" style="127" customWidth="1"/>
    <col min="3" max="3" width="18" style="127" customWidth="1"/>
    <col min="4" max="5" width="17.6640625" style="127" customWidth="1"/>
    <col min="6" max="6" width="17.6640625" style="129" customWidth="1"/>
    <col min="7" max="10" width="17.6640625" style="127" customWidth="1"/>
    <col min="11" max="20" width="12" style="127"/>
    <col min="21" max="27" width="10.77734375" style="127" customWidth="1"/>
    <col min="28" max="16384" width="12" style="127"/>
  </cols>
  <sheetData>
    <row r="1" spans="1:32" ht="10.5" x14ac:dyDescent="0.2">
      <c r="B1" s="225" t="s">
        <v>93</v>
      </c>
      <c r="C1" s="133" t="str">
        <f>'Run specifications'!B4</f>
        <v>A</v>
      </c>
      <c r="D1" s="133">
        <f>'Run specifications'!D4</f>
        <v>0</v>
      </c>
      <c r="E1" s="164"/>
      <c r="F1" s="226"/>
    </row>
    <row r="2" spans="1:32" ht="11.25" customHeight="1" x14ac:dyDescent="0.2">
      <c r="B2" s="225" t="s">
        <v>61</v>
      </c>
      <c r="C2" s="133">
        <f>'Run specifications'!D1</f>
        <v>0</v>
      </c>
      <c r="D2" s="228"/>
      <c r="E2" s="164"/>
      <c r="F2" s="227"/>
      <c r="I2" s="165"/>
    </row>
    <row r="3" spans="1:32" ht="10.5" x14ac:dyDescent="0.2">
      <c r="B3" s="227" t="s">
        <v>92</v>
      </c>
      <c r="C3" s="133">
        <f>'Run specifications'!C4</f>
        <v>0</v>
      </c>
      <c r="D3" s="228" t="s">
        <v>125</v>
      </c>
      <c r="E3" s="164"/>
      <c r="F3" s="227">
        <f>'Run specifications'!F9</f>
        <v>13.89</v>
      </c>
    </row>
    <row r="4" spans="1:32" x14ac:dyDescent="0.2">
      <c r="U4" s="235" t="s">
        <v>118</v>
      </c>
      <c r="V4" s="164"/>
      <c r="W4" s="164"/>
      <c r="X4" s="164"/>
      <c r="Y4" s="164"/>
      <c r="Z4" s="164"/>
      <c r="AA4" s="164"/>
      <c r="AB4" s="164"/>
      <c r="AC4" s="164"/>
    </row>
    <row r="5" spans="1:32" ht="11.25" customHeight="1" x14ac:dyDescent="0.2">
      <c r="B5" s="164"/>
      <c r="C5" s="230"/>
      <c r="D5" s="440" t="s">
        <v>140</v>
      </c>
      <c r="E5" s="441"/>
      <c r="F5" s="441"/>
      <c r="G5" s="441"/>
      <c r="H5" s="441"/>
      <c r="U5" s="164"/>
      <c r="V5" s="164"/>
      <c r="W5" s="164"/>
      <c r="X5" s="164"/>
      <c r="Y5" s="164"/>
      <c r="Z5" s="164"/>
      <c r="AA5" s="164"/>
      <c r="AB5" s="164"/>
      <c r="AC5" s="235" t="s">
        <v>173</v>
      </c>
      <c r="AD5" s="290"/>
      <c r="AE5" s="290"/>
      <c r="AF5" s="290"/>
    </row>
    <row r="6" spans="1:32" x14ac:dyDescent="0.2">
      <c r="A6" s="131"/>
      <c r="B6" s="164"/>
      <c r="C6" s="229"/>
      <c r="D6" s="134">
        <f>'t1'!B19</f>
        <v>5</v>
      </c>
      <c r="E6" s="134">
        <f>'t1'!B18</f>
        <v>2.5</v>
      </c>
      <c r="F6" s="135">
        <f>'t1'!B17</f>
        <v>1.25</v>
      </c>
      <c r="G6" s="136">
        <f>'t1'!B16</f>
        <v>0.625</v>
      </c>
      <c r="H6" s="137">
        <f>'t1'!B15</f>
        <v>0.3125</v>
      </c>
      <c r="U6" s="236"/>
      <c r="V6" s="236"/>
      <c r="W6" s="170">
        <f>D6</f>
        <v>5</v>
      </c>
      <c r="X6" s="170">
        <f t="shared" ref="X6:AA6" si="0">E6</f>
        <v>2.5</v>
      </c>
      <c r="Y6" s="170">
        <f t="shared" si="0"/>
        <v>1.25</v>
      </c>
      <c r="Z6" s="170">
        <f t="shared" si="0"/>
        <v>0.625</v>
      </c>
      <c r="AA6" s="172">
        <f t="shared" si="0"/>
        <v>0.3125</v>
      </c>
      <c r="AB6" s="164"/>
      <c r="AC6" s="291"/>
      <c r="AD6" s="292">
        <v>5</v>
      </c>
      <c r="AE6" s="292">
        <v>2.5</v>
      </c>
      <c r="AF6" s="293">
        <v>1.25</v>
      </c>
    </row>
    <row r="7" spans="1:32" x14ac:dyDescent="0.2">
      <c r="B7" s="437" t="s">
        <v>37</v>
      </c>
      <c r="C7" s="139">
        <f>summary!B5</f>
        <v>10</v>
      </c>
      <c r="D7" s="138" t="e">
        <f>IF(AND(summary!E37&gt;F$3,summary!F37&lt;0.05)=TRUE,summary!E37,"")</f>
        <v>#DIV/0!</v>
      </c>
      <c r="E7" s="138" t="e">
        <f>IF(AND(summary!E37&gt;F$3,summary!F37&lt;0.05)=TRUE,summary!E29,"")</f>
        <v>#DIV/0!</v>
      </c>
      <c r="F7" s="138" t="e">
        <f>IF(AND(summary!E37&gt;F$3,summary!F37&lt;0.05)=TRUE,summary!E21,"")</f>
        <v>#DIV/0!</v>
      </c>
      <c r="G7" s="138" t="e">
        <f>IF(AND(summary!E37&gt;F$3,summary!F37&lt;0.05)=TRUE,summary!E13,"")</f>
        <v>#DIV/0!</v>
      </c>
      <c r="H7" s="138" t="e">
        <f>IF(AND(summary!E37&gt;F$3,summary!F37&lt;0.05)=TRUE,summary!E5,"")</f>
        <v>#DIV/0!</v>
      </c>
      <c r="U7" s="432" t="s">
        <v>37</v>
      </c>
      <c r="V7" s="170">
        <f>C7</f>
        <v>10</v>
      </c>
      <c r="W7" s="171" t="e">
        <f>summary!E37</f>
        <v>#DIV/0!</v>
      </c>
      <c r="X7" s="171" t="e">
        <f>summary!E29</f>
        <v>#DIV/0!</v>
      </c>
      <c r="Y7" s="171" t="e">
        <f>summary!E21</f>
        <v>#DIV/0!</v>
      </c>
      <c r="Z7" s="171" t="e">
        <f>summary!E13</f>
        <v>#DIV/0!</v>
      </c>
      <c r="AA7" s="171" t="e">
        <f>summary!E5</f>
        <v>#DIV/0!</v>
      </c>
      <c r="AB7" s="164"/>
      <c r="AC7" s="294">
        <v>10</v>
      </c>
      <c r="AD7" s="290"/>
      <c r="AE7" s="295"/>
      <c r="AF7" s="295"/>
    </row>
    <row r="8" spans="1:32" x14ac:dyDescent="0.2">
      <c r="B8" s="438"/>
      <c r="C8" s="139">
        <f>summary!B6</f>
        <v>30</v>
      </c>
      <c r="D8" s="138" t="e">
        <f>IF(AND(summary!E38&gt;F$3,summary!F38&lt;0.05)=TRUE,summary!E38,"")</f>
        <v>#DIV/0!</v>
      </c>
      <c r="E8" s="138" t="e">
        <f>IF(AND(summary!E38&gt;F$3,summary!F38&lt;0.05)=TRUE,summary!E30,"")</f>
        <v>#DIV/0!</v>
      </c>
      <c r="F8" s="138" t="e">
        <f>IF(AND(summary!E38&gt;F$3,summary!F38&lt;0.05)=TRUE,summary!E22,"")</f>
        <v>#DIV/0!</v>
      </c>
      <c r="G8" s="138" t="e">
        <f>IF(AND(summary!E38&gt;F$3,summary!F38&lt;0.05)=TRUE,summary!E14,"")</f>
        <v>#DIV/0!</v>
      </c>
      <c r="H8" s="138" t="e">
        <f>IF(AND(summary!E38&gt;F$3,summary!F38&lt;0.05)=TRUE,summary!E6,"")</f>
        <v>#DIV/0!</v>
      </c>
      <c r="U8" s="433"/>
      <c r="V8" s="170">
        <f t="shared" ref="V8:V12" si="1">C8</f>
        <v>30</v>
      </c>
      <c r="W8" s="171" t="e">
        <f>summary!E38</f>
        <v>#DIV/0!</v>
      </c>
      <c r="X8" s="171" t="e">
        <f>summary!E30</f>
        <v>#DIV/0!</v>
      </c>
      <c r="Y8" s="171" t="e">
        <f>summary!E22</f>
        <v>#DIV/0!</v>
      </c>
      <c r="Z8" s="171" t="e">
        <f>summary!E14</f>
        <v>#DIV/0!</v>
      </c>
      <c r="AA8" s="171" t="e">
        <f>summary!E6</f>
        <v>#DIV/0!</v>
      </c>
      <c r="AB8" s="164"/>
      <c r="AC8" s="294">
        <v>30</v>
      </c>
      <c r="AD8" s="295" t="e">
        <f>IF($D$7="","",IF(D8="","",IF(D8&gt;$F$3,D8/D7,"")))</f>
        <v>#DIV/0!</v>
      </c>
      <c r="AE8" s="295" t="e">
        <f>IF($D$7="","",IF(E8="","",IF(E8&gt;$F$3,E8/E7,"")))</f>
        <v>#DIV/0!</v>
      </c>
      <c r="AF8" s="295" t="e">
        <f>IF($D$7="","",IF(F8="","",IF(F8&gt;$F$3,F8/F7,"")))</f>
        <v>#DIV/0!</v>
      </c>
    </row>
    <row r="9" spans="1:32" x14ac:dyDescent="0.2">
      <c r="B9" s="438"/>
      <c r="C9" s="139">
        <f>summary!B7</f>
        <v>90</v>
      </c>
      <c r="D9" s="138" t="e">
        <f>IF(AND(summary!E39&gt;F$3,summary!F39&lt;0.05)=TRUE,summary!E39,"")</f>
        <v>#DIV/0!</v>
      </c>
      <c r="E9" s="138" t="e">
        <f>IF(AND(summary!E39&gt;F$3,summary!F39&lt;0.05)=TRUE,summary!E31,"")</f>
        <v>#DIV/0!</v>
      </c>
      <c r="F9" s="138" t="e">
        <f>IF(AND(summary!E39&gt;F$3,summary!F39&lt;0.05)=TRUE,summary!E23,"")</f>
        <v>#DIV/0!</v>
      </c>
      <c r="G9" s="138" t="e">
        <f>IF(AND(summary!E39&gt;F$3,summary!F39&lt;0.05)=TRUE,summary!E15,"")</f>
        <v>#DIV/0!</v>
      </c>
      <c r="H9" s="138" t="e">
        <f>IF(AND(summary!E39&gt;F$3,summary!F39&lt;0.05)=TRUE,summary!E7,"")</f>
        <v>#DIV/0!</v>
      </c>
      <c r="U9" s="433"/>
      <c r="V9" s="170">
        <f t="shared" si="1"/>
        <v>90</v>
      </c>
      <c r="W9" s="171" t="e">
        <f>summary!E39</f>
        <v>#DIV/0!</v>
      </c>
      <c r="X9" s="171" t="e">
        <f>summary!E31</f>
        <v>#DIV/0!</v>
      </c>
      <c r="Y9" s="171" t="e">
        <f>summary!E23</f>
        <v>#DIV/0!</v>
      </c>
      <c r="Z9" s="171" t="e">
        <f>summary!E15</f>
        <v>#DIV/0!</v>
      </c>
      <c r="AA9" s="171" t="e">
        <f>summary!E7</f>
        <v>#DIV/0!</v>
      </c>
      <c r="AB9" s="164"/>
      <c r="AC9" s="294">
        <v>90</v>
      </c>
      <c r="AD9" s="295" t="e">
        <f>IF($D$8="","",IF(D9="","",IF(D9&gt;$F$3,D9/D8,"")))</f>
        <v>#DIV/0!</v>
      </c>
      <c r="AE9" s="295" t="e">
        <f>IF($D$8="","",IF(E9="","",IF(E9&gt;$F$3,E9/E8,"")))</f>
        <v>#DIV/0!</v>
      </c>
      <c r="AF9" s="295" t="e">
        <f>IF($D$8="","",IF(F9="","",IF(F9&gt;$F$3,F9/F8,"")))</f>
        <v>#DIV/0!</v>
      </c>
    </row>
    <row r="10" spans="1:32" x14ac:dyDescent="0.2">
      <c r="B10" s="438"/>
      <c r="C10" s="139">
        <f>summary!B8</f>
        <v>150</v>
      </c>
      <c r="D10" s="138" t="e">
        <f>IF(AND(summary!E40&gt;F$3,summary!F40&lt;0.05)=TRUE,summary!E40,"")</f>
        <v>#DIV/0!</v>
      </c>
      <c r="E10" s="138" t="e">
        <f>IF(AND(summary!E40&gt;F$3,summary!F40&lt;0.05)=TRUE,summary!E32,"")</f>
        <v>#DIV/0!</v>
      </c>
      <c r="F10" s="138" t="e">
        <f>IF(AND(summary!E40&gt;F$3,summary!F40&lt;0.05)=TRUE,summary!E24,"")</f>
        <v>#DIV/0!</v>
      </c>
      <c r="G10" s="138" t="e">
        <f>IF(AND(summary!E40&gt;F$3,summary!F40&lt;0.05)=TRUE,summary!E16,"")</f>
        <v>#DIV/0!</v>
      </c>
      <c r="H10" s="138" t="e">
        <f>IF(AND(summary!E40&gt;F$3,summary!F40&lt;0.05)=TRUE,summary!E8,"")</f>
        <v>#DIV/0!</v>
      </c>
      <c r="U10" s="433"/>
      <c r="V10" s="170">
        <f t="shared" si="1"/>
        <v>150</v>
      </c>
      <c r="W10" s="171" t="e">
        <f>summary!E40</f>
        <v>#DIV/0!</v>
      </c>
      <c r="X10" s="171" t="e">
        <f>summary!E32</f>
        <v>#DIV/0!</v>
      </c>
      <c r="Y10" s="171" t="e">
        <f>summary!E24</f>
        <v>#DIV/0!</v>
      </c>
      <c r="Z10" s="171" t="e">
        <f>summary!E16</f>
        <v>#DIV/0!</v>
      </c>
      <c r="AA10" s="171" t="e">
        <f>summary!E8</f>
        <v>#DIV/0!</v>
      </c>
      <c r="AB10" s="164"/>
      <c r="AC10" s="235" t="s">
        <v>165</v>
      </c>
      <c r="AD10" s="296" t="e">
        <f>IF(AE10=TRUE,AVERAGE(AD8:AF9),"")</f>
        <v>#DIV/0!</v>
      </c>
      <c r="AE10" s="290" t="e">
        <f>AND(SUM(AD8:AF9)&gt;0,D7&gt;0)</f>
        <v>#DIV/0!</v>
      </c>
      <c r="AF10" s="290"/>
    </row>
    <row r="11" spans="1:32" x14ac:dyDescent="0.2">
      <c r="B11" s="438"/>
      <c r="C11" s="139">
        <f>summary!B9</f>
        <v>210</v>
      </c>
      <c r="D11" s="138" t="e">
        <f>IF(AND(summary!E41&gt;F$3,summary!F41&lt;0.05)=TRUE,summary!E41,"")</f>
        <v>#DIV/0!</v>
      </c>
      <c r="E11" s="138" t="e">
        <f>IF(AND(summary!E41&gt;F$3,summary!F41&lt;0.05)=TRUE,summary!E33,"")</f>
        <v>#DIV/0!</v>
      </c>
      <c r="F11" s="138" t="e">
        <f>IF(AND(summary!E41&gt;F$3,summary!F41&lt;0.05)=TRUE,summary!E25,"")</f>
        <v>#DIV/0!</v>
      </c>
      <c r="G11" s="138" t="e">
        <f>IF(AND(summary!E41&gt;F$3,summary!F41&lt;0.05)=TRUE,summary!E17,"")</f>
        <v>#DIV/0!</v>
      </c>
      <c r="H11" s="138" t="e">
        <f>IF(AND(summary!E41&gt;F$3,summary!F41&lt;0.05)=TRUE,summary!E9,"")</f>
        <v>#DIV/0!</v>
      </c>
      <c r="U11" s="433"/>
      <c r="V11" s="170">
        <f t="shared" si="1"/>
        <v>210</v>
      </c>
      <c r="W11" s="171" t="e">
        <f>summary!E41</f>
        <v>#DIV/0!</v>
      </c>
      <c r="X11" s="171" t="e">
        <f>summary!E33</f>
        <v>#DIV/0!</v>
      </c>
      <c r="Y11" s="171" t="e">
        <f>summary!E25</f>
        <v>#DIV/0!</v>
      </c>
      <c r="Z11" s="171" t="e">
        <f>summary!E17</f>
        <v>#DIV/0!</v>
      </c>
      <c r="AA11" s="171" t="e">
        <f>summary!E9</f>
        <v>#DIV/0!</v>
      </c>
      <c r="AB11" s="164"/>
      <c r="AC11" s="164"/>
    </row>
    <row r="12" spans="1:32" x14ac:dyDescent="0.2">
      <c r="B12" s="439"/>
      <c r="C12" s="139">
        <f>summary!B10</f>
        <v>1440</v>
      </c>
      <c r="D12" s="138" t="e">
        <f>IF(AND(summary!E42&gt;F$3,summary!F42&lt;0.05)=TRUE,summary!E42,"")</f>
        <v>#DIV/0!</v>
      </c>
      <c r="E12" s="138" t="e">
        <f>IF(AND(summary!E42&gt;F$3,summary!F42&lt;0.05)=TRUE,summary!E34,"")</f>
        <v>#DIV/0!</v>
      </c>
      <c r="F12" s="138" t="e">
        <f>IF(AND(summary!E42&gt;F$3,summary!F42&lt;0.05)=TRUE,summary!E26,"")</f>
        <v>#DIV/0!</v>
      </c>
      <c r="G12" s="138" t="e">
        <f>IF(AND(summary!E42&gt;F$3,summary!F42&lt;0.05)=TRUE,summary!E18,"")</f>
        <v>#DIV/0!</v>
      </c>
      <c r="H12" s="138" t="e">
        <f>IF(AND(summary!E42&gt;F$3,summary!F42&lt;0.05)=TRUE,summary!E10,"")</f>
        <v>#DIV/0!</v>
      </c>
      <c r="U12" s="434"/>
      <c r="V12" s="170">
        <f t="shared" si="1"/>
        <v>1440</v>
      </c>
      <c r="W12" s="171" t="e">
        <f>summary!E42</f>
        <v>#DIV/0!</v>
      </c>
      <c r="X12" s="171" t="e">
        <f>summary!E34</f>
        <v>#DIV/0!</v>
      </c>
      <c r="Y12" s="171" t="e">
        <f>summary!E26</f>
        <v>#DIV/0!</v>
      </c>
      <c r="Z12" s="171" t="e">
        <f>summary!E18</f>
        <v>#DIV/0!</v>
      </c>
      <c r="AA12" s="171" t="e">
        <f>summary!E10</f>
        <v>#DIV/0!</v>
      </c>
      <c r="AB12" s="164"/>
      <c r="AC12" s="164"/>
    </row>
    <row r="13" spans="1:32" x14ac:dyDescent="0.2">
      <c r="B13" s="66"/>
      <c r="C13" s="66"/>
      <c r="D13" s="66"/>
      <c r="E13" s="66"/>
      <c r="F13" s="66"/>
      <c r="G13" s="66"/>
      <c r="H13" s="66"/>
      <c r="U13" s="120"/>
      <c r="V13" s="120"/>
      <c r="W13" s="120"/>
      <c r="X13" s="120"/>
      <c r="Y13" s="120"/>
      <c r="Z13" s="120"/>
      <c r="AA13" s="120"/>
      <c r="AB13" s="164"/>
      <c r="AC13" s="164"/>
    </row>
    <row r="14" spans="1:32" x14ac:dyDescent="0.2">
      <c r="F14" s="127"/>
      <c r="U14" s="235" t="s">
        <v>118</v>
      </c>
      <c r="V14" s="237"/>
      <c r="W14" s="237"/>
      <c r="X14" s="237"/>
      <c r="Y14" s="237"/>
      <c r="Z14" s="237"/>
      <c r="AA14" s="237"/>
      <c r="AB14" s="164"/>
      <c r="AC14" s="164"/>
    </row>
    <row r="15" spans="1:32" x14ac:dyDescent="0.2">
      <c r="B15" s="164"/>
      <c r="C15" s="230"/>
      <c r="D15" s="440" t="s">
        <v>94</v>
      </c>
      <c r="E15" s="441"/>
      <c r="F15" s="441"/>
      <c r="G15" s="441"/>
      <c r="H15" s="441"/>
      <c r="I15" s="435" t="s">
        <v>24</v>
      </c>
      <c r="J15" s="435" t="s">
        <v>25</v>
      </c>
      <c r="U15" s="237"/>
      <c r="V15" s="236"/>
      <c r="W15" s="431" t="s">
        <v>94</v>
      </c>
      <c r="X15" s="431"/>
      <c r="Y15" s="431"/>
      <c r="Z15" s="431"/>
      <c r="AA15" s="431"/>
      <c r="AB15" s="164"/>
      <c r="AC15" s="164"/>
    </row>
    <row r="16" spans="1:32" x14ac:dyDescent="0.2">
      <c r="B16" s="164"/>
      <c r="C16" s="229"/>
      <c r="D16" s="134">
        <f>D6</f>
        <v>5</v>
      </c>
      <c r="E16" s="134">
        <f>E6</f>
        <v>2.5</v>
      </c>
      <c r="F16" s="135">
        <f>F6</f>
        <v>1.25</v>
      </c>
      <c r="G16" s="136">
        <f>G6</f>
        <v>0.625</v>
      </c>
      <c r="H16" s="137">
        <f>H6</f>
        <v>0.3125</v>
      </c>
      <c r="I16" s="436"/>
      <c r="J16" s="436"/>
      <c r="U16" s="237"/>
      <c r="V16" s="236"/>
      <c r="W16" s="166">
        <f>W6</f>
        <v>5</v>
      </c>
      <c r="X16" s="166">
        <f>X6</f>
        <v>2.5</v>
      </c>
      <c r="Y16" s="167">
        <f>Y6</f>
        <v>1.25</v>
      </c>
      <c r="Z16" s="168">
        <f>Z6</f>
        <v>0.625</v>
      </c>
      <c r="AA16" s="169">
        <f>AA6</f>
        <v>0.3125</v>
      </c>
      <c r="AB16" s="164"/>
      <c r="AC16" s="164"/>
    </row>
    <row r="17" spans="2:29" x14ac:dyDescent="0.2">
      <c r="B17" s="437" t="s">
        <v>37</v>
      </c>
      <c r="C17" s="139">
        <f>C7</f>
        <v>10</v>
      </c>
      <c r="D17" s="138" t="e">
        <f t="shared" ref="D17:H22" si="2">IF(D7="","",IF(E7&gt;95,"",LN(100-D7)))</f>
        <v>#DIV/0!</v>
      </c>
      <c r="E17" s="138" t="e">
        <f t="shared" si="2"/>
        <v>#DIV/0!</v>
      </c>
      <c r="F17" s="138" t="e">
        <f t="shared" si="2"/>
        <v>#DIV/0!</v>
      </c>
      <c r="G17" s="138" t="e">
        <f t="shared" si="2"/>
        <v>#DIV/0!</v>
      </c>
      <c r="H17" s="138" t="e">
        <f t="shared" si="2"/>
        <v>#DIV/0!</v>
      </c>
      <c r="I17" s="140" t="e">
        <f>IF(H17="","",ABS(SLOPE(D17:H17,$D$16:$H$16)))</f>
        <v>#DIV/0!</v>
      </c>
      <c r="J17" s="140" t="e">
        <f>IF(H17="","",ABS(CORREL(D17:H17,$D$16:$H$16)))</f>
        <v>#DIV/0!</v>
      </c>
      <c r="U17" s="432" t="s">
        <v>37</v>
      </c>
      <c r="V17" s="170">
        <f>V7</f>
        <v>10</v>
      </c>
      <c r="W17" s="171" t="e">
        <f>(LN(100-W7))</f>
        <v>#DIV/0!</v>
      </c>
      <c r="X17" s="171" t="e">
        <f>(LN(100-X7))</f>
        <v>#DIV/0!</v>
      </c>
      <c r="Y17" s="171" t="e">
        <f>(LN(100-Y7))</f>
        <v>#DIV/0!</v>
      </c>
      <c r="Z17" s="171" t="e">
        <f>(LN(100-Z7))</f>
        <v>#DIV/0!</v>
      </c>
      <c r="AA17" s="171" t="e">
        <f>(LN(100-AA7))</f>
        <v>#DIV/0!</v>
      </c>
      <c r="AB17" s="164"/>
      <c r="AC17" s="164"/>
    </row>
    <row r="18" spans="2:29" x14ac:dyDescent="0.2">
      <c r="B18" s="438"/>
      <c r="C18" s="139">
        <f>C8</f>
        <v>30</v>
      </c>
      <c r="D18" s="138" t="e">
        <f t="shared" si="2"/>
        <v>#DIV/0!</v>
      </c>
      <c r="E18" s="138" t="e">
        <f t="shared" si="2"/>
        <v>#DIV/0!</v>
      </c>
      <c r="F18" s="138" t="e">
        <f t="shared" si="2"/>
        <v>#DIV/0!</v>
      </c>
      <c r="G18" s="138" t="e">
        <f t="shared" si="2"/>
        <v>#DIV/0!</v>
      </c>
      <c r="H18" s="138" t="e">
        <f t="shared" si="2"/>
        <v>#DIV/0!</v>
      </c>
      <c r="I18" s="140" t="e">
        <f t="shared" ref="I18:I22" si="3">IF(H18="","",ABS(SLOPE(D18:H18,$D$16:$H$16)))</f>
        <v>#DIV/0!</v>
      </c>
      <c r="J18" s="140" t="e">
        <f t="shared" ref="J18:J22" si="4">IF(H18="","",ABS(CORREL(D18:H18,$D$16:$H$16)))</f>
        <v>#DIV/0!</v>
      </c>
      <c r="U18" s="433"/>
      <c r="V18" s="170">
        <f>V8</f>
        <v>30</v>
      </c>
      <c r="W18" s="171" t="e">
        <f t="shared" ref="W18:AA22" si="5">(LN(100-W8))</f>
        <v>#DIV/0!</v>
      </c>
      <c r="X18" s="171" t="e">
        <f t="shared" si="5"/>
        <v>#DIV/0!</v>
      </c>
      <c r="Y18" s="171" t="e">
        <f t="shared" si="5"/>
        <v>#DIV/0!</v>
      </c>
      <c r="Z18" s="171" t="e">
        <f t="shared" si="5"/>
        <v>#DIV/0!</v>
      </c>
      <c r="AA18" s="171" t="e">
        <f t="shared" si="5"/>
        <v>#DIV/0!</v>
      </c>
      <c r="AB18" s="164"/>
      <c r="AC18" s="164"/>
    </row>
    <row r="19" spans="2:29" x14ac:dyDescent="0.2">
      <c r="B19" s="438"/>
      <c r="C19" s="139">
        <f>C9</f>
        <v>90</v>
      </c>
      <c r="D19" s="138" t="e">
        <f t="shared" si="2"/>
        <v>#DIV/0!</v>
      </c>
      <c r="E19" s="138" t="e">
        <f t="shared" si="2"/>
        <v>#DIV/0!</v>
      </c>
      <c r="F19" s="138" t="e">
        <f t="shared" si="2"/>
        <v>#DIV/0!</v>
      </c>
      <c r="G19" s="138" t="e">
        <f t="shared" si="2"/>
        <v>#DIV/0!</v>
      </c>
      <c r="H19" s="138" t="e">
        <f t="shared" si="2"/>
        <v>#DIV/0!</v>
      </c>
      <c r="I19" s="140" t="e">
        <f t="shared" si="3"/>
        <v>#DIV/0!</v>
      </c>
      <c r="J19" s="140" t="e">
        <f t="shared" si="4"/>
        <v>#DIV/0!</v>
      </c>
      <c r="U19" s="433"/>
      <c r="V19" s="170">
        <f>V9</f>
        <v>90</v>
      </c>
      <c r="W19" s="171" t="e">
        <f t="shared" si="5"/>
        <v>#DIV/0!</v>
      </c>
      <c r="X19" s="171" t="e">
        <f t="shared" si="5"/>
        <v>#DIV/0!</v>
      </c>
      <c r="Y19" s="171" t="e">
        <f t="shared" si="5"/>
        <v>#DIV/0!</v>
      </c>
      <c r="Z19" s="171" t="e">
        <f t="shared" si="5"/>
        <v>#DIV/0!</v>
      </c>
      <c r="AA19" s="171" t="e">
        <f t="shared" si="5"/>
        <v>#DIV/0!</v>
      </c>
      <c r="AB19" s="164"/>
      <c r="AC19" s="164"/>
    </row>
    <row r="20" spans="2:29" x14ac:dyDescent="0.2">
      <c r="B20" s="438"/>
      <c r="C20" s="139">
        <f>C10</f>
        <v>150</v>
      </c>
      <c r="D20" s="138" t="e">
        <f t="shared" si="2"/>
        <v>#DIV/0!</v>
      </c>
      <c r="E20" s="138" t="e">
        <f t="shared" si="2"/>
        <v>#DIV/0!</v>
      </c>
      <c r="F20" s="138" t="e">
        <f t="shared" si="2"/>
        <v>#DIV/0!</v>
      </c>
      <c r="G20" s="138" t="e">
        <f t="shared" si="2"/>
        <v>#DIV/0!</v>
      </c>
      <c r="H20" s="138" t="e">
        <f t="shared" si="2"/>
        <v>#DIV/0!</v>
      </c>
      <c r="I20" s="140" t="e">
        <f t="shared" si="3"/>
        <v>#DIV/0!</v>
      </c>
      <c r="J20" s="140" t="e">
        <f t="shared" si="4"/>
        <v>#DIV/0!</v>
      </c>
      <c r="U20" s="433"/>
      <c r="V20" s="170">
        <f>V10</f>
        <v>150</v>
      </c>
      <c r="W20" s="171" t="e">
        <f t="shared" si="5"/>
        <v>#DIV/0!</v>
      </c>
      <c r="X20" s="171" t="e">
        <f t="shared" si="5"/>
        <v>#DIV/0!</v>
      </c>
      <c r="Y20" s="171" t="e">
        <f t="shared" si="5"/>
        <v>#DIV/0!</v>
      </c>
      <c r="Z20" s="171" t="e">
        <f t="shared" si="5"/>
        <v>#DIV/0!</v>
      </c>
      <c r="AA20" s="171" t="e">
        <f t="shared" si="5"/>
        <v>#DIV/0!</v>
      </c>
      <c r="AB20" s="164"/>
      <c r="AC20" s="164"/>
    </row>
    <row r="21" spans="2:29" x14ac:dyDescent="0.2">
      <c r="B21" s="438"/>
      <c r="C21" s="139">
        <f>C11</f>
        <v>210</v>
      </c>
      <c r="D21" s="138" t="e">
        <f t="shared" si="2"/>
        <v>#DIV/0!</v>
      </c>
      <c r="E21" s="138" t="e">
        <f t="shared" si="2"/>
        <v>#DIV/0!</v>
      </c>
      <c r="F21" s="138" t="e">
        <f t="shared" si="2"/>
        <v>#DIV/0!</v>
      </c>
      <c r="G21" s="138" t="e">
        <f t="shared" si="2"/>
        <v>#DIV/0!</v>
      </c>
      <c r="H21" s="138" t="e">
        <f t="shared" si="2"/>
        <v>#DIV/0!</v>
      </c>
      <c r="I21" s="140" t="e">
        <f t="shared" si="3"/>
        <v>#DIV/0!</v>
      </c>
      <c r="J21" s="140" t="e">
        <f t="shared" si="4"/>
        <v>#DIV/0!</v>
      </c>
      <c r="U21" s="433"/>
      <c r="V21" s="170">
        <f>V11</f>
        <v>210</v>
      </c>
      <c r="W21" s="171" t="e">
        <f t="shared" si="5"/>
        <v>#DIV/0!</v>
      </c>
      <c r="X21" s="171" t="e">
        <f t="shared" si="5"/>
        <v>#DIV/0!</v>
      </c>
      <c r="Y21" s="171" t="e">
        <f t="shared" si="5"/>
        <v>#DIV/0!</v>
      </c>
      <c r="Z21" s="171" t="e">
        <f t="shared" si="5"/>
        <v>#DIV/0!</v>
      </c>
      <c r="AA21" s="171" t="e">
        <f t="shared" si="5"/>
        <v>#DIV/0!</v>
      </c>
      <c r="AB21" s="164"/>
      <c r="AC21" s="164"/>
    </row>
    <row r="22" spans="2:29" x14ac:dyDescent="0.2">
      <c r="B22" s="439"/>
      <c r="C22" s="139">
        <f t="shared" ref="C22" si="6">C12</f>
        <v>1440</v>
      </c>
      <c r="D22" s="138" t="e">
        <f t="shared" si="2"/>
        <v>#DIV/0!</v>
      </c>
      <c r="E22" s="138" t="e">
        <f t="shared" si="2"/>
        <v>#DIV/0!</v>
      </c>
      <c r="F22" s="138" t="e">
        <f t="shared" si="2"/>
        <v>#DIV/0!</v>
      </c>
      <c r="G22" s="138" t="e">
        <f t="shared" si="2"/>
        <v>#DIV/0!</v>
      </c>
      <c r="H22" s="138" t="e">
        <f t="shared" si="2"/>
        <v>#DIV/0!</v>
      </c>
      <c r="I22" s="140" t="e">
        <f t="shared" si="3"/>
        <v>#DIV/0!</v>
      </c>
      <c r="J22" s="140" t="e">
        <f t="shared" si="4"/>
        <v>#DIV/0!</v>
      </c>
      <c r="U22" s="434"/>
      <c r="V22" s="170">
        <f t="shared" ref="V22" si="7">V12</f>
        <v>1440</v>
      </c>
      <c r="W22" s="171" t="e">
        <f t="shared" si="5"/>
        <v>#DIV/0!</v>
      </c>
      <c r="X22" s="171" t="e">
        <f t="shared" si="5"/>
        <v>#DIV/0!</v>
      </c>
      <c r="Y22" s="171" t="e">
        <f t="shared" si="5"/>
        <v>#DIV/0!</v>
      </c>
      <c r="Z22" s="171" t="e">
        <f t="shared" si="5"/>
        <v>#DIV/0!</v>
      </c>
      <c r="AA22" s="171" t="e">
        <f t="shared" si="5"/>
        <v>#DIV/0!</v>
      </c>
      <c r="AB22" s="164"/>
      <c r="AC22" s="164"/>
    </row>
    <row r="23" spans="2:29" x14ac:dyDescent="0.2">
      <c r="B23" s="66"/>
      <c r="C23" s="66"/>
      <c r="D23" s="66"/>
      <c r="E23" s="66"/>
      <c r="F23" s="66"/>
      <c r="G23" s="66"/>
      <c r="H23" s="66"/>
      <c r="I23" s="66"/>
      <c r="J23" s="66"/>
      <c r="U23" s="120"/>
      <c r="V23" s="120"/>
      <c r="W23" s="120"/>
      <c r="X23" s="120"/>
      <c r="Y23" s="120"/>
      <c r="Z23" s="120"/>
      <c r="AA23" s="120"/>
      <c r="AB23" s="164"/>
      <c r="AC23" s="164"/>
    </row>
    <row r="24" spans="2:29" x14ac:dyDescent="0.2">
      <c r="C24" s="132"/>
      <c r="D24" s="66"/>
      <c r="E24" s="66"/>
      <c r="F24" s="127"/>
      <c r="U24" s="235" t="s">
        <v>131</v>
      </c>
      <c r="V24" s="164"/>
      <c r="W24" s="164"/>
      <c r="X24" s="164"/>
      <c r="Y24" s="164"/>
      <c r="Z24" s="164"/>
      <c r="AA24" s="164"/>
      <c r="AB24" s="164"/>
      <c r="AC24" s="164"/>
    </row>
    <row r="25" spans="2:29" ht="10.5" thickBot="1" x14ac:dyDescent="0.25">
      <c r="B25" s="239" t="s">
        <v>37</v>
      </c>
      <c r="C25" s="239" t="s">
        <v>38</v>
      </c>
      <c r="D25" s="66"/>
      <c r="E25" s="66"/>
      <c r="F25" s="421" t="s">
        <v>126</v>
      </c>
      <c r="G25" s="240" t="s">
        <v>24</v>
      </c>
      <c r="H25" s="240" t="s">
        <v>25</v>
      </c>
      <c r="U25" s="237"/>
      <c r="V25" s="236"/>
      <c r="W25" s="431" t="s">
        <v>132</v>
      </c>
      <c r="X25" s="431"/>
      <c r="Y25" s="431"/>
      <c r="Z25" s="431"/>
      <c r="AA25" s="431"/>
      <c r="AB25" s="164"/>
      <c r="AC25" s="164"/>
    </row>
    <row r="26" spans="2:29" ht="11.25" customHeight="1" x14ac:dyDescent="0.2">
      <c r="B26" s="141">
        <f t="shared" ref="B26:B30" si="8">C7</f>
        <v>10</v>
      </c>
      <c r="C26" s="140" t="e">
        <f t="shared" ref="C26:C30" si="9">I17</f>
        <v>#DIV/0!</v>
      </c>
      <c r="D26" s="66"/>
      <c r="E26" s="66"/>
      <c r="F26" s="422"/>
      <c r="G26" s="231" t="s">
        <v>0</v>
      </c>
      <c r="H26" s="164"/>
      <c r="I26" s="66"/>
      <c r="U26" s="237"/>
      <c r="V26" s="236"/>
      <c r="W26" s="166">
        <f>W16</f>
        <v>5</v>
      </c>
      <c r="X26" s="166">
        <f>X16</f>
        <v>2.5</v>
      </c>
      <c r="Y26" s="167">
        <f>Y16</f>
        <v>1.25</v>
      </c>
      <c r="Z26" s="168">
        <f>Z16</f>
        <v>0.625</v>
      </c>
      <c r="AA26" s="169">
        <f>AA16</f>
        <v>0.3125</v>
      </c>
      <c r="AB26" s="164"/>
      <c r="AC26" s="164"/>
    </row>
    <row r="27" spans="2:29" ht="10.5" thickBot="1" x14ac:dyDescent="0.25">
      <c r="B27" s="141">
        <f t="shared" si="8"/>
        <v>30</v>
      </c>
      <c r="C27" s="140" t="e">
        <f t="shared" si="9"/>
        <v>#DIV/0!</v>
      </c>
      <c r="D27" s="66"/>
      <c r="E27" s="66"/>
      <c r="F27" s="422"/>
      <c r="G27" s="142" t="e">
        <f>SLOPE(C26:C30,B26:B30)</f>
        <v>#DIV/0!</v>
      </c>
      <c r="H27" s="143" t="e">
        <f>CORREL(C26:C30,B26:B30)</f>
        <v>#DIV/0!</v>
      </c>
      <c r="I27" s="66"/>
      <c r="U27" s="432" t="s">
        <v>37</v>
      </c>
      <c r="V27" s="170">
        <f>V17</f>
        <v>10</v>
      </c>
      <c r="W27" s="171" t="e">
        <f>IF(OR(D7="",OR(D7&lt;$F$3,$D7&lt;$F$3)),"",(LN(100/(100-D7)))/(W$26/1000)/($V27*60))</f>
        <v>#DIV/0!</v>
      </c>
      <c r="X27" s="171" t="e">
        <f>IF(OR(E7="",OR(E7&lt;$F$3,D7&lt;$F$3)),"",(LN(100/(100-E7)))/(X$26/1000)/($V27*60))</f>
        <v>#DIV/0!</v>
      </c>
      <c r="Y27" s="171" t="e">
        <f t="shared" ref="Y27:AA32" si="10">IF(OR(F7="",OR(F7&lt;$F$3,E7&lt;$F$3)),"",(LN(100/(100-F7)))/(Y$26/1000)/($V27*60))</f>
        <v>#DIV/0!</v>
      </c>
      <c r="Z27" s="171" t="e">
        <f t="shared" si="10"/>
        <v>#DIV/0!</v>
      </c>
      <c r="AA27" s="171" t="e">
        <f t="shared" si="10"/>
        <v>#DIV/0!</v>
      </c>
      <c r="AB27" s="164"/>
      <c r="AC27" s="164"/>
    </row>
    <row r="28" spans="2:29" x14ac:dyDescent="0.2">
      <c r="B28" s="141">
        <f t="shared" si="8"/>
        <v>90</v>
      </c>
      <c r="C28" s="140" t="e">
        <f t="shared" si="9"/>
        <v>#DIV/0!</v>
      </c>
      <c r="D28" s="66"/>
      <c r="E28" s="66"/>
      <c r="F28" s="422"/>
      <c r="G28" s="163" t="s">
        <v>26</v>
      </c>
      <c r="H28" s="164"/>
      <c r="I28" s="66"/>
      <c r="U28" s="433"/>
      <c r="V28" s="170">
        <f>V18</f>
        <v>30</v>
      </c>
      <c r="W28" s="171" t="e">
        <f t="shared" ref="W28:W32" si="11">IF(OR(D8="",OR(D8&lt;$F$3,$D8&lt;$F$3)),"",(LN(100/(100-D8)))/(W$26/1000)/($V28*60))</f>
        <v>#DIV/0!</v>
      </c>
      <c r="X28" s="171" t="e">
        <f t="shared" ref="X28:X32" si="12">IF(OR(E8="",OR(E8&lt;$F$3,D8&lt;$F$3)),"",(LN(100/(100-E8)))/(X$26/1000)/($V28*60))</f>
        <v>#DIV/0!</v>
      </c>
      <c r="Y28" s="171" t="e">
        <f t="shared" si="10"/>
        <v>#DIV/0!</v>
      </c>
      <c r="Z28" s="171" t="e">
        <f t="shared" si="10"/>
        <v>#DIV/0!</v>
      </c>
      <c r="AA28" s="171" t="e">
        <f t="shared" si="10"/>
        <v>#DIV/0!</v>
      </c>
      <c r="AB28" s="164"/>
      <c r="AC28" s="164"/>
    </row>
    <row r="29" spans="2:29" x14ac:dyDescent="0.2">
      <c r="B29" s="141">
        <f t="shared" si="8"/>
        <v>150</v>
      </c>
      <c r="C29" s="140" t="e">
        <f t="shared" si="9"/>
        <v>#DIV/0!</v>
      </c>
      <c r="D29" s="66"/>
      <c r="E29" s="66"/>
      <c r="F29" s="423"/>
      <c r="G29" s="144" t="e">
        <f>(G27/60)*1000</f>
        <v>#DIV/0!</v>
      </c>
      <c r="H29" s="164"/>
      <c r="U29" s="433"/>
      <c r="V29" s="170">
        <f>V19</f>
        <v>90</v>
      </c>
      <c r="W29" s="171" t="e">
        <f t="shared" si="11"/>
        <v>#DIV/0!</v>
      </c>
      <c r="X29" s="171" t="e">
        <f t="shared" si="12"/>
        <v>#DIV/0!</v>
      </c>
      <c r="Y29" s="171" t="e">
        <f t="shared" si="10"/>
        <v>#DIV/0!</v>
      </c>
      <c r="Z29" s="171" t="e">
        <f t="shared" si="10"/>
        <v>#DIV/0!</v>
      </c>
      <c r="AA29" s="171" t="e">
        <f t="shared" si="10"/>
        <v>#DIV/0!</v>
      </c>
      <c r="AB29" s="238"/>
      <c r="AC29" s="164"/>
    </row>
    <row r="30" spans="2:29" x14ac:dyDescent="0.2">
      <c r="B30" s="141">
        <f t="shared" si="8"/>
        <v>210</v>
      </c>
      <c r="C30" s="140" t="e">
        <f t="shared" si="9"/>
        <v>#DIV/0!</v>
      </c>
      <c r="D30" s="66"/>
      <c r="E30" s="66"/>
      <c r="F30" s="127"/>
      <c r="U30" s="433"/>
      <c r="V30" s="170">
        <f>V20</f>
        <v>150</v>
      </c>
      <c r="W30" s="171" t="e">
        <f t="shared" si="11"/>
        <v>#DIV/0!</v>
      </c>
      <c r="X30" s="171" t="e">
        <f t="shared" si="12"/>
        <v>#DIV/0!</v>
      </c>
      <c r="Y30" s="171" t="e">
        <f t="shared" si="10"/>
        <v>#DIV/0!</v>
      </c>
      <c r="Z30" s="171" t="e">
        <f t="shared" si="10"/>
        <v>#DIV/0!</v>
      </c>
      <c r="AA30" s="171" t="e">
        <f t="shared" si="10"/>
        <v>#DIV/0!</v>
      </c>
      <c r="AB30" s="238"/>
      <c r="AC30" s="164"/>
    </row>
    <row r="31" spans="2:29" ht="10.5" x14ac:dyDescent="0.25">
      <c r="B31" s="66"/>
      <c r="C31" s="66"/>
      <c r="E31" s="164"/>
      <c r="F31" s="239" t="s">
        <v>37</v>
      </c>
      <c r="G31" s="239" t="s">
        <v>24</v>
      </c>
      <c r="H31" s="241"/>
      <c r="I31" s="239" t="s">
        <v>25</v>
      </c>
      <c r="J31" s="242" t="s">
        <v>39</v>
      </c>
      <c r="U31" s="433"/>
      <c r="V31" s="170">
        <f>V21</f>
        <v>210</v>
      </c>
      <c r="W31" s="171" t="e">
        <f t="shared" si="11"/>
        <v>#DIV/0!</v>
      </c>
      <c r="X31" s="171" t="e">
        <f t="shared" si="12"/>
        <v>#DIV/0!</v>
      </c>
      <c r="Y31" s="171" t="e">
        <f t="shared" si="10"/>
        <v>#DIV/0!</v>
      </c>
      <c r="Z31" s="171" t="e">
        <f t="shared" si="10"/>
        <v>#DIV/0!</v>
      </c>
      <c r="AA31" s="171" t="e">
        <f t="shared" si="10"/>
        <v>#DIV/0!</v>
      </c>
      <c r="AB31" s="238"/>
      <c r="AC31" s="164"/>
    </row>
    <row r="32" spans="2:29" ht="11.25" customHeight="1" x14ac:dyDescent="0.25">
      <c r="E32" s="421" t="s">
        <v>111</v>
      </c>
      <c r="F32" s="145"/>
      <c r="G32" s="146"/>
      <c r="H32" s="147"/>
      <c r="I32" s="148"/>
      <c r="J32" s="149"/>
      <c r="U32" s="434"/>
      <c r="V32" s="170">
        <f t="shared" ref="V32" si="13">V22</f>
        <v>1440</v>
      </c>
      <c r="W32" s="171" t="e">
        <f t="shared" si="11"/>
        <v>#DIV/0!</v>
      </c>
      <c r="X32" s="171" t="e">
        <f t="shared" si="12"/>
        <v>#DIV/0!</v>
      </c>
      <c r="Y32" s="171" t="e">
        <f t="shared" si="10"/>
        <v>#DIV/0!</v>
      </c>
      <c r="Z32" s="171" t="e">
        <f t="shared" si="10"/>
        <v>#DIV/0!</v>
      </c>
      <c r="AA32" s="171" t="e">
        <f t="shared" si="10"/>
        <v>#DIV/0!</v>
      </c>
      <c r="AB32" s="238"/>
      <c r="AC32" s="164"/>
    </row>
    <row r="33" spans="5:29" ht="10.5" x14ac:dyDescent="0.25">
      <c r="E33" s="422"/>
      <c r="F33" s="150">
        <f>C17</f>
        <v>10</v>
      </c>
      <c r="G33" s="151" t="e">
        <f>IF(H17="","",ABS(SLOPE(D17:H17,$D$16:$H$16)))</f>
        <v>#DIV/0!</v>
      </c>
      <c r="H33" s="141" t="s">
        <v>27</v>
      </c>
      <c r="I33" s="152" t="e">
        <f>IF(G33="","",ABS(CORREL(D17:H17,D16:H16)))</f>
        <v>#DIV/0!</v>
      </c>
      <c r="J33" s="153"/>
      <c r="U33" s="164"/>
      <c r="V33" s="164"/>
      <c r="W33" s="164"/>
      <c r="X33" s="164"/>
      <c r="Y33" s="164"/>
      <c r="Z33" s="164"/>
      <c r="AA33" s="164"/>
      <c r="AB33" s="164"/>
      <c r="AC33" s="164"/>
    </row>
    <row r="34" spans="5:29" ht="10.5" x14ac:dyDescent="0.25">
      <c r="E34" s="422"/>
      <c r="F34" s="154"/>
      <c r="G34" s="155" t="e">
        <f>IF(G33="","",G33*1000/(60*F33))</f>
        <v>#DIV/0!</v>
      </c>
      <c r="H34" s="141" t="s">
        <v>26</v>
      </c>
      <c r="I34" s="156"/>
      <c r="J34" s="157" t="e">
        <f>IF(G33="","",IF(I33&gt;0.9,LOG(G34),""))</f>
        <v>#DIV/0!</v>
      </c>
      <c r="U34" s="235" t="s">
        <v>133</v>
      </c>
      <c r="V34" s="235"/>
      <c r="W34" s="164"/>
      <c r="X34" s="164"/>
      <c r="Y34" s="164"/>
      <c r="Z34" s="164"/>
      <c r="AA34" s="164"/>
      <c r="AB34" s="164"/>
      <c r="AC34" s="164"/>
    </row>
    <row r="35" spans="5:29" ht="10.5" x14ac:dyDescent="0.25">
      <c r="E35" s="422"/>
      <c r="F35" s="158"/>
      <c r="G35" s="159"/>
      <c r="H35" s="148"/>
      <c r="I35" s="148"/>
      <c r="J35" s="149"/>
      <c r="U35" s="237"/>
      <c r="V35" s="236"/>
      <c r="W35" s="431" t="s">
        <v>176</v>
      </c>
      <c r="X35" s="431"/>
      <c r="Y35" s="431"/>
      <c r="Z35" s="431"/>
      <c r="AA35" s="431"/>
      <c r="AB35" s="169" t="s">
        <v>134</v>
      </c>
      <c r="AC35" s="169" t="s">
        <v>135</v>
      </c>
    </row>
    <row r="36" spans="5:29" ht="10.5" x14ac:dyDescent="0.25">
      <c r="E36" s="422"/>
      <c r="F36" s="150">
        <f>C18</f>
        <v>30</v>
      </c>
      <c r="G36" s="151" t="e">
        <f>IF(H18="","",ABS(SLOPE(D18:H18,$D$16:$H$16)))</f>
        <v>#DIV/0!</v>
      </c>
      <c r="H36" s="141" t="s">
        <v>27</v>
      </c>
      <c r="I36" s="152" t="e">
        <f>IF(G36="","",ABS(CORREL(D18:H18,D16:H16)))</f>
        <v>#DIV/0!</v>
      </c>
      <c r="J36" s="153"/>
      <c r="U36" s="237"/>
      <c r="V36" s="236"/>
      <c r="W36" s="166">
        <f>W26</f>
        <v>5</v>
      </c>
      <c r="X36" s="166">
        <f>X26</f>
        <v>2.5</v>
      </c>
      <c r="Y36" s="167">
        <f>Y26</f>
        <v>1.25</v>
      </c>
      <c r="Z36" s="168">
        <f>Z26</f>
        <v>0.625</v>
      </c>
      <c r="AA36" s="169">
        <f>AA26</f>
        <v>0.3125</v>
      </c>
      <c r="AB36" s="169"/>
      <c r="AC36" s="169"/>
    </row>
    <row r="37" spans="5:29" ht="10.5" x14ac:dyDescent="0.25">
      <c r="E37" s="422"/>
      <c r="F37" s="154"/>
      <c r="G37" s="155" t="e">
        <f>IF(G36="","",G36*1000/(60*F36))</f>
        <v>#DIV/0!</v>
      </c>
      <c r="H37" s="141" t="s">
        <v>26</v>
      </c>
      <c r="I37" s="160"/>
      <c r="J37" s="157" t="e">
        <f>IF(G36="","",IF(I36&gt;0.9,LOG(G37),""))</f>
        <v>#DIV/0!</v>
      </c>
      <c r="U37" s="432" t="s">
        <v>37</v>
      </c>
      <c r="V37" s="170">
        <f>V27</f>
        <v>10</v>
      </c>
      <c r="W37" s="171" t="e">
        <f>IF(W27="","",LOG(W27))</f>
        <v>#DIV/0!</v>
      </c>
      <c r="X37" s="171" t="e">
        <f t="shared" ref="X37:AA37" si="14">IF(X27="","",LOG(X27))</f>
        <v>#DIV/0!</v>
      </c>
      <c r="Y37" s="171" t="e">
        <f t="shared" si="14"/>
        <v>#DIV/0!</v>
      </c>
      <c r="Z37" s="171" t="e">
        <f t="shared" si="14"/>
        <v>#DIV/0!</v>
      </c>
      <c r="AA37" s="171" t="e">
        <f t="shared" si="14"/>
        <v>#DIV/0!</v>
      </c>
      <c r="AB37" s="167" t="e">
        <f t="shared" ref="AB37:AB42" si="15">IF(MAX(W37:AA37)=0,"",MAX(W37:AA37))</f>
        <v>#DIV/0!</v>
      </c>
      <c r="AC37" s="167" t="e">
        <f t="shared" ref="AC37:AC38" si="16">IF(MAX(W37:AA37)=0,"",AVERAGE(W37:AA37))</f>
        <v>#DIV/0!</v>
      </c>
    </row>
    <row r="38" spans="5:29" ht="10.5" x14ac:dyDescent="0.25">
      <c r="E38" s="422"/>
      <c r="F38" s="158"/>
      <c r="G38" s="159"/>
      <c r="H38" s="148"/>
      <c r="I38" s="161"/>
      <c r="J38" s="149"/>
      <c r="U38" s="433"/>
      <c r="V38" s="170">
        <f>V28</f>
        <v>30</v>
      </c>
      <c r="W38" s="171" t="e">
        <f t="shared" ref="W38:AA42" si="17">IF(W28="","",LOG(W28))</f>
        <v>#DIV/0!</v>
      </c>
      <c r="X38" s="171" t="e">
        <f t="shared" si="17"/>
        <v>#DIV/0!</v>
      </c>
      <c r="Y38" s="171" t="e">
        <f t="shared" si="17"/>
        <v>#DIV/0!</v>
      </c>
      <c r="Z38" s="171" t="e">
        <f t="shared" si="17"/>
        <v>#DIV/0!</v>
      </c>
      <c r="AA38" s="171" t="e">
        <f t="shared" si="17"/>
        <v>#DIV/0!</v>
      </c>
      <c r="AB38" s="167" t="e">
        <f t="shared" si="15"/>
        <v>#DIV/0!</v>
      </c>
      <c r="AC38" s="167" t="e">
        <f t="shared" si="16"/>
        <v>#DIV/0!</v>
      </c>
    </row>
    <row r="39" spans="5:29" ht="10.5" x14ac:dyDescent="0.25">
      <c r="E39" s="422"/>
      <c r="F39" s="150">
        <f>C19</f>
        <v>90</v>
      </c>
      <c r="G39" s="151" t="e">
        <f>IF(H19="","",ABS(SLOPE(D19:H19,$D$16:$H$16)))</f>
        <v>#DIV/0!</v>
      </c>
      <c r="H39" s="141" t="s">
        <v>27</v>
      </c>
      <c r="I39" s="152" t="e">
        <f>IF(G39="","",ABS(CORREL(D19:H19,D16:H16)))</f>
        <v>#DIV/0!</v>
      </c>
      <c r="J39" s="153"/>
      <c r="U39" s="433"/>
      <c r="V39" s="170">
        <f>V29</f>
        <v>90</v>
      </c>
      <c r="W39" s="171" t="e">
        <f t="shared" si="17"/>
        <v>#DIV/0!</v>
      </c>
      <c r="X39" s="171" t="e">
        <f t="shared" si="17"/>
        <v>#DIV/0!</v>
      </c>
      <c r="Y39" s="171" t="e">
        <f t="shared" si="17"/>
        <v>#DIV/0!</v>
      </c>
      <c r="Z39" s="171" t="e">
        <f t="shared" si="17"/>
        <v>#DIV/0!</v>
      </c>
      <c r="AA39" s="171" t="e">
        <f t="shared" si="17"/>
        <v>#DIV/0!</v>
      </c>
      <c r="AB39" s="192" t="e">
        <f t="shared" si="15"/>
        <v>#DIV/0!</v>
      </c>
      <c r="AC39" s="167" t="e">
        <f>IF(MAX(W39:AA39)=0,"",AVERAGE(W39:AA39))</f>
        <v>#DIV/0!</v>
      </c>
    </row>
    <row r="40" spans="5:29" ht="10.5" x14ac:dyDescent="0.25">
      <c r="E40" s="422"/>
      <c r="F40" s="154"/>
      <c r="G40" s="155" t="e">
        <f>IF(G39="","",G39*1000/(60*F39))</f>
        <v>#DIV/0!</v>
      </c>
      <c r="H40" s="141" t="s">
        <v>26</v>
      </c>
      <c r="I40" s="156"/>
      <c r="J40" s="157" t="e">
        <f>IF(G39="","",IF(I39&gt;0.9,LOG(G40),""))</f>
        <v>#DIV/0!</v>
      </c>
      <c r="U40" s="433"/>
      <c r="V40" s="170">
        <f>V30</f>
        <v>150</v>
      </c>
      <c r="W40" s="171" t="e">
        <f t="shared" si="17"/>
        <v>#DIV/0!</v>
      </c>
      <c r="X40" s="171" t="e">
        <f t="shared" si="17"/>
        <v>#DIV/0!</v>
      </c>
      <c r="Y40" s="171" t="e">
        <f t="shared" si="17"/>
        <v>#DIV/0!</v>
      </c>
      <c r="Z40" s="171" t="e">
        <f t="shared" si="17"/>
        <v>#DIV/0!</v>
      </c>
      <c r="AA40" s="171" t="e">
        <f t="shared" si="17"/>
        <v>#DIV/0!</v>
      </c>
      <c r="AB40" s="192" t="e">
        <f t="shared" si="15"/>
        <v>#DIV/0!</v>
      </c>
      <c r="AC40" s="167" t="e">
        <f>IF(MAX(W40:AA40)=0,"",AVERAGE(W40:AA40))</f>
        <v>#DIV/0!</v>
      </c>
    </row>
    <row r="41" spans="5:29" ht="10.5" x14ac:dyDescent="0.25">
      <c r="E41" s="422"/>
      <c r="F41" s="158"/>
      <c r="G41" s="159"/>
      <c r="H41" s="148"/>
      <c r="I41" s="148"/>
      <c r="J41" s="149"/>
      <c r="U41" s="433"/>
      <c r="V41" s="170">
        <f>V31</f>
        <v>210</v>
      </c>
      <c r="W41" s="171" t="e">
        <f t="shared" si="17"/>
        <v>#DIV/0!</v>
      </c>
      <c r="X41" s="171" t="e">
        <f t="shared" si="17"/>
        <v>#DIV/0!</v>
      </c>
      <c r="Y41" s="171" t="e">
        <f t="shared" si="17"/>
        <v>#DIV/0!</v>
      </c>
      <c r="Z41" s="171" t="e">
        <f t="shared" si="17"/>
        <v>#DIV/0!</v>
      </c>
      <c r="AA41" s="171" t="e">
        <f t="shared" si="17"/>
        <v>#DIV/0!</v>
      </c>
      <c r="AB41" s="192" t="e">
        <f t="shared" si="15"/>
        <v>#DIV/0!</v>
      </c>
      <c r="AC41" s="167" t="e">
        <f>IF(MAX(W41:AA41)=0,"",AVERAGE(W41:AA41))</f>
        <v>#DIV/0!</v>
      </c>
    </row>
    <row r="42" spans="5:29" ht="10.5" x14ac:dyDescent="0.25">
      <c r="E42" s="422"/>
      <c r="F42" s="150">
        <f>C20</f>
        <v>150</v>
      </c>
      <c r="G42" s="151" t="e">
        <f>IF(H20="","",ABS(SLOPE(D20:H20,$D$16:$H$16)))</f>
        <v>#DIV/0!</v>
      </c>
      <c r="H42" s="141" t="s">
        <v>27</v>
      </c>
      <c r="I42" s="152" t="e">
        <f>IF(G42="","",ABS(CORREL(D20:H20,D16:H16)))</f>
        <v>#DIV/0!</v>
      </c>
      <c r="J42" s="153"/>
      <c r="U42" s="434"/>
      <c r="V42" s="170">
        <f t="shared" ref="V42" si="18">V32</f>
        <v>1440</v>
      </c>
      <c r="W42" s="171" t="e">
        <f t="shared" si="17"/>
        <v>#DIV/0!</v>
      </c>
      <c r="X42" s="171" t="e">
        <f t="shared" si="17"/>
        <v>#DIV/0!</v>
      </c>
      <c r="Y42" s="171" t="e">
        <f t="shared" si="17"/>
        <v>#DIV/0!</v>
      </c>
      <c r="Z42" s="171" t="e">
        <f t="shared" si="17"/>
        <v>#DIV/0!</v>
      </c>
      <c r="AA42" s="171" t="e">
        <f t="shared" si="17"/>
        <v>#DIV/0!</v>
      </c>
      <c r="AB42" s="192" t="e">
        <f t="shared" si="15"/>
        <v>#DIV/0!</v>
      </c>
      <c r="AC42" s="167" t="e">
        <f>IF(MAX(W42:AA42)=0,"",AVERAGE(W42:AA42))</f>
        <v>#DIV/0!</v>
      </c>
    </row>
    <row r="43" spans="5:29" ht="10.5" x14ac:dyDescent="0.25">
      <c r="E43" s="422"/>
      <c r="F43" s="154"/>
      <c r="G43" s="155" t="e">
        <f>IF(G42="","",G42*1000/(60*F42))</f>
        <v>#DIV/0!</v>
      </c>
      <c r="H43" s="141" t="s">
        <v>26</v>
      </c>
      <c r="I43" s="156"/>
      <c r="J43" s="157" t="e">
        <f>IF(G42="","",IF(I42&gt;0.9,LOG(G43),""))</f>
        <v>#DIV/0!</v>
      </c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5:29" ht="10.5" x14ac:dyDescent="0.25">
      <c r="E44" s="422"/>
      <c r="F44" s="162"/>
      <c r="G44" s="159"/>
      <c r="H44" s="148"/>
      <c r="I44" s="148"/>
      <c r="J44" s="149"/>
      <c r="U44" s="235" t="s">
        <v>136</v>
      </c>
      <c r="V44" s="235"/>
      <c r="W44" s="164"/>
      <c r="X44" s="164"/>
      <c r="Y44" s="164"/>
      <c r="Z44" s="164"/>
      <c r="AA44" s="164"/>
      <c r="AB44" s="164"/>
      <c r="AC44" s="164"/>
    </row>
    <row r="45" spans="5:29" ht="10.5" x14ac:dyDescent="0.25">
      <c r="E45" s="422"/>
      <c r="F45" s="150">
        <f>C21</f>
        <v>210</v>
      </c>
      <c r="G45" s="151" t="e">
        <f>IF(H21="","",ABS(SLOPE(D21:H21,$D$16:$H$16)))</f>
        <v>#DIV/0!</v>
      </c>
      <c r="H45" s="141" t="s">
        <v>27</v>
      </c>
      <c r="I45" s="152" t="e">
        <f>IF(G45="","",ABS(CORREL(D21:H21,D16:H16)))</f>
        <v>#DIV/0!</v>
      </c>
      <c r="J45" s="153"/>
      <c r="U45" s="237"/>
      <c r="V45" s="236"/>
      <c r="W45" s="164"/>
      <c r="X45" s="164"/>
      <c r="Y45" s="164"/>
      <c r="Z45" s="164"/>
      <c r="AA45" s="164"/>
      <c r="AB45" s="164"/>
      <c r="AC45" s="164"/>
    </row>
    <row r="46" spans="5:29" ht="10.5" x14ac:dyDescent="0.25">
      <c r="E46" s="422"/>
      <c r="F46" s="154"/>
      <c r="G46" s="155" t="e">
        <f>IF(G45="","",G45*1000/(60*F45))</f>
        <v>#DIV/0!</v>
      </c>
      <c r="H46" s="141" t="s">
        <v>26</v>
      </c>
      <c r="I46" s="156"/>
      <c r="J46" s="157" t="e">
        <f>IF(G45="","",IF(I45&gt;0.9,LOG(G46),""))</f>
        <v>#DIV/0!</v>
      </c>
      <c r="U46" s="237"/>
      <c r="V46" s="236"/>
      <c r="W46" s="164"/>
      <c r="X46" s="164"/>
      <c r="Y46" s="164"/>
      <c r="Z46" s="164"/>
      <c r="AA46" s="164"/>
      <c r="AB46" s="164"/>
      <c r="AC46" s="164"/>
    </row>
    <row r="47" spans="5:29" ht="10.5" x14ac:dyDescent="0.25">
      <c r="E47" s="422"/>
      <c r="F47" s="162"/>
      <c r="G47" s="159"/>
      <c r="H47" s="148"/>
      <c r="I47" s="148"/>
      <c r="J47" s="149"/>
      <c r="U47" s="432" t="s">
        <v>37</v>
      </c>
      <c r="V47" s="170">
        <f>V38</f>
        <v>30</v>
      </c>
      <c r="W47" s="172" t="e">
        <f>IF(AND(NOT(J37="")=FALSE,NOT(J34="")=TRUE),1,0)</f>
        <v>#DIV/0!</v>
      </c>
      <c r="X47" s="164"/>
      <c r="Y47" s="164"/>
      <c r="Z47" s="164"/>
      <c r="AA47" s="164"/>
      <c r="AB47" s="164"/>
      <c r="AC47" s="164"/>
    </row>
    <row r="48" spans="5:29" ht="10.5" x14ac:dyDescent="0.25">
      <c r="E48" s="422"/>
      <c r="F48" s="150">
        <f>C22</f>
        <v>1440</v>
      </c>
      <c r="G48" s="151" t="e">
        <f>IF(H22="","",ABS(SLOPE(D22:H22,$D$16:$H$16)))</f>
        <v>#DIV/0!</v>
      </c>
      <c r="H48" s="141" t="s">
        <v>27</v>
      </c>
      <c r="I48" s="152" t="e">
        <f>IF(G48="","",ABS(CORREL(D22:H22,D16:H16)))</f>
        <v>#DIV/0!</v>
      </c>
      <c r="J48" s="153"/>
      <c r="U48" s="433"/>
      <c r="V48" s="170">
        <f>V39</f>
        <v>90</v>
      </c>
      <c r="W48" s="172" t="e">
        <f>IF(AND(NOT(J40="")=FALSE,NOT(J37="")=TRUE),1,0)</f>
        <v>#DIV/0!</v>
      </c>
      <c r="X48" s="164"/>
      <c r="Y48" s="164"/>
      <c r="Z48" s="164"/>
      <c r="AA48" s="164"/>
      <c r="AB48" s="164"/>
      <c r="AC48" s="164"/>
    </row>
    <row r="49" spans="1:29" ht="10.5" x14ac:dyDescent="0.25">
      <c r="E49" s="423"/>
      <c r="F49" s="154"/>
      <c r="G49" s="155" t="e">
        <f>IF(G48="","",G48*1000/(60*F48))</f>
        <v>#DIV/0!</v>
      </c>
      <c r="H49" s="141" t="s">
        <v>26</v>
      </c>
      <c r="I49" s="156"/>
      <c r="J49" s="157" t="e">
        <f>IF(G48="","",IF(I48&gt;0.9,LOG(G49),""))</f>
        <v>#DIV/0!</v>
      </c>
      <c r="U49" s="433"/>
      <c r="V49" s="170">
        <f>V40</f>
        <v>150</v>
      </c>
      <c r="W49" s="172" t="e">
        <f>IF(AND(NOT(J43="")=FALSE,NOT(J40="")=TRUE),1,0)</f>
        <v>#DIV/0!</v>
      </c>
      <c r="X49" s="164"/>
      <c r="Y49" s="164"/>
      <c r="Z49" s="164"/>
      <c r="AA49" s="164"/>
      <c r="AB49" s="164"/>
      <c r="AC49" s="164"/>
    </row>
    <row r="50" spans="1:29" x14ac:dyDescent="0.2">
      <c r="E50" s="66"/>
      <c r="F50" s="66"/>
      <c r="G50" s="66"/>
      <c r="H50" s="66"/>
      <c r="I50" s="66"/>
      <c r="J50" s="66"/>
      <c r="U50" s="433"/>
      <c r="V50" s="170">
        <f>V41</f>
        <v>210</v>
      </c>
      <c r="W50" s="172" t="e">
        <f>IF(AND(NOT(J46="")=FALSE,NOT(J43="")=TRUE),1,0)</f>
        <v>#DIV/0!</v>
      </c>
      <c r="X50" s="164"/>
      <c r="Y50" s="164"/>
      <c r="Z50" s="164"/>
      <c r="AA50" s="164"/>
      <c r="AB50" s="164"/>
      <c r="AC50" s="164"/>
    </row>
    <row r="51" spans="1:29" ht="10.5" x14ac:dyDescent="0.25">
      <c r="A51" s="300" t="s">
        <v>177</v>
      </c>
      <c r="B51" s="301"/>
      <c r="C51" s="302"/>
      <c r="D51" s="188"/>
      <c r="E51" s="69"/>
      <c r="F51" s="69"/>
      <c r="G51" s="66"/>
      <c r="H51" s="66"/>
      <c r="I51" s="66"/>
      <c r="J51" s="66"/>
      <c r="U51" s="433"/>
      <c r="V51" s="170">
        <f>V42</f>
        <v>1440</v>
      </c>
      <c r="W51" s="172" t="e">
        <f>IF(AND(NOT(J49="")=FALSE,NOT(J46="")=TRUE),1,0)</f>
        <v>#DIV/0!</v>
      </c>
      <c r="X51" s="164"/>
      <c r="Y51" s="164"/>
      <c r="Z51" s="164"/>
      <c r="AA51" s="164"/>
      <c r="AB51" s="164"/>
      <c r="AC51" s="164"/>
    </row>
    <row r="52" spans="1:29" ht="33" x14ac:dyDescent="0.2">
      <c r="A52" s="233" t="s">
        <v>81</v>
      </c>
      <c r="B52" s="303" t="e">
        <f>'t1'!$P$8/'t1'!$O$8*100</f>
        <v>#DIV/0!</v>
      </c>
      <c r="C52" s="302"/>
      <c r="D52" s="276" t="s">
        <v>95</v>
      </c>
      <c r="E52" s="277" t="e">
        <f>IF(E53=J34,F33,IF(E53=J37,F36,IF(E53=J40,F39,IF(E53=J43,F42,IF(E53=J46,F45,IF(E53=J49,F48,""))))))</f>
        <v>#DIV/0!</v>
      </c>
      <c r="F52" s="280" t="s">
        <v>40</v>
      </c>
      <c r="G52" s="425" t="s">
        <v>127</v>
      </c>
      <c r="H52" s="426"/>
      <c r="I52" s="427"/>
      <c r="J52" s="299" t="e">
        <f>AND(J49="",D12&gt;F3)</f>
        <v>#DIV/0!</v>
      </c>
      <c r="U52" s="434"/>
      <c r="V52" s="170" t="s">
        <v>137</v>
      </c>
      <c r="W52" s="172" t="e">
        <f>SUM(W47:W51)</f>
        <v>#DIV/0!</v>
      </c>
      <c r="X52" s="164"/>
      <c r="Y52" s="164"/>
      <c r="Z52" s="164"/>
      <c r="AA52" s="164"/>
      <c r="AB52" s="164"/>
      <c r="AC52" s="164"/>
    </row>
    <row r="53" spans="1:29" ht="12.5" x14ac:dyDescent="0.35">
      <c r="A53" s="233" t="s">
        <v>82</v>
      </c>
      <c r="B53" s="303" t="e">
        <f>'t2'!$P$8/'t2'!$O$8*100</f>
        <v>#DIV/0!</v>
      </c>
      <c r="C53" s="304"/>
      <c r="D53" s="278" t="s">
        <v>164</v>
      </c>
      <c r="E53" s="279" t="e">
        <f>IF(AND(J34="",J37="",J40="",J43="",J46="",J49="")=TRUE,"not reactive / -3.5",MAX(J32:J49))</f>
        <v>#DIV/0!</v>
      </c>
      <c r="F53" s="281"/>
      <c r="G53" s="298" t="s">
        <v>128</v>
      </c>
      <c r="H53" s="275"/>
      <c r="I53" s="275"/>
      <c r="J53" s="299" t="e">
        <f>AND(D12&gt;F3,TTEST('t6'!B10:D10,'t6'!B4:M4,2,3)&lt;0.05)</f>
        <v>#DIV/0!</v>
      </c>
      <c r="U53" s="164"/>
      <c r="V53" s="164"/>
      <c r="W53" s="164"/>
      <c r="X53" s="164"/>
      <c r="Y53" s="164"/>
      <c r="Z53" s="164"/>
      <c r="AA53" s="164"/>
      <c r="AB53" s="164"/>
      <c r="AC53" s="164"/>
    </row>
    <row r="54" spans="1:29" x14ac:dyDescent="0.2">
      <c r="A54" s="233" t="s">
        <v>83</v>
      </c>
      <c r="B54" s="303" t="e">
        <f>'t3'!$P$8/'t3'!$O$8*100</f>
        <v>#DIV/0!</v>
      </c>
      <c r="C54" s="302"/>
      <c r="D54" s="275"/>
      <c r="E54" s="275"/>
      <c r="F54" s="281"/>
      <c r="G54" s="189" t="s">
        <v>129</v>
      </c>
      <c r="H54" s="188"/>
      <c r="I54" s="289">
        <f>C7</f>
        <v>10</v>
      </c>
      <c r="J54" s="297" t="e">
        <f>IF(J55="","",IF(AND(J$52=TRUE,J$53=TRUE),AC37,""))</f>
        <v>#DIV/0!</v>
      </c>
    </row>
    <row r="55" spans="1:29" ht="10.15" customHeight="1" x14ac:dyDescent="0.2">
      <c r="A55" s="233" t="s">
        <v>84</v>
      </c>
      <c r="B55" s="303" t="e">
        <f>'t4'!$P$8/'t4'!$O$8*100</f>
        <v>#DIV/0!</v>
      </c>
      <c r="C55" s="305"/>
      <c r="D55" s="428" t="s">
        <v>130</v>
      </c>
      <c r="E55" s="424" t="e">
        <f>IF(W52&gt;0,"Time course interrupted, check","OK")</f>
        <v>#DIV/0!</v>
      </c>
      <c r="F55" s="424"/>
      <c r="G55" s="189"/>
      <c r="H55" s="188"/>
      <c r="I55" s="261">
        <f t="shared" ref="I55:I59" si="19">C8</f>
        <v>30</v>
      </c>
      <c r="J55" s="232" t="e">
        <f>IF(J56="","",IF(AND(J$52=TRUE,J$53=TRUE),AC38,""))</f>
        <v>#DIV/0!</v>
      </c>
    </row>
    <row r="56" spans="1:29" x14ac:dyDescent="0.2">
      <c r="A56" s="233" t="s">
        <v>85</v>
      </c>
      <c r="B56" s="303" t="e">
        <f>'t5'!$P$8/'t5'!$O$8*100</f>
        <v>#DIV/0!</v>
      </c>
      <c r="C56" s="305"/>
      <c r="D56" s="429"/>
      <c r="E56" s="424"/>
      <c r="F56" s="424"/>
      <c r="G56" s="189"/>
      <c r="H56" s="188"/>
      <c r="I56" s="261">
        <f t="shared" si="19"/>
        <v>90</v>
      </c>
      <c r="J56" s="232" t="e">
        <f>IF(J57="","",IF(AND(J$52=TRUE,J$53=TRUE),AC39,""))</f>
        <v>#DIV/0!</v>
      </c>
    </row>
    <row r="57" spans="1:29" x14ac:dyDescent="0.2">
      <c r="A57" s="306" t="s">
        <v>113</v>
      </c>
      <c r="B57" s="307" t="e">
        <f>'t6'!$P$8/'t6'!$O$8*100</f>
        <v>#DIV/0!</v>
      </c>
      <c r="C57" s="302"/>
      <c r="D57" s="430"/>
      <c r="E57" s="424"/>
      <c r="F57" s="424"/>
      <c r="G57" s="189"/>
      <c r="H57" s="188"/>
      <c r="I57" s="261">
        <f t="shared" si="19"/>
        <v>150</v>
      </c>
      <c r="J57" s="232" t="e">
        <f>IF(J58="","",IF(AND(J$52=TRUE,J$53=TRUE),AC40,""))</f>
        <v>#DIV/0!</v>
      </c>
    </row>
    <row r="58" spans="1:29" ht="20.5" customHeight="1" x14ac:dyDescent="0.25">
      <c r="A58" s="420" t="s">
        <v>170</v>
      </c>
      <c r="B58" s="420"/>
      <c r="C58" s="308" t="e">
        <f>IF('t1'!N19&gt;('t1'!O8/100*'Run specifications'!F9),"Autofluorescence may influence result","no autofluorescence")</f>
        <v>#DIV/0!</v>
      </c>
      <c r="D58" s="188"/>
      <c r="E58" s="188"/>
      <c r="F58" s="190"/>
      <c r="G58" s="189"/>
      <c r="H58" s="188"/>
      <c r="I58" s="261">
        <f t="shared" si="19"/>
        <v>210</v>
      </c>
      <c r="J58" s="232" t="e">
        <f>IF(J59="","",IF(AND(J$52=TRUE,J$53=TRUE),AC41,""))</f>
        <v>#DIV/0!</v>
      </c>
    </row>
    <row r="59" spans="1:29" ht="10.5" x14ac:dyDescent="0.25">
      <c r="A59" s="420" t="s">
        <v>169</v>
      </c>
      <c r="B59" s="420"/>
      <c r="C59" s="308" t="e">
        <f>IF('t1'!N19/'t1'!O5&lt;0.8,"potential quenching","no quenching")</f>
        <v>#DIV/0!</v>
      </c>
      <c r="D59" s="188"/>
      <c r="E59" s="188"/>
      <c r="F59" s="190"/>
      <c r="G59" s="189"/>
      <c r="H59" s="188"/>
      <c r="I59" s="261">
        <f t="shared" si="19"/>
        <v>1440</v>
      </c>
      <c r="J59" s="232" t="e">
        <f>IF(AND(J$52=TRUE,J$53=TRUE),AC42,"")</f>
        <v>#DIV/0!</v>
      </c>
    </row>
    <row r="60" spans="1:29" ht="23.5" customHeight="1" x14ac:dyDescent="0.35">
      <c r="A60" s="420" t="s">
        <v>168</v>
      </c>
      <c r="B60" s="420"/>
      <c r="C60" s="308" t="e">
        <f>IF(AD10&lt;1.25,"Depletion not time dependent","ok")</f>
        <v>#DIV/0!</v>
      </c>
      <c r="D60" s="188"/>
      <c r="E60" s="188"/>
      <c r="F60" s="190"/>
      <c r="G60" s="187"/>
      <c r="H60" s="191"/>
      <c r="I60" s="278" t="s">
        <v>164</v>
      </c>
      <c r="J60" s="234" t="e">
        <f>MAX(J54:J59)</f>
        <v>#DIV/0!</v>
      </c>
    </row>
    <row r="61" spans="1:29" ht="10.5" x14ac:dyDescent="0.25">
      <c r="A61" s="420" t="s">
        <v>171</v>
      </c>
      <c r="B61" s="420"/>
      <c r="C61" s="308" t="e">
        <f>AND(C59="potential quenching",C60="Depletion not time dependent")</f>
        <v>#DIV/0!</v>
      </c>
    </row>
    <row r="62" spans="1:29" ht="10.5" x14ac:dyDescent="0.25">
      <c r="A62" s="420" t="s">
        <v>172</v>
      </c>
      <c r="B62" s="420"/>
      <c r="C62" s="308" t="e">
        <f>AND(C58="Autofluorescence may influence result",C60="Depletion not time dependent")</f>
        <v>#DIV/0!</v>
      </c>
    </row>
  </sheetData>
  <mergeCells count="24">
    <mergeCell ref="D5:H5"/>
    <mergeCell ref="D15:H15"/>
    <mergeCell ref="I15:I16"/>
    <mergeCell ref="W15:AA15"/>
    <mergeCell ref="U7:U12"/>
    <mergeCell ref="U17:U22"/>
    <mergeCell ref="F25:F29"/>
    <mergeCell ref="J15:J16"/>
    <mergeCell ref="B7:B12"/>
    <mergeCell ref="B17:B22"/>
    <mergeCell ref="W25:AA25"/>
    <mergeCell ref="U27:U32"/>
    <mergeCell ref="W35:AA35"/>
    <mergeCell ref="U37:U42"/>
    <mergeCell ref="U47:U52"/>
    <mergeCell ref="A62:B62"/>
    <mergeCell ref="E32:E49"/>
    <mergeCell ref="E55:F57"/>
    <mergeCell ref="G52:I52"/>
    <mergeCell ref="A61:B61"/>
    <mergeCell ref="A58:B58"/>
    <mergeCell ref="A59:B59"/>
    <mergeCell ref="A60:B60"/>
    <mergeCell ref="D55:D57"/>
  </mergeCells>
  <conditionalFormatting sqref="E55">
    <cfRule type="cellIs" dxfId="47" priority="12" operator="equal">
      <formula>"time course interrupted, check"</formula>
    </cfRule>
    <cfRule type="cellIs" dxfId="46" priority="13" operator="equal">
      <formula>"OK"</formula>
    </cfRule>
  </conditionalFormatting>
  <conditionalFormatting sqref="J52">
    <cfRule type="cellIs" dxfId="45" priority="10" operator="equal">
      <formula>FALSE</formula>
    </cfRule>
    <cfRule type="cellIs" dxfId="44" priority="11" operator="equal">
      <formula>TRUE</formula>
    </cfRule>
  </conditionalFormatting>
  <conditionalFormatting sqref="J53">
    <cfRule type="cellIs" dxfId="43" priority="8" operator="equal">
      <formula>FALSE</formula>
    </cfRule>
    <cfRule type="cellIs" dxfId="42" priority="9" operator="equal">
      <formula>TRUE</formula>
    </cfRule>
  </conditionalFormatting>
  <conditionalFormatting sqref="B52:B57">
    <cfRule type="cellIs" dxfId="41" priority="6" operator="lessThan">
      <formula>12.5</formula>
    </cfRule>
    <cfRule type="cellIs" dxfId="40" priority="7" operator="greaterThanOrEqual">
      <formula>12.5</formula>
    </cfRule>
  </conditionalFormatting>
  <conditionalFormatting sqref="C58">
    <cfRule type="cellIs" dxfId="39" priority="5" operator="equal">
      <formula>"no autofluorescence"</formula>
    </cfRule>
  </conditionalFormatting>
  <conditionalFormatting sqref="C59">
    <cfRule type="cellIs" dxfId="38" priority="4" operator="equal">
      <formula>"no quenching"</formula>
    </cfRule>
  </conditionalFormatting>
  <conditionalFormatting sqref="C60">
    <cfRule type="cellIs" dxfId="37" priority="3" operator="equal">
      <formula>"ok"</formula>
    </cfRule>
  </conditionalFormatting>
  <conditionalFormatting sqref="C61">
    <cfRule type="cellIs" dxfId="36" priority="2" operator="equal">
      <formula>FALSE</formula>
    </cfRule>
  </conditionalFormatting>
  <conditionalFormatting sqref="C62">
    <cfRule type="cellIs" dxfId="35" priority="1" operator="equal">
      <formula>FALSE</formula>
    </cfRule>
  </conditionalFormatting>
  <printOptions headings="1" gridLines="1"/>
  <pageMargins left="0.7" right="0.7" top="0.78740157499999996" bottom="0.78740157499999996" header="0.3" footer="0.3"/>
  <pageSetup paperSize="9" scale="54" fitToWidth="3" orientation="landscape" r:id="rId1"/>
  <headerFooter>
    <oddHeader>&amp;L&amp;F&amp;C&amp;A&amp;R&amp;P von &amp;N</oddHeader>
  </headerFooter>
  <colBreaks count="1" manualBreakCount="1">
    <brk id="20" max="5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view="pageBreakPreview" topLeftCell="A9" zoomScale="85" zoomScaleNormal="100" zoomScaleSheetLayoutView="85" workbookViewId="0">
      <selection activeCell="E54" sqref="E54"/>
    </sheetView>
  </sheetViews>
  <sheetFormatPr defaultColWidth="12" defaultRowHeight="10" x14ac:dyDescent="0.2"/>
  <cols>
    <col min="1" max="1" width="17.6640625" style="127" customWidth="1"/>
    <col min="2" max="2" width="20.44140625" style="127" customWidth="1"/>
    <col min="3" max="3" width="25.44140625" style="127" customWidth="1"/>
    <col min="4" max="5" width="17.6640625" style="127" customWidth="1"/>
    <col min="6" max="6" width="17.6640625" style="129" customWidth="1"/>
    <col min="7" max="10" width="17.6640625" style="127" customWidth="1"/>
    <col min="11" max="20" width="12" style="127"/>
    <col min="21" max="27" width="10.44140625" style="127" customWidth="1"/>
    <col min="28" max="16384" width="12" style="127"/>
  </cols>
  <sheetData>
    <row r="1" spans="1:32" ht="10.5" x14ac:dyDescent="0.2">
      <c r="B1" s="128" t="s">
        <v>93</v>
      </c>
      <c r="C1" s="133" t="str">
        <f>'Run specifications'!B5</f>
        <v>B</v>
      </c>
      <c r="D1" s="221">
        <f>'Run specifications'!D5</f>
        <v>0</v>
      </c>
    </row>
    <row r="2" spans="1:32" ht="11.25" customHeight="1" x14ac:dyDescent="0.2">
      <c r="B2" s="128" t="s">
        <v>61</v>
      </c>
      <c r="C2" s="133">
        <f>'Run specifications'!D1</f>
        <v>0</v>
      </c>
      <c r="D2" s="164"/>
    </row>
    <row r="3" spans="1:32" ht="10.5" x14ac:dyDescent="0.2">
      <c r="B3" s="130" t="s">
        <v>92</v>
      </c>
      <c r="C3" s="133">
        <f>'Run specifications'!C5</f>
        <v>0</v>
      </c>
      <c r="D3" s="173" t="s">
        <v>117</v>
      </c>
      <c r="F3" s="227">
        <f>'Run specifications'!F9</f>
        <v>13.89</v>
      </c>
      <c r="U3" s="164"/>
      <c r="V3" s="164"/>
      <c r="W3" s="164"/>
      <c r="X3" s="164"/>
      <c r="Y3" s="164"/>
      <c r="Z3" s="164"/>
      <c r="AA3" s="164"/>
      <c r="AB3" s="164"/>
      <c r="AC3" s="164"/>
    </row>
    <row r="4" spans="1:32" x14ac:dyDescent="0.2">
      <c r="U4" s="235" t="s">
        <v>118</v>
      </c>
      <c r="V4" s="164"/>
      <c r="W4" s="164"/>
      <c r="X4" s="164"/>
      <c r="Y4" s="164"/>
      <c r="Z4" s="164"/>
      <c r="AA4" s="164"/>
      <c r="AB4" s="164"/>
      <c r="AC4" s="164"/>
    </row>
    <row r="5" spans="1:32" ht="11.25" customHeight="1" x14ac:dyDescent="0.2">
      <c r="B5" s="164"/>
      <c r="C5" s="230"/>
      <c r="D5" s="440" t="s">
        <v>140</v>
      </c>
      <c r="E5" s="441"/>
      <c r="F5" s="441"/>
      <c r="G5" s="441"/>
      <c r="H5" s="441"/>
      <c r="U5" s="164"/>
      <c r="V5" s="164"/>
      <c r="W5" s="164"/>
      <c r="X5" s="164"/>
      <c r="Y5" s="164"/>
      <c r="Z5" s="164"/>
      <c r="AA5" s="164"/>
      <c r="AB5" s="164"/>
      <c r="AC5" s="235" t="s">
        <v>173</v>
      </c>
      <c r="AD5" s="290"/>
      <c r="AE5" s="290"/>
      <c r="AF5" s="290"/>
    </row>
    <row r="6" spans="1:32" x14ac:dyDescent="0.2">
      <c r="A6" s="131"/>
      <c r="B6" s="164"/>
      <c r="C6" s="229"/>
      <c r="D6" s="134">
        <f>'t1'!B19</f>
        <v>5</v>
      </c>
      <c r="E6" s="134">
        <f>'t1'!B18</f>
        <v>2.5</v>
      </c>
      <c r="F6" s="135">
        <f>'t1'!B17</f>
        <v>1.25</v>
      </c>
      <c r="G6" s="136">
        <f>'t1'!B16</f>
        <v>0.625</v>
      </c>
      <c r="H6" s="137">
        <f>'t1'!B15</f>
        <v>0.3125</v>
      </c>
      <c r="U6" s="236"/>
      <c r="V6" s="236"/>
      <c r="W6" s="170">
        <f>D6</f>
        <v>5</v>
      </c>
      <c r="X6" s="170">
        <f t="shared" ref="X6:AA6" si="0">E6</f>
        <v>2.5</v>
      </c>
      <c r="Y6" s="170">
        <f t="shared" si="0"/>
        <v>1.25</v>
      </c>
      <c r="Z6" s="170">
        <f t="shared" si="0"/>
        <v>0.625</v>
      </c>
      <c r="AA6" s="172">
        <f t="shared" si="0"/>
        <v>0.3125</v>
      </c>
      <c r="AB6" s="164"/>
      <c r="AC6" s="291"/>
      <c r="AD6" s="292">
        <v>5</v>
      </c>
      <c r="AE6" s="292">
        <v>2.5</v>
      </c>
      <c r="AF6" s="293">
        <v>1.25</v>
      </c>
    </row>
    <row r="7" spans="1:32" x14ac:dyDescent="0.2">
      <c r="B7" s="437" t="s">
        <v>37</v>
      </c>
      <c r="C7" s="139">
        <f>summary!B5</f>
        <v>10</v>
      </c>
      <c r="D7" s="138" t="e">
        <f>IF(AND(summary!H37&gt;F$3,summary!I37&lt;0.05)=TRUE,summary!H37,"")</f>
        <v>#DIV/0!</v>
      </c>
      <c r="E7" s="138" t="e">
        <f>IF(AND(summary!H37&gt;F$3,summary!I37&lt;0.05)=TRUE,summary!H29,"")</f>
        <v>#DIV/0!</v>
      </c>
      <c r="F7" s="138" t="e">
        <f>IF(AND(summary!H37&gt;F$3,summary!I37&lt;0.05)=TRUE,summary!H21,"")</f>
        <v>#DIV/0!</v>
      </c>
      <c r="G7" s="138" t="e">
        <f>IF(AND(summary!H37&gt;F$3,summary!I37&lt;0.05)=TRUE,summary!H13,"")</f>
        <v>#DIV/0!</v>
      </c>
      <c r="H7" s="138" t="e">
        <f>IF(AND(summary!H37&gt;F$3,summary!I37&lt;0.05)=TRUE,summary!H5,"")</f>
        <v>#DIV/0!</v>
      </c>
      <c r="U7" s="432" t="s">
        <v>37</v>
      </c>
      <c r="V7" s="170">
        <f>C7</f>
        <v>10</v>
      </c>
      <c r="W7" s="171" t="e">
        <f>summary!H37</f>
        <v>#DIV/0!</v>
      </c>
      <c r="X7" s="171" t="e">
        <f>summary!H29</f>
        <v>#DIV/0!</v>
      </c>
      <c r="Y7" s="171" t="e">
        <f>summary!H21</f>
        <v>#DIV/0!</v>
      </c>
      <c r="Z7" s="171" t="e">
        <f>summary!H13</f>
        <v>#DIV/0!</v>
      </c>
      <c r="AA7" s="171" t="e">
        <f>summary!H5</f>
        <v>#DIV/0!</v>
      </c>
      <c r="AB7" s="164"/>
      <c r="AC7" s="294">
        <v>10</v>
      </c>
      <c r="AD7" s="290"/>
      <c r="AE7" s="295"/>
      <c r="AF7" s="295"/>
    </row>
    <row r="8" spans="1:32" x14ac:dyDescent="0.2">
      <c r="B8" s="438"/>
      <c r="C8" s="139">
        <f>summary!B6</f>
        <v>30</v>
      </c>
      <c r="D8" s="138" t="e">
        <f>IF(AND(summary!H38&gt;F$3,summary!I38&lt;0.05)=TRUE,summary!H38,"")</f>
        <v>#DIV/0!</v>
      </c>
      <c r="E8" s="138" t="e">
        <f>IF(AND(summary!H38&gt;F$3,summary!I38&lt;0.05)=TRUE,summary!H30,"")</f>
        <v>#DIV/0!</v>
      </c>
      <c r="F8" s="138" t="e">
        <f>IF(AND(summary!H38&gt;F$3,summary!I38&lt;0.05)=TRUE,summary!H22,"")</f>
        <v>#DIV/0!</v>
      </c>
      <c r="G8" s="138" t="e">
        <f>IF(AND(summary!H38&gt;F$3,summary!I38&lt;0.05)=TRUE,summary!H14,"")</f>
        <v>#DIV/0!</v>
      </c>
      <c r="H8" s="138" t="e">
        <f>IF(AND(summary!H38&gt;F$3,summary!I38&lt;0.05)=TRUE,summary!H6,"")</f>
        <v>#DIV/0!</v>
      </c>
      <c r="U8" s="433"/>
      <c r="V8" s="170">
        <f t="shared" ref="V8:V12" si="1">C8</f>
        <v>30</v>
      </c>
      <c r="W8" s="171" t="e">
        <f>summary!H38</f>
        <v>#DIV/0!</v>
      </c>
      <c r="X8" s="171" t="e">
        <f>summary!H30</f>
        <v>#DIV/0!</v>
      </c>
      <c r="Y8" s="171" t="e">
        <f>summary!H22</f>
        <v>#DIV/0!</v>
      </c>
      <c r="Z8" s="171" t="e">
        <f>summary!H14</f>
        <v>#DIV/0!</v>
      </c>
      <c r="AA8" s="171" t="e">
        <f>summary!H6</f>
        <v>#DIV/0!</v>
      </c>
      <c r="AB8" s="164"/>
      <c r="AC8" s="294">
        <v>30</v>
      </c>
      <c r="AD8" s="295" t="e">
        <f>IF($D$7="","",IF(D8="","",IF(D8&gt;$F$3,D8/D7,"")))</f>
        <v>#DIV/0!</v>
      </c>
      <c r="AE8" s="295" t="e">
        <f>IF($D$7="","",IF(E8="","",IF(E8&gt;$F$3,E8/E7,"")))</f>
        <v>#DIV/0!</v>
      </c>
      <c r="AF8" s="295" t="e">
        <f>IF($D$7="","",IF(F8="","",IF(F8&gt;$F$3,F8/F7,"")))</f>
        <v>#DIV/0!</v>
      </c>
    </row>
    <row r="9" spans="1:32" x14ac:dyDescent="0.2">
      <c r="B9" s="438"/>
      <c r="C9" s="139">
        <f>summary!B7</f>
        <v>90</v>
      </c>
      <c r="D9" s="138" t="e">
        <f>IF(AND(summary!H39&gt;F$3,summary!I39&lt;0.05)=TRUE,summary!H39,"")</f>
        <v>#DIV/0!</v>
      </c>
      <c r="E9" s="138" t="e">
        <f>IF(AND(summary!H39&gt;F$3,summary!I39&lt;0.05)=TRUE,summary!H31,"")</f>
        <v>#DIV/0!</v>
      </c>
      <c r="F9" s="138" t="e">
        <f>IF(AND(summary!H39&gt;F$3,summary!I39&lt;0.05)=TRUE,summary!H23,"")</f>
        <v>#DIV/0!</v>
      </c>
      <c r="G9" s="138" t="e">
        <f>IF(AND(summary!H39&gt;F$3,summary!I39&lt;0.05)=TRUE,summary!H15,"")</f>
        <v>#DIV/0!</v>
      </c>
      <c r="H9" s="138" t="e">
        <f>IF(AND(summary!H39&gt;F$3,summary!I39&lt;0.05)=TRUE,summary!H7,"")</f>
        <v>#DIV/0!</v>
      </c>
      <c r="U9" s="433"/>
      <c r="V9" s="170">
        <f t="shared" si="1"/>
        <v>90</v>
      </c>
      <c r="W9" s="171" t="e">
        <f>summary!H39</f>
        <v>#DIV/0!</v>
      </c>
      <c r="X9" s="171" t="e">
        <f>summary!H31</f>
        <v>#DIV/0!</v>
      </c>
      <c r="Y9" s="171" t="e">
        <f>summary!H23</f>
        <v>#DIV/0!</v>
      </c>
      <c r="Z9" s="171" t="e">
        <f>summary!H15</f>
        <v>#DIV/0!</v>
      </c>
      <c r="AA9" s="171" t="e">
        <f>summary!H7</f>
        <v>#DIV/0!</v>
      </c>
      <c r="AB9" s="164"/>
      <c r="AC9" s="294">
        <v>90</v>
      </c>
      <c r="AD9" s="295" t="e">
        <f>IF($D$8="","",IF(D9="","",IF(D9&gt;$F$3,D9/D8,"")))</f>
        <v>#DIV/0!</v>
      </c>
      <c r="AE9" s="295" t="e">
        <f>IF($D$8="","",IF(E9="","",IF(E9&gt;$F$3,E9/E8,"")))</f>
        <v>#DIV/0!</v>
      </c>
      <c r="AF9" s="295" t="e">
        <f>IF($D$8="","",IF(F9="","",IF(F9&gt;$F$3,F9/F8,"")))</f>
        <v>#DIV/0!</v>
      </c>
    </row>
    <row r="10" spans="1:32" x14ac:dyDescent="0.2">
      <c r="B10" s="438"/>
      <c r="C10" s="139">
        <f>summary!B8</f>
        <v>150</v>
      </c>
      <c r="D10" s="138" t="e">
        <f>IF(AND(summary!H40&gt;F$3,summary!I40&lt;0.05)=TRUE,summary!H40,"")</f>
        <v>#DIV/0!</v>
      </c>
      <c r="E10" s="138" t="e">
        <f>IF(AND(summary!H40&gt;F$3,summary!I40&lt;0.05)=TRUE,summary!H32,"")</f>
        <v>#DIV/0!</v>
      </c>
      <c r="F10" s="138" t="e">
        <f>IF(AND(summary!H40&gt;F$3,summary!I40&lt;0.05)=TRUE,summary!H24,"")</f>
        <v>#DIV/0!</v>
      </c>
      <c r="G10" s="138" t="e">
        <f>IF(AND(summary!H40&gt;F$3,summary!I40&lt;0.05)=TRUE,summary!H16,"")</f>
        <v>#DIV/0!</v>
      </c>
      <c r="H10" s="138" t="e">
        <f>IF(AND(summary!H40&gt;F$3,summary!I40&lt;0.05)=TRUE,summary!H8,"")</f>
        <v>#DIV/0!</v>
      </c>
      <c r="U10" s="433"/>
      <c r="V10" s="170">
        <f t="shared" si="1"/>
        <v>150</v>
      </c>
      <c r="W10" s="171" t="e">
        <f>summary!H40</f>
        <v>#DIV/0!</v>
      </c>
      <c r="X10" s="171" t="e">
        <f>summary!H32</f>
        <v>#DIV/0!</v>
      </c>
      <c r="Y10" s="171" t="e">
        <f>summary!H24</f>
        <v>#DIV/0!</v>
      </c>
      <c r="Z10" s="171" t="e">
        <f>summary!H16</f>
        <v>#DIV/0!</v>
      </c>
      <c r="AA10" s="171" t="e">
        <f>summary!H8</f>
        <v>#DIV/0!</v>
      </c>
      <c r="AB10" s="164"/>
      <c r="AC10" s="235" t="s">
        <v>165</v>
      </c>
      <c r="AD10" s="296" t="e">
        <f>IF(AE10=TRUE,AVERAGE(AD8:AF9),"")</f>
        <v>#DIV/0!</v>
      </c>
      <c r="AE10" s="290" t="e">
        <f>AND(SUM(AD8:AF9)&gt;0,D7&gt;0)</f>
        <v>#DIV/0!</v>
      </c>
      <c r="AF10" s="290"/>
    </row>
    <row r="11" spans="1:32" x14ac:dyDescent="0.2">
      <c r="B11" s="438"/>
      <c r="C11" s="139">
        <f>summary!B9</f>
        <v>210</v>
      </c>
      <c r="D11" s="138" t="e">
        <f>IF(AND(summary!H41&gt;F$3,summary!I41&lt;0.05)=TRUE,summary!H41,"")</f>
        <v>#DIV/0!</v>
      </c>
      <c r="E11" s="138" t="e">
        <f>IF(AND(summary!H41&gt;F$3,summary!I41&lt;0.05)=TRUE,summary!H33,"")</f>
        <v>#DIV/0!</v>
      </c>
      <c r="F11" s="138" t="e">
        <f>IF(AND(summary!H41&gt;F$3,summary!I41&lt;0.05)=TRUE,summary!H25,"")</f>
        <v>#DIV/0!</v>
      </c>
      <c r="G11" s="138" t="e">
        <f>IF(AND(summary!H41&gt;F$3,summary!I41&lt;0.05)=TRUE,summary!H17,"")</f>
        <v>#DIV/0!</v>
      </c>
      <c r="H11" s="138" t="e">
        <f>IF(AND(summary!H41&gt;F$3,summary!I41&lt;0.05)=TRUE,summary!H9,"")</f>
        <v>#DIV/0!</v>
      </c>
      <c r="U11" s="433"/>
      <c r="V11" s="170">
        <f t="shared" si="1"/>
        <v>210</v>
      </c>
      <c r="W11" s="171" t="e">
        <f>summary!H41</f>
        <v>#DIV/0!</v>
      </c>
      <c r="X11" s="171" t="e">
        <f>summary!H33</f>
        <v>#DIV/0!</v>
      </c>
      <c r="Y11" s="171" t="e">
        <f>summary!H25</f>
        <v>#DIV/0!</v>
      </c>
      <c r="Z11" s="171" t="e">
        <f>summary!H17</f>
        <v>#DIV/0!</v>
      </c>
      <c r="AA11" s="171" t="e">
        <f>summary!H9</f>
        <v>#DIV/0!</v>
      </c>
      <c r="AB11" s="164"/>
      <c r="AC11" s="164"/>
    </row>
    <row r="12" spans="1:32" x14ac:dyDescent="0.2">
      <c r="B12" s="439"/>
      <c r="C12" s="139">
        <f>summary!B10</f>
        <v>1440</v>
      </c>
      <c r="D12" s="138" t="e">
        <f>IF(AND(summary!H42&gt;F$3,summary!I42&lt;0.05)=TRUE,summary!H42,"")</f>
        <v>#DIV/0!</v>
      </c>
      <c r="E12" s="138" t="e">
        <f>IF(AND(summary!H42&gt;F$3,summary!I42&lt;0.05)=TRUE,summary!H34,"")</f>
        <v>#DIV/0!</v>
      </c>
      <c r="F12" s="138" t="e">
        <f>IF(AND(summary!H42&gt;F$3,summary!I42&lt;0.05)=TRUE,summary!H26,"")</f>
        <v>#DIV/0!</v>
      </c>
      <c r="G12" s="138" t="e">
        <f>IF(AND(summary!H42&gt;F$3,summary!I42&lt;0.05)=TRUE,summary!H18,"")</f>
        <v>#DIV/0!</v>
      </c>
      <c r="H12" s="138" t="e">
        <f>IF(AND(summary!H42&gt;F$3,summary!I42&lt;0.05)=TRUE,summary!H10,"")</f>
        <v>#DIV/0!</v>
      </c>
      <c r="U12" s="434"/>
      <c r="V12" s="170">
        <f t="shared" si="1"/>
        <v>1440</v>
      </c>
      <c r="W12" s="171" t="e">
        <f>summary!H42</f>
        <v>#DIV/0!</v>
      </c>
      <c r="X12" s="171" t="e">
        <f>summary!H34</f>
        <v>#DIV/0!</v>
      </c>
      <c r="Y12" s="171" t="e">
        <f>summary!H26</f>
        <v>#DIV/0!</v>
      </c>
      <c r="Z12" s="171" t="e">
        <f>summary!H18</f>
        <v>#DIV/0!</v>
      </c>
      <c r="AA12" s="171" t="e">
        <f>summary!H10</f>
        <v>#DIV/0!</v>
      </c>
      <c r="AB12" s="164"/>
      <c r="AC12" s="164"/>
    </row>
    <row r="13" spans="1:32" x14ac:dyDescent="0.2">
      <c r="B13" s="66"/>
      <c r="C13" s="66"/>
      <c r="D13" s="66"/>
      <c r="E13" s="66"/>
      <c r="F13" s="66"/>
      <c r="G13" s="66"/>
      <c r="H13" s="66"/>
      <c r="U13" s="120"/>
      <c r="V13" s="120"/>
      <c r="W13" s="120"/>
      <c r="X13" s="120"/>
      <c r="Y13" s="120"/>
      <c r="Z13" s="120"/>
      <c r="AA13" s="120"/>
      <c r="AB13" s="164"/>
      <c r="AC13" s="164"/>
    </row>
    <row r="14" spans="1:32" x14ac:dyDescent="0.2">
      <c r="F14" s="127"/>
      <c r="U14" s="235" t="s">
        <v>118</v>
      </c>
      <c r="V14" s="237"/>
      <c r="W14" s="237"/>
      <c r="X14" s="237"/>
      <c r="Y14" s="237"/>
      <c r="Z14" s="237"/>
      <c r="AA14" s="237"/>
      <c r="AB14" s="164"/>
      <c r="AC14" s="164"/>
    </row>
    <row r="15" spans="1:32" x14ac:dyDescent="0.2">
      <c r="B15" s="164"/>
      <c r="C15" s="230"/>
      <c r="D15" s="440" t="s">
        <v>94</v>
      </c>
      <c r="E15" s="441"/>
      <c r="F15" s="441"/>
      <c r="G15" s="441"/>
      <c r="H15" s="441"/>
      <c r="I15" s="435" t="s">
        <v>24</v>
      </c>
      <c r="J15" s="435" t="s">
        <v>25</v>
      </c>
      <c r="U15" s="237"/>
      <c r="V15" s="236"/>
      <c r="W15" s="431" t="s">
        <v>94</v>
      </c>
      <c r="X15" s="431"/>
      <c r="Y15" s="431"/>
      <c r="Z15" s="431"/>
      <c r="AA15" s="431"/>
      <c r="AB15" s="164"/>
      <c r="AC15" s="164"/>
    </row>
    <row r="16" spans="1:32" x14ac:dyDescent="0.2">
      <c r="B16" s="164"/>
      <c r="C16" s="229"/>
      <c r="D16" s="134">
        <f>D6</f>
        <v>5</v>
      </c>
      <c r="E16" s="134">
        <f>E6</f>
        <v>2.5</v>
      </c>
      <c r="F16" s="135">
        <f>F6</f>
        <v>1.25</v>
      </c>
      <c r="G16" s="136">
        <f>G6</f>
        <v>0.625</v>
      </c>
      <c r="H16" s="137">
        <f>H6</f>
        <v>0.3125</v>
      </c>
      <c r="I16" s="436"/>
      <c r="J16" s="436"/>
      <c r="U16" s="237"/>
      <c r="V16" s="236"/>
      <c r="W16" s="166">
        <f>W6</f>
        <v>5</v>
      </c>
      <c r="X16" s="166">
        <f>X6</f>
        <v>2.5</v>
      </c>
      <c r="Y16" s="167">
        <f>Y6</f>
        <v>1.25</v>
      </c>
      <c r="Z16" s="168">
        <f>Z6</f>
        <v>0.625</v>
      </c>
      <c r="AA16" s="169">
        <f>AA6</f>
        <v>0.3125</v>
      </c>
      <c r="AB16" s="164"/>
      <c r="AC16" s="164"/>
    </row>
    <row r="17" spans="2:29" x14ac:dyDescent="0.2">
      <c r="B17" s="437" t="s">
        <v>37</v>
      </c>
      <c r="C17" s="139">
        <f>C7</f>
        <v>10</v>
      </c>
      <c r="D17" s="138" t="e">
        <f t="shared" ref="D17:H22" si="2">IF(D7="","",IF(E7&gt;95,"",LN(100-D7)))</f>
        <v>#DIV/0!</v>
      </c>
      <c r="E17" s="138" t="e">
        <f t="shared" si="2"/>
        <v>#DIV/0!</v>
      </c>
      <c r="F17" s="138" t="e">
        <f t="shared" si="2"/>
        <v>#DIV/0!</v>
      </c>
      <c r="G17" s="138" t="e">
        <f t="shared" si="2"/>
        <v>#DIV/0!</v>
      </c>
      <c r="H17" s="138" t="e">
        <f t="shared" si="2"/>
        <v>#DIV/0!</v>
      </c>
      <c r="I17" s="140" t="e">
        <f>IF(H17="","",ABS(SLOPE(D17:H17,$D$16:$H$16)))</f>
        <v>#DIV/0!</v>
      </c>
      <c r="J17" s="140" t="e">
        <f>IF(H17="","",ABS(CORREL(D17:H17,$D$16:$H$16)))</f>
        <v>#DIV/0!</v>
      </c>
      <c r="U17" s="432" t="s">
        <v>37</v>
      </c>
      <c r="V17" s="170">
        <f>V7</f>
        <v>10</v>
      </c>
      <c r="W17" s="171" t="e">
        <f>(LN(100-W7))</f>
        <v>#DIV/0!</v>
      </c>
      <c r="X17" s="171" t="e">
        <f>(LN(100-X7))</f>
        <v>#DIV/0!</v>
      </c>
      <c r="Y17" s="171" t="e">
        <f>(LN(100-Y7))</f>
        <v>#DIV/0!</v>
      </c>
      <c r="Z17" s="171" t="e">
        <f>(LN(100-Z7))</f>
        <v>#DIV/0!</v>
      </c>
      <c r="AA17" s="171" t="e">
        <f>(LN(100-AA7))</f>
        <v>#DIV/0!</v>
      </c>
      <c r="AB17" s="164"/>
      <c r="AC17" s="164"/>
    </row>
    <row r="18" spans="2:29" x14ac:dyDescent="0.2">
      <c r="B18" s="438"/>
      <c r="C18" s="139">
        <f>C8</f>
        <v>30</v>
      </c>
      <c r="D18" s="138" t="e">
        <f t="shared" si="2"/>
        <v>#DIV/0!</v>
      </c>
      <c r="E18" s="138" t="e">
        <f t="shared" si="2"/>
        <v>#DIV/0!</v>
      </c>
      <c r="F18" s="138" t="e">
        <f t="shared" si="2"/>
        <v>#DIV/0!</v>
      </c>
      <c r="G18" s="138" t="e">
        <f t="shared" si="2"/>
        <v>#DIV/0!</v>
      </c>
      <c r="H18" s="138" t="e">
        <f t="shared" si="2"/>
        <v>#DIV/0!</v>
      </c>
      <c r="I18" s="140" t="e">
        <f t="shared" ref="I18:I22" si="3">IF(H18="","",ABS(SLOPE(D18:H18,$D$16:$H$16)))</f>
        <v>#DIV/0!</v>
      </c>
      <c r="J18" s="140" t="e">
        <f t="shared" ref="J18:J22" si="4">IF(H18="","",ABS(CORREL(D18:H18,$D$16:$H$16)))</f>
        <v>#DIV/0!</v>
      </c>
      <c r="U18" s="433"/>
      <c r="V18" s="170">
        <f>V8</f>
        <v>30</v>
      </c>
      <c r="W18" s="171" t="e">
        <f t="shared" ref="W18:AA22" si="5">(LN(100-W8))</f>
        <v>#DIV/0!</v>
      </c>
      <c r="X18" s="171" t="e">
        <f t="shared" si="5"/>
        <v>#DIV/0!</v>
      </c>
      <c r="Y18" s="171" t="e">
        <f t="shared" si="5"/>
        <v>#DIV/0!</v>
      </c>
      <c r="Z18" s="171" t="e">
        <f t="shared" si="5"/>
        <v>#DIV/0!</v>
      </c>
      <c r="AA18" s="171" t="e">
        <f t="shared" si="5"/>
        <v>#DIV/0!</v>
      </c>
      <c r="AB18" s="164"/>
      <c r="AC18" s="164"/>
    </row>
    <row r="19" spans="2:29" x14ac:dyDescent="0.2">
      <c r="B19" s="438"/>
      <c r="C19" s="139">
        <f>C9</f>
        <v>90</v>
      </c>
      <c r="D19" s="138" t="e">
        <f t="shared" si="2"/>
        <v>#DIV/0!</v>
      </c>
      <c r="E19" s="138" t="e">
        <f t="shared" si="2"/>
        <v>#DIV/0!</v>
      </c>
      <c r="F19" s="138" t="e">
        <f t="shared" si="2"/>
        <v>#DIV/0!</v>
      </c>
      <c r="G19" s="138" t="e">
        <f t="shared" si="2"/>
        <v>#DIV/0!</v>
      </c>
      <c r="H19" s="138" t="e">
        <f t="shared" si="2"/>
        <v>#DIV/0!</v>
      </c>
      <c r="I19" s="140" t="e">
        <f t="shared" si="3"/>
        <v>#DIV/0!</v>
      </c>
      <c r="J19" s="140" t="e">
        <f t="shared" si="4"/>
        <v>#DIV/0!</v>
      </c>
      <c r="U19" s="433"/>
      <c r="V19" s="170">
        <f>V9</f>
        <v>90</v>
      </c>
      <c r="W19" s="171" t="e">
        <f t="shared" si="5"/>
        <v>#DIV/0!</v>
      </c>
      <c r="X19" s="171" t="e">
        <f t="shared" si="5"/>
        <v>#DIV/0!</v>
      </c>
      <c r="Y19" s="171" t="e">
        <f t="shared" si="5"/>
        <v>#DIV/0!</v>
      </c>
      <c r="Z19" s="171" t="e">
        <f t="shared" si="5"/>
        <v>#DIV/0!</v>
      </c>
      <c r="AA19" s="171" t="e">
        <f t="shared" si="5"/>
        <v>#DIV/0!</v>
      </c>
      <c r="AB19" s="164"/>
      <c r="AC19" s="164"/>
    </row>
    <row r="20" spans="2:29" x14ac:dyDescent="0.2">
      <c r="B20" s="438"/>
      <c r="C20" s="139">
        <f>C10</f>
        <v>150</v>
      </c>
      <c r="D20" s="138" t="e">
        <f t="shared" si="2"/>
        <v>#DIV/0!</v>
      </c>
      <c r="E20" s="138" t="e">
        <f t="shared" si="2"/>
        <v>#DIV/0!</v>
      </c>
      <c r="F20" s="138" t="e">
        <f t="shared" si="2"/>
        <v>#DIV/0!</v>
      </c>
      <c r="G20" s="138" t="e">
        <f t="shared" si="2"/>
        <v>#DIV/0!</v>
      </c>
      <c r="H20" s="138" t="e">
        <f t="shared" si="2"/>
        <v>#DIV/0!</v>
      </c>
      <c r="I20" s="140" t="e">
        <f t="shared" si="3"/>
        <v>#DIV/0!</v>
      </c>
      <c r="J20" s="140" t="e">
        <f t="shared" si="4"/>
        <v>#DIV/0!</v>
      </c>
      <c r="U20" s="433"/>
      <c r="V20" s="170">
        <f>V10</f>
        <v>150</v>
      </c>
      <c r="W20" s="171" t="e">
        <f t="shared" si="5"/>
        <v>#DIV/0!</v>
      </c>
      <c r="X20" s="171" t="e">
        <f t="shared" si="5"/>
        <v>#DIV/0!</v>
      </c>
      <c r="Y20" s="171" t="e">
        <f t="shared" si="5"/>
        <v>#DIV/0!</v>
      </c>
      <c r="Z20" s="171" t="e">
        <f t="shared" si="5"/>
        <v>#DIV/0!</v>
      </c>
      <c r="AA20" s="171" t="e">
        <f t="shared" si="5"/>
        <v>#DIV/0!</v>
      </c>
      <c r="AB20" s="164"/>
      <c r="AC20" s="164"/>
    </row>
    <row r="21" spans="2:29" x14ac:dyDescent="0.2">
      <c r="B21" s="438"/>
      <c r="C21" s="139">
        <f>C11</f>
        <v>210</v>
      </c>
      <c r="D21" s="138" t="e">
        <f t="shared" si="2"/>
        <v>#DIV/0!</v>
      </c>
      <c r="E21" s="138" t="e">
        <f t="shared" si="2"/>
        <v>#DIV/0!</v>
      </c>
      <c r="F21" s="138" t="e">
        <f t="shared" si="2"/>
        <v>#DIV/0!</v>
      </c>
      <c r="G21" s="138" t="e">
        <f t="shared" si="2"/>
        <v>#DIV/0!</v>
      </c>
      <c r="H21" s="138" t="e">
        <f t="shared" si="2"/>
        <v>#DIV/0!</v>
      </c>
      <c r="I21" s="140" t="e">
        <f t="shared" si="3"/>
        <v>#DIV/0!</v>
      </c>
      <c r="J21" s="140" t="e">
        <f t="shared" si="4"/>
        <v>#DIV/0!</v>
      </c>
      <c r="U21" s="433"/>
      <c r="V21" s="170">
        <f>V11</f>
        <v>210</v>
      </c>
      <c r="W21" s="171" t="e">
        <f t="shared" si="5"/>
        <v>#DIV/0!</v>
      </c>
      <c r="X21" s="171" t="e">
        <f t="shared" si="5"/>
        <v>#DIV/0!</v>
      </c>
      <c r="Y21" s="171" t="e">
        <f t="shared" si="5"/>
        <v>#DIV/0!</v>
      </c>
      <c r="Z21" s="171" t="e">
        <f t="shared" si="5"/>
        <v>#DIV/0!</v>
      </c>
      <c r="AA21" s="171" t="e">
        <f t="shared" si="5"/>
        <v>#DIV/0!</v>
      </c>
      <c r="AB21" s="164"/>
      <c r="AC21" s="164"/>
    </row>
    <row r="22" spans="2:29" x14ac:dyDescent="0.2">
      <c r="B22" s="439"/>
      <c r="C22" s="139">
        <f t="shared" ref="C22" si="6">C12</f>
        <v>1440</v>
      </c>
      <c r="D22" s="138" t="e">
        <f t="shared" si="2"/>
        <v>#DIV/0!</v>
      </c>
      <c r="E22" s="138" t="e">
        <f t="shared" si="2"/>
        <v>#DIV/0!</v>
      </c>
      <c r="F22" s="138" t="e">
        <f t="shared" si="2"/>
        <v>#DIV/0!</v>
      </c>
      <c r="G22" s="138" t="e">
        <f t="shared" si="2"/>
        <v>#DIV/0!</v>
      </c>
      <c r="H22" s="138" t="e">
        <f t="shared" si="2"/>
        <v>#DIV/0!</v>
      </c>
      <c r="I22" s="140" t="e">
        <f t="shared" si="3"/>
        <v>#DIV/0!</v>
      </c>
      <c r="J22" s="140" t="e">
        <f t="shared" si="4"/>
        <v>#DIV/0!</v>
      </c>
      <c r="U22" s="434"/>
      <c r="V22" s="170">
        <f t="shared" ref="V22" si="7">V12</f>
        <v>1440</v>
      </c>
      <c r="W22" s="171" t="e">
        <f t="shared" si="5"/>
        <v>#DIV/0!</v>
      </c>
      <c r="X22" s="171" t="e">
        <f t="shared" si="5"/>
        <v>#DIV/0!</v>
      </c>
      <c r="Y22" s="171" t="e">
        <f t="shared" si="5"/>
        <v>#DIV/0!</v>
      </c>
      <c r="Z22" s="171" t="e">
        <f t="shared" si="5"/>
        <v>#DIV/0!</v>
      </c>
      <c r="AA22" s="171" t="e">
        <f t="shared" si="5"/>
        <v>#DIV/0!</v>
      </c>
      <c r="AB22" s="164"/>
      <c r="AC22" s="164"/>
    </row>
    <row r="23" spans="2:29" x14ac:dyDescent="0.2">
      <c r="B23" s="66"/>
      <c r="C23" s="66"/>
      <c r="D23" s="66"/>
      <c r="E23" s="66"/>
      <c r="F23" s="66"/>
      <c r="G23" s="66"/>
      <c r="H23" s="66"/>
      <c r="I23" s="66"/>
      <c r="J23" s="66"/>
      <c r="U23" s="120"/>
      <c r="V23" s="120"/>
      <c r="W23" s="120"/>
      <c r="X23" s="120"/>
      <c r="Y23" s="120"/>
      <c r="Z23" s="120"/>
      <c r="AA23" s="120"/>
      <c r="AB23" s="164"/>
      <c r="AC23" s="164"/>
    </row>
    <row r="24" spans="2:29" x14ac:dyDescent="0.2">
      <c r="C24" s="132"/>
      <c r="D24" s="66"/>
      <c r="E24" s="66"/>
      <c r="F24" s="127"/>
      <c r="U24" s="235" t="s">
        <v>131</v>
      </c>
      <c r="V24" s="164"/>
      <c r="W24" s="164"/>
      <c r="X24" s="164"/>
      <c r="Y24" s="164"/>
      <c r="Z24" s="164"/>
      <c r="AA24" s="164"/>
      <c r="AB24" s="164"/>
      <c r="AC24" s="164"/>
    </row>
    <row r="25" spans="2:29" ht="10.5" thickBot="1" x14ac:dyDescent="0.25">
      <c r="B25" s="239" t="s">
        <v>37</v>
      </c>
      <c r="C25" s="239" t="s">
        <v>38</v>
      </c>
      <c r="D25" s="66"/>
      <c r="E25" s="66"/>
      <c r="F25" s="421" t="s">
        <v>126</v>
      </c>
      <c r="G25" s="240" t="s">
        <v>24</v>
      </c>
      <c r="H25" s="240" t="s">
        <v>25</v>
      </c>
      <c r="U25" s="237"/>
      <c r="V25" s="236"/>
      <c r="W25" s="431" t="s">
        <v>132</v>
      </c>
      <c r="X25" s="431"/>
      <c r="Y25" s="431"/>
      <c r="Z25" s="431"/>
      <c r="AA25" s="431"/>
      <c r="AB25" s="164"/>
      <c r="AC25" s="164"/>
    </row>
    <row r="26" spans="2:29" ht="11.25" customHeight="1" x14ac:dyDescent="0.2">
      <c r="B26" s="141">
        <f t="shared" ref="B26:B30" si="8">C7</f>
        <v>10</v>
      </c>
      <c r="C26" s="140" t="e">
        <f t="shared" ref="C26:C30" si="9">I17</f>
        <v>#DIV/0!</v>
      </c>
      <c r="D26" s="66"/>
      <c r="E26" s="66"/>
      <c r="F26" s="422"/>
      <c r="G26" s="231" t="s">
        <v>0</v>
      </c>
      <c r="H26" s="164"/>
      <c r="I26" s="66"/>
      <c r="U26" s="237"/>
      <c r="V26" s="236"/>
      <c r="W26" s="166">
        <f>W16</f>
        <v>5</v>
      </c>
      <c r="X26" s="166">
        <f>X16</f>
        <v>2.5</v>
      </c>
      <c r="Y26" s="167">
        <f>Y16</f>
        <v>1.25</v>
      </c>
      <c r="Z26" s="168">
        <f>Z16</f>
        <v>0.625</v>
      </c>
      <c r="AA26" s="169">
        <f>AA16</f>
        <v>0.3125</v>
      </c>
      <c r="AB26" s="164"/>
      <c r="AC26" s="164"/>
    </row>
    <row r="27" spans="2:29" ht="10.5" thickBot="1" x14ac:dyDescent="0.25">
      <c r="B27" s="141">
        <f t="shared" si="8"/>
        <v>30</v>
      </c>
      <c r="C27" s="140" t="e">
        <f t="shared" si="9"/>
        <v>#DIV/0!</v>
      </c>
      <c r="D27" s="66"/>
      <c r="E27" s="66"/>
      <c r="F27" s="422"/>
      <c r="G27" s="142" t="e">
        <f>SLOPE(C26:C30,B26:B30)</f>
        <v>#DIV/0!</v>
      </c>
      <c r="H27" s="143" t="e">
        <f>CORREL(C26:C30,B26:B30)</f>
        <v>#DIV/0!</v>
      </c>
      <c r="I27" s="66"/>
      <c r="U27" s="432" t="s">
        <v>37</v>
      </c>
      <c r="V27" s="170">
        <f>V17</f>
        <v>10</v>
      </c>
      <c r="W27" s="171" t="e">
        <f>IF(OR(D7="",OR(D7&lt;$F$3,$D7&lt;$F$3)),"",(LN(100/(100-D7)))/(W$26/1000)/($V27*60))</f>
        <v>#DIV/0!</v>
      </c>
      <c r="X27" s="171" t="e">
        <f>IF(OR(E7="",OR(E7&lt;$F$3,D7&lt;$F$3)),"",(LN(100/(100-E7)))/(X$26/1000)/($V27*60))</f>
        <v>#DIV/0!</v>
      </c>
      <c r="Y27" s="171" t="e">
        <f t="shared" ref="Y27:AA32" si="10">IF(OR(F7="",OR(F7&lt;$F$3,E7&lt;$F$3)),"",(LN(100/(100-F7)))/(Y$26/1000)/($V27*60))</f>
        <v>#DIV/0!</v>
      </c>
      <c r="Z27" s="171" t="e">
        <f t="shared" si="10"/>
        <v>#DIV/0!</v>
      </c>
      <c r="AA27" s="171" t="e">
        <f t="shared" si="10"/>
        <v>#DIV/0!</v>
      </c>
      <c r="AB27" s="164"/>
      <c r="AC27" s="164"/>
    </row>
    <row r="28" spans="2:29" x14ac:dyDescent="0.2">
      <c r="B28" s="141">
        <f t="shared" si="8"/>
        <v>90</v>
      </c>
      <c r="C28" s="140" t="e">
        <f t="shared" si="9"/>
        <v>#DIV/0!</v>
      </c>
      <c r="D28" s="66"/>
      <c r="E28" s="66"/>
      <c r="F28" s="422"/>
      <c r="G28" s="163" t="s">
        <v>26</v>
      </c>
      <c r="H28" s="164"/>
      <c r="I28" s="66"/>
      <c r="U28" s="433"/>
      <c r="V28" s="170">
        <f>V18</f>
        <v>30</v>
      </c>
      <c r="W28" s="171" t="e">
        <f t="shared" ref="W28:W32" si="11">IF(OR(D8="",OR(D8&lt;$F$3,$D8&lt;$F$3)),"",(LN(100/(100-D8)))/(W$26/1000)/($V28*60))</f>
        <v>#DIV/0!</v>
      </c>
      <c r="X28" s="171" t="e">
        <f t="shared" ref="X28:X32" si="12">IF(OR(E8="",OR(E8&lt;$F$3,D8&lt;$F$3)),"",(LN(100/(100-E8)))/(X$26/1000)/($V28*60))</f>
        <v>#DIV/0!</v>
      </c>
      <c r="Y28" s="171" t="e">
        <f t="shared" si="10"/>
        <v>#DIV/0!</v>
      </c>
      <c r="Z28" s="171" t="e">
        <f t="shared" si="10"/>
        <v>#DIV/0!</v>
      </c>
      <c r="AA28" s="171" t="e">
        <f t="shared" si="10"/>
        <v>#DIV/0!</v>
      </c>
      <c r="AB28" s="164"/>
      <c r="AC28" s="164"/>
    </row>
    <row r="29" spans="2:29" x14ac:dyDescent="0.2">
      <c r="B29" s="141">
        <f t="shared" si="8"/>
        <v>150</v>
      </c>
      <c r="C29" s="140" t="e">
        <f t="shared" si="9"/>
        <v>#DIV/0!</v>
      </c>
      <c r="D29" s="66"/>
      <c r="E29" s="66"/>
      <c r="F29" s="423"/>
      <c r="G29" s="144" t="e">
        <f>(G27/60)*1000</f>
        <v>#DIV/0!</v>
      </c>
      <c r="H29" s="164"/>
      <c r="U29" s="433"/>
      <c r="V29" s="170">
        <f>V19</f>
        <v>90</v>
      </c>
      <c r="W29" s="171" t="e">
        <f t="shared" si="11"/>
        <v>#DIV/0!</v>
      </c>
      <c r="X29" s="171" t="e">
        <f t="shared" si="12"/>
        <v>#DIV/0!</v>
      </c>
      <c r="Y29" s="171" t="e">
        <f t="shared" si="10"/>
        <v>#DIV/0!</v>
      </c>
      <c r="Z29" s="171" t="e">
        <f t="shared" si="10"/>
        <v>#DIV/0!</v>
      </c>
      <c r="AA29" s="171" t="e">
        <f t="shared" si="10"/>
        <v>#DIV/0!</v>
      </c>
      <c r="AB29" s="238"/>
      <c r="AC29" s="164"/>
    </row>
    <row r="30" spans="2:29" x14ac:dyDescent="0.2">
      <c r="B30" s="141">
        <f t="shared" si="8"/>
        <v>210</v>
      </c>
      <c r="C30" s="140" t="e">
        <f t="shared" si="9"/>
        <v>#DIV/0!</v>
      </c>
      <c r="D30" s="66"/>
      <c r="E30" s="66"/>
      <c r="F30" s="127"/>
      <c r="U30" s="433"/>
      <c r="V30" s="170">
        <f>V20</f>
        <v>150</v>
      </c>
      <c r="W30" s="171" t="e">
        <f t="shared" si="11"/>
        <v>#DIV/0!</v>
      </c>
      <c r="X30" s="171" t="e">
        <f t="shared" si="12"/>
        <v>#DIV/0!</v>
      </c>
      <c r="Y30" s="171" t="e">
        <f t="shared" si="10"/>
        <v>#DIV/0!</v>
      </c>
      <c r="Z30" s="171" t="e">
        <f t="shared" si="10"/>
        <v>#DIV/0!</v>
      </c>
      <c r="AA30" s="171" t="e">
        <f t="shared" si="10"/>
        <v>#DIV/0!</v>
      </c>
      <c r="AB30" s="238"/>
      <c r="AC30" s="164"/>
    </row>
    <row r="31" spans="2:29" ht="10.5" x14ac:dyDescent="0.25">
      <c r="B31" s="66"/>
      <c r="C31" s="66"/>
      <c r="E31" s="164"/>
      <c r="F31" s="239" t="s">
        <v>37</v>
      </c>
      <c r="G31" s="239" t="s">
        <v>24</v>
      </c>
      <c r="H31" s="241"/>
      <c r="I31" s="239" t="s">
        <v>25</v>
      </c>
      <c r="J31" s="242" t="s">
        <v>39</v>
      </c>
      <c r="U31" s="433"/>
      <c r="V31" s="170">
        <f>V21</f>
        <v>210</v>
      </c>
      <c r="W31" s="171" t="e">
        <f t="shared" si="11"/>
        <v>#DIV/0!</v>
      </c>
      <c r="X31" s="171" t="e">
        <f t="shared" si="12"/>
        <v>#DIV/0!</v>
      </c>
      <c r="Y31" s="171" t="e">
        <f t="shared" si="10"/>
        <v>#DIV/0!</v>
      </c>
      <c r="Z31" s="171" t="e">
        <f t="shared" si="10"/>
        <v>#DIV/0!</v>
      </c>
      <c r="AA31" s="171" t="e">
        <f t="shared" si="10"/>
        <v>#DIV/0!</v>
      </c>
      <c r="AB31" s="238"/>
      <c r="AC31" s="164"/>
    </row>
    <row r="32" spans="2:29" ht="11.25" customHeight="1" x14ac:dyDescent="0.25">
      <c r="E32" s="421" t="s">
        <v>111</v>
      </c>
      <c r="F32" s="145"/>
      <c r="G32" s="146"/>
      <c r="H32" s="147"/>
      <c r="I32" s="148"/>
      <c r="J32" s="149"/>
      <c r="U32" s="434"/>
      <c r="V32" s="170">
        <f t="shared" ref="V32" si="13">V22</f>
        <v>1440</v>
      </c>
      <c r="W32" s="171" t="e">
        <f t="shared" si="11"/>
        <v>#DIV/0!</v>
      </c>
      <c r="X32" s="171" t="e">
        <f t="shared" si="12"/>
        <v>#DIV/0!</v>
      </c>
      <c r="Y32" s="171" t="e">
        <f t="shared" si="10"/>
        <v>#DIV/0!</v>
      </c>
      <c r="Z32" s="171" t="e">
        <f t="shared" si="10"/>
        <v>#DIV/0!</v>
      </c>
      <c r="AA32" s="171" t="e">
        <f t="shared" si="10"/>
        <v>#DIV/0!</v>
      </c>
      <c r="AB32" s="238"/>
      <c r="AC32" s="164"/>
    </row>
    <row r="33" spans="5:29" ht="10.5" x14ac:dyDescent="0.25">
      <c r="E33" s="422"/>
      <c r="F33" s="150">
        <f>C17</f>
        <v>10</v>
      </c>
      <c r="G33" s="151" t="e">
        <f>IF(H17="","",ABS(SLOPE(D17:H17,$D$16:$H$16)))</f>
        <v>#DIV/0!</v>
      </c>
      <c r="H33" s="141" t="s">
        <v>27</v>
      </c>
      <c r="I33" s="152" t="e">
        <f>IF(G33="","",ABS(CORREL(D17:H17,D16:H16)))</f>
        <v>#DIV/0!</v>
      </c>
      <c r="J33" s="153"/>
      <c r="U33" s="164"/>
      <c r="V33" s="164"/>
      <c r="W33" s="164"/>
      <c r="X33" s="164"/>
      <c r="Y33" s="164"/>
      <c r="Z33" s="164"/>
      <c r="AA33" s="164"/>
      <c r="AB33" s="164"/>
      <c r="AC33" s="164"/>
    </row>
    <row r="34" spans="5:29" ht="10.5" x14ac:dyDescent="0.25">
      <c r="E34" s="422"/>
      <c r="F34" s="154"/>
      <c r="G34" s="155" t="e">
        <f>IF(G33="","",G33*1000/(60*F33))</f>
        <v>#DIV/0!</v>
      </c>
      <c r="H34" s="141" t="s">
        <v>26</v>
      </c>
      <c r="I34" s="156"/>
      <c r="J34" s="157" t="e">
        <f>IF(G33="","",IF(I33&gt;0.9,LOG(G34),""))</f>
        <v>#DIV/0!</v>
      </c>
      <c r="U34" s="235" t="s">
        <v>133</v>
      </c>
      <c r="V34" s="235"/>
      <c r="W34" s="164"/>
      <c r="X34" s="164"/>
      <c r="Y34" s="164"/>
      <c r="Z34" s="164"/>
      <c r="AA34" s="164"/>
      <c r="AB34" s="164"/>
      <c r="AC34" s="164"/>
    </row>
    <row r="35" spans="5:29" ht="10.5" x14ac:dyDescent="0.25">
      <c r="E35" s="422"/>
      <c r="F35" s="158"/>
      <c r="G35" s="159"/>
      <c r="H35" s="148"/>
      <c r="I35" s="148"/>
      <c r="J35" s="149"/>
      <c r="U35" s="237"/>
      <c r="V35" s="236"/>
      <c r="W35" s="431" t="s">
        <v>176</v>
      </c>
      <c r="X35" s="431"/>
      <c r="Y35" s="431"/>
      <c r="Z35" s="431"/>
      <c r="AA35" s="431"/>
      <c r="AB35" s="169" t="s">
        <v>134</v>
      </c>
      <c r="AC35" s="169" t="s">
        <v>135</v>
      </c>
    </row>
    <row r="36" spans="5:29" ht="10.5" x14ac:dyDescent="0.25">
      <c r="E36" s="422"/>
      <c r="F36" s="150">
        <f>C18</f>
        <v>30</v>
      </c>
      <c r="G36" s="151" t="e">
        <f>IF(H18="","",ABS(SLOPE(D18:H18,$D$16:$H$16)))</f>
        <v>#DIV/0!</v>
      </c>
      <c r="H36" s="141" t="s">
        <v>27</v>
      </c>
      <c r="I36" s="152" t="e">
        <f>IF(G36="","",ABS(CORREL(D18:H18,D16:H16)))</f>
        <v>#DIV/0!</v>
      </c>
      <c r="J36" s="153"/>
      <c r="U36" s="237"/>
      <c r="V36" s="236"/>
      <c r="W36" s="166">
        <f>W26</f>
        <v>5</v>
      </c>
      <c r="X36" s="166">
        <f>X26</f>
        <v>2.5</v>
      </c>
      <c r="Y36" s="167">
        <f>Y26</f>
        <v>1.25</v>
      </c>
      <c r="Z36" s="168">
        <f>Z26</f>
        <v>0.625</v>
      </c>
      <c r="AA36" s="169">
        <f>AA26</f>
        <v>0.3125</v>
      </c>
      <c r="AB36" s="169"/>
      <c r="AC36" s="169"/>
    </row>
    <row r="37" spans="5:29" ht="10.5" x14ac:dyDescent="0.25">
      <c r="E37" s="422"/>
      <c r="F37" s="154"/>
      <c r="G37" s="155" t="e">
        <f>IF(G36="","",G36*1000/(60*F36))</f>
        <v>#DIV/0!</v>
      </c>
      <c r="H37" s="141" t="s">
        <v>26</v>
      </c>
      <c r="I37" s="160"/>
      <c r="J37" s="157" t="e">
        <f>IF(G36="","",IF(I36&gt;0.9,LOG(G37),""))</f>
        <v>#DIV/0!</v>
      </c>
      <c r="U37" s="432" t="s">
        <v>37</v>
      </c>
      <c r="V37" s="170">
        <f>V27</f>
        <v>10</v>
      </c>
      <c r="W37" s="171" t="e">
        <f>IF(W27="","",LOG(W27))</f>
        <v>#DIV/0!</v>
      </c>
      <c r="X37" s="171" t="e">
        <f t="shared" ref="X37:AA37" si="14">IF(X27="","",LOG(X27))</f>
        <v>#DIV/0!</v>
      </c>
      <c r="Y37" s="171" t="e">
        <f t="shared" si="14"/>
        <v>#DIV/0!</v>
      </c>
      <c r="Z37" s="171" t="e">
        <f t="shared" si="14"/>
        <v>#DIV/0!</v>
      </c>
      <c r="AA37" s="171" t="e">
        <f t="shared" si="14"/>
        <v>#DIV/0!</v>
      </c>
      <c r="AB37" s="167" t="e">
        <f t="shared" ref="AB37:AB42" si="15">IF(MAX(W37:AA37)=0,"",MAX(W37:AA37))</f>
        <v>#DIV/0!</v>
      </c>
      <c r="AC37" s="167" t="e">
        <f t="shared" ref="AC37:AC38" si="16">IF(MAX(W37:AA37)=0,"",AVERAGE(W37:AA37))</f>
        <v>#DIV/0!</v>
      </c>
    </row>
    <row r="38" spans="5:29" ht="10.5" x14ac:dyDescent="0.25">
      <c r="E38" s="422"/>
      <c r="F38" s="158"/>
      <c r="G38" s="159"/>
      <c r="H38" s="148"/>
      <c r="I38" s="161"/>
      <c r="J38" s="149"/>
      <c r="U38" s="433"/>
      <c r="V38" s="170">
        <f>V28</f>
        <v>30</v>
      </c>
      <c r="W38" s="171" t="e">
        <f t="shared" ref="W38:AA42" si="17">IF(W28="","",LOG(W28))</f>
        <v>#DIV/0!</v>
      </c>
      <c r="X38" s="171" t="e">
        <f t="shared" si="17"/>
        <v>#DIV/0!</v>
      </c>
      <c r="Y38" s="171" t="e">
        <f t="shared" si="17"/>
        <v>#DIV/0!</v>
      </c>
      <c r="Z38" s="171" t="e">
        <f t="shared" si="17"/>
        <v>#DIV/0!</v>
      </c>
      <c r="AA38" s="171" t="e">
        <f t="shared" si="17"/>
        <v>#DIV/0!</v>
      </c>
      <c r="AB38" s="167" t="e">
        <f t="shared" si="15"/>
        <v>#DIV/0!</v>
      </c>
      <c r="AC38" s="167" t="e">
        <f t="shared" si="16"/>
        <v>#DIV/0!</v>
      </c>
    </row>
    <row r="39" spans="5:29" ht="10.5" x14ac:dyDescent="0.25">
      <c r="E39" s="422"/>
      <c r="F39" s="150">
        <f>C19</f>
        <v>90</v>
      </c>
      <c r="G39" s="151" t="e">
        <f>IF(H19="","",ABS(SLOPE(D19:H19,$D$16:$H$16)))</f>
        <v>#DIV/0!</v>
      </c>
      <c r="H39" s="141" t="s">
        <v>27</v>
      </c>
      <c r="I39" s="152" t="e">
        <f>IF(G39="","",ABS(CORREL(D19:H19,D16:H16)))</f>
        <v>#DIV/0!</v>
      </c>
      <c r="J39" s="153"/>
      <c r="U39" s="433"/>
      <c r="V39" s="170">
        <f>V29</f>
        <v>90</v>
      </c>
      <c r="W39" s="171" t="e">
        <f t="shared" si="17"/>
        <v>#DIV/0!</v>
      </c>
      <c r="X39" s="171" t="e">
        <f t="shared" si="17"/>
        <v>#DIV/0!</v>
      </c>
      <c r="Y39" s="171" t="e">
        <f t="shared" si="17"/>
        <v>#DIV/0!</v>
      </c>
      <c r="Z39" s="171" t="e">
        <f t="shared" si="17"/>
        <v>#DIV/0!</v>
      </c>
      <c r="AA39" s="171" t="e">
        <f t="shared" si="17"/>
        <v>#DIV/0!</v>
      </c>
      <c r="AB39" s="192" t="e">
        <f t="shared" si="15"/>
        <v>#DIV/0!</v>
      </c>
      <c r="AC39" s="167" t="e">
        <f>IF(MAX(W39:AA39)=0,"",AVERAGE(W39:AA39))</f>
        <v>#DIV/0!</v>
      </c>
    </row>
    <row r="40" spans="5:29" ht="10.5" x14ac:dyDescent="0.25">
      <c r="E40" s="422"/>
      <c r="F40" s="154"/>
      <c r="G40" s="155" t="e">
        <f>IF(G39="","",G39*1000/(60*F39))</f>
        <v>#DIV/0!</v>
      </c>
      <c r="H40" s="141" t="s">
        <v>26</v>
      </c>
      <c r="I40" s="156"/>
      <c r="J40" s="157" t="e">
        <f>IF(G39="","",IF(I39&gt;0.9,LOG(G40),""))</f>
        <v>#DIV/0!</v>
      </c>
      <c r="U40" s="433"/>
      <c r="V40" s="170">
        <f>V30</f>
        <v>150</v>
      </c>
      <c r="W40" s="171" t="e">
        <f t="shared" si="17"/>
        <v>#DIV/0!</v>
      </c>
      <c r="X40" s="171" t="e">
        <f t="shared" si="17"/>
        <v>#DIV/0!</v>
      </c>
      <c r="Y40" s="171" t="e">
        <f t="shared" si="17"/>
        <v>#DIV/0!</v>
      </c>
      <c r="Z40" s="171" t="e">
        <f t="shared" si="17"/>
        <v>#DIV/0!</v>
      </c>
      <c r="AA40" s="171" t="e">
        <f t="shared" si="17"/>
        <v>#DIV/0!</v>
      </c>
      <c r="AB40" s="192" t="e">
        <f t="shared" si="15"/>
        <v>#DIV/0!</v>
      </c>
      <c r="AC40" s="167" t="e">
        <f>IF(MAX(W40:AA40)=0,"",AVERAGE(W40:AA40))</f>
        <v>#DIV/0!</v>
      </c>
    </row>
    <row r="41" spans="5:29" ht="10.5" x14ac:dyDescent="0.25">
      <c r="E41" s="422"/>
      <c r="F41" s="158"/>
      <c r="G41" s="159"/>
      <c r="H41" s="148"/>
      <c r="I41" s="148"/>
      <c r="J41" s="149"/>
      <c r="U41" s="433"/>
      <c r="V41" s="170">
        <f>V31</f>
        <v>210</v>
      </c>
      <c r="W41" s="171" t="e">
        <f t="shared" si="17"/>
        <v>#DIV/0!</v>
      </c>
      <c r="X41" s="171" t="e">
        <f t="shared" si="17"/>
        <v>#DIV/0!</v>
      </c>
      <c r="Y41" s="171" t="e">
        <f t="shared" si="17"/>
        <v>#DIV/0!</v>
      </c>
      <c r="Z41" s="171" t="e">
        <f t="shared" si="17"/>
        <v>#DIV/0!</v>
      </c>
      <c r="AA41" s="171" t="e">
        <f t="shared" si="17"/>
        <v>#DIV/0!</v>
      </c>
      <c r="AB41" s="192" t="e">
        <f t="shared" si="15"/>
        <v>#DIV/0!</v>
      </c>
      <c r="AC41" s="167" t="e">
        <f>IF(MAX(W41:AA41)=0,"",AVERAGE(W41:AA41))</f>
        <v>#DIV/0!</v>
      </c>
    </row>
    <row r="42" spans="5:29" ht="10.5" x14ac:dyDescent="0.25">
      <c r="E42" s="422"/>
      <c r="F42" s="150">
        <f>C20</f>
        <v>150</v>
      </c>
      <c r="G42" s="151" t="e">
        <f>IF(H20="","",ABS(SLOPE(D20:H20,$D$16:$H$16)))</f>
        <v>#DIV/0!</v>
      </c>
      <c r="H42" s="141" t="s">
        <v>27</v>
      </c>
      <c r="I42" s="152" t="e">
        <f>IF(G42="","",ABS(CORREL(D20:H20,D16:H16)))</f>
        <v>#DIV/0!</v>
      </c>
      <c r="J42" s="153"/>
      <c r="U42" s="434"/>
      <c r="V42" s="170">
        <f t="shared" ref="V42" si="18">V32</f>
        <v>1440</v>
      </c>
      <c r="W42" s="171" t="e">
        <f t="shared" si="17"/>
        <v>#DIV/0!</v>
      </c>
      <c r="X42" s="171" t="e">
        <f t="shared" si="17"/>
        <v>#DIV/0!</v>
      </c>
      <c r="Y42" s="171" t="e">
        <f t="shared" si="17"/>
        <v>#DIV/0!</v>
      </c>
      <c r="Z42" s="171" t="e">
        <f t="shared" si="17"/>
        <v>#DIV/0!</v>
      </c>
      <c r="AA42" s="171" t="e">
        <f t="shared" si="17"/>
        <v>#DIV/0!</v>
      </c>
      <c r="AB42" s="192" t="e">
        <f t="shared" si="15"/>
        <v>#DIV/0!</v>
      </c>
      <c r="AC42" s="167" t="e">
        <f>IF(MAX(W42:AA42)=0,"",AVERAGE(W42:AA42))</f>
        <v>#DIV/0!</v>
      </c>
    </row>
    <row r="43" spans="5:29" ht="10.5" x14ac:dyDescent="0.25">
      <c r="E43" s="422"/>
      <c r="F43" s="154"/>
      <c r="G43" s="155" t="e">
        <f>IF(G42="","",G42*1000/(60*F42))</f>
        <v>#DIV/0!</v>
      </c>
      <c r="H43" s="141" t="s">
        <v>26</v>
      </c>
      <c r="I43" s="156"/>
      <c r="J43" s="157" t="e">
        <f>IF(G42="","",IF(I42&gt;0.9,LOG(G43),""))</f>
        <v>#DIV/0!</v>
      </c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5:29" ht="10.5" x14ac:dyDescent="0.25">
      <c r="E44" s="422"/>
      <c r="F44" s="162"/>
      <c r="G44" s="159"/>
      <c r="H44" s="148"/>
      <c r="I44" s="148"/>
      <c r="J44" s="149"/>
      <c r="U44" s="235" t="s">
        <v>136</v>
      </c>
      <c r="V44" s="235"/>
      <c r="W44" s="164"/>
      <c r="X44" s="164"/>
      <c r="Y44" s="164"/>
      <c r="Z44" s="164"/>
      <c r="AA44" s="164"/>
      <c r="AB44" s="164"/>
      <c r="AC44" s="164"/>
    </row>
    <row r="45" spans="5:29" ht="10.5" x14ac:dyDescent="0.25">
      <c r="E45" s="422"/>
      <c r="F45" s="150">
        <f>C21</f>
        <v>210</v>
      </c>
      <c r="G45" s="151" t="e">
        <f>IF(H21="","",ABS(SLOPE(D21:H21,$D$16:$H$16)))</f>
        <v>#DIV/0!</v>
      </c>
      <c r="H45" s="141" t="s">
        <v>27</v>
      </c>
      <c r="I45" s="152" t="e">
        <f>IF(G45="","",ABS(CORREL(D21:H21,D16:H16)))</f>
        <v>#DIV/0!</v>
      </c>
      <c r="J45" s="153"/>
      <c r="U45" s="237"/>
      <c r="V45" s="236"/>
      <c r="W45" s="164"/>
      <c r="X45" s="164"/>
      <c r="Y45" s="164"/>
      <c r="Z45" s="164"/>
      <c r="AA45" s="164"/>
      <c r="AB45" s="164"/>
      <c r="AC45" s="164"/>
    </row>
    <row r="46" spans="5:29" ht="10.5" x14ac:dyDescent="0.25">
      <c r="E46" s="422"/>
      <c r="F46" s="154"/>
      <c r="G46" s="155" t="e">
        <f>IF(G45="","",G45*1000/(60*F45))</f>
        <v>#DIV/0!</v>
      </c>
      <c r="H46" s="141" t="s">
        <v>26</v>
      </c>
      <c r="I46" s="156"/>
      <c r="J46" s="157" t="e">
        <f>IF(G45="","",IF(I45&gt;0.9,LOG(G46),""))</f>
        <v>#DIV/0!</v>
      </c>
      <c r="U46" s="237"/>
      <c r="V46" s="236"/>
      <c r="W46" s="164"/>
      <c r="X46" s="164"/>
      <c r="Y46" s="164"/>
      <c r="Z46" s="164"/>
      <c r="AA46" s="164"/>
      <c r="AB46" s="164"/>
      <c r="AC46" s="164"/>
    </row>
    <row r="47" spans="5:29" ht="10.5" x14ac:dyDescent="0.25">
      <c r="E47" s="422"/>
      <c r="F47" s="162"/>
      <c r="G47" s="159"/>
      <c r="H47" s="148"/>
      <c r="I47" s="148"/>
      <c r="J47" s="149"/>
      <c r="U47" s="432" t="s">
        <v>37</v>
      </c>
      <c r="V47" s="170">
        <f>V38</f>
        <v>30</v>
      </c>
      <c r="W47" s="172" t="e">
        <f>IF(AND(NOT(J37="")=FALSE,NOT(J34="")=TRUE),1,0)</f>
        <v>#DIV/0!</v>
      </c>
      <c r="X47" s="164"/>
      <c r="Y47" s="164"/>
      <c r="Z47" s="164"/>
      <c r="AA47" s="164"/>
      <c r="AB47" s="164"/>
      <c r="AC47" s="164"/>
    </row>
    <row r="48" spans="5:29" ht="10.5" x14ac:dyDescent="0.25">
      <c r="E48" s="422"/>
      <c r="F48" s="150">
        <f>C22</f>
        <v>1440</v>
      </c>
      <c r="G48" s="151" t="e">
        <f>IF(H22="","",ABS(SLOPE(D22:H22,$D$16:$H$16)))</f>
        <v>#DIV/0!</v>
      </c>
      <c r="H48" s="141" t="s">
        <v>27</v>
      </c>
      <c r="I48" s="152" t="e">
        <f>IF(G48="","",ABS(CORREL(D22:H22,D16:H16)))</f>
        <v>#DIV/0!</v>
      </c>
      <c r="J48" s="153"/>
      <c r="U48" s="433"/>
      <c r="V48" s="170">
        <f>V39</f>
        <v>90</v>
      </c>
      <c r="W48" s="172" t="e">
        <f>IF(AND(NOT(J40="")=FALSE,NOT(J37="")=TRUE),1,0)</f>
        <v>#DIV/0!</v>
      </c>
      <c r="X48" s="164"/>
      <c r="Y48" s="164"/>
      <c r="Z48" s="164"/>
      <c r="AA48" s="164"/>
      <c r="AB48" s="164"/>
      <c r="AC48" s="164"/>
    </row>
    <row r="49" spans="1:29" ht="10.5" x14ac:dyDescent="0.25">
      <c r="E49" s="423"/>
      <c r="F49" s="154"/>
      <c r="G49" s="155" t="e">
        <f>IF(G48="","",G48*1000/(60*F48))</f>
        <v>#DIV/0!</v>
      </c>
      <c r="H49" s="141" t="s">
        <v>26</v>
      </c>
      <c r="I49" s="156"/>
      <c r="J49" s="157" t="e">
        <f>IF(G48="","",IF(I48&gt;0.9,LOG(G49),""))</f>
        <v>#DIV/0!</v>
      </c>
      <c r="U49" s="433"/>
      <c r="V49" s="170">
        <f>V40</f>
        <v>150</v>
      </c>
      <c r="W49" s="172" t="e">
        <f>IF(AND(NOT(J43="")=FALSE,NOT(J40="")=TRUE),1,0)</f>
        <v>#DIV/0!</v>
      </c>
      <c r="X49" s="164"/>
      <c r="Y49" s="164"/>
      <c r="Z49" s="164"/>
      <c r="AA49" s="164"/>
      <c r="AB49" s="164"/>
      <c r="AC49" s="164"/>
    </row>
    <row r="50" spans="1:29" x14ac:dyDescent="0.2">
      <c r="E50" s="66"/>
      <c r="F50" s="66"/>
      <c r="G50" s="66"/>
      <c r="H50" s="66"/>
      <c r="I50" s="66"/>
      <c r="J50" s="66"/>
      <c r="U50" s="433"/>
      <c r="V50" s="170">
        <f>V41</f>
        <v>210</v>
      </c>
      <c r="W50" s="172" t="e">
        <f>IF(AND(NOT(J46="")=FALSE,NOT(J43="")=TRUE),1,0)</f>
        <v>#DIV/0!</v>
      </c>
      <c r="X50" s="164"/>
      <c r="Y50" s="164"/>
      <c r="Z50" s="164"/>
      <c r="AA50" s="164"/>
      <c r="AB50" s="164"/>
      <c r="AC50" s="164"/>
    </row>
    <row r="51" spans="1:29" ht="10.5" x14ac:dyDescent="0.25">
      <c r="A51" s="300" t="s">
        <v>177</v>
      </c>
      <c r="B51" s="301"/>
      <c r="C51" s="302"/>
      <c r="D51" s="188"/>
      <c r="E51" s="69"/>
      <c r="F51" s="69"/>
      <c r="G51" s="66"/>
      <c r="H51" s="66"/>
      <c r="I51" s="66"/>
      <c r="J51" s="66"/>
      <c r="U51" s="433"/>
      <c r="V51" s="170">
        <f>V42</f>
        <v>1440</v>
      </c>
      <c r="W51" s="172" t="e">
        <f>IF(AND(NOT(J49="")=FALSE,NOT(J46="")=TRUE),1,0)</f>
        <v>#DIV/0!</v>
      </c>
      <c r="X51" s="164"/>
      <c r="Y51" s="164"/>
      <c r="Z51" s="164"/>
      <c r="AA51" s="164"/>
      <c r="AB51" s="164"/>
      <c r="AC51" s="164"/>
    </row>
    <row r="52" spans="1:29" ht="33" x14ac:dyDescent="0.2">
      <c r="A52" s="233" t="s">
        <v>81</v>
      </c>
      <c r="B52" s="303" t="e">
        <f>'t1'!$P$8/'t1'!$O$8*100</f>
        <v>#DIV/0!</v>
      </c>
      <c r="C52" s="302"/>
      <c r="D52" s="276" t="s">
        <v>95</v>
      </c>
      <c r="E52" s="277" t="e">
        <f>IF(E53=J34,F33,IF(E53=J37,F36,IF(E53=J40,F39,IF(E53=J43,F42,IF(E53=J46,F45,IF(E53=J49,F48,""))))))</f>
        <v>#DIV/0!</v>
      </c>
      <c r="F52" s="280" t="s">
        <v>40</v>
      </c>
      <c r="G52" s="262" t="s">
        <v>127</v>
      </c>
      <c r="H52" s="174"/>
      <c r="I52" s="174"/>
      <c r="J52" s="175" t="e">
        <f>AND(J49="",D12&gt;F3)</f>
        <v>#DIV/0!</v>
      </c>
      <c r="U52" s="434"/>
      <c r="V52" s="170" t="s">
        <v>137</v>
      </c>
      <c r="W52" s="172" t="e">
        <f>SUM(W47:W51)</f>
        <v>#DIV/0!</v>
      </c>
      <c r="X52" s="164"/>
      <c r="Y52" s="164"/>
      <c r="Z52" s="164"/>
      <c r="AA52" s="164"/>
      <c r="AB52" s="164"/>
      <c r="AC52" s="164"/>
    </row>
    <row r="53" spans="1:29" ht="12.5" x14ac:dyDescent="0.35">
      <c r="A53" s="233" t="s">
        <v>82</v>
      </c>
      <c r="B53" s="303" t="e">
        <f>'t2'!$P$8/'t2'!$O$8*100</f>
        <v>#DIV/0!</v>
      </c>
      <c r="C53" s="304"/>
      <c r="D53" s="278" t="s">
        <v>164</v>
      </c>
      <c r="E53" s="279" t="e">
        <f>IF(AND(J34="",J37="",J40="",J43="",J46="",J49="")=TRUE,"not reactive / -3.5",MAX(J32:J49))</f>
        <v>#DIV/0!</v>
      </c>
      <c r="F53" s="281"/>
      <c r="G53" s="263" t="s">
        <v>128</v>
      </c>
      <c r="H53" s="188"/>
      <c r="I53" s="188"/>
      <c r="J53" s="224" t="e">
        <f>AND(D12&gt;F3,TTEST('t6'!E10:G10,'t6'!B4:M4,2,3)&lt;0.05)</f>
        <v>#DIV/0!</v>
      </c>
    </row>
    <row r="54" spans="1:29" x14ac:dyDescent="0.2">
      <c r="A54" s="233" t="s">
        <v>83</v>
      </c>
      <c r="B54" s="303" t="e">
        <f>'t3'!$P$8/'t3'!$O$8*100</f>
        <v>#DIV/0!</v>
      </c>
      <c r="C54" s="302"/>
      <c r="D54" s="275"/>
      <c r="E54" s="275"/>
      <c r="F54" s="281"/>
      <c r="G54" s="188" t="s">
        <v>129</v>
      </c>
      <c r="H54" s="188"/>
      <c r="I54" s="141">
        <f>C7</f>
        <v>10</v>
      </c>
      <c r="J54" s="232" t="e">
        <f>IF(J55="","",IF(AND(J$52=TRUE,J$53=TRUE),AC37,""))</f>
        <v>#DIV/0!</v>
      </c>
    </row>
    <row r="55" spans="1:29" ht="10.15" customHeight="1" x14ac:dyDescent="0.2">
      <c r="A55" s="233" t="s">
        <v>84</v>
      </c>
      <c r="B55" s="303" t="e">
        <f>'t4'!$P$8/'t4'!$O$8*100</f>
        <v>#DIV/0!</v>
      </c>
      <c r="C55" s="305"/>
      <c r="D55" s="428" t="s">
        <v>130</v>
      </c>
      <c r="E55" s="424" t="e">
        <f>IF(W52&gt;0,"Time course interrupted, check","OK")</f>
        <v>#DIV/0!</v>
      </c>
      <c r="F55" s="424"/>
      <c r="G55" s="188"/>
      <c r="H55" s="188"/>
      <c r="I55" s="141">
        <f t="shared" ref="I55:I59" si="19">C8</f>
        <v>30</v>
      </c>
      <c r="J55" s="232" t="e">
        <f>IF(J56="","",IF(AND(J$52=TRUE,J$53=TRUE),AC38,""))</f>
        <v>#DIV/0!</v>
      </c>
    </row>
    <row r="56" spans="1:29" x14ac:dyDescent="0.2">
      <c r="A56" s="233" t="s">
        <v>85</v>
      </c>
      <c r="B56" s="303" t="e">
        <f>'t5'!$P$8/'t5'!$O$8*100</f>
        <v>#DIV/0!</v>
      </c>
      <c r="C56" s="305"/>
      <c r="D56" s="429"/>
      <c r="E56" s="424"/>
      <c r="F56" s="424"/>
      <c r="G56" s="188"/>
      <c r="H56" s="188"/>
      <c r="I56" s="141">
        <f t="shared" si="19"/>
        <v>90</v>
      </c>
      <c r="J56" s="232" t="e">
        <f>IF(J57="","",IF(AND(J$52=TRUE,J$53=TRUE),AC39,""))</f>
        <v>#DIV/0!</v>
      </c>
    </row>
    <row r="57" spans="1:29" x14ac:dyDescent="0.2">
      <c r="A57" s="306" t="s">
        <v>113</v>
      </c>
      <c r="B57" s="307" t="e">
        <f>'t6'!$P$8/'t6'!$O$8*100</f>
        <v>#DIV/0!</v>
      </c>
      <c r="C57" s="302"/>
      <c r="D57" s="430"/>
      <c r="E57" s="424"/>
      <c r="F57" s="424"/>
      <c r="G57" s="188"/>
      <c r="H57" s="188"/>
      <c r="I57" s="141">
        <f t="shared" si="19"/>
        <v>150</v>
      </c>
      <c r="J57" s="232" t="e">
        <f>IF(J58="","",IF(AND(J$52=TRUE,J$53=TRUE),AC40,""))</f>
        <v>#DIV/0!</v>
      </c>
    </row>
    <row r="58" spans="1:29" ht="21" customHeight="1" x14ac:dyDescent="0.25">
      <c r="A58" s="420" t="s">
        <v>170</v>
      </c>
      <c r="B58" s="420"/>
      <c r="C58" s="308" t="e">
        <f>IF('t1'!O19&gt;('t1'!O8/100*'Run specifications'!F9),"Autofluorescence may influence result","no autofluorescence")</f>
        <v>#DIV/0!</v>
      </c>
      <c r="D58" s="188"/>
      <c r="E58" s="188"/>
      <c r="F58" s="190"/>
      <c r="G58" s="188"/>
      <c r="H58" s="188"/>
      <c r="I58" s="141">
        <f t="shared" si="19"/>
        <v>210</v>
      </c>
      <c r="J58" s="232" t="e">
        <f>IF(J59="","",IF(AND(J$52=TRUE,J$53=TRUE),AC41,""))</f>
        <v>#DIV/0!</v>
      </c>
    </row>
    <row r="59" spans="1:29" ht="10.5" x14ac:dyDescent="0.25">
      <c r="A59" s="420" t="s">
        <v>169</v>
      </c>
      <c r="B59" s="420"/>
      <c r="C59" s="308" t="e">
        <f>IF('t1'!O19/'t1'!O5&lt;0.8,"potential quenching","no quenching")</f>
        <v>#DIV/0!</v>
      </c>
      <c r="D59" s="188"/>
      <c r="E59" s="188"/>
      <c r="F59" s="190"/>
      <c r="G59" s="189"/>
      <c r="H59" s="188"/>
      <c r="I59" s="141">
        <f t="shared" si="19"/>
        <v>1440</v>
      </c>
      <c r="J59" s="232" t="e">
        <f>IF(AND(J$52=TRUE,J$53=TRUE),AC42,"")</f>
        <v>#DIV/0!</v>
      </c>
    </row>
    <row r="60" spans="1:29" ht="19.899999999999999" customHeight="1" x14ac:dyDescent="0.35">
      <c r="A60" s="420" t="s">
        <v>168</v>
      </c>
      <c r="B60" s="420"/>
      <c r="C60" s="308" t="e">
        <f>IF(AD10&lt;1.25,"Depletion not time dependent","ok")</f>
        <v>#DIV/0!</v>
      </c>
      <c r="D60" s="188"/>
      <c r="E60" s="188"/>
      <c r="F60" s="190"/>
      <c r="G60" s="187"/>
      <c r="H60" s="191"/>
      <c r="I60" s="278" t="s">
        <v>164</v>
      </c>
      <c r="J60" s="234" t="e">
        <f>MAX(J54:J59)</f>
        <v>#DIV/0!</v>
      </c>
    </row>
    <row r="61" spans="1:29" ht="10.5" x14ac:dyDescent="0.25">
      <c r="A61" s="420" t="s">
        <v>171</v>
      </c>
      <c r="B61" s="420"/>
      <c r="C61" s="308" t="e">
        <f>AND(C59="potential quenching",C60="Depletion not time dependent")</f>
        <v>#DIV/0!</v>
      </c>
    </row>
    <row r="62" spans="1:29" ht="10.5" x14ac:dyDescent="0.25">
      <c r="A62" s="420" t="s">
        <v>172</v>
      </c>
      <c r="B62" s="420"/>
      <c r="C62" s="308" t="e">
        <f>AND(C58="Autofluorescence may influence result",C60="Depletion not time dependent")</f>
        <v>#DIV/0!</v>
      </c>
    </row>
  </sheetData>
  <mergeCells count="23">
    <mergeCell ref="B7:B12"/>
    <mergeCell ref="B17:B22"/>
    <mergeCell ref="W15:AA15"/>
    <mergeCell ref="I15:I16"/>
    <mergeCell ref="J15:J16"/>
    <mergeCell ref="U7:U12"/>
    <mergeCell ref="U17:U22"/>
    <mergeCell ref="E32:E49"/>
    <mergeCell ref="D5:H5"/>
    <mergeCell ref="D15:H15"/>
    <mergeCell ref="F25:F29"/>
    <mergeCell ref="D55:D57"/>
    <mergeCell ref="E55:F57"/>
    <mergeCell ref="W25:AA25"/>
    <mergeCell ref="U27:U32"/>
    <mergeCell ref="W35:AA35"/>
    <mergeCell ref="U37:U42"/>
    <mergeCell ref="U47:U52"/>
    <mergeCell ref="A62:B62"/>
    <mergeCell ref="A58:B58"/>
    <mergeCell ref="A59:B59"/>
    <mergeCell ref="A60:B60"/>
    <mergeCell ref="A61:B61"/>
  </mergeCells>
  <conditionalFormatting sqref="J52">
    <cfRule type="cellIs" dxfId="34" priority="15" operator="equal">
      <formula>FALSE</formula>
    </cfRule>
    <cfRule type="cellIs" dxfId="33" priority="16" operator="equal">
      <formula>TRUE</formula>
    </cfRule>
  </conditionalFormatting>
  <conditionalFormatting sqref="J53">
    <cfRule type="cellIs" dxfId="32" priority="13" operator="equal">
      <formula>FALSE</formula>
    </cfRule>
    <cfRule type="cellIs" dxfId="31" priority="14" operator="equal">
      <formula>TRUE</formula>
    </cfRule>
  </conditionalFormatting>
  <conditionalFormatting sqref="E55">
    <cfRule type="cellIs" dxfId="30" priority="8" operator="equal">
      <formula>"time course interrupted, check"</formula>
    </cfRule>
    <cfRule type="cellIs" dxfId="29" priority="9" operator="equal">
      <formula>"OK"</formula>
    </cfRule>
  </conditionalFormatting>
  <conditionalFormatting sqref="B52:B57">
    <cfRule type="cellIs" dxfId="28" priority="6" operator="lessThan">
      <formula>12.5</formula>
    </cfRule>
    <cfRule type="cellIs" dxfId="27" priority="7" operator="greaterThanOrEqual">
      <formula>12.5</formula>
    </cfRule>
  </conditionalFormatting>
  <conditionalFormatting sqref="C58">
    <cfRule type="cellIs" dxfId="26" priority="5" operator="equal">
      <formula>"no autofluorescence"</formula>
    </cfRule>
  </conditionalFormatting>
  <conditionalFormatting sqref="C59">
    <cfRule type="cellIs" dxfId="25" priority="4" operator="equal">
      <formula>"no quenching"</formula>
    </cfRule>
  </conditionalFormatting>
  <conditionalFormatting sqref="C60">
    <cfRule type="cellIs" dxfId="24" priority="3" operator="equal">
      <formula>"ok"</formula>
    </cfRule>
  </conditionalFormatting>
  <conditionalFormatting sqref="C61">
    <cfRule type="cellIs" dxfId="23" priority="2" operator="equal">
      <formula>FALSE</formula>
    </cfRule>
  </conditionalFormatting>
  <conditionalFormatting sqref="C62">
    <cfRule type="cellIs" dxfId="22" priority="1" operator="equal">
      <formula>FALSE</formula>
    </cfRule>
  </conditionalFormatting>
  <printOptions headings="1" gridLines="1"/>
  <pageMargins left="0.7" right="0.7" top="0.78740157499999996" bottom="0.78740157499999996" header="0.3" footer="0.3"/>
  <pageSetup paperSize="9" scale="54" fitToWidth="3" orientation="landscape" r:id="rId1"/>
  <headerFooter>
    <oddHeader>&amp;L&amp;F&amp;C&amp;A&amp;R&amp;P von &amp;N</oddHeader>
  </headerFooter>
  <colBreaks count="1" manualBreakCount="1">
    <brk id="20" max="5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view="pageBreakPreview" topLeftCell="A13" zoomScale="85" zoomScaleNormal="100" zoomScaleSheetLayoutView="85" workbookViewId="0">
      <selection activeCell="E54" sqref="E54"/>
    </sheetView>
  </sheetViews>
  <sheetFormatPr defaultColWidth="12" defaultRowHeight="10" x14ac:dyDescent="0.2"/>
  <cols>
    <col min="1" max="5" width="17.6640625" style="127" customWidth="1"/>
    <col min="6" max="6" width="17.6640625" style="129" customWidth="1"/>
    <col min="7" max="10" width="17.6640625" style="127" customWidth="1"/>
    <col min="11" max="20" width="12" style="127"/>
    <col min="21" max="27" width="9.109375" style="127" customWidth="1"/>
    <col min="28" max="16384" width="12" style="127"/>
  </cols>
  <sheetData>
    <row r="1" spans="1:32" ht="10.5" x14ac:dyDescent="0.2">
      <c r="B1" s="225" t="s">
        <v>93</v>
      </c>
      <c r="C1" s="133" t="str">
        <f>'Run specifications'!B6</f>
        <v>C</v>
      </c>
      <c r="D1" s="133">
        <f>'Run specifications'!D6</f>
        <v>0</v>
      </c>
      <c r="E1" s="164"/>
      <c r="F1" s="226"/>
    </row>
    <row r="2" spans="1:32" ht="11.25" customHeight="1" x14ac:dyDescent="0.2">
      <c r="B2" s="225" t="s">
        <v>61</v>
      </c>
      <c r="C2" s="133">
        <f>'Run specifications'!D1</f>
        <v>0</v>
      </c>
      <c r="D2" s="164"/>
      <c r="E2" s="164"/>
      <c r="F2" s="226"/>
    </row>
    <row r="3" spans="1:32" ht="10.5" x14ac:dyDescent="0.2">
      <c r="B3" s="227" t="s">
        <v>92</v>
      </c>
      <c r="C3" s="133">
        <f>'Run specifications'!C6</f>
        <v>0</v>
      </c>
      <c r="D3" s="228" t="s">
        <v>117</v>
      </c>
      <c r="E3" s="164"/>
      <c r="F3" s="227">
        <f>'Run specifications'!F9</f>
        <v>13.89</v>
      </c>
    </row>
    <row r="4" spans="1:32" x14ac:dyDescent="0.2">
      <c r="U4" s="235" t="s">
        <v>118</v>
      </c>
      <c r="V4" s="164"/>
      <c r="W4" s="164"/>
      <c r="X4" s="164"/>
      <c r="Y4" s="164"/>
      <c r="Z4" s="164"/>
      <c r="AA4" s="164"/>
      <c r="AB4" s="164"/>
      <c r="AC4" s="164"/>
    </row>
    <row r="5" spans="1:32" ht="11.25" customHeight="1" x14ac:dyDescent="0.2">
      <c r="B5" s="164"/>
      <c r="C5" s="230"/>
      <c r="D5" s="440" t="s">
        <v>140</v>
      </c>
      <c r="E5" s="441"/>
      <c r="F5" s="441"/>
      <c r="G5" s="441"/>
      <c r="H5" s="441"/>
      <c r="U5" s="164"/>
      <c r="V5" s="164"/>
      <c r="W5" s="164"/>
      <c r="X5" s="164"/>
      <c r="Y5" s="164"/>
      <c r="Z5" s="164"/>
      <c r="AA5" s="164"/>
      <c r="AB5" s="164"/>
      <c r="AC5" s="235" t="s">
        <v>173</v>
      </c>
      <c r="AD5" s="290"/>
      <c r="AE5" s="290"/>
      <c r="AF5" s="290"/>
    </row>
    <row r="6" spans="1:32" x14ac:dyDescent="0.2">
      <c r="A6" s="131"/>
      <c r="B6" s="164"/>
      <c r="C6" s="229"/>
      <c r="D6" s="134">
        <f>'t1'!B19</f>
        <v>5</v>
      </c>
      <c r="E6" s="134">
        <f>'t1'!B18</f>
        <v>2.5</v>
      </c>
      <c r="F6" s="135">
        <f>'t1'!B17</f>
        <v>1.25</v>
      </c>
      <c r="G6" s="136">
        <f>'t1'!B16</f>
        <v>0.625</v>
      </c>
      <c r="H6" s="137">
        <f>'t1'!B15</f>
        <v>0.3125</v>
      </c>
      <c r="U6" s="236"/>
      <c r="V6" s="236"/>
      <c r="W6" s="170">
        <f>D6</f>
        <v>5</v>
      </c>
      <c r="X6" s="170">
        <f t="shared" ref="X6:AA6" si="0">E6</f>
        <v>2.5</v>
      </c>
      <c r="Y6" s="170">
        <f t="shared" si="0"/>
        <v>1.25</v>
      </c>
      <c r="Z6" s="170">
        <f t="shared" si="0"/>
        <v>0.625</v>
      </c>
      <c r="AA6" s="172">
        <f t="shared" si="0"/>
        <v>0.3125</v>
      </c>
      <c r="AB6" s="164"/>
      <c r="AC6" s="291"/>
      <c r="AD6" s="292">
        <v>5</v>
      </c>
      <c r="AE6" s="292">
        <v>2.5</v>
      </c>
      <c r="AF6" s="293">
        <v>1.25</v>
      </c>
    </row>
    <row r="7" spans="1:32" x14ac:dyDescent="0.2">
      <c r="B7" s="437" t="s">
        <v>37</v>
      </c>
      <c r="C7" s="139">
        <f>summary!B5</f>
        <v>10</v>
      </c>
      <c r="D7" s="138" t="e">
        <f>IF(AND(summary!K37&gt;F$3,summary!L37&lt;0.05)=TRUE,summary!K37,"")</f>
        <v>#DIV/0!</v>
      </c>
      <c r="E7" s="138" t="e">
        <f>IF(AND(summary!K37&gt;F$3,summary!L37&lt;0.05)=TRUE,summary!K29,"")</f>
        <v>#DIV/0!</v>
      </c>
      <c r="F7" s="138" t="e">
        <f>IF(AND(summary!K37&gt;F$3,summary!L37&lt;0.05)=TRUE,summary!K21,"")</f>
        <v>#DIV/0!</v>
      </c>
      <c r="G7" s="138" t="e">
        <f>IF(AND(summary!K37&gt;F$3,summary!L37&lt;0.05)=TRUE,summary!K13,"")</f>
        <v>#DIV/0!</v>
      </c>
      <c r="H7" s="138" t="e">
        <f>IF(AND(summary!K37&gt;F$3,summary!L37&lt;0.05)=TRUE,summary!K5,"")</f>
        <v>#DIV/0!</v>
      </c>
      <c r="U7" s="432" t="s">
        <v>37</v>
      </c>
      <c r="V7" s="170">
        <f>C7</f>
        <v>10</v>
      </c>
      <c r="W7" s="171" t="e">
        <f>summary!K37</f>
        <v>#DIV/0!</v>
      </c>
      <c r="X7" s="171" t="e">
        <f>summary!K29</f>
        <v>#DIV/0!</v>
      </c>
      <c r="Y7" s="171" t="e">
        <f>summary!K21</f>
        <v>#DIV/0!</v>
      </c>
      <c r="Z7" s="171" t="e">
        <f>summary!K13</f>
        <v>#DIV/0!</v>
      </c>
      <c r="AA7" s="171" t="e">
        <f>summary!K5</f>
        <v>#DIV/0!</v>
      </c>
      <c r="AB7" s="164"/>
      <c r="AC7" s="294">
        <v>10</v>
      </c>
      <c r="AD7" s="290"/>
      <c r="AE7" s="295"/>
      <c r="AF7" s="295"/>
    </row>
    <row r="8" spans="1:32" x14ac:dyDescent="0.2">
      <c r="B8" s="438"/>
      <c r="C8" s="139">
        <f>summary!B6</f>
        <v>30</v>
      </c>
      <c r="D8" s="138" t="e">
        <f>IF(AND(summary!K38&gt;F$3,summary!L38&lt;0.05)=TRUE,summary!K38,"")</f>
        <v>#DIV/0!</v>
      </c>
      <c r="E8" s="138" t="e">
        <f>IF(AND(summary!K38&gt;F$3,summary!L38&lt;0.05)=TRUE,summary!K30,"")</f>
        <v>#DIV/0!</v>
      </c>
      <c r="F8" s="138" t="e">
        <f>IF(AND(summary!K38&gt;F$3,summary!L38&lt;0.05)=TRUE,summary!K22,"")</f>
        <v>#DIV/0!</v>
      </c>
      <c r="G8" s="138" t="e">
        <f>IF(AND(summary!K38&gt;F$3,summary!L38&lt;0.05)=TRUE,summary!K14,"")</f>
        <v>#DIV/0!</v>
      </c>
      <c r="H8" s="138" t="e">
        <f>IF(AND(summary!K38&gt;F$3,summary!L38&lt;0.05)=TRUE,summary!K6,"")</f>
        <v>#DIV/0!</v>
      </c>
      <c r="U8" s="433"/>
      <c r="V8" s="170">
        <f t="shared" ref="V8:V12" si="1">C8</f>
        <v>30</v>
      </c>
      <c r="W8" s="171" t="e">
        <f>summary!K38</f>
        <v>#DIV/0!</v>
      </c>
      <c r="X8" s="171" t="e">
        <f>summary!K30</f>
        <v>#DIV/0!</v>
      </c>
      <c r="Y8" s="171" t="e">
        <f>summary!K22</f>
        <v>#DIV/0!</v>
      </c>
      <c r="Z8" s="171" t="e">
        <f>summary!K14</f>
        <v>#DIV/0!</v>
      </c>
      <c r="AA8" s="171" t="e">
        <f>summary!K6</f>
        <v>#DIV/0!</v>
      </c>
      <c r="AB8" s="164"/>
      <c r="AC8" s="294">
        <v>30</v>
      </c>
      <c r="AD8" s="295" t="e">
        <f>IF($D$7="","",IF(D8="","",IF(D8&gt;$F$3,D8/D7,"")))</f>
        <v>#DIV/0!</v>
      </c>
      <c r="AE8" s="295" t="e">
        <f>IF($D$7="","",IF(E8="","",IF(E8&gt;$F$3,E8/E7,"")))</f>
        <v>#DIV/0!</v>
      </c>
      <c r="AF8" s="295" t="e">
        <f>IF($D$7="","",IF(F8="","",IF(F8&gt;$F$3,F8/F7,"")))</f>
        <v>#DIV/0!</v>
      </c>
    </row>
    <row r="9" spans="1:32" x14ac:dyDescent="0.2">
      <c r="B9" s="438"/>
      <c r="C9" s="139">
        <f>summary!B7</f>
        <v>90</v>
      </c>
      <c r="D9" s="138" t="e">
        <f>IF(AND(summary!K39&gt;F$3,summary!L39&lt;0.05)=TRUE,summary!K39,"")</f>
        <v>#DIV/0!</v>
      </c>
      <c r="E9" s="138" t="e">
        <f>IF(AND(summary!K39&gt;F$3,summary!L39&lt;0.05)=TRUE,summary!K31,"")</f>
        <v>#DIV/0!</v>
      </c>
      <c r="F9" s="138" t="e">
        <f>IF(AND(summary!K39&gt;F$3,summary!L39&lt;0.05)=TRUE,summary!K23,"")</f>
        <v>#DIV/0!</v>
      </c>
      <c r="G9" s="138" t="e">
        <f>IF(AND(summary!K39&gt;F$3,summary!L39&lt;0.05)=TRUE,summary!K15,"")</f>
        <v>#DIV/0!</v>
      </c>
      <c r="H9" s="138" t="e">
        <f>IF(AND(summary!K39&gt;F$3,summary!L39&lt;0.05)=TRUE,summary!K7,"")</f>
        <v>#DIV/0!</v>
      </c>
      <c r="U9" s="433"/>
      <c r="V9" s="170">
        <f t="shared" si="1"/>
        <v>90</v>
      </c>
      <c r="W9" s="171" t="e">
        <f>summary!K39</f>
        <v>#DIV/0!</v>
      </c>
      <c r="X9" s="171" t="e">
        <f>summary!K31</f>
        <v>#DIV/0!</v>
      </c>
      <c r="Y9" s="171" t="e">
        <f>summary!K23</f>
        <v>#DIV/0!</v>
      </c>
      <c r="Z9" s="171" t="e">
        <f>summary!K15</f>
        <v>#DIV/0!</v>
      </c>
      <c r="AA9" s="171" t="e">
        <f>summary!K7</f>
        <v>#DIV/0!</v>
      </c>
      <c r="AB9" s="164"/>
      <c r="AC9" s="294">
        <v>90</v>
      </c>
      <c r="AD9" s="295" t="e">
        <f>IF($D$8="","",IF(D9="","",IF(D9&gt;$F$3,D9/D8,"")))</f>
        <v>#DIV/0!</v>
      </c>
      <c r="AE9" s="295" t="e">
        <f>IF($D$8="","",IF(E9="","",IF(E9&gt;$F$3,E9/E8,"")))</f>
        <v>#DIV/0!</v>
      </c>
      <c r="AF9" s="295" t="e">
        <f>IF($D$8="","",IF(F9="","",IF(F9&gt;$F$3,F9/F8,"")))</f>
        <v>#DIV/0!</v>
      </c>
    </row>
    <row r="10" spans="1:32" x14ac:dyDescent="0.2">
      <c r="B10" s="438"/>
      <c r="C10" s="139">
        <f>summary!B8</f>
        <v>150</v>
      </c>
      <c r="D10" s="138" t="e">
        <f>IF(AND(summary!K40&gt;F$3,summary!L40&lt;0.05)=TRUE,summary!K40,"")</f>
        <v>#DIV/0!</v>
      </c>
      <c r="E10" s="138" t="e">
        <f>IF(AND(summary!K40&gt;F$3,summary!L40&lt;0.05)=TRUE,summary!K32,"")</f>
        <v>#DIV/0!</v>
      </c>
      <c r="F10" s="138" t="e">
        <f>IF(AND(summary!K40&gt;F$3,summary!L40&lt;0.05)=TRUE,summary!K24,"")</f>
        <v>#DIV/0!</v>
      </c>
      <c r="G10" s="138" t="e">
        <f>IF(AND(summary!K40&gt;F$3,summary!L40&lt;0.05)=TRUE,summary!K16,"")</f>
        <v>#DIV/0!</v>
      </c>
      <c r="H10" s="138" t="e">
        <f>IF(AND(summary!K40&gt;F$3,summary!L40&lt;0.05)=TRUE,summary!K8,"")</f>
        <v>#DIV/0!</v>
      </c>
      <c r="U10" s="433"/>
      <c r="V10" s="170">
        <f t="shared" si="1"/>
        <v>150</v>
      </c>
      <c r="W10" s="171" t="e">
        <f>summary!K40</f>
        <v>#DIV/0!</v>
      </c>
      <c r="X10" s="171" t="e">
        <f>summary!K32</f>
        <v>#DIV/0!</v>
      </c>
      <c r="Y10" s="171" t="e">
        <f>summary!K24</f>
        <v>#DIV/0!</v>
      </c>
      <c r="Z10" s="171" t="e">
        <f>summary!K16</f>
        <v>#DIV/0!</v>
      </c>
      <c r="AA10" s="171" t="e">
        <f>summary!K8</f>
        <v>#DIV/0!</v>
      </c>
      <c r="AB10" s="164"/>
      <c r="AC10" s="235" t="s">
        <v>165</v>
      </c>
      <c r="AD10" s="296" t="e">
        <f>IF(AE10=TRUE,AVERAGE(AD8:AF9),"")</f>
        <v>#DIV/0!</v>
      </c>
      <c r="AE10" s="290" t="e">
        <f>AND(SUM(AD8:AF9)&gt;0,D7&gt;0)</f>
        <v>#DIV/0!</v>
      </c>
      <c r="AF10" s="290"/>
    </row>
    <row r="11" spans="1:32" x14ac:dyDescent="0.2">
      <c r="B11" s="438"/>
      <c r="C11" s="139">
        <f>summary!B9</f>
        <v>210</v>
      </c>
      <c r="D11" s="138" t="e">
        <f>IF(AND(summary!K41&gt;F$3,summary!L41&lt;0.05)=TRUE,summary!K41,"")</f>
        <v>#DIV/0!</v>
      </c>
      <c r="E11" s="138" t="e">
        <f>IF(AND(summary!K41&gt;F$3,summary!L41&lt;0.05)=TRUE,summary!K33,"")</f>
        <v>#DIV/0!</v>
      </c>
      <c r="F11" s="138" t="e">
        <f>IF(AND(summary!K41&gt;F$3,summary!L41&lt;0.05)=TRUE,summary!K25,"")</f>
        <v>#DIV/0!</v>
      </c>
      <c r="G11" s="138" t="e">
        <f>IF(AND(summary!K41&gt;F$3,summary!L41&lt;0.05)=TRUE,summary!K17,"")</f>
        <v>#DIV/0!</v>
      </c>
      <c r="H11" s="138" t="e">
        <f>IF(AND(summary!K41&gt;F$3,summary!L41&lt;0.05)=TRUE,summary!K9,"")</f>
        <v>#DIV/0!</v>
      </c>
      <c r="U11" s="433"/>
      <c r="V11" s="170">
        <f t="shared" si="1"/>
        <v>210</v>
      </c>
      <c r="W11" s="171" t="e">
        <f>summary!K41</f>
        <v>#DIV/0!</v>
      </c>
      <c r="X11" s="171" t="e">
        <f>summary!K33</f>
        <v>#DIV/0!</v>
      </c>
      <c r="Y11" s="171" t="e">
        <f>summary!K25</f>
        <v>#DIV/0!</v>
      </c>
      <c r="Z11" s="171" t="e">
        <f>summary!K17</f>
        <v>#DIV/0!</v>
      </c>
      <c r="AA11" s="171" t="e">
        <f>summary!K9</f>
        <v>#DIV/0!</v>
      </c>
      <c r="AB11" s="164"/>
      <c r="AC11" s="164"/>
    </row>
    <row r="12" spans="1:32" x14ac:dyDescent="0.2">
      <c r="B12" s="439"/>
      <c r="C12" s="139">
        <f>summary!B10</f>
        <v>1440</v>
      </c>
      <c r="D12" s="138" t="e">
        <f>IF(AND(summary!K42&gt;F$3,summary!L42&lt;0.05)=TRUE,summary!K42,"")</f>
        <v>#DIV/0!</v>
      </c>
      <c r="E12" s="138" t="e">
        <f>IF(AND(summary!K42&gt;F$3,summary!L42&lt;0.05)=TRUE,summary!K34,"")</f>
        <v>#DIV/0!</v>
      </c>
      <c r="F12" s="138" t="e">
        <f>IF(AND(summary!K42&gt;F$3,summary!L42&lt;0.05)=TRUE,summary!K26,"")</f>
        <v>#DIV/0!</v>
      </c>
      <c r="G12" s="138" t="e">
        <f>IF(AND(summary!K42&gt;F$3,summary!L42&lt;0.05)=TRUE,summary!K18,"")</f>
        <v>#DIV/0!</v>
      </c>
      <c r="H12" s="138" t="e">
        <f>IF(AND(summary!K42&gt;F$3,summary!L42&lt;0.05)=TRUE,summary!K10,"")</f>
        <v>#DIV/0!</v>
      </c>
      <c r="U12" s="434"/>
      <c r="V12" s="170">
        <f t="shared" si="1"/>
        <v>1440</v>
      </c>
      <c r="W12" s="171" t="e">
        <f>summary!K42</f>
        <v>#DIV/0!</v>
      </c>
      <c r="X12" s="171" t="e">
        <f>summary!K34</f>
        <v>#DIV/0!</v>
      </c>
      <c r="Y12" s="171" t="e">
        <f>summary!K26</f>
        <v>#DIV/0!</v>
      </c>
      <c r="Z12" s="171" t="e">
        <f>summary!K18</f>
        <v>#DIV/0!</v>
      </c>
      <c r="AA12" s="171" t="e">
        <f>summary!K10</f>
        <v>#DIV/0!</v>
      </c>
      <c r="AB12" s="164"/>
      <c r="AC12" s="164"/>
    </row>
    <row r="13" spans="1:32" x14ac:dyDescent="0.2">
      <c r="B13" s="66"/>
      <c r="C13" s="66"/>
      <c r="D13" s="66"/>
      <c r="E13" s="66"/>
      <c r="F13" s="66"/>
      <c r="G13" s="66"/>
      <c r="H13" s="66"/>
      <c r="U13" s="120"/>
      <c r="V13" s="120"/>
      <c r="W13" s="120"/>
      <c r="X13" s="120"/>
      <c r="Y13" s="120"/>
      <c r="Z13" s="120"/>
      <c r="AA13" s="120"/>
      <c r="AB13" s="164"/>
      <c r="AC13" s="164"/>
    </row>
    <row r="14" spans="1:32" x14ac:dyDescent="0.2">
      <c r="F14" s="127"/>
      <c r="U14" s="235" t="s">
        <v>118</v>
      </c>
      <c r="V14" s="237"/>
      <c r="W14" s="237"/>
      <c r="X14" s="237"/>
      <c r="Y14" s="237"/>
      <c r="Z14" s="237"/>
      <c r="AA14" s="237"/>
      <c r="AB14" s="164"/>
      <c r="AC14" s="164"/>
    </row>
    <row r="15" spans="1:32" x14ac:dyDescent="0.2">
      <c r="B15" s="164"/>
      <c r="C15" s="230"/>
      <c r="D15" s="440" t="s">
        <v>94</v>
      </c>
      <c r="E15" s="441"/>
      <c r="F15" s="441"/>
      <c r="G15" s="441"/>
      <c r="H15" s="441"/>
      <c r="I15" s="435" t="s">
        <v>24</v>
      </c>
      <c r="J15" s="435" t="s">
        <v>25</v>
      </c>
      <c r="U15" s="237"/>
      <c r="V15" s="236"/>
      <c r="W15" s="431" t="s">
        <v>94</v>
      </c>
      <c r="X15" s="431"/>
      <c r="Y15" s="431"/>
      <c r="Z15" s="431"/>
      <c r="AA15" s="431"/>
      <c r="AB15" s="164"/>
      <c r="AC15" s="164"/>
    </row>
    <row r="16" spans="1:32" x14ac:dyDescent="0.2">
      <c r="B16" s="164"/>
      <c r="C16" s="229"/>
      <c r="D16" s="134">
        <f>D6</f>
        <v>5</v>
      </c>
      <c r="E16" s="134">
        <f>E6</f>
        <v>2.5</v>
      </c>
      <c r="F16" s="135">
        <f>F6</f>
        <v>1.25</v>
      </c>
      <c r="G16" s="136">
        <f>G6</f>
        <v>0.625</v>
      </c>
      <c r="H16" s="137">
        <f>H6</f>
        <v>0.3125</v>
      </c>
      <c r="I16" s="436"/>
      <c r="J16" s="436"/>
      <c r="U16" s="237"/>
      <c r="V16" s="236"/>
      <c r="W16" s="166">
        <f>W6</f>
        <v>5</v>
      </c>
      <c r="X16" s="166">
        <f>X6</f>
        <v>2.5</v>
      </c>
      <c r="Y16" s="167">
        <f>Y6</f>
        <v>1.25</v>
      </c>
      <c r="Z16" s="168">
        <f>Z6</f>
        <v>0.625</v>
      </c>
      <c r="AA16" s="169">
        <f>AA6</f>
        <v>0.3125</v>
      </c>
      <c r="AB16" s="164"/>
      <c r="AC16" s="164"/>
    </row>
    <row r="17" spans="2:29" x14ac:dyDescent="0.2">
      <c r="B17" s="437" t="s">
        <v>37</v>
      </c>
      <c r="C17" s="139">
        <f>C7</f>
        <v>10</v>
      </c>
      <c r="D17" s="138" t="e">
        <f t="shared" ref="D17:H22" si="2">IF(D7="","",IF(E7&gt;95,"",LN(100-D7)))</f>
        <v>#DIV/0!</v>
      </c>
      <c r="E17" s="138" t="e">
        <f t="shared" si="2"/>
        <v>#DIV/0!</v>
      </c>
      <c r="F17" s="138" t="e">
        <f t="shared" si="2"/>
        <v>#DIV/0!</v>
      </c>
      <c r="G17" s="138" t="e">
        <f t="shared" si="2"/>
        <v>#DIV/0!</v>
      </c>
      <c r="H17" s="138" t="e">
        <f t="shared" si="2"/>
        <v>#DIV/0!</v>
      </c>
      <c r="I17" s="140" t="e">
        <f>IF(H17="","",ABS(SLOPE(D17:H17,$D$16:$H$16)))</f>
        <v>#DIV/0!</v>
      </c>
      <c r="J17" s="140" t="e">
        <f>IF(H17="","",ABS(CORREL(D17:H17,$D$16:$H$16)))</f>
        <v>#DIV/0!</v>
      </c>
      <c r="U17" s="432" t="s">
        <v>37</v>
      </c>
      <c r="V17" s="170">
        <f>V7</f>
        <v>10</v>
      </c>
      <c r="W17" s="171" t="e">
        <f>(LN(100-W7))</f>
        <v>#DIV/0!</v>
      </c>
      <c r="X17" s="171" t="e">
        <f>(LN(100-X7))</f>
        <v>#DIV/0!</v>
      </c>
      <c r="Y17" s="171" t="e">
        <f>(LN(100-Y7))</f>
        <v>#DIV/0!</v>
      </c>
      <c r="Z17" s="171" t="e">
        <f>(LN(100-Z7))</f>
        <v>#DIV/0!</v>
      </c>
      <c r="AA17" s="171" t="e">
        <f>(LN(100-AA7))</f>
        <v>#DIV/0!</v>
      </c>
      <c r="AB17" s="164"/>
      <c r="AC17" s="164"/>
    </row>
    <row r="18" spans="2:29" x14ac:dyDescent="0.2">
      <c r="B18" s="438"/>
      <c r="C18" s="139">
        <f>C8</f>
        <v>30</v>
      </c>
      <c r="D18" s="138" t="e">
        <f t="shared" si="2"/>
        <v>#DIV/0!</v>
      </c>
      <c r="E18" s="138" t="e">
        <f t="shared" si="2"/>
        <v>#DIV/0!</v>
      </c>
      <c r="F18" s="138" t="e">
        <f t="shared" si="2"/>
        <v>#DIV/0!</v>
      </c>
      <c r="G18" s="138" t="e">
        <f t="shared" si="2"/>
        <v>#DIV/0!</v>
      </c>
      <c r="H18" s="138" t="e">
        <f t="shared" si="2"/>
        <v>#DIV/0!</v>
      </c>
      <c r="I18" s="140" t="e">
        <f t="shared" ref="I18:I22" si="3">IF(H18="","",ABS(SLOPE(D18:H18,$D$16:$H$16)))</f>
        <v>#DIV/0!</v>
      </c>
      <c r="J18" s="140" t="e">
        <f t="shared" ref="J18:J22" si="4">IF(H18="","",ABS(CORREL(D18:H18,$D$16:$H$16)))</f>
        <v>#DIV/0!</v>
      </c>
      <c r="U18" s="433"/>
      <c r="V18" s="170">
        <f>V8</f>
        <v>30</v>
      </c>
      <c r="W18" s="171" t="e">
        <f t="shared" ref="W18:AA22" si="5">(LN(100-W8))</f>
        <v>#DIV/0!</v>
      </c>
      <c r="X18" s="171" t="e">
        <f t="shared" si="5"/>
        <v>#DIV/0!</v>
      </c>
      <c r="Y18" s="171" t="e">
        <f t="shared" si="5"/>
        <v>#DIV/0!</v>
      </c>
      <c r="Z18" s="171" t="e">
        <f t="shared" si="5"/>
        <v>#DIV/0!</v>
      </c>
      <c r="AA18" s="171" t="e">
        <f t="shared" si="5"/>
        <v>#DIV/0!</v>
      </c>
      <c r="AB18" s="164"/>
      <c r="AC18" s="164"/>
    </row>
    <row r="19" spans="2:29" x14ac:dyDescent="0.2">
      <c r="B19" s="438"/>
      <c r="C19" s="139">
        <f>C9</f>
        <v>90</v>
      </c>
      <c r="D19" s="138" t="e">
        <f t="shared" si="2"/>
        <v>#DIV/0!</v>
      </c>
      <c r="E19" s="138" t="e">
        <f t="shared" si="2"/>
        <v>#DIV/0!</v>
      </c>
      <c r="F19" s="138" t="e">
        <f t="shared" si="2"/>
        <v>#DIV/0!</v>
      </c>
      <c r="G19" s="138" t="e">
        <f t="shared" si="2"/>
        <v>#DIV/0!</v>
      </c>
      <c r="H19" s="138" t="e">
        <f t="shared" si="2"/>
        <v>#DIV/0!</v>
      </c>
      <c r="I19" s="140" t="e">
        <f t="shared" si="3"/>
        <v>#DIV/0!</v>
      </c>
      <c r="J19" s="140" t="e">
        <f t="shared" si="4"/>
        <v>#DIV/0!</v>
      </c>
      <c r="U19" s="433"/>
      <c r="V19" s="170">
        <f>V9</f>
        <v>90</v>
      </c>
      <c r="W19" s="171" t="e">
        <f t="shared" si="5"/>
        <v>#DIV/0!</v>
      </c>
      <c r="X19" s="171" t="e">
        <f t="shared" si="5"/>
        <v>#DIV/0!</v>
      </c>
      <c r="Y19" s="171" t="e">
        <f t="shared" si="5"/>
        <v>#DIV/0!</v>
      </c>
      <c r="Z19" s="171" t="e">
        <f t="shared" si="5"/>
        <v>#DIV/0!</v>
      </c>
      <c r="AA19" s="171" t="e">
        <f t="shared" si="5"/>
        <v>#DIV/0!</v>
      </c>
      <c r="AB19" s="164"/>
      <c r="AC19" s="164"/>
    </row>
    <row r="20" spans="2:29" x14ac:dyDescent="0.2">
      <c r="B20" s="438"/>
      <c r="C20" s="139">
        <f>C10</f>
        <v>150</v>
      </c>
      <c r="D20" s="138" t="e">
        <f t="shared" si="2"/>
        <v>#DIV/0!</v>
      </c>
      <c r="E20" s="138" t="e">
        <f t="shared" si="2"/>
        <v>#DIV/0!</v>
      </c>
      <c r="F20" s="138" t="e">
        <f t="shared" si="2"/>
        <v>#DIV/0!</v>
      </c>
      <c r="G20" s="138" t="e">
        <f t="shared" si="2"/>
        <v>#DIV/0!</v>
      </c>
      <c r="H20" s="138" t="e">
        <f t="shared" si="2"/>
        <v>#DIV/0!</v>
      </c>
      <c r="I20" s="140" t="e">
        <f t="shared" si="3"/>
        <v>#DIV/0!</v>
      </c>
      <c r="J20" s="140" t="e">
        <f t="shared" si="4"/>
        <v>#DIV/0!</v>
      </c>
      <c r="U20" s="433"/>
      <c r="V20" s="170">
        <f>V10</f>
        <v>150</v>
      </c>
      <c r="W20" s="171" t="e">
        <f t="shared" si="5"/>
        <v>#DIV/0!</v>
      </c>
      <c r="X20" s="171" t="e">
        <f t="shared" si="5"/>
        <v>#DIV/0!</v>
      </c>
      <c r="Y20" s="171" t="e">
        <f t="shared" si="5"/>
        <v>#DIV/0!</v>
      </c>
      <c r="Z20" s="171" t="e">
        <f t="shared" si="5"/>
        <v>#DIV/0!</v>
      </c>
      <c r="AA20" s="171" t="e">
        <f t="shared" si="5"/>
        <v>#DIV/0!</v>
      </c>
      <c r="AB20" s="164"/>
      <c r="AC20" s="164"/>
    </row>
    <row r="21" spans="2:29" x14ac:dyDescent="0.2">
      <c r="B21" s="438"/>
      <c r="C21" s="139">
        <f>C11</f>
        <v>210</v>
      </c>
      <c r="D21" s="138" t="e">
        <f t="shared" si="2"/>
        <v>#DIV/0!</v>
      </c>
      <c r="E21" s="138" t="e">
        <f t="shared" si="2"/>
        <v>#DIV/0!</v>
      </c>
      <c r="F21" s="138" t="e">
        <f t="shared" si="2"/>
        <v>#DIV/0!</v>
      </c>
      <c r="G21" s="138" t="e">
        <f t="shared" si="2"/>
        <v>#DIV/0!</v>
      </c>
      <c r="H21" s="138" t="e">
        <f t="shared" si="2"/>
        <v>#DIV/0!</v>
      </c>
      <c r="I21" s="140" t="e">
        <f t="shared" si="3"/>
        <v>#DIV/0!</v>
      </c>
      <c r="J21" s="140" t="e">
        <f t="shared" si="4"/>
        <v>#DIV/0!</v>
      </c>
      <c r="U21" s="433"/>
      <c r="V21" s="170">
        <f>V11</f>
        <v>210</v>
      </c>
      <c r="W21" s="171" t="e">
        <f t="shared" si="5"/>
        <v>#DIV/0!</v>
      </c>
      <c r="X21" s="171" t="e">
        <f t="shared" si="5"/>
        <v>#DIV/0!</v>
      </c>
      <c r="Y21" s="171" t="e">
        <f t="shared" si="5"/>
        <v>#DIV/0!</v>
      </c>
      <c r="Z21" s="171" t="e">
        <f t="shared" si="5"/>
        <v>#DIV/0!</v>
      </c>
      <c r="AA21" s="171" t="e">
        <f t="shared" si="5"/>
        <v>#DIV/0!</v>
      </c>
      <c r="AB21" s="164"/>
      <c r="AC21" s="164"/>
    </row>
    <row r="22" spans="2:29" x14ac:dyDescent="0.2">
      <c r="B22" s="439"/>
      <c r="C22" s="139">
        <f t="shared" ref="C22" si="6">C12</f>
        <v>1440</v>
      </c>
      <c r="D22" s="138" t="e">
        <f t="shared" si="2"/>
        <v>#DIV/0!</v>
      </c>
      <c r="E22" s="138" t="e">
        <f t="shared" si="2"/>
        <v>#DIV/0!</v>
      </c>
      <c r="F22" s="138" t="e">
        <f t="shared" si="2"/>
        <v>#DIV/0!</v>
      </c>
      <c r="G22" s="138" t="e">
        <f t="shared" si="2"/>
        <v>#DIV/0!</v>
      </c>
      <c r="H22" s="138" t="e">
        <f t="shared" si="2"/>
        <v>#DIV/0!</v>
      </c>
      <c r="I22" s="140" t="e">
        <f t="shared" si="3"/>
        <v>#DIV/0!</v>
      </c>
      <c r="J22" s="140" t="e">
        <f t="shared" si="4"/>
        <v>#DIV/0!</v>
      </c>
      <c r="U22" s="434"/>
      <c r="V22" s="170">
        <f t="shared" ref="V22" si="7">V12</f>
        <v>1440</v>
      </c>
      <c r="W22" s="171" t="e">
        <f t="shared" si="5"/>
        <v>#DIV/0!</v>
      </c>
      <c r="X22" s="171" t="e">
        <f t="shared" si="5"/>
        <v>#DIV/0!</v>
      </c>
      <c r="Y22" s="171" t="e">
        <f t="shared" si="5"/>
        <v>#DIV/0!</v>
      </c>
      <c r="Z22" s="171" t="e">
        <f t="shared" si="5"/>
        <v>#DIV/0!</v>
      </c>
      <c r="AA22" s="171" t="e">
        <f t="shared" si="5"/>
        <v>#DIV/0!</v>
      </c>
      <c r="AB22" s="164"/>
      <c r="AC22" s="164"/>
    </row>
    <row r="23" spans="2:29" x14ac:dyDescent="0.2">
      <c r="B23" s="66"/>
      <c r="C23" s="66"/>
      <c r="D23" s="66"/>
      <c r="E23" s="66"/>
      <c r="F23" s="66"/>
      <c r="G23" s="66"/>
      <c r="H23" s="66"/>
      <c r="I23" s="66"/>
      <c r="J23" s="66"/>
      <c r="U23" s="120"/>
      <c r="V23" s="120"/>
      <c r="W23" s="120"/>
      <c r="X23" s="120"/>
      <c r="Y23" s="120"/>
      <c r="Z23" s="120"/>
      <c r="AA23" s="120"/>
      <c r="AB23" s="164"/>
      <c r="AC23" s="164"/>
    </row>
    <row r="24" spans="2:29" x14ac:dyDescent="0.2">
      <c r="C24" s="132"/>
      <c r="D24" s="66"/>
      <c r="E24" s="66"/>
      <c r="F24" s="127"/>
      <c r="U24" s="235" t="s">
        <v>131</v>
      </c>
      <c r="V24" s="164"/>
      <c r="W24" s="164"/>
      <c r="X24" s="164"/>
      <c r="Y24" s="164"/>
      <c r="Z24" s="164"/>
      <c r="AA24" s="164"/>
      <c r="AB24" s="164"/>
      <c r="AC24" s="164"/>
    </row>
    <row r="25" spans="2:29" ht="10.5" thickBot="1" x14ac:dyDescent="0.25">
      <c r="B25" s="194" t="s">
        <v>37</v>
      </c>
      <c r="C25" s="194" t="s">
        <v>38</v>
      </c>
      <c r="D25" s="66"/>
      <c r="E25" s="66"/>
      <c r="F25" s="421" t="s">
        <v>126</v>
      </c>
      <c r="G25" s="240" t="s">
        <v>24</v>
      </c>
      <c r="H25" s="240" t="s">
        <v>25</v>
      </c>
      <c r="U25" s="237"/>
      <c r="V25" s="236"/>
      <c r="W25" s="431" t="s">
        <v>132</v>
      </c>
      <c r="X25" s="431"/>
      <c r="Y25" s="431"/>
      <c r="Z25" s="431"/>
      <c r="AA25" s="431"/>
      <c r="AB25" s="164"/>
      <c r="AC25" s="164"/>
    </row>
    <row r="26" spans="2:29" ht="11.25" customHeight="1" x14ac:dyDescent="0.2">
      <c r="B26" s="141">
        <f t="shared" ref="B26:B30" si="8">C7</f>
        <v>10</v>
      </c>
      <c r="C26" s="140" t="e">
        <f t="shared" ref="C26:C30" si="9">I17</f>
        <v>#DIV/0!</v>
      </c>
      <c r="D26" s="66"/>
      <c r="E26" s="66"/>
      <c r="F26" s="422"/>
      <c r="G26" s="231" t="s">
        <v>0</v>
      </c>
      <c r="H26" s="164"/>
      <c r="I26" s="66"/>
      <c r="U26" s="237"/>
      <c r="V26" s="236"/>
      <c r="W26" s="166">
        <f>W16</f>
        <v>5</v>
      </c>
      <c r="X26" s="166">
        <f>X16</f>
        <v>2.5</v>
      </c>
      <c r="Y26" s="167">
        <f>Y16</f>
        <v>1.25</v>
      </c>
      <c r="Z26" s="168">
        <f>Z16</f>
        <v>0.625</v>
      </c>
      <c r="AA26" s="169">
        <f>AA16</f>
        <v>0.3125</v>
      </c>
      <c r="AB26" s="164"/>
      <c r="AC26" s="164"/>
    </row>
    <row r="27" spans="2:29" ht="10.5" thickBot="1" x14ac:dyDescent="0.25">
      <c r="B27" s="141">
        <f t="shared" si="8"/>
        <v>30</v>
      </c>
      <c r="C27" s="140" t="e">
        <f t="shared" si="9"/>
        <v>#DIV/0!</v>
      </c>
      <c r="D27" s="66"/>
      <c r="E27" s="66"/>
      <c r="F27" s="422"/>
      <c r="G27" s="142" t="e">
        <f>SLOPE(C26:C30,B26:B30)</f>
        <v>#DIV/0!</v>
      </c>
      <c r="H27" s="143" t="e">
        <f>CORREL(C26:C30,B26:B30)</f>
        <v>#DIV/0!</v>
      </c>
      <c r="I27" s="66"/>
      <c r="U27" s="432" t="s">
        <v>37</v>
      </c>
      <c r="V27" s="170">
        <f>V17</f>
        <v>10</v>
      </c>
      <c r="W27" s="171" t="e">
        <f>IF(OR(D7="",OR(D7&lt;$F$3,$D7&lt;$F$3)),"",(LN(100/(100-D7)))/(W$26/1000)/($V27*60))</f>
        <v>#DIV/0!</v>
      </c>
      <c r="X27" s="171" t="e">
        <f>IF(OR(E7="",OR(E7&lt;$F$3,D7&lt;$F$3)),"",(LN(100/(100-E7)))/(X$26/1000)/($V27*60))</f>
        <v>#DIV/0!</v>
      </c>
      <c r="Y27" s="171" t="e">
        <f t="shared" ref="Y27:AA32" si="10">IF(OR(F7="",OR(F7&lt;$F$3,E7&lt;$F$3)),"",(LN(100/(100-F7)))/(Y$26/1000)/($V27*60))</f>
        <v>#DIV/0!</v>
      </c>
      <c r="Z27" s="171" t="e">
        <f t="shared" si="10"/>
        <v>#DIV/0!</v>
      </c>
      <c r="AA27" s="171" t="e">
        <f t="shared" si="10"/>
        <v>#DIV/0!</v>
      </c>
      <c r="AB27" s="164"/>
      <c r="AC27" s="164"/>
    </row>
    <row r="28" spans="2:29" x14ac:dyDescent="0.2">
      <c r="B28" s="141">
        <f t="shared" si="8"/>
        <v>90</v>
      </c>
      <c r="C28" s="140" t="e">
        <f t="shared" si="9"/>
        <v>#DIV/0!</v>
      </c>
      <c r="D28" s="66"/>
      <c r="E28" s="66"/>
      <c r="F28" s="422"/>
      <c r="G28" s="163" t="s">
        <v>26</v>
      </c>
      <c r="H28" s="164"/>
      <c r="I28" s="66"/>
      <c r="U28" s="433"/>
      <c r="V28" s="170">
        <f>V18</f>
        <v>30</v>
      </c>
      <c r="W28" s="171" t="e">
        <f t="shared" ref="W28:W32" si="11">IF(OR(D8="",OR(D8&lt;$F$3,$D8&lt;$F$3)),"",(LN(100/(100-D8)))/(W$26/1000)/($V28*60))</f>
        <v>#DIV/0!</v>
      </c>
      <c r="X28" s="171" t="e">
        <f t="shared" ref="X28:X32" si="12">IF(OR(E8="",OR(E8&lt;$F$3,D8&lt;$F$3)),"",(LN(100/(100-E8)))/(X$26/1000)/($V28*60))</f>
        <v>#DIV/0!</v>
      </c>
      <c r="Y28" s="171" t="e">
        <f t="shared" si="10"/>
        <v>#DIV/0!</v>
      </c>
      <c r="Z28" s="171" t="e">
        <f t="shared" si="10"/>
        <v>#DIV/0!</v>
      </c>
      <c r="AA28" s="171" t="e">
        <f t="shared" si="10"/>
        <v>#DIV/0!</v>
      </c>
      <c r="AB28" s="164"/>
      <c r="AC28" s="164"/>
    </row>
    <row r="29" spans="2:29" x14ac:dyDescent="0.2">
      <c r="B29" s="141">
        <f t="shared" si="8"/>
        <v>150</v>
      </c>
      <c r="C29" s="140" t="e">
        <f t="shared" si="9"/>
        <v>#DIV/0!</v>
      </c>
      <c r="D29" s="66"/>
      <c r="E29" s="66"/>
      <c r="F29" s="423"/>
      <c r="G29" s="144" t="e">
        <f>(G27/60)*1000</f>
        <v>#DIV/0!</v>
      </c>
      <c r="H29" s="164"/>
      <c r="U29" s="433"/>
      <c r="V29" s="170">
        <f>V19</f>
        <v>90</v>
      </c>
      <c r="W29" s="171" t="e">
        <f t="shared" si="11"/>
        <v>#DIV/0!</v>
      </c>
      <c r="X29" s="171" t="e">
        <f t="shared" si="12"/>
        <v>#DIV/0!</v>
      </c>
      <c r="Y29" s="171" t="e">
        <f t="shared" si="10"/>
        <v>#DIV/0!</v>
      </c>
      <c r="Z29" s="171" t="e">
        <f t="shared" si="10"/>
        <v>#DIV/0!</v>
      </c>
      <c r="AA29" s="171" t="e">
        <f t="shared" si="10"/>
        <v>#DIV/0!</v>
      </c>
      <c r="AB29" s="238"/>
      <c r="AC29" s="164"/>
    </row>
    <row r="30" spans="2:29" x14ac:dyDescent="0.2">
      <c r="B30" s="141">
        <f t="shared" si="8"/>
        <v>210</v>
      </c>
      <c r="C30" s="140" t="e">
        <f t="shared" si="9"/>
        <v>#DIV/0!</v>
      </c>
      <c r="D30" s="66"/>
      <c r="E30" s="66"/>
      <c r="F30" s="127"/>
      <c r="U30" s="433"/>
      <c r="V30" s="170">
        <f>V20</f>
        <v>150</v>
      </c>
      <c r="W30" s="171" t="e">
        <f t="shared" si="11"/>
        <v>#DIV/0!</v>
      </c>
      <c r="X30" s="171" t="e">
        <f t="shared" si="12"/>
        <v>#DIV/0!</v>
      </c>
      <c r="Y30" s="171" t="e">
        <f t="shared" si="10"/>
        <v>#DIV/0!</v>
      </c>
      <c r="Z30" s="171" t="e">
        <f t="shared" si="10"/>
        <v>#DIV/0!</v>
      </c>
      <c r="AA30" s="171" t="e">
        <f t="shared" si="10"/>
        <v>#DIV/0!</v>
      </c>
      <c r="AB30" s="238"/>
      <c r="AC30" s="164"/>
    </row>
    <row r="31" spans="2:29" ht="10.5" x14ac:dyDescent="0.25">
      <c r="B31" s="66"/>
      <c r="C31" s="66"/>
      <c r="D31" s="66"/>
      <c r="E31" s="164"/>
      <c r="F31" s="239" t="s">
        <v>37</v>
      </c>
      <c r="G31" s="239" t="s">
        <v>24</v>
      </c>
      <c r="H31" s="241"/>
      <c r="I31" s="239" t="s">
        <v>25</v>
      </c>
      <c r="J31" s="242" t="s">
        <v>39</v>
      </c>
      <c r="U31" s="433"/>
      <c r="V31" s="170">
        <f>V21</f>
        <v>210</v>
      </c>
      <c r="W31" s="171" t="e">
        <f t="shared" si="11"/>
        <v>#DIV/0!</v>
      </c>
      <c r="X31" s="171" t="e">
        <f t="shared" si="12"/>
        <v>#DIV/0!</v>
      </c>
      <c r="Y31" s="171" t="e">
        <f t="shared" si="10"/>
        <v>#DIV/0!</v>
      </c>
      <c r="Z31" s="171" t="e">
        <f t="shared" si="10"/>
        <v>#DIV/0!</v>
      </c>
      <c r="AA31" s="171" t="e">
        <f t="shared" si="10"/>
        <v>#DIV/0!</v>
      </c>
      <c r="AB31" s="238"/>
      <c r="AC31" s="164"/>
    </row>
    <row r="32" spans="2:29" ht="10.15" customHeight="1" x14ac:dyDescent="0.25">
      <c r="E32" s="421" t="s">
        <v>111</v>
      </c>
      <c r="F32" s="145"/>
      <c r="G32" s="146"/>
      <c r="H32" s="147"/>
      <c r="I32" s="148"/>
      <c r="J32" s="149"/>
      <c r="U32" s="434"/>
      <c r="V32" s="170">
        <f t="shared" ref="V32" si="13">V22</f>
        <v>1440</v>
      </c>
      <c r="W32" s="171" t="e">
        <f t="shared" si="11"/>
        <v>#DIV/0!</v>
      </c>
      <c r="X32" s="171" t="e">
        <f t="shared" si="12"/>
        <v>#DIV/0!</v>
      </c>
      <c r="Y32" s="171" t="e">
        <f t="shared" si="10"/>
        <v>#DIV/0!</v>
      </c>
      <c r="Z32" s="171" t="e">
        <f t="shared" si="10"/>
        <v>#DIV/0!</v>
      </c>
      <c r="AA32" s="171" t="e">
        <f t="shared" si="10"/>
        <v>#DIV/0!</v>
      </c>
      <c r="AB32" s="238"/>
      <c r="AC32" s="164"/>
    </row>
    <row r="33" spans="5:29" ht="11.25" customHeight="1" x14ac:dyDescent="0.25">
      <c r="E33" s="422"/>
      <c r="F33" s="150">
        <f>C17</f>
        <v>10</v>
      </c>
      <c r="G33" s="151" t="e">
        <f>IF(H17="","",ABS(SLOPE(D17:H17,$D$16:$H$16)))</f>
        <v>#DIV/0!</v>
      </c>
      <c r="H33" s="141" t="s">
        <v>27</v>
      </c>
      <c r="I33" s="152" t="e">
        <f>IF(G33="","",ABS(CORREL(D17:H17,D16:H16)))</f>
        <v>#DIV/0!</v>
      </c>
      <c r="J33" s="153"/>
      <c r="U33" s="164"/>
      <c r="V33" s="164"/>
      <c r="W33" s="164"/>
      <c r="X33" s="164"/>
      <c r="Y33" s="164"/>
      <c r="Z33" s="164"/>
      <c r="AA33" s="164"/>
      <c r="AB33" s="164"/>
      <c r="AC33" s="164"/>
    </row>
    <row r="34" spans="5:29" ht="10.5" x14ac:dyDescent="0.25">
      <c r="E34" s="422"/>
      <c r="F34" s="154"/>
      <c r="G34" s="155" t="e">
        <f>IF(G33="","",G33*1000/(60*F33))</f>
        <v>#DIV/0!</v>
      </c>
      <c r="H34" s="141" t="s">
        <v>26</v>
      </c>
      <c r="I34" s="156"/>
      <c r="J34" s="157" t="e">
        <f>IF(G33="","",IF(I33&gt;0.9,LOG(G34),""))</f>
        <v>#DIV/0!</v>
      </c>
      <c r="U34" s="235" t="s">
        <v>133</v>
      </c>
      <c r="V34" s="235"/>
      <c r="W34" s="164"/>
      <c r="X34" s="164"/>
      <c r="Y34" s="164"/>
      <c r="Z34" s="164"/>
      <c r="AA34" s="164"/>
      <c r="AB34" s="164"/>
      <c r="AC34" s="164"/>
    </row>
    <row r="35" spans="5:29" ht="10.5" x14ac:dyDescent="0.25">
      <c r="E35" s="422"/>
      <c r="F35" s="158"/>
      <c r="G35" s="159"/>
      <c r="H35" s="148"/>
      <c r="I35" s="148"/>
      <c r="J35" s="149"/>
      <c r="U35" s="237"/>
      <c r="V35" s="236"/>
      <c r="W35" s="431" t="s">
        <v>176</v>
      </c>
      <c r="X35" s="431"/>
      <c r="Y35" s="431"/>
      <c r="Z35" s="431"/>
      <c r="AA35" s="431"/>
      <c r="AB35" s="169" t="s">
        <v>134</v>
      </c>
      <c r="AC35" s="169" t="s">
        <v>135</v>
      </c>
    </row>
    <row r="36" spans="5:29" ht="10.5" x14ac:dyDescent="0.25">
      <c r="E36" s="422"/>
      <c r="F36" s="150">
        <f>C18</f>
        <v>30</v>
      </c>
      <c r="G36" s="151" t="e">
        <f>IF(H18="","",ABS(SLOPE(D18:H18,$D$16:$H$16)))</f>
        <v>#DIV/0!</v>
      </c>
      <c r="H36" s="141" t="s">
        <v>27</v>
      </c>
      <c r="I36" s="152" t="e">
        <f>IF(G36="","",ABS(CORREL(D18:H18,D16:H16)))</f>
        <v>#DIV/0!</v>
      </c>
      <c r="J36" s="153"/>
      <c r="U36" s="237"/>
      <c r="V36" s="236"/>
      <c r="W36" s="166">
        <f>W26</f>
        <v>5</v>
      </c>
      <c r="X36" s="166">
        <f>X26</f>
        <v>2.5</v>
      </c>
      <c r="Y36" s="167">
        <f>Y26</f>
        <v>1.25</v>
      </c>
      <c r="Z36" s="168">
        <f>Z26</f>
        <v>0.625</v>
      </c>
      <c r="AA36" s="169">
        <f>AA26</f>
        <v>0.3125</v>
      </c>
      <c r="AB36" s="169"/>
      <c r="AC36" s="169"/>
    </row>
    <row r="37" spans="5:29" ht="10.5" x14ac:dyDescent="0.25">
      <c r="E37" s="422"/>
      <c r="F37" s="154"/>
      <c r="G37" s="155" t="e">
        <f>IF(G36="","",G36*1000/(60*F36))</f>
        <v>#DIV/0!</v>
      </c>
      <c r="H37" s="141" t="s">
        <v>26</v>
      </c>
      <c r="I37" s="160"/>
      <c r="J37" s="157" t="e">
        <f>IF(G36="","",IF(I36&gt;0.9,LOG(G37),""))</f>
        <v>#DIV/0!</v>
      </c>
      <c r="U37" s="432" t="s">
        <v>37</v>
      </c>
      <c r="V37" s="170">
        <f>V27</f>
        <v>10</v>
      </c>
      <c r="W37" s="171" t="e">
        <f>IF(W27="","",LOG(W27))</f>
        <v>#DIV/0!</v>
      </c>
      <c r="X37" s="171" t="e">
        <f t="shared" ref="X37:AA37" si="14">IF(X27="","",LOG(X27))</f>
        <v>#DIV/0!</v>
      </c>
      <c r="Y37" s="171" t="e">
        <f t="shared" si="14"/>
        <v>#DIV/0!</v>
      </c>
      <c r="Z37" s="171" t="e">
        <f t="shared" si="14"/>
        <v>#DIV/0!</v>
      </c>
      <c r="AA37" s="171" t="e">
        <f t="shared" si="14"/>
        <v>#DIV/0!</v>
      </c>
      <c r="AB37" s="167" t="e">
        <f t="shared" ref="AB37:AB42" si="15">IF(MAX(W37:AA37)=0,"",MAX(W37:AA37))</f>
        <v>#DIV/0!</v>
      </c>
      <c r="AC37" s="167" t="e">
        <f t="shared" ref="AC37:AC38" si="16">IF(MAX(W37:AA37)=0,"",AVERAGE(W37:AA37))</f>
        <v>#DIV/0!</v>
      </c>
    </row>
    <row r="38" spans="5:29" ht="10.5" x14ac:dyDescent="0.25">
      <c r="E38" s="422"/>
      <c r="F38" s="158"/>
      <c r="G38" s="159"/>
      <c r="H38" s="148"/>
      <c r="I38" s="161"/>
      <c r="J38" s="149"/>
      <c r="U38" s="433"/>
      <c r="V38" s="170">
        <f>V28</f>
        <v>30</v>
      </c>
      <c r="W38" s="171" t="e">
        <f t="shared" ref="W38:AA42" si="17">IF(W28="","",LOG(W28))</f>
        <v>#DIV/0!</v>
      </c>
      <c r="X38" s="171" t="e">
        <f t="shared" si="17"/>
        <v>#DIV/0!</v>
      </c>
      <c r="Y38" s="171" t="e">
        <f t="shared" si="17"/>
        <v>#DIV/0!</v>
      </c>
      <c r="Z38" s="171" t="e">
        <f t="shared" si="17"/>
        <v>#DIV/0!</v>
      </c>
      <c r="AA38" s="171" t="e">
        <f t="shared" si="17"/>
        <v>#DIV/0!</v>
      </c>
      <c r="AB38" s="167" t="e">
        <f t="shared" si="15"/>
        <v>#DIV/0!</v>
      </c>
      <c r="AC38" s="167" t="e">
        <f t="shared" si="16"/>
        <v>#DIV/0!</v>
      </c>
    </row>
    <row r="39" spans="5:29" ht="10.5" x14ac:dyDescent="0.25">
      <c r="E39" s="422"/>
      <c r="F39" s="150">
        <f>C19</f>
        <v>90</v>
      </c>
      <c r="G39" s="151" t="e">
        <f>IF(H19="","",ABS(SLOPE(D19:H19,$D$16:$H$16)))</f>
        <v>#DIV/0!</v>
      </c>
      <c r="H39" s="141" t="s">
        <v>27</v>
      </c>
      <c r="I39" s="152" t="e">
        <f>IF(G39="","",ABS(CORREL(D19:H19,D16:H16)))</f>
        <v>#DIV/0!</v>
      </c>
      <c r="J39" s="153"/>
      <c r="U39" s="433"/>
      <c r="V39" s="170">
        <f>V29</f>
        <v>90</v>
      </c>
      <c r="W39" s="171" t="e">
        <f t="shared" si="17"/>
        <v>#DIV/0!</v>
      </c>
      <c r="X39" s="171" t="e">
        <f t="shared" si="17"/>
        <v>#DIV/0!</v>
      </c>
      <c r="Y39" s="171" t="e">
        <f t="shared" si="17"/>
        <v>#DIV/0!</v>
      </c>
      <c r="Z39" s="171" t="e">
        <f t="shared" si="17"/>
        <v>#DIV/0!</v>
      </c>
      <c r="AA39" s="171" t="e">
        <f t="shared" si="17"/>
        <v>#DIV/0!</v>
      </c>
      <c r="AB39" s="192" t="e">
        <f t="shared" si="15"/>
        <v>#DIV/0!</v>
      </c>
      <c r="AC39" s="167" t="e">
        <f>IF(MAX(W39:AA39)=0,"",AVERAGE(W39:AA39))</f>
        <v>#DIV/0!</v>
      </c>
    </row>
    <row r="40" spans="5:29" ht="10.5" x14ac:dyDescent="0.25">
      <c r="E40" s="422"/>
      <c r="F40" s="154"/>
      <c r="G40" s="155" t="e">
        <f>IF(G39="","",G39*1000/(60*F39))</f>
        <v>#DIV/0!</v>
      </c>
      <c r="H40" s="141" t="s">
        <v>26</v>
      </c>
      <c r="I40" s="156"/>
      <c r="J40" s="157" t="e">
        <f>IF(G39="","",IF(I39&gt;0.9,LOG(G40),""))</f>
        <v>#DIV/0!</v>
      </c>
      <c r="U40" s="433"/>
      <c r="V40" s="170">
        <f>V30</f>
        <v>150</v>
      </c>
      <c r="W40" s="171" t="e">
        <f t="shared" si="17"/>
        <v>#DIV/0!</v>
      </c>
      <c r="X40" s="171" t="e">
        <f t="shared" si="17"/>
        <v>#DIV/0!</v>
      </c>
      <c r="Y40" s="171" t="e">
        <f t="shared" si="17"/>
        <v>#DIV/0!</v>
      </c>
      <c r="Z40" s="171" t="e">
        <f t="shared" si="17"/>
        <v>#DIV/0!</v>
      </c>
      <c r="AA40" s="171" t="e">
        <f t="shared" si="17"/>
        <v>#DIV/0!</v>
      </c>
      <c r="AB40" s="192" t="e">
        <f t="shared" si="15"/>
        <v>#DIV/0!</v>
      </c>
      <c r="AC40" s="167" t="e">
        <f>IF(MAX(W40:AA40)=0,"",AVERAGE(W40:AA40))</f>
        <v>#DIV/0!</v>
      </c>
    </row>
    <row r="41" spans="5:29" ht="10.5" x14ac:dyDescent="0.25">
      <c r="E41" s="422"/>
      <c r="F41" s="158"/>
      <c r="G41" s="159"/>
      <c r="H41" s="148"/>
      <c r="I41" s="148"/>
      <c r="J41" s="149"/>
      <c r="U41" s="433"/>
      <c r="V41" s="170">
        <f>V31</f>
        <v>210</v>
      </c>
      <c r="W41" s="171" t="e">
        <f t="shared" si="17"/>
        <v>#DIV/0!</v>
      </c>
      <c r="X41" s="171" t="e">
        <f t="shared" si="17"/>
        <v>#DIV/0!</v>
      </c>
      <c r="Y41" s="171" t="e">
        <f t="shared" si="17"/>
        <v>#DIV/0!</v>
      </c>
      <c r="Z41" s="171" t="e">
        <f t="shared" si="17"/>
        <v>#DIV/0!</v>
      </c>
      <c r="AA41" s="171" t="e">
        <f t="shared" si="17"/>
        <v>#DIV/0!</v>
      </c>
      <c r="AB41" s="192" t="e">
        <f t="shared" si="15"/>
        <v>#DIV/0!</v>
      </c>
      <c r="AC41" s="167" t="e">
        <f>IF(MAX(W41:AA41)=0,"",AVERAGE(W41:AA41))</f>
        <v>#DIV/0!</v>
      </c>
    </row>
    <row r="42" spans="5:29" ht="10.5" x14ac:dyDescent="0.25">
      <c r="E42" s="422"/>
      <c r="F42" s="150">
        <f>C20</f>
        <v>150</v>
      </c>
      <c r="G42" s="151" t="e">
        <f>IF(H20="","",ABS(SLOPE(D20:H20,$D$16:$H$16)))</f>
        <v>#DIV/0!</v>
      </c>
      <c r="H42" s="141" t="s">
        <v>27</v>
      </c>
      <c r="I42" s="152" t="e">
        <f>IF(G42="","",ABS(CORREL(D20:H20,D16:H16)))</f>
        <v>#DIV/0!</v>
      </c>
      <c r="J42" s="153"/>
      <c r="U42" s="434"/>
      <c r="V42" s="170">
        <f t="shared" ref="V42" si="18">V32</f>
        <v>1440</v>
      </c>
      <c r="W42" s="171" t="e">
        <f t="shared" si="17"/>
        <v>#DIV/0!</v>
      </c>
      <c r="X42" s="171" t="e">
        <f t="shared" si="17"/>
        <v>#DIV/0!</v>
      </c>
      <c r="Y42" s="171" t="e">
        <f t="shared" si="17"/>
        <v>#DIV/0!</v>
      </c>
      <c r="Z42" s="171" t="e">
        <f t="shared" si="17"/>
        <v>#DIV/0!</v>
      </c>
      <c r="AA42" s="171" t="e">
        <f t="shared" si="17"/>
        <v>#DIV/0!</v>
      </c>
      <c r="AB42" s="192" t="e">
        <f t="shared" si="15"/>
        <v>#DIV/0!</v>
      </c>
      <c r="AC42" s="167" t="e">
        <f>IF(MAX(W42:AA42)=0,"",AVERAGE(W42:AA42))</f>
        <v>#DIV/0!</v>
      </c>
    </row>
    <row r="43" spans="5:29" ht="10.5" x14ac:dyDescent="0.25">
      <c r="E43" s="422"/>
      <c r="F43" s="154"/>
      <c r="G43" s="155" t="e">
        <f>IF(G42="","",G42*1000/(60*F42))</f>
        <v>#DIV/0!</v>
      </c>
      <c r="H43" s="141" t="s">
        <v>26</v>
      </c>
      <c r="I43" s="156"/>
      <c r="J43" s="157" t="e">
        <f>IF(G42="","",IF(I42&gt;0.9,LOG(G43),""))</f>
        <v>#DIV/0!</v>
      </c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5:29" ht="10.5" x14ac:dyDescent="0.25">
      <c r="E44" s="422"/>
      <c r="F44" s="162"/>
      <c r="G44" s="159"/>
      <c r="H44" s="148"/>
      <c r="I44" s="148"/>
      <c r="J44" s="149"/>
      <c r="U44" s="235" t="s">
        <v>136</v>
      </c>
      <c r="V44" s="235"/>
      <c r="W44" s="164"/>
      <c r="X44" s="164"/>
      <c r="Y44" s="164"/>
      <c r="Z44" s="164"/>
      <c r="AA44" s="164"/>
      <c r="AB44" s="164"/>
      <c r="AC44" s="164"/>
    </row>
    <row r="45" spans="5:29" ht="10.5" x14ac:dyDescent="0.25">
      <c r="E45" s="422"/>
      <c r="F45" s="150">
        <f>C21</f>
        <v>210</v>
      </c>
      <c r="G45" s="151" t="e">
        <f>IF(H21="","",ABS(SLOPE(D21:H21,$D$16:$H$16)))</f>
        <v>#DIV/0!</v>
      </c>
      <c r="H45" s="141" t="s">
        <v>27</v>
      </c>
      <c r="I45" s="152" t="e">
        <f>IF(G45="","",ABS(CORREL(D21:H21,D16:H16)))</f>
        <v>#DIV/0!</v>
      </c>
      <c r="J45" s="153"/>
      <c r="U45" s="237"/>
      <c r="V45" s="236"/>
      <c r="W45" s="164"/>
      <c r="X45" s="164"/>
      <c r="Y45" s="164"/>
      <c r="Z45" s="164"/>
      <c r="AA45" s="164"/>
      <c r="AB45" s="164"/>
      <c r="AC45" s="164"/>
    </row>
    <row r="46" spans="5:29" ht="10.5" x14ac:dyDescent="0.25">
      <c r="E46" s="422"/>
      <c r="F46" s="154"/>
      <c r="G46" s="155" t="e">
        <f>IF(G45="","",G45*1000/(60*F45))</f>
        <v>#DIV/0!</v>
      </c>
      <c r="H46" s="141" t="s">
        <v>26</v>
      </c>
      <c r="I46" s="156"/>
      <c r="J46" s="157" t="e">
        <f>IF(G45="","",IF(I45&gt;0.9,LOG(G46),""))</f>
        <v>#DIV/0!</v>
      </c>
      <c r="U46" s="237"/>
      <c r="V46" s="236"/>
      <c r="W46" s="164"/>
      <c r="X46" s="164"/>
      <c r="Y46" s="164"/>
      <c r="Z46" s="164"/>
      <c r="AA46" s="164"/>
      <c r="AB46" s="164"/>
      <c r="AC46" s="164"/>
    </row>
    <row r="47" spans="5:29" ht="10.5" x14ac:dyDescent="0.25">
      <c r="E47" s="422"/>
      <c r="F47" s="162"/>
      <c r="G47" s="159"/>
      <c r="H47" s="148"/>
      <c r="I47" s="148"/>
      <c r="J47" s="149"/>
      <c r="U47" s="432" t="s">
        <v>37</v>
      </c>
      <c r="V47" s="170">
        <f>V38</f>
        <v>30</v>
      </c>
      <c r="W47" s="172" t="e">
        <f>IF(AND(NOT(J37="")=FALSE,NOT(J34="")=TRUE),1,0)</f>
        <v>#DIV/0!</v>
      </c>
      <c r="X47" s="164"/>
      <c r="Y47" s="164"/>
      <c r="Z47" s="164"/>
      <c r="AA47" s="164"/>
      <c r="AB47" s="164"/>
      <c r="AC47" s="164"/>
    </row>
    <row r="48" spans="5:29" ht="10.5" x14ac:dyDescent="0.25">
      <c r="E48" s="422"/>
      <c r="F48" s="150">
        <f>C22</f>
        <v>1440</v>
      </c>
      <c r="G48" s="151" t="e">
        <f>IF(H22="","",ABS(SLOPE(D22:H22,$D$16:$H$16)))</f>
        <v>#DIV/0!</v>
      </c>
      <c r="H48" s="141" t="s">
        <v>27</v>
      </c>
      <c r="I48" s="152" t="e">
        <f>IF(G48="","",ABS(CORREL(D22:H22,D16:H16)))</f>
        <v>#DIV/0!</v>
      </c>
      <c r="J48" s="153"/>
      <c r="U48" s="433"/>
      <c r="V48" s="170">
        <f>V39</f>
        <v>90</v>
      </c>
      <c r="W48" s="172" t="e">
        <f>IF(AND(NOT(J40="")=FALSE,NOT(J37="")=TRUE),1,0)</f>
        <v>#DIV/0!</v>
      </c>
      <c r="X48" s="164"/>
      <c r="Y48" s="164"/>
      <c r="Z48" s="164"/>
      <c r="AA48" s="164"/>
      <c r="AB48" s="164"/>
      <c r="AC48" s="164"/>
    </row>
    <row r="49" spans="1:29" ht="10.5" x14ac:dyDescent="0.25">
      <c r="E49" s="423"/>
      <c r="F49" s="154"/>
      <c r="G49" s="155" t="e">
        <f>IF(G48="","",G48*1000/(60*F48))</f>
        <v>#DIV/0!</v>
      </c>
      <c r="H49" s="141" t="s">
        <v>26</v>
      </c>
      <c r="I49" s="156"/>
      <c r="J49" s="157" t="e">
        <f>IF(G48="","",IF(I48&gt;0.9,LOG(G49),""))</f>
        <v>#DIV/0!</v>
      </c>
      <c r="U49" s="433"/>
      <c r="V49" s="170">
        <f>V40</f>
        <v>150</v>
      </c>
      <c r="W49" s="172" t="e">
        <f>IF(AND(NOT(J43="")=FALSE,NOT(J40="")=TRUE),1,0)</f>
        <v>#DIV/0!</v>
      </c>
      <c r="X49" s="164"/>
      <c r="Y49" s="164"/>
      <c r="Z49" s="164"/>
      <c r="AA49" s="164"/>
      <c r="AB49" s="164"/>
      <c r="AC49" s="164"/>
    </row>
    <row r="50" spans="1:29" x14ac:dyDescent="0.2">
      <c r="E50" s="66"/>
      <c r="F50" s="66"/>
      <c r="G50" s="66"/>
      <c r="H50" s="66"/>
      <c r="I50" s="66"/>
      <c r="J50" s="66"/>
      <c r="U50" s="433"/>
      <c r="V50" s="170">
        <f>V41</f>
        <v>210</v>
      </c>
      <c r="W50" s="172" t="e">
        <f>IF(AND(NOT(J46="")=FALSE,NOT(J43="")=TRUE),1,0)</f>
        <v>#DIV/0!</v>
      </c>
      <c r="X50" s="164"/>
      <c r="Y50" s="164"/>
      <c r="Z50" s="164"/>
      <c r="AA50" s="164"/>
      <c r="AB50" s="164"/>
      <c r="AC50" s="164"/>
    </row>
    <row r="51" spans="1:29" ht="10.5" x14ac:dyDescent="0.25">
      <c r="A51" s="300" t="s">
        <v>177</v>
      </c>
      <c r="B51" s="301"/>
      <c r="C51" s="302"/>
      <c r="D51" s="188"/>
      <c r="E51" s="69"/>
      <c r="F51" s="69"/>
      <c r="G51" s="66"/>
      <c r="H51" s="66"/>
      <c r="I51" s="66"/>
      <c r="J51" s="66"/>
      <c r="U51" s="433"/>
      <c r="V51" s="170">
        <f>V42</f>
        <v>1440</v>
      </c>
      <c r="W51" s="172" t="e">
        <f>IF(AND(NOT(J49="")=FALSE,NOT(J46="")=TRUE),1,0)</f>
        <v>#DIV/0!</v>
      </c>
      <c r="X51" s="164"/>
      <c r="Y51" s="164"/>
      <c r="Z51" s="164"/>
      <c r="AA51" s="164"/>
      <c r="AB51" s="164"/>
      <c r="AC51" s="164"/>
    </row>
    <row r="52" spans="1:29" ht="33" x14ac:dyDescent="0.2">
      <c r="A52" s="233" t="s">
        <v>81</v>
      </c>
      <c r="B52" s="303" t="e">
        <f>'t1'!$P$8/'t1'!$O$8*100</f>
        <v>#DIV/0!</v>
      </c>
      <c r="C52" s="302"/>
      <c r="D52" s="276" t="s">
        <v>95</v>
      </c>
      <c r="E52" s="277" t="e">
        <f>IF(E53=J34,F33,IF(E53=J37,F36,IF(E53=J40,F39,IF(E53=J43,F42,IF(E53=J46,F45,IF(E53=J49,F48,""))))))</f>
        <v>#DIV/0!</v>
      </c>
      <c r="F52" s="280" t="s">
        <v>40</v>
      </c>
      <c r="G52" s="262" t="s">
        <v>127</v>
      </c>
      <c r="H52" s="174"/>
      <c r="I52" s="174"/>
      <c r="J52" s="175" t="e">
        <f>AND(J49="",D12&gt;F3)</f>
        <v>#DIV/0!</v>
      </c>
      <c r="U52" s="434"/>
      <c r="V52" s="170" t="s">
        <v>137</v>
      </c>
      <c r="W52" s="172" t="e">
        <f>SUM(W47:W51)</f>
        <v>#DIV/0!</v>
      </c>
      <c r="X52" s="164"/>
      <c r="Y52" s="164"/>
      <c r="Z52" s="164"/>
      <c r="AA52" s="164"/>
      <c r="AB52" s="164"/>
      <c r="AC52" s="164"/>
    </row>
    <row r="53" spans="1:29" ht="12.5" x14ac:dyDescent="0.35">
      <c r="A53" s="233" t="s">
        <v>82</v>
      </c>
      <c r="B53" s="303" t="e">
        <f>'t2'!$P$8/'t2'!$O$8*100</f>
        <v>#DIV/0!</v>
      </c>
      <c r="C53" s="304"/>
      <c r="D53" s="278" t="s">
        <v>164</v>
      </c>
      <c r="E53" s="279" t="e">
        <f>IF(AND(J34="",J37="",J40="",J43="",J46="",J49="")=TRUE,"not reactive / -3.5",MAX(J32:J49))</f>
        <v>#DIV/0!</v>
      </c>
      <c r="F53" s="281"/>
      <c r="G53" s="263" t="s">
        <v>128</v>
      </c>
      <c r="H53" s="188"/>
      <c r="I53" s="188"/>
      <c r="J53" s="224" t="e">
        <f>AND(D12&gt;F3,TTEST('t6'!H10:J10,'t6'!B4:M4,2,3)&lt;0.05)</f>
        <v>#DIV/0!</v>
      </c>
    </row>
    <row r="54" spans="1:29" x14ac:dyDescent="0.2">
      <c r="A54" s="233" t="s">
        <v>83</v>
      </c>
      <c r="B54" s="303" t="e">
        <f>'t3'!$P$8/'t3'!$O$8*100</f>
        <v>#DIV/0!</v>
      </c>
      <c r="C54" s="302"/>
      <c r="D54" s="275"/>
      <c r="E54" s="275"/>
      <c r="F54" s="281"/>
      <c r="G54" s="188" t="s">
        <v>129</v>
      </c>
      <c r="H54" s="188"/>
      <c r="I54" s="141">
        <f>C17</f>
        <v>10</v>
      </c>
      <c r="J54" s="232" t="e">
        <f>IF(J55="","",IF(AND(J$52=TRUE,J$53=TRUE),AC37,""))</f>
        <v>#DIV/0!</v>
      </c>
    </row>
    <row r="55" spans="1:29" ht="10.15" customHeight="1" x14ac:dyDescent="0.2">
      <c r="A55" s="233" t="s">
        <v>84</v>
      </c>
      <c r="B55" s="303" t="e">
        <f>'t4'!$P$8/'t4'!$O$8*100</f>
        <v>#DIV/0!</v>
      </c>
      <c r="C55" s="305"/>
      <c r="D55" s="442" t="s">
        <v>130</v>
      </c>
      <c r="E55" s="424" t="e">
        <f>IF(W52&gt;0,"Time course interrupted, check","OK")</f>
        <v>#DIV/0!</v>
      </c>
      <c r="F55" s="424"/>
      <c r="G55" s="188"/>
      <c r="H55" s="188"/>
      <c r="I55" s="141">
        <f t="shared" ref="I55:I59" si="19">C18</f>
        <v>30</v>
      </c>
      <c r="J55" s="232" t="e">
        <f>IF(J56="","",IF(AND(J$52=TRUE,J$53=TRUE),AC38,""))</f>
        <v>#DIV/0!</v>
      </c>
    </row>
    <row r="56" spans="1:29" x14ac:dyDescent="0.2">
      <c r="A56" s="233" t="s">
        <v>85</v>
      </c>
      <c r="B56" s="303" t="e">
        <f>'t5'!$P$8/'t5'!$O$8*100</f>
        <v>#DIV/0!</v>
      </c>
      <c r="C56" s="305"/>
      <c r="D56" s="442"/>
      <c r="E56" s="424"/>
      <c r="F56" s="424"/>
      <c r="G56" s="188"/>
      <c r="H56" s="188"/>
      <c r="I56" s="141">
        <f t="shared" si="19"/>
        <v>90</v>
      </c>
      <c r="J56" s="232" t="e">
        <f>IF(J57="","",IF(AND(J$52=TRUE,J$53=TRUE),AC39,""))</f>
        <v>#DIV/0!</v>
      </c>
    </row>
    <row r="57" spans="1:29" x14ac:dyDescent="0.2">
      <c r="A57" s="306" t="s">
        <v>113</v>
      </c>
      <c r="B57" s="307" t="e">
        <f>'t6'!$P$8/'t6'!$O$8*100</f>
        <v>#DIV/0!</v>
      </c>
      <c r="C57" s="302"/>
      <c r="D57" s="442"/>
      <c r="E57" s="424"/>
      <c r="F57" s="424"/>
      <c r="G57" s="188"/>
      <c r="H57" s="188"/>
      <c r="I57" s="141">
        <f t="shared" si="19"/>
        <v>150</v>
      </c>
      <c r="J57" s="232" t="e">
        <f>IF(J58="","",IF(AND(J$52=TRUE,J$53=TRUE),AC40,""))</f>
        <v>#DIV/0!</v>
      </c>
    </row>
    <row r="58" spans="1:29" ht="26.5" customHeight="1" x14ac:dyDescent="0.25">
      <c r="A58" s="420" t="s">
        <v>170</v>
      </c>
      <c r="B58" s="420"/>
      <c r="C58" s="308" t="e">
        <f>IF('t1'!P19&gt;('t1'!O8/100*'Run specifications'!F9),"Autofluorescence may influence result","no autofluorescence")</f>
        <v>#DIV/0!</v>
      </c>
      <c r="D58" s="188"/>
      <c r="E58" s="188"/>
      <c r="F58" s="190"/>
      <c r="G58" s="188"/>
      <c r="H58" s="188"/>
      <c r="I58" s="141">
        <f t="shared" si="19"/>
        <v>210</v>
      </c>
      <c r="J58" s="232" t="e">
        <f>IF(J59="","",IF(AND(J$52=TRUE,J$53=TRUE),AC41,""))</f>
        <v>#DIV/0!</v>
      </c>
    </row>
    <row r="59" spans="1:29" ht="10.5" x14ac:dyDescent="0.25">
      <c r="A59" s="420" t="s">
        <v>169</v>
      </c>
      <c r="B59" s="420"/>
      <c r="C59" s="308" t="e">
        <f>IF('t1'!P19/'t1'!O5&lt;0.8,"potential quenching","no quenching")</f>
        <v>#DIV/0!</v>
      </c>
      <c r="D59" s="188"/>
      <c r="E59" s="188"/>
      <c r="F59" s="190"/>
      <c r="G59" s="189"/>
      <c r="H59" s="188"/>
      <c r="I59" s="141">
        <f t="shared" si="19"/>
        <v>1440</v>
      </c>
      <c r="J59" s="232" t="e">
        <f>IF(AND(J$52=TRUE,J$53=TRUE),AC42,"")</f>
        <v>#DIV/0!</v>
      </c>
    </row>
    <row r="60" spans="1:29" ht="19.899999999999999" customHeight="1" x14ac:dyDescent="0.35">
      <c r="A60" s="420" t="s">
        <v>168</v>
      </c>
      <c r="B60" s="420"/>
      <c r="C60" s="308" t="e">
        <f>IF(AD10&lt;1.25,"Depletion not time dependent","ok")</f>
        <v>#DIV/0!</v>
      </c>
      <c r="D60" s="188"/>
      <c r="E60" s="188"/>
      <c r="F60" s="190"/>
      <c r="G60" s="187"/>
      <c r="H60" s="191"/>
      <c r="I60" s="278" t="s">
        <v>164</v>
      </c>
      <c r="J60" s="234" t="e">
        <f>MAX(J54:J59)</f>
        <v>#DIV/0!</v>
      </c>
    </row>
    <row r="61" spans="1:29" ht="10.5" x14ac:dyDescent="0.25">
      <c r="A61" s="420" t="s">
        <v>171</v>
      </c>
      <c r="B61" s="420"/>
      <c r="C61" s="308" t="e">
        <f>AND(C59="potential quenching",C60="Depletion not time dependent")</f>
        <v>#DIV/0!</v>
      </c>
    </row>
    <row r="62" spans="1:29" ht="10.5" x14ac:dyDescent="0.25">
      <c r="A62" s="420" t="s">
        <v>172</v>
      </c>
      <c r="B62" s="420"/>
      <c r="C62" s="308" t="e">
        <f>AND(C58="Autofluorescence may influence result",C60="Depletion not time dependent")</f>
        <v>#DIV/0!</v>
      </c>
    </row>
  </sheetData>
  <mergeCells count="23">
    <mergeCell ref="B7:B12"/>
    <mergeCell ref="B17:B22"/>
    <mergeCell ref="W15:AA15"/>
    <mergeCell ref="I15:I16"/>
    <mergeCell ref="J15:J16"/>
    <mergeCell ref="U7:U12"/>
    <mergeCell ref="U17:U22"/>
    <mergeCell ref="E32:E49"/>
    <mergeCell ref="D5:H5"/>
    <mergeCell ref="D15:H15"/>
    <mergeCell ref="F25:F29"/>
    <mergeCell ref="D55:D57"/>
    <mergeCell ref="E55:F57"/>
    <mergeCell ref="W25:AA25"/>
    <mergeCell ref="U27:U32"/>
    <mergeCell ref="W35:AA35"/>
    <mergeCell ref="U37:U42"/>
    <mergeCell ref="U47:U52"/>
    <mergeCell ref="A62:B62"/>
    <mergeCell ref="A58:B58"/>
    <mergeCell ref="A59:B59"/>
    <mergeCell ref="A60:B60"/>
    <mergeCell ref="A61:B61"/>
  </mergeCells>
  <conditionalFormatting sqref="J52">
    <cfRule type="cellIs" dxfId="21" priority="21" operator="equal">
      <formula>FALSE</formula>
    </cfRule>
    <cfRule type="cellIs" dxfId="20" priority="22" operator="equal">
      <formula>TRUE</formula>
    </cfRule>
  </conditionalFormatting>
  <conditionalFormatting sqref="J53">
    <cfRule type="cellIs" dxfId="19" priority="15" operator="equal">
      <formula>FALSE</formula>
    </cfRule>
    <cfRule type="cellIs" dxfId="18" priority="16" operator="equal">
      <formula>TRUE</formula>
    </cfRule>
  </conditionalFormatting>
  <conditionalFormatting sqref="E55">
    <cfRule type="cellIs" dxfId="17" priority="8" operator="equal">
      <formula>"time course interrupted, check"</formula>
    </cfRule>
    <cfRule type="cellIs" dxfId="16" priority="9" operator="equal">
      <formula>"OK"</formula>
    </cfRule>
  </conditionalFormatting>
  <conditionalFormatting sqref="B52:B57">
    <cfRule type="cellIs" dxfId="15" priority="6" operator="lessThan">
      <formula>12.5</formula>
    </cfRule>
    <cfRule type="cellIs" dxfId="14" priority="7" operator="greaterThanOrEqual">
      <formula>12.5</formula>
    </cfRule>
  </conditionalFormatting>
  <conditionalFormatting sqref="C58">
    <cfRule type="cellIs" dxfId="13" priority="5" operator="equal">
      <formula>"no autofluorescence"</formula>
    </cfRule>
  </conditionalFormatting>
  <conditionalFormatting sqref="C59">
    <cfRule type="cellIs" dxfId="12" priority="4" operator="equal">
      <formula>"no quenching"</formula>
    </cfRule>
  </conditionalFormatting>
  <conditionalFormatting sqref="C60">
    <cfRule type="cellIs" dxfId="11" priority="3" operator="equal">
      <formula>"ok"</formula>
    </cfRule>
  </conditionalFormatting>
  <conditionalFormatting sqref="C61">
    <cfRule type="cellIs" dxfId="10" priority="2" operator="equal">
      <formula>FALSE</formula>
    </cfRule>
  </conditionalFormatting>
  <conditionalFormatting sqref="C62">
    <cfRule type="cellIs" dxfId="9" priority="1" operator="equal">
      <formula>FALSE</formula>
    </cfRule>
  </conditionalFormatting>
  <printOptions headings="1" gridLines="1"/>
  <pageMargins left="0.7" right="0.7" top="0.78740157499999996" bottom="0.78740157499999996" header="0.3" footer="0.3"/>
  <pageSetup paperSize="9" scale="54" fitToWidth="3" orientation="landscape" r:id="rId1"/>
  <headerFooter>
    <oddHeader>&amp;L&amp;F&amp;C&amp;A&amp;R&amp;P von &amp;N</oddHeader>
  </headerFooter>
  <colBreaks count="1" manualBreakCount="1">
    <brk id="20" max="57" man="1"/>
  </colBreaks>
  <ignoredErrors>
    <ignoredError sqref="B52:B57 C58:C59 C61" evalErro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view="pageBreakPreview" topLeftCell="A9" zoomScale="85" zoomScaleNormal="100" zoomScaleSheetLayoutView="85" workbookViewId="0">
      <selection activeCell="E54" sqref="E54"/>
    </sheetView>
  </sheetViews>
  <sheetFormatPr defaultColWidth="12" defaultRowHeight="10" x14ac:dyDescent="0.2"/>
  <cols>
    <col min="1" max="5" width="17.6640625" style="127" customWidth="1"/>
    <col min="6" max="6" width="17.6640625" style="129" customWidth="1"/>
    <col min="7" max="10" width="17.6640625" style="127" customWidth="1"/>
    <col min="11" max="20" width="12" style="127"/>
    <col min="21" max="27" width="10.44140625" style="127" customWidth="1"/>
    <col min="28" max="16384" width="12" style="127"/>
  </cols>
  <sheetData>
    <row r="1" spans="1:29" ht="10.5" x14ac:dyDescent="0.2">
      <c r="B1" s="225" t="s">
        <v>93</v>
      </c>
      <c r="C1" s="133" t="str">
        <f>'Run specifications'!B3</f>
        <v>PC</v>
      </c>
      <c r="D1" s="133" t="str">
        <f>'Run specifications'!D3</f>
        <v>Cinnamic aldehyde</v>
      </c>
      <c r="E1" s="164"/>
      <c r="F1" s="226"/>
    </row>
    <row r="2" spans="1:29" ht="11.25" customHeight="1" x14ac:dyDescent="0.2">
      <c r="B2" s="225" t="s">
        <v>61</v>
      </c>
      <c r="C2" s="133">
        <f>'Run specifications'!D1</f>
        <v>0</v>
      </c>
      <c r="D2" s="164"/>
      <c r="E2" s="164"/>
      <c r="F2" s="226"/>
    </row>
    <row r="3" spans="1:29" ht="10.5" x14ac:dyDescent="0.2">
      <c r="B3" s="227" t="s">
        <v>92</v>
      </c>
      <c r="C3" s="133">
        <f>'Run specifications'!C3</f>
        <v>0</v>
      </c>
      <c r="D3" s="228" t="s">
        <v>117</v>
      </c>
      <c r="E3" s="164"/>
      <c r="F3" s="227">
        <f>'Run specifications'!F9</f>
        <v>13.89</v>
      </c>
    </row>
    <row r="4" spans="1:29" x14ac:dyDescent="0.2">
      <c r="U4" s="235" t="s">
        <v>118</v>
      </c>
      <c r="V4" s="164"/>
      <c r="W4" s="164"/>
      <c r="X4" s="164"/>
      <c r="Y4" s="164"/>
      <c r="Z4" s="164"/>
      <c r="AA4" s="164"/>
      <c r="AB4" s="164"/>
      <c r="AC4" s="164"/>
    </row>
    <row r="5" spans="1:29" ht="11.25" customHeight="1" x14ac:dyDescent="0.2">
      <c r="B5" s="164"/>
      <c r="C5" s="230"/>
      <c r="D5" s="440" t="s">
        <v>140</v>
      </c>
      <c r="E5" s="441"/>
      <c r="F5" s="441"/>
      <c r="G5" s="441"/>
      <c r="H5" s="441"/>
      <c r="U5" s="164"/>
      <c r="V5" s="164"/>
      <c r="W5" s="164"/>
      <c r="X5" s="164"/>
      <c r="Y5" s="164"/>
      <c r="Z5" s="164"/>
      <c r="AA5" s="164"/>
      <c r="AB5" s="164"/>
      <c r="AC5" s="164"/>
    </row>
    <row r="6" spans="1:29" x14ac:dyDescent="0.2">
      <c r="A6" s="131"/>
      <c r="B6" s="164"/>
      <c r="C6" s="229"/>
      <c r="D6" s="134">
        <f>'t1'!B19</f>
        <v>5</v>
      </c>
      <c r="E6" s="134">
        <f>'t1'!B18</f>
        <v>2.5</v>
      </c>
      <c r="F6" s="135">
        <f>'t1'!B17</f>
        <v>1.25</v>
      </c>
      <c r="G6" s="135">
        <f>'t1'!B16</f>
        <v>0.625</v>
      </c>
      <c r="H6" s="135">
        <f>'t1'!B15</f>
        <v>0.3125</v>
      </c>
      <c r="U6" s="236"/>
      <c r="V6" s="236"/>
      <c r="W6" s="170">
        <f>D6</f>
        <v>5</v>
      </c>
      <c r="X6" s="170">
        <f t="shared" ref="X6:AA6" si="0">E6</f>
        <v>2.5</v>
      </c>
      <c r="Y6" s="170">
        <f t="shared" si="0"/>
        <v>1.25</v>
      </c>
      <c r="Z6" s="170">
        <f t="shared" si="0"/>
        <v>0.625</v>
      </c>
      <c r="AA6" s="172">
        <f t="shared" si="0"/>
        <v>0.3125</v>
      </c>
      <c r="AB6" s="164"/>
      <c r="AC6" s="164"/>
    </row>
    <row r="7" spans="1:29" x14ac:dyDescent="0.2">
      <c r="B7" s="437" t="s">
        <v>37</v>
      </c>
      <c r="C7" s="139">
        <f>summary!B5</f>
        <v>10</v>
      </c>
      <c r="D7" s="138" t="e">
        <f>IF(summary!N37&gt;F3,summary!N37,"")</f>
        <v>#DIV/0!</v>
      </c>
      <c r="E7" s="138" t="e">
        <f>IF(summary!N37&gt;F3,summary!N29,"")</f>
        <v>#DIV/0!</v>
      </c>
      <c r="F7" s="138" t="e">
        <f>IF(summary!N37&gt;F3,summary!N21,"")</f>
        <v>#DIV/0!</v>
      </c>
      <c r="G7" s="138" t="e">
        <f>IF(summary!N37&gt;F3,summary!N13,"")</f>
        <v>#DIV/0!</v>
      </c>
      <c r="H7" s="138" t="e">
        <f>IF(summary!N37&gt;F3,summary!N5,"")</f>
        <v>#DIV/0!</v>
      </c>
      <c r="U7" s="432" t="s">
        <v>37</v>
      </c>
      <c r="V7" s="170">
        <f>C7</f>
        <v>10</v>
      </c>
      <c r="W7" s="171" t="e">
        <f>summary!N37</f>
        <v>#DIV/0!</v>
      </c>
      <c r="X7" s="171" t="e">
        <f>summary!N29</f>
        <v>#DIV/0!</v>
      </c>
      <c r="Y7" s="171" t="e">
        <f>summary!N21</f>
        <v>#DIV/0!</v>
      </c>
      <c r="Z7" s="171" t="e">
        <f>summary!N13</f>
        <v>#DIV/0!</v>
      </c>
      <c r="AA7" s="171" t="e">
        <f>summary!N5</f>
        <v>#DIV/0!</v>
      </c>
      <c r="AB7" s="164"/>
      <c r="AC7" s="164"/>
    </row>
    <row r="8" spans="1:29" x14ac:dyDescent="0.2">
      <c r="B8" s="438"/>
      <c r="C8" s="139">
        <f>summary!B6</f>
        <v>30</v>
      </c>
      <c r="D8" s="138" t="e">
        <f>IF(summary!N38&gt;F3,summary!N38,"")</f>
        <v>#DIV/0!</v>
      </c>
      <c r="E8" s="138" t="e">
        <f>IF(summary!N38&gt;F3,summary!N30,"")</f>
        <v>#DIV/0!</v>
      </c>
      <c r="F8" s="138" t="e">
        <f>IF(summary!N38&gt;F3,summary!N22,"")</f>
        <v>#DIV/0!</v>
      </c>
      <c r="G8" s="138" t="e">
        <f>IF(summary!N38&gt;F3,summary!N14,"")</f>
        <v>#DIV/0!</v>
      </c>
      <c r="H8" s="138" t="e">
        <f>IF(summary!N38&gt;F3,summary!N6,"")</f>
        <v>#DIV/0!</v>
      </c>
      <c r="U8" s="433"/>
      <c r="V8" s="170">
        <f t="shared" ref="V8:V12" si="1">C8</f>
        <v>30</v>
      </c>
      <c r="W8" s="171" t="e">
        <f>summary!N38</f>
        <v>#DIV/0!</v>
      </c>
      <c r="X8" s="171" t="e">
        <f>summary!N30</f>
        <v>#DIV/0!</v>
      </c>
      <c r="Y8" s="171" t="e">
        <f>summary!N22</f>
        <v>#DIV/0!</v>
      </c>
      <c r="Z8" s="171" t="e">
        <f>summary!N14</f>
        <v>#DIV/0!</v>
      </c>
      <c r="AA8" s="171" t="e">
        <f>summary!N6</f>
        <v>#DIV/0!</v>
      </c>
      <c r="AB8" s="164"/>
      <c r="AC8" s="164"/>
    </row>
    <row r="9" spans="1:29" x14ac:dyDescent="0.2">
      <c r="B9" s="438"/>
      <c r="C9" s="139">
        <f>summary!B7</f>
        <v>90</v>
      </c>
      <c r="D9" s="138" t="e">
        <f>IF(summary!N39&gt;F3,summary!N39,"")</f>
        <v>#DIV/0!</v>
      </c>
      <c r="E9" s="138" t="e">
        <f>IF(summary!N39&gt;F3,summary!N31,"")</f>
        <v>#DIV/0!</v>
      </c>
      <c r="F9" s="138" t="e">
        <f>IF(summary!N39&gt;F3,summary!N23,"")</f>
        <v>#DIV/0!</v>
      </c>
      <c r="G9" s="138" t="e">
        <f>IF(summary!N39&gt;F3,summary!N15,"")</f>
        <v>#DIV/0!</v>
      </c>
      <c r="H9" s="138" t="e">
        <f>IF(summary!N39&gt;F3,summary!N7,"")</f>
        <v>#DIV/0!</v>
      </c>
      <c r="U9" s="433"/>
      <c r="V9" s="170">
        <f t="shared" si="1"/>
        <v>90</v>
      </c>
      <c r="W9" s="171" t="e">
        <f>summary!N39</f>
        <v>#DIV/0!</v>
      </c>
      <c r="X9" s="171" t="e">
        <f>summary!N31</f>
        <v>#DIV/0!</v>
      </c>
      <c r="Y9" s="171" t="e">
        <f>summary!N23</f>
        <v>#DIV/0!</v>
      </c>
      <c r="Z9" s="171" t="e">
        <f>summary!N15</f>
        <v>#DIV/0!</v>
      </c>
      <c r="AA9" s="171" t="e">
        <f>summary!N7</f>
        <v>#DIV/0!</v>
      </c>
      <c r="AB9" s="164"/>
      <c r="AC9" s="164"/>
    </row>
    <row r="10" spans="1:29" x14ac:dyDescent="0.2">
      <c r="B10" s="438"/>
      <c r="C10" s="139">
        <f>summary!B8</f>
        <v>150</v>
      </c>
      <c r="D10" s="138" t="e">
        <f>IF(summary!N40&gt;F3,summary!N40,"")</f>
        <v>#DIV/0!</v>
      </c>
      <c r="E10" s="138" t="e">
        <f>IF(summary!N40&gt;F3,summary!N32,"")</f>
        <v>#DIV/0!</v>
      </c>
      <c r="F10" s="138" t="e">
        <f>IF(summary!N40&gt;F3,summary!N24,"")</f>
        <v>#DIV/0!</v>
      </c>
      <c r="G10" s="138" t="e">
        <f>IF(summary!N40&gt;F3,summary!N16,"")</f>
        <v>#DIV/0!</v>
      </c>
      <c r="H10" s="138" t="e">
        <f>IF(summary!N40&gt;F3,summary!N8,"")</f>
        <v>#DIV/0!</v>
      </c>
      <c r="U10" s="433"/>
      <c r="V10" s="170">
        <f t="shared" si="1"/>
        <v>150</v>
      </c>
      <c r="W10" s="171" t="e">
        <f>summary!N40</f>
        <v>#DIV/0!</v>
      </c>
      <c r="X10" s="171" t="e">
        <f>summary!N32</f>
        <v>#DIV/0!</v>
      </c>
      <c r="Y10" s="171" t="e">
        <f>summary!N24</f>
        <v>#DIV/0!</v>
      </c>
      <c r="Z10" s="171" t="e">
        <f>summary!N16</f>
        <v>#DIV/0!</v>
      </c>
      <c r="AA10" s="171" t="e">
        <f>summary!N8</f>
        <v>#DIV/0!</v>
      </c>
      <c r="AB10" s="164"/>
      <c r="AC10" s="164"/>
    </row>
    <row r="11" spans="1:29" x14ac:dyDescent="0.2">
      <c r="B11" s="438"/>
      <c r="C11" s="139">
        <f>summary!B9</f>
        <v>210</v>
      </c>
      <c r="D11" s="138" t="e">
        <f>IF(summary!N41&gt;F3,summary!N41,"")</f>
        <v>#DIV/0!</v>
      </c>
      <c r="E11" s="138" t="e">
        <f>IF(summary!N41&gt;F3,summary!N33,"")</f>
        <v>#DIV/0!</v>
      </c>
      <c r="F11" s="138" t="e">
        <f>IF(summary!N41&gt;F3,summary!N25,"")</f>
        <v>#DIV/0!</v>
      </c>
      <c r="G11" s="138" t="e">
        <f>IF(summary!N41&gt;F3,summary!N17,"")</f>
        <v>#DIV/0!</v>
      </c>
      <c r="H11" s="138" t="e">
        <f>IF(summary!N41&gt;F3,summary!N9,"")</f>
        <v>#DIV/0!</v>
      </c>
      <c r="U11" s="433"/>
      <c r="V11" s="170">
        <f t="shared" si="1"/>
        <v>210</v>
      </c>
      <c r="W11" s="171" t="e">
        <f>summary!N41</f>
        <v>#DIV/0!</v>
      </c>
      <c r="X11" s="171" t="e">
        <f>summary!N33</f>
        <v>#DIV/0!</v>
      </c>
      <c r="Y11" s="171" t="e">
        <f>summary!N25</f>
        <v>#DIV/0!</v>
      </c>
      <c r="Z11" s="171" t="e">
        <f>summary!N17</f>
        <v>#DIV/0!</v>
      </c>
      <c r="AA11" s="171" t="e">
        <f>summary!N9</f>
        <v>#DIV/0!</v>
      </c>
      <c r="AB11" s="164"/>
      <c r="AC11" s="164"/>
    </row>
    <row r="12" spans="1:29" x14ac:dyDescent="0.2">
      <c r="B12" s="439"/>
      <c r="C12" s="139">
        <f>summary!B10</f>
        <v>1440</v>
      </c>
      <c r="D12" s="138" t="e">
        <f>IF(summary!N42&gt;F3,summary!N42,"")</f>
        <v>#DIV/0!</v>
      </c>
      <c r="E12" s="138" t="e">
        <f>IF(summary!N42&gt;F3,summary!N34,"")</f>
        <v>#DIV/0!</v>
      </c>
      <c r="F12" s="138" t="e">
        <f>IF(summary!N42&gt;F3,summary!N26,"")</f>
        <v>#DIV/0!</v>
      </c>
      <c r="G12" s="138" t="e">
        <f>IF(summary!N42&gt;F3,summary!N18,"")</f>
        <v>#DIV/0!</v>
      </c>
      <c r="H12" s="138" t="e">
        <f>IF(summary!N42&gt;F3,summary!N10,"")</f>
        <v>#DIV/0!</v>
      </c>
      <c r="U12" s="434"/>
      <c r="V12" s="170">
        <f t="shared" si="1"/>
        <v>1440</v>
      </c>
      <c r="W12" s="171" t="e">
        <f>summary!N42</f>
        <v>#DIV/0!</v>
      </c>
      <c r="X12" s="171" t="e">
        <f>summary!N34</f>
        <v>#DIV/0!</v>
      </c>
      <c r="Y12" s="171" t="e">
        <f>summary!N26</f>
        <v>#DIV/0!</v>
      </c>
      <c r="Z12" s="171" t="e">
        <f>summary!N18</f>
        <v>#DIV/0!</v>
      </c>
      <c r="AA12" s="171" t="e">
        <f>summary!N10</f>
        <v>#DIV/0!</v>
      </c>
      <c r="AB12" s="164"/>
      <c r="AC12" s="164"/>
    </row>
    <row r="13" spans="1:29" x14ac:dyDescent="0.2">
      <c r="B13" s="66"/>
      <c r="C13" s="66"/>
      <c r="D13" s="66"/>
      <c r="E13" s="66"/>
      <c r="F13" s="66"/>
      <c r="G13" s="66"/>
      <c r="H13" s="66"/>
      <c r="U13" s="120"/>
      <c r="V13" s="120"/>
      <c r="W13" s="120"/>
      <c r="X13" s="120"/>
      <c r="Y13" s="120"/>
      <c r="Z13" s="120"/>
      <c r="AA13" s="120"/>
      <c r="AB13" s="164"/>
      <c r="AC13" s="164"/>
    </row>
    <row r="14" spans="1:29" x14ac:dyDescent="0.2">
      <c r="F14" s="127"/>
      <c r="U14" s="235" t="s">
        <v>118</v>
      </c>
      <c r="V14" s="237"/>
      <c r="W14" s="237"/>
      <c r="X14" s="237"/>
      <c r="Y14" s="237"/>
      <c r="Z14" s="237"/>
      <c r="AA14" s="237"/>
      <c r="AB14" s="164"/>
      <c r="AC14" s="164"/>
    </row>
    <row r="15" spans="1:29" x14ac:dyDescent="0.2">
      <c r="B15" s="164"/>
      <c r="C15" s="230"/>
      <c r="D15" s="440" t="s">
        <v>94</v>
      </c>
      <c r="E15" s="441"/>
      <c r="F15" s="441"/>
      <c r="G15" s="441"/>
      <c r="H15" s="441"/>
      <c r="I15" s="435" t="s">
        <v>24</v>
      </c>
      <c r="J15" s="435" t="s">
        <v>25</v>
      </c>
      <c r="U15" s="237"/>
      <c r="V15" s="236"/>
      <c r="W15" s="431" t="s">
        <v>94</v>
      </c>
      <c r="X15" s="431"/>
      <c r="Y15" s="431"/>
      <c r="Z15" s="431"/>
      <c r="AA15" s="431"/>
      <c r="AB15" s="164"/>
      <c r="AC15" s="164"/>
    </row>
    <row r="16" spans="1:29" x14ac:dyDescent="0.2">
      <c r="B16" s="164"/>
      <c r="C16" s="229"/>
      <c r="D16" s="134">
        <f>D6</f>
        <v>5</v>
      </c>
      <c r="E16" s="134">
        <f>E6</f>
        <v>2.5</v>
      </c>
      <c r="F16" s="135">
        <f>F6</f>
        <v>1.25</v>
      </c>
      <c r="G16" s="135">
        <f>G6</f>
        <v>0.625</v>
      </c>
      <c r="H16" s="135">
        <f>H6</f>
        <v>0.3125</v>
      </c>
      <c r="I16" s="436"/>
      <c r="J16" s="436"/>
      <c r="U16" s="237"/>
      <c r="V16" s="236"/>
      <c r="W16" s="166">
        <f>W6</f>
        <v>5</v>
      </c>
      <c r="X16" s="166">
        <f>X6</f>
        <v>2.5</v>
      </c>
      <c r="Y16" s="167">
        <f>Y6</f>
        <v>1.25</v>
      </c>
      <c r="Z16" s="168">
        <f>Z6</f>
        <v>0.625</v>
      </c>
      <c r="AA16" s="169">
        <f>AA6</f>
        <v>0.3125</v>
      </c>
      <c r="AB16" s="164"/>
      <c r="AC16" s="164"/>
    </row>
    <row r="17" spans="2:29" x14ac:dyDescent="0.2">
      <c r="B17" s="437" t="s">
        <v>37</v>
      </c>
      <c r="C17" s="139">
        <f>C7</f>
        <v>10</v>
      </c>
      <c r="D17" s="138" t="e">
        <f t="shared" ref="D17:H22" si="2">IF(D7="","",IF(E7&gt;95,"",LN(100-D7)))</f>
        <v>#DIV/0!</v>
      </c>
      <c r="E17" s="138" t="e">
        <f t="shared" si="2"/>
        <v>#DIV/0!</v>
      </c>
      <c r="F17" s="138" t="e">
        <f t="shared" si="2"/>
        <v>#DIV/0!</v>
      </c>
      <c r="G17" s="138" t="e">
        <f t="shared" si="2"/>
        <v>#DIV/0!</v>
      </c>
      <c r="H17" s="138" t="e">
        <f t="shared" si="2"/>
        <v>#DIV/0!</v>
      </c>
      <c r="I17" s="140" t="e">
        <f>IF(H17="","",ABS(SLOPE(D17:H17,$D$16:$H$16)))</f>
        <v>#DIV/0!</v>
      </c>
      <c r="J17" s="140" t="e">
        <f>IF(H17="","",ABS(CORREL(D17:H17,$D$16:$H$16)))</f>
        <v>#DIV/0!</v>
      </c>
      <c r="U17" s="432" t="s">
        <v>37</v>
      </c>
      <c r="V17" s="170">
        <f>V7</f>
        <v>10</v>
      </c>
      <c r="W17" s="171" t="e">
        <f>(LN(100-W7))</f>
        <v>#DIV/0!</v>
      </c>
      <c r="X17" s="171" t="e">
        <f>(LN(100-X7))</f>
        <v>#DIV/0!</v>
      </c>
      <c r="Y17" s="171" t="e">
        <f>(LN(100-Y7))</f>
        <v>#DIV/0!</v>
      </c>
      <c r="Z17" s="171" t="e">
        <f>(LN(100-Z7))</f>
        <v>#DIV/0!</v>
      </c>
      <c r="AA17" s="171" t="e">
        <f>(LN(100-AA7))</f>
        <v>#DIV/0!</v>
      </c>
      <c r="AB17" s="164"/>
      <c r="AC17" s="164"/>
    </row>
    <row r="18" spans="2:29" x14ac:dyDescent="0.2">
      <c r="B18" s="438"/>
      <c r="C18" s="139">
        <f>C8</f>
        <v>30</v>
      </c>
      <c r="D18" s="138" t="e">
        <f t="shared" si="2"/>
        <v>#DIV/0!</v>
      </c>
      <c r="E18" s="138" t="e">
        <f t="shared" si="2"/>
        <v>#DIV/0!</v>
      </c>
      <c r="F18" s="138" t="e">
        <f t="shared" si="2"/>
        <v>#DIV/0!</v>
      </c>
      <c r="G18" s="138" t="e">
        <f t="shared" si="2"/>
        <v>#DIV/0!</v>
      </c>
      <c r="H18" s="138" t="e">
        <f t="shared" si="2"/>
        <v>#DIV/0!</v>
      </c>
      <c r="I18" s="140" t="e">
        <f t="shared" ref="I18:I22" si="3">IF(H18="","",ABS(SLOPE(D18:H18,$D$16:$H$16)))</f>
        <v>#DIV/0!</v>
      </c>
      <c r="J18" s="140" t="e">
        <f t="shared" ref="J18:J22" si="4">IF(H18="","",ABS(CORREL(D18:H18,$D$16:$H$16)))</f>
        <v>#DIV/0!</v>
      </c>
      <c r="U18" s="433"/>
      <c r="V18" s="170">
        <f>V8</f>
        <v>30</v>
      </c>
      <c r="W18" s="171" t="e">
        <f t="shared" ref="W18:AA22" si="5">(LN(100-W8))</f>
        <v>#DIV/0!</v>
      </c>
      <c r="X18" s="171" t="e">
        <f t="shared" si="5"/>
        <v>#DIV/0!</v>
      </c>
      <c r="Y18" s="171" t="e">
        <f t="shared" si="5"/>
        <v>#DIV/0!</v>
      </c>
      <c r="Z18" s="171" t="e">
        <f t="shared" si="5"/>
        <v>#DIV/0!</v>
      </c>
      <c r="AA18" s="171" t="e">
        <f t="shared" si="5"/>
        <v>#DIV/0!</v>
      </c>
      <c r="AB18" s="164"/>
      <c r="AC18" s="164"/>
    </row>
    <row r="19" spans="2:29" x14ac:dyDescent="0.2">
      <c r="B19" s="438"/>
      <c r="C19" s="139">
        <f>C9</f>
        <v>90</v>
      </c>
      <c r="D19" s="138" t="e">
        <f t="shared" si="2"/>
        <v>#DIV/0!</v>
      </c>
      <c r="E19" s="138" t="e">
        <f t="shared" si="2"/>
        <v>#DIV/0!</v>
      </c>
      <c r="F19" s="138" t="e">
        <f t="shared" si="2"/>
        <v>#DIV/0!</v>
      </c>
      <c r="G19" s="138" t="e">
        <f t="shared" si="2"/>
        <v>#DIV/0!</v>
      </c>
      <c r="H19" s="138" t="e">
        <f t="shared" si="2"/>
        <v>#DIV/0!</v>
      </c>
      <c r="I19" s="140" t="e">
        <f t="shared" si="3"/>
        <v>#DIV/0!</v>
      </c>
      <c r="J19" s="140" t="e">
        <f t="shared" si="4"/>
        <v>#DIV/0!</v>
      </c>
      <c r="U19" s="433"/>
      <c r="V19" s="170">
        <f>V9</f>
        <v>90</v>
      </c>
      <c r="W19" s="171" t="e">
        <f t="shared" si="5"/>
        <v>#DIV/0!</v>
      </c>
      <c r="X19" s="171" t="e">
        <f t="shared" si="5"/>
        <v>#DIV/0!</v>
      </c>
      <c r="Y19" s="171" t="e">
        <f t="shared" si="5"/>
        <v>#DIV/0!</v>
      </c>
      <c r="Z19" s="171" t="e">
        <f t="shared" si="5"/>
        <v>#DIV/0!</v>
      </c>
      <c r="AA19" s="171" t="e">
        <f t="shared" si="5"/>
        <v>#DIV/0!</v>
      </c>
      <c r="AB19" s="164"/>
      <c r="AC19" s="164"/>
    </row>
    <row r="20" spans="2:29" x14ac:dyDescent="0.2">
      <c r="B20" s="438"/>
      <c r="C20" s="139">
        <f>C10</f>
        <v>150</v>
      </c>
      <c r="D20" s="138" t="e">
        <f t="shared" si="2"/>
        <v>#DIV/0!</v>
      </c>
      <c r="E20" s="138" t="e">
        <f t="shared" si="2"/>
        <v>#DIV/0!</v>
      </c>
      <c r="F20" s="138" t="e">
        <f t="shared" si="2"/>
        <v>#DIV/0!</v>
      </c>
      <c r="G20" s="138" t="e">
        <f t="shared" si="2"/>
        <v>#DIV/0!</v>
      </c>
      <c r="H20" s="138" t="e">
        <f t="shared" si="2"/>
        <v>#DIV/0!</v>
      </c>
      <c r="I20" s="140" t="e">
        <f t="shared" si="3"/>
        <v>#DIV/0!</v>
      </c>
      <c r="J20" s="140" t="e">
        <f t="shared" si="4"/>
        <v>#DIV/0!</v>
      </c>
      <c r="U20" s="433"/>
      <c r="V20" s="170">
        <f>V10</f>
        <v>150</v>
      </c>
      <c r="W20" s="171" t="e">
        <f t="shared" si="5"/>
        <v>#DIV/0!</v>
      </c>
      <c r="X20" s="171" t="e">
        <f t="shared" si="5"/>
        <v>#DIV/0!</v>
      </c>
      <c r="Y20" s="171" t="e">
        <f t="shared" si="5"/>
        <v>#DIV/0!</v>
      </c>
      <c r="Z20" s="171" t="e">
        <f t="shared" si="5"/>
        <v>#DIV/0!</v>
      </c>
      <c r="AA20" s="171" t="e">
        <f t="shared" si="5"/>
        <v>#DIV/0!</v>
      </c>
      <c r="AB20" s="164"/>
      <c r="AC20" s="164"/>
    </row>
    <row r="21" spans="2:29" x14ac:dyDescent="0.2">
      <c r="B21" s="438"/>
      <c r="C21" s="139">
        <f>C11</f>
        <v>210</v>
      </c>
      <c r="D21" s="138" t="e">
        <f t="shared" si="2"/>
        <v>#DIV/0!</v>
      </c>
      <c r="E21" s="138" t="e">
        <f t="shared" si="2"/>
        <v>#DIV/0!</v>
      </c>
      <c r="F21" s="138" t="e">
        <f t="shared" si="2"/>
        <v>#DIV/0!</v>
      </c>
      <c r="G21" s="138" t="e">
        <f t="shared" si="2"/>
        <v>#DIV/0!</v>
      </c>
      <c r="H21" s="138" t="e">
        <f t="shared" si="2"/>
        <v>#DIV/0!</v>
      </c>
      <c r="I21" s="140" t="e">
        <f t="shared" si="3"/>
        <v>#DIV/0!</v>
      </c>
      <c r="J21" s="140" t="e">
        <f t="shared" si="4"/>
        <v>#DIV/0!</v>
      </c>
      <c r="U21" s="433"/>
      <c r="V21" s="170">
        <f>V11</f>
        <v>210</v>
      </c>
      <c r="W21" s="171" t="e">
        <f t="shared" si="5"/>
        <v>#DIV/0!</v>
      </c>
      <c r="X21" s="171" t="e">
        <f t="shared" si="5"/>
        <v>#DIV/0!</v>
      </c>
      <c r="Y21" s="171" t="e">
        <f t="shared" si="5"/>
        <v>#DIV/0!</v>
      </c>
      <c r="Z21" s="171" t="e">
        <f t="shared" si="5"/>
        <v>#DIV/0!</v>
      </c>
      <c r="AA21" s="171" t="e">
        <f t="shared" si="5"/>
        <v>#DIV/0!</v>
      </c>
      <c r="AB21" s="164"/>
      <c r="AC21" s="164"/>
    </row>
    <row r="22" spans="2:29" x14ac:dyDescent="0.2">
      <c r="B22" s="439"/>
      <c r="C22" s="139">
        <f t="shared" ref="C22" si="6">C12</f>
        <v>1440</v>
      </c>
      <c r="D22" s="138" t="e">
        <f t="shared" si="2"/>
        <v>#DIV/0!</v>
      </c>
      <c r="E22" s="138" t="e">
        <f t="shared" si="2"/>
        <v>#DIV/0!</v>
      </c>
      <c r="F22" s="138" t="e">
        <f t="shared" si="2"/>
        <v>#DIV/0!</v>
      </c>
      <c r="G22" s="138" t="e">
        <f t="shared" si="2"/>
        <v>#DIV/0!</v>
      </c>
      <c r="H22" s="138" t="e">
        <f t="shared" si="2"/>
        <v>#DIV/0!</v>
      </c>
      <c r="I22" s="140" t="e">
        <f t="shared" si="3"/>
        <v>#DIV/0!</v>
      </c>
      <c r="J22" s="140" t="e">
        <f t="shared" si="4"/>
        <v>#DIV/0!</v>
      </c>
      <c r="U22" s="434"/>
      <c r="V22" s="170">
        <f t="shared" ref="V22" si="7">V12</f>
        <v>1440</v>
      </c>
      <c r="W22" s="171" t="e">
        <f t="shared" si="5"/>
        <v>#DIV/0!</v>
      </c>
      <c r="X22" s="171" t="e">
        <f t="shared" si="5"/>
        <v>#DIV/0!</v>
      </c>
      <c r="Y22" s="171" t="e">
        <f t="shared" si="5"/>
        <v>#DIV/0!</v>
      </c>
      <c r="Z22" s="171" t="e">
        <f t="shared" si="5"/>
        <v>#DIV/0!</v>
      </c>
      <c r="AA22" s="171" t="e">
        <f t="shared" si="5"/>
        <v>#DIV/0!</v>
      </c>
      <c r="AB22" s="164"/>
      <c r="AC22" s="164"/>
    </row>
    <row r="23" spans="2:29" x14ac:dyDescent="0.2">
      <c r="B23" s="66"/>
      <c r="C23" s="66"/>
      <c r="D23" s="66"/>
      <c r="E23" s="66"/>
      <c r="F23" s="66"/>
      <c r="G23" s="66"/>
      <c r="H23" s="66"/>
      <c r="I23" s="66"/>
      <c r="J23" s="66"/>
      <c r="U23" s="120"/>
      <c r="V23" s="120"/>
      <c r="W23" s="120"/>
      <c r="X23" s="120"/>
      <c r="Y23" s="120"/>
      <c r="Z23" s="120"/>
      <c r="AA23" s="120"/>
      <c r="AB23" s="164"/>
      <c r="AC23" s="164"/>
    </row>
    <row r="24" spans="2:29" x14ac:dyDescent="0.2">
      <c r="C24" s="132"/>
      <c r="D24" s="66"/>
      <c r="E24" s="66"/>
      <c r="F24" s="127"/>
      <c r="U24" s="235" t="s">
        <v>131</v>
      </c>
      <c r="V24" s="164"/>
      <c r="W24" s="164"/>
      <c r="X24" s="164"/>
      <c r="Y24" s="164"/>
      <c r="Z24" s="164"/>
      <c r="AA24" s="164"/>
      <c r="AB24" s="164"/>
      <c r="AC24" s="164"/>
    </row>
    <row r="25" spans="2:29" ht="10.15" customHeight="1" thickBot="1" x14ac:dyDescent="0.25">
      <c r="B25" s="239" t="s">
        <v>37</v>
      </c>
      <c r="C25" s="239" t="s">
        <v>38</v>
      </c>
      <c r="D25" s="66"/>
      <c r="E25" s="66"/>
      <c r="F25" s="421" t="s">
        <v>126</v>
      </c>
      <c r="G25" s="240" t="s">
        <v>24</v>
      </c>
      <c r="H25" s="240" t="s">
        <v>25</v>
      </c>
      <c r="U25" s="237"/>
      <c r="V25" s="236"/>
      <c r="W25" s="431" t="s">
        <v>132</v>
      </c>
      <c r="X25" s="431"/>
      <c r="Y25" s="431"/>
      <c r="Z25" s="431"/>
      <c r="AA25" s="431"/>
      <c r="AB25" s="164"/>
      <c r="AC25" s="164"/>
    </row>
    <row r="26" spans="2:29" ht="11.25" customHeight="1" x14ac:dyDescent="0.2">
      <c r="B26" s="141">
        <f t="shared" ref="B26:B30" si="8">C7</f>
        <v>10</v>
      </c>
      <c r="C26" s="140" t="e">
        <f t="shared" ref="C26:C30" si="9">I17</f>
        <v>#DIV/0!</v>
      </c>
      <c r="D26" s="66"/>
      <c r="E26" s="66"/>
      <c r="F26" s="422"/>
      <c r="G26" s="231" t="s">
        <v>0</v>
      </c>
      <c r="H26" s="164"/>
      <c r="I26" s="66"/>
      <c r="U26" s="237"/>
      <c r="V26" s="236"/>
      <c r="W26" s="166">
        <f>W16</f>
        <v>5</v>
      </c>
      <c r="X26" s="166">
        <f>X16</f>
        <v>2.5</v>
      </c>
      <c r="Y26" s="167">
        <f>Y16</f>
        <v>1.25</v>
      </c>
      <c r="Z26" s="168">
        <f>Z16</f>
        <v>0.625</v>
      </c>
      <c r="AA26" s="169">
        <f>AA16</f>
        <v>0.3125</v>
      </c>
      <c r="AB26" s="164"/>
      <c r="AC26" s="164"/>
    </row>
    <row r="27" spans="2:29" ht="10.5" thickBot="1" x14ac:dyDescent="0.25">
      <c r="B27" s="141">
        <f t="shared" si="8"/>
        <v>30</v>
      </c>
      <c r="C27" s="140" t="e">
        <f t="shared" si="9"/>
        <v>#DIV/0!</v>
      </c>
      <c r="D27" s="66"/>
      <c r="E27" s="66"/>
      <c r="F27" s="422"/>
      <c r="G27" s="142" t="e">
        <f>SLOPE(C26:C30,B26:B30)</f>
        <v>#DIV/0!</v>
      </c>
      <c r="H27" s="143" t="e">
        <f>CORREL(C26:C30,B26:B30)</f>
        <v>#DIV/0!</v>
      </c>
      <c r="U27" s="432" t="s">
        <v>37</v>
      </c>
      <c r="V27" s="170">
        <f>V17</f>
        <v>10</v>
      </c>
      <c r="W27" s="171" t="e">
        <f>IF(OR(D7="",OR(D7&lt;$F$3,$D7&lt;$F$3)),"",(LN(100/(100-D7)))/(W$26/1000)/($V27*60))</f>
        <v>#DIV/0!</v>
      </c>
      <c r="X27" s="171" t="e">
        <f>IF(OR(E7="",OR(E7&lt;$F$3,D7&lt;$F$3)),"",(LN(100/(100-E7)))/(X$26/1000)/($V27*60))</f>
        <v>#DIV/0!</v>
      </c>
      <c r="Y27" s="171" t="e">
        <f t="shared" ref="Y27:AA32" si="10">IF(OR(F7="",OR(F7&lt;$F$3,E7&lt;$F$3)),"",(LN(100/(100-F7)))/(Y$26/1000)/($V27*60))</f>
        <v>#DIV/0!</v>
      </c>
      <c r="Z27" s="171" t="e">
        <f t="shared" si="10"/>
        <v>#DIV/0!</v>
      </c>
      <c r="AA27" s="171" t="e">
        <f t="shared" si="10"/>
        <v>#DIV/0!</v>
      </c>
      <c r="AB27" s="164"/>
      <c r="AC27" s="164"/>
    </row>
    <row r="28" spans="2:29" x14ac:dyDescent="0.2">
      <c r="B28" s="141">
        <f t="shared" si="8"/>
        <v>90</v>
      </c>
      <c r="C28" s="140" t="e">
        <f t="shared" si="9"/>
        <v>#DIV/0!</v>
      </c>
      <c r="D28" s="66"/>
      <c r="E28" s="66"/>
      <c r="F28" s="422"/>
      <c r="G28" s="163" t="s">
        <v>26</v>
      </c>
      <c r="H28" s="164"/>
      <c r="U28" s="433"/>
      <c r="V28" s="170">
        <f>V18</f>
        <v>30</v>
      </c>
      <c r="W28" s="171" t="e">
        <f t="shared" ref="W28:W32" si="11">IF(OR(D8="",OR(D8&lt;$F$3,$D8&lt;$F$3)),"",(LN(100/(100-D8)))/(W$26/1000)/($V28*60))</f>
        <v>#DIV/0!</v>
      </c>
      <c r="X28" s="171" t="e">
        <f t="shared" ref="X28:X32" si="12">IF(OR(E8="",OR(E8&lt;$F$3,D8&lt;$F$3)),"",(LN(100/(100-E8)))/(X$26/1000)/($V28*60))</f>
        <v>#DIV/0!</v>
      </c>
      <c r="Y28" s="171" t="e">
        <f t="shared" si="10"/>
        <v>#DIV/0!</v>
      </c>
      <c r="Z28" s="171" t="e">
        <f t="shared" si="10"/>
        <v>#DIV/0!</v>
      </c>
      <c r="AA28" s="171" t="e">
        <f t="shared" si="10"/>
        <v>#DIV/0!</v>
      </c>
      <c r="AB28" s="164"/>
      <c r="AC28" s="164"/>
    </row>
    <row r="29" spans="2:29" x14ac:dyDescent="0.2">
      <c r="B29" s="141">
        <f t="shared" si="8"/>
        <v>150</v>
      </c>
      <c r="C29" s="140" t="e">
        <f t="shared" si="9"/>
        <v>#DIV/0!</v>
      </c>
      <c r="D29" s="66"/>
      <c r="E29" s="66"/>
      <c r="F29" s="423"/>
      <c r="G29" s="144" t="e">
        <f>(G27/60)*1000</f>
        <v>#DIV/0!</v>
      </c>
      <c r="H29" s="120"/>
      <c r="U29" s="433"/>
      <c r="V29" s="170">
        <f>V19</f>
        <v>90</v>
      </c>
      <c r="W29" s="171" t="e">
        <f t="shared" si="11"/>
        <v>#DIV/0!</v>
      </c>
      <c r="X29" s="171" t="e">
        <f t="shared" si="12"/>
        <v>#DIV/0!</v>
      </c>
      <c r="Y29" s="171" t="e">
        <f t="shared" si="10"/>
        <v>#DIV/0!</v>
      </c>
      <c r="Z29" s="171" t="e">
        <f t="shared" si="10"/>
        <v>#DIV/0!</v>
      </c>
      <c r="AA29" s="171" t="e">
        <f t="shared" si="10"/>
        <v>#DIV/0!</v>
      </c>
      <c r="AB29" s="238"/>
      <c r="AC29" s="164"/>
    </row>
    <row r="30" spans="2:29" x14ac:dyDescent="0.2">
      <c r="B30" s="141">
        <f t="shared" si="8"/>
        <v>210</v>
      </c>
      <c r="C30" s="140" t="e">
        <f t="shared" si="9"/>
        <v>#DIV/0!</v>
      </c>
      <c r="D30" s="66"/>
      <c r="E30" s="66"/>
      <c r="F30" s="127"/>
      <c r="U30" s="433"/>
      <c r="V30" s="170">
        <f>V20</f>
        <v>150</v>
      </c>
      <c r="W30" s="171" t="e">
        <f t="shared" si="11"/>
        <v>#DIV/0!</v>
      </c>
      <c r="X30" s="171" t="e">
        <f t="shared" si="12"/>
        <v>#DIV/0!</v>
      </c>
      <c r="Y30" s="171" t="e">
        <f t="shared" si="10"/>
        <v>#DIV/0!</v>
      </c>
      <c r="Z30" s="171" t="e">
        <f t="shared" si="10"/>
        <v>#DIV/0!</v>
      </c>
      <c r="AA30" s="171" t="e">
        <f t="shared" si="10"/>
        <v>#DIV/0!</v>
      </c>
      <c r="AB30" s="238"/>
      <c r="AC30" s="164"/>
    </row>
    <row r="31" spans="2:29" ht="10.5" x14ac:dyDescent="0.25">
      <c r="B31" s="66"/>
      <c r="C31" s="66"/>
      <c r="D31" s="66"/>
      <c r="E31" s="164"/>
      <c r="F31" s="239" t="s">
        <v>37</v>
      </c>
      <c r="G31" s="239" t="s">
        <v>24</v>
      </c>
      <c r="H31" s="241"/>
      <c r="I31" s="239" t="s">
        <v>25</v>
      </c>
      <c r="J31" s="242" t="s">
        <v>39</v>
      </c>
      <c r="U31" s="433"/>
      <c r="V31" s="170">
        <f>V21</f>
        <v>210</v>
      </c>
      <c r="W31" s="171" t="e">
        <f t="shared" si="11"/>
        <v>#DIV/0!</v>
      </c>
      <c r="X31" s="171" t="e">
        <f t="shared" si="12"/>
        <v>#DIV/0!</v>
      </c>
      <c r="Y31" s="171" t="e">
        <f t="shared" si="10"/>
        <v>#DIV/0!</v>
      </c>
      <c r="Z31" s="171" t="e">
        <f t="shared" si="10"/>
        <v>#DIV/0!</v>
      </c>
      <c r="AA31" s="171" t="e">
        <f t="shared" si="10"/>
        <v>#DIV/0!</v>
      </c>
      <c r="AB31" s="238"/>
      <c r="AC31" s="164"/>
    </row>
    <row r="32" spans="2:29" ht="10.15" customHeight="1" x14ac:dyDescent="0.25">
      <c r="E32" s="421" t="s">
        <v>111</v>
      </c>
      <c r="F32" s="145"/>
      <c r="G32" s="146"/>
      <c r="H32" s="147"/>
      <c r="I32" s="148"/>
      <c r="J32" s="149"/>
      <c r="U32" s="434"/>
      <c r="V32" s="170">
        <f t="shared" ref="V32" si="13">V22</f>
        <v>1440</v>
      </c>
      <c r="W32" s="171" t="e">
        <f t="shared" si="11"/>
        <v>#DIV/0!</v>
      </c>
      <c r="X32" s="171" t="e">
        <f t="shared" si="12"/>
        <v>#DIV/0!</v>
      </c>
      <c r="Y32" s="171" t="e">
        <f t="shared" si="10"/>
        <v>#DIV/0!</v>
      </c>
      <c r="Z32" s="171" t="e">
        <f t="shared" si="10"/>
        <v>#DIV/0!</v>
      </c>
      <c r="AA32" s="171" t="e">
        <f t="shared" si="10"/>
        <v>#DIV/0!</v>
      </c>
      <c r="AB32" s="238"/>
      <c r="AC32" s="164"/>
    </row>
    <row r="33" spans="5:29" ht="10.15" customHeight="1" x14ac:dyDescent="0.25">
      <c r="E33" s="422"/>
      <c r="F33" s="150">
        <f>C17</f>
        <v>10</v>
      </c>
      <c r="G33" s="151" t="e">
        <f>IF(H17="","",ABS(SLOPE(D17:H17,$D$16:$H$16)))</f>
        <v>#DIV/0!</v>
      </c>
      <c r="H33" s="141" t="s">
        <v>27</v>
      </c>
      <c r="I33" s="152" t="e">
        <f>IF(G33="","",ABS(CORREL(D17:H17,D16:H16)))</f>
        <v>#DIV/0!</v>
      </c>
      <c r="J33" s="153"/>
      <c r="U33" s="164"/>
      <c r="V33" s="164"/>
      <c r="W33" s="164"/>
      <c r="X33" s="164"/>
      <c r="Y33" s="164"/>
      <c r="Z33" s="164"/>
      <c r="AA33" s="164"/>
      <c r="AB33" s="164"/>
      <c r="AC33" s="164"/>
    </row>
    <row r="34" spans="5:29" ht="10.5" x14ac:dyDescent="0.25">
      <c r="E34" s="422"/>
      <c r="F34" s="154"/>
      <c r="G34" s="155" t="e">
        <f>IF(G33="","",G33*1000/(60*F33))</f>
        <v>#DIV/0!</v>
      </c>
      <c r="H34" s="141" t="s">
        <v>26</v>
      </c>
      <c r="I34" s="156"/>
      <c r="J34" s="157" t="e">
        <f>IF(G33="","",IF(I33&gt;0.9,LOG(G34),""))</f>
        <v>#DIV/0!</v>
      </c>
      <c r="U34" s="235" t="s">
        <v>133</v>
      </c>
      <c r="V34" s="235"/>
      <c r="W34" s="164"/>
      <c r="X34" s="164"/>
      <c r="Y34" s="164"/>
      <c r="Z34" s="164"/>
      <c r="AA34" s="164"/>
      <c r="AB34" s="164"/>
      <c r="AC34" s="164"/>
    </row>
    <row r="35" spans="5:29" ht="10.5" x14ac:dyDescent="0.25">
      <c r="E35" s="422"/>
      <c r="F35" s="158"/>
      <c r="G35" s="159"/>
      <c r="H35" s="148"/>
      <c r="I35" s="148"/>
      <c r="J35" s="149"/>
      <c r="U35" s="237"/>
      <c r="V35" s="236"/>
      <c r="W35" s="431" t="s">
        <v>176</v>
      </c>
      <c r="X35" s="431"/>
      <c r="Y35" s="431"/>
      <c r="Z35" s="431"/>
      <c r="AA35" s="431"/>
      <c r="AB35" s="169" t="s">
        <v>134</v>
      </c>
      <c r="AC35" s="169" t="s">
        <v>135</v>
      </c>
    </row>
    <row r="36" spans="5:29" ht="10.5" x14ac:dyDescent="0.25">
      <c r="E36" s="422"/>
      <c r="F36" s="150">
        <f>C18</f>
        <v>30</v>
      </c>
      <c r="G36" s="151" t="e">
        <f>IF(H18="","",ABS(SLOPE(D18:H18,$D$16:$H$16)))</f>
        <v>#DIV/0!</v>
      </c>
      <c r="H36" s="141" t="s">
        <v>27</v>
      </c>
      <c r="I36" s="152" t="e">
        <f>IF(G36="","",ABS(CORREL(D18:H18,D16:H16)))</f>
        <v>#DIV/0!</v>
      </c>
      <c r="J36" s="153"/>
      <c r="U36" s="237"/>
      <c r="V36" s="236"/>
      <c r="W36" s="166">
        <f>W26</f>
        <v>5</v>
      </c>
      <c r="X36" s="166">
        <f>X26</f>
        <v>2.5</v>
      </c>
      <c r="Y36" s="167">
        <f>Y26</f>
        <v>1.25</v>
      </c>
      <c r="Z36" s="168">
        <f>Z26</f>
        <v>0.625</v>
      </c>
      <c r="AA36" s="169">
        <f>AA26</f>
        <v>0.3125</v>
      </c>
      <c r="AB36" s="169"/>
      <c r="AC36" s="169"/>
    </row>
    <row r="37" spans="5:29" ht="10.5" x14ac:dyDescent="0.25">
      <c r="E37" s="422"/>
      <c r="F37" s="154"/>
      <c r="G37" s="155" t="e">
        <f>IF(G36="","",G36*1000/(60*F36))</f>
        <v>#DIV/0!</v>
      </c>
      <c r="H37" s="141" t="s">
        <v>26</v>
      </c>
      <c r="I37" s="160"/>
      <c r="J37" s="157" t="e">
        <f>IF(G36="","",IF(I36&gt;0.9,LOG(G37),""))</f>
        <v>#DIV/0!</v>
      </c>
      <c r="U37" s="432" t="s">
        <v>37</v>
      </c>
      <c r="V37" s="170">
        <f>V27</f>
        <v>10</v>
      </c>
      <c r="W37" s="171" t="e">
        <f>IF(W27="","",LOG(W27))</f>
        <v>#DIV/0!</v>
      </c>
      <c r="X37" s="171" t="e">
        <f t="shared" ref="X37:AA37" si="14">IF(X27="","",LOG(X27))</f>
        <v>#DIV/0!</v>
      </c>
      <c r="Y37" s="171" t="e">
        <f t="shared" si="14"/>
        <v>#DIV/0!</v>
      </c>
      <c r="Z37" s="171" t="e">
        <f t="shared" si="14"/>
        <v>#DIV/0!</v>
      </c>
      <c r="AA37" s="171" t="e">
        <f t="shared" si="14"/>
        <v>#DIV/0!</v>
      </c>
      <c r="AB37" s="167" t="e">
        <f t="shared" ref="AB37:AB42" si="15">IF(MAX(W37:AA37)=0,"",MAX(W37:AA37))</f>
        <v>#DIV/0!</v>
      </c>
      <c r="AC37" s="167" t="e">
        <f t="shared" ref="AC37:AC38" si="16">IF(MAX(W37:AA37)=0,"",AVERAGE(W37:AA37))</f>
        <v>#DIV/0!</v>
      </c>
    </row>
    <row r="38" spans="5:29" ht="10.5" x14ac:dyDescent="0.25">
      <c r="E38" s="422"/>
      <c r="F38" s="158"/>
      <c r="G38" s="159"/>
      <c r="H38" s="148"/>
      <c r="I38" s="161"/>
      <c r="J38" s="149"/>
      <c r="U38" s="433"/>
      <c r="V38" s="170">
        <f>V28</f>
        <v>30</v>
      </c>
      <c r="W38" s="171" t="e">
        <f t="shared" ref="W38:AA42" si="17">IF(W28="","",LOG(W28))</f>
        <v>#DIV/0!</v>
      </c>
      <c r="X38" s="171" t="e">
        <f t="shared" si="17"/>
        <v>#DIV/0!</v>
      </c>
      <c r="Y38" s="171" t="e">
        <f t="shared" si="17"/>
        <v>#DIV/0!</v>
      </c>
      <c r="Z38" s="171" t="e">
        <f t="shared" si="17"/>
        <v>#DIV/0!</v>
      </c>
      <c r="AA38" s="171" t="e">
        <f t="shared" si="17"/>
        <v>#DIV/0!</v>
      </c>
      <c r="AB38" s="167" t="e">
        <f t="shared" si="15"/>
        <v>#DIV/0!</v>
      </c>
      <c r="AC38" s="167" t="e">
        <f t="shared" si="16"/>
        <v>#DIV/0!</v>
      </c>
    </row>
    <row r="39" spans="5:29" ht="10.5" x14ac:dyDescent="0.25">
      <c r="E39" s="422"/>
      <c r="F39" s="150">
        <f>C19</f>
        <v>90</v>
      </c>
      <c r="G39" s="151" t="e">
        <f>IF(H19="","",ABS(SLOPE(D19:H19,$D$16:$H$16)))</f>
        <v>#DIV/0!</v>
      </c>
      <c r="H39" s="141" t="s">
        <v>27</v>
      </c>
      <c r="I39" s="152" t="e">
        <f>IF(G39="","",ABS(CORREL(D19:H19,D16:H16)))</f>
        <v>#DIV/0!</v>
      </c>
      <c r="J39" s="153"/>
      <c r="U39" s="433"/>
      <c r="V39" s="170">
        <f>V29</f>
        <v>90</v>
      </c>
      <c r="W39" s="171" t="e">
        <f t="shared" si="17"/>
        <v>#DIV/0!</v>
      </c>
      <c r="X39" s="171" t="e">
        <f t="shared" si="17"/>
        <v>#DIV/0!</v>
      </c>
      <c r="Y39" s="171" t="e">
        <f t="shared" si="17"/>
        <v>#DIV/0!</v>
      </c>
      <c r="Z39" s="171" t="e">
        <f t="shared" si="17"/>
        <v>#DIV/0!</v>
      </c>
      <c r="AA39" s="171" t="e">
        <f t="shared" si="17"/>
        <v>#DIV/0!</v>
      </c>
      <c r="AB39" s="192" t="e">
        <f t="shared" si="15"/>
        <v>#DIV/0!</v>
      </c>
      <c r="AC39" s="167" t="e">
        <f>IF(MAX(W39:AA39)=0,"",AVERAGE(W39:AA39))</f>
        <v>#DIV/0!</v>
      </c>
    </row>
    <row r="40" spans="5:29" ht="10.5" x14ac:dyDescent="0.25">
      <c r="E40" s="422"/>
      <c r="F40" s="154"/>
      <c r="G40" s="155" t="e">
        <f>IF(G39="","",G39*1000/(60*F39))</f>
        <v>#DIV/0!</v>
      </c>
      <c r="H40" s="141" t="s">
        <v>26</v>
      </c>
      <c r="I40" s="156"/>
      <c r="J40" s="157" t="e">
        <f>IF(G39="","",IF(I39&gt;0.9,LOG(G40),""))</f>
        <v>#DIV/0!</v>
      </c>
      <c r="U40" s="433"/>
      <c r="V40" s="170">
        <f>V30</f>
        <v>150</v>
      </c>
      <c r="W40" s="171" t="e">
        <f t="shared" si="17"/>
        <v>#DIV/0!</v>
      </c>
      <c r="X40" s="171" t="e">
        <f t="shared" si="17"/>
        <v>#DIV/0!</v>
      </c>
      <c r="Y40" s="171" t="e">
        <f t="shared" si="17"/>
        <v>#DIV/0!</v>
      </c>
      <c r="Z40" s="171" t="e">
        <f t="shared" si="17"/>
        <v>#DIV/0!</v>
      </c>
      <c r="AA40" s="171" t="e">
        <f t="shared" si="17"/>
        <v>#DIV/0!</v>
      </c>
      <c r="AB40" s="192" t="e">
        <f t="shared" si="15"/>
        <v>#DIV/0!</v>
      </c>
      <c r="AC40" s="167" t="e">
        <f>IF(MAX(W40:AA40)=0,"",AVERAGE(W40:AA40))</f>
        <v>#DIV/0!</v>
      </c>
    </row>
    <row r="41" spans="5:29" ht="10.5" x14ac:dyDescent="0.25">
      <c r="E41" s="422"/>
      <c r="F41" s="158"/>
      <c r="G41" s="159"/>
      <c r="H41" s="148"/>
      <c r="I41" s="148"/>
      <c r="J41" s="149"/>
      <c r="U41" s="433"/>
      <c r="V41" s="170">
        <f>V31</f>
        <v>210</v>
      </c>
      <c r="W41" s="171" t="e">
        <f t="shared" si="17"/>
        <v>#DIV/0!</v>
      </c>
      <c r="X41" s="171" t="e">
        <f t="shared" si="17"/>
        <v>#DIV/0!</v>
      </c>
      <c r="Y41" s="171" t="e">
        <f t="shared" si="17"/>
        <v>#DIV/0!</v>
      </c>
      <c r="Z41" s="171" t="e">
        <f t="shared" si="17"/>
        <v>#DIV/0!</v>
      </c>
      <c r="AA41" s="171" t="e">
        <f t="shared" si="17"/>
        <v>#DIV/0!</v>
      </c>
      <c r="AB41" s="192" t="e">
        <f t="shared" si="15"/>
        <v>#DIV/0!</v>
      </c>
      <c r="AC41" s="167" t="e">
        <f>IF(MAX(W41:AA41)=0,"",AVERAGE(W41:AA41))</f>
        <v>#DIV/0!</v>
      </c>
    </row>
    <row r="42" spans="5:29" ht="10.5" x14ac:dyDescent="0.25">
      <c r="E42" s="422"/>
      <c r="F42" s="150">
        <f>C20</f>
        <v>150</v>
      </c>
      <c r="G42" s="151" t="e">
        <f>IF(H20="","",ABS(SLOPE(D20:H20,$D$16:$H$16)))</f>
        <v>#DIV/0!</v>
      </c>
      <c r="H42" s="141" t="s">
        <v>27</v>
      </c>
      <c r="I42" s="152" t="e">
        <f>IF(G42="","",ABS(CORREL(D20:H20,D16:H16)))</f>
        <v>#DIV/0!</v>
      </c>
      <c r="J42" s="153"/>
      <c r="U42" s="434"/>
      <c r="V42" s="170">
        <f t="shared" ref="V42" si="18">V32</f>
        <v>1440</v>
      </c>
      <c r="W42" s="171" t="e">
        <f t="shared" si="17"/>
        <v>#DIV/0!</v>
      </c>
      <c r="X42" s="171" t="e">
        <f t="shared" si="17"/>
        <v>#DIV/0!</v>
      </c>
      <c r="Y42" s="171" t="e">
        <f t="shared" si="17"/>
        <v>#DIV/0!</v>
      </c>
      <c r="Z42" s="171" t="e">
        <f t="shared" si="17"/>
        <v>#DIV/0!</v>
      </c>
      <c r="AA42" s="171" t="e">
        <f t="shared" si="17"/>
        <v>#DIV/0!</v>
      </c>
      <c r="AB42" s="192" t="e">
        <f t="shared" si="15"/>
        <v>#DIV/0!</v>
      </c>
      <c r="AC42" s="167" t="e">
        <f>IF(MAX(W42:AA42)=0,"",AVERAGE(W42:AA42))</f>
        <v>#DIV/0!</v>
      </c>
    </row>
    <row r="43" spans="5:29" ht="10.5" x14ac:dyDescent="0.25">
      <c r="E43" s="422"/>
      <c r="F43" s="154"/>
      <c r="G43" s="155" t="e">
        <f>IF(G42="","",G42*1000/(60*F42))</f>
        <v>#DIV/0!</v>
      </c>
      <c r="H43" s="141" t="s">
        <v>26</v>
      </c>
      <c r="I43" s="156"/>
      <c r="J43" s="157" t="e">
        <f>IF(G42="","",IF(I42&gt;0.9,LOG(G43),""))</f>
        <v>#DIV/0!</v>
      </c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5:29" ht="10.5" x14ac:dyDescent="0.25">
      <c r="E44" s="422"/>
      <c r="F44" s="162"/>
      <c r="G44" s="159"/>
      <c r="H44" s="148"/>
      <c r="I44" s="148"/>
      <c r="J44" s="149"/>
      <c r="U44" s="235" t="s">
        <v>136</v>
      </c>
      <c r="V44" s="235"/>
      <c r="W44" s="164"/>
      <c r="X44" s="164"/>
      <c r="Y44" s="164"/>
      <c r="Z44" s="164"/>
      <c r="AA44" s="164"/>
      <c r="AB44" s="164"/>
      <c r="AC44" s="164"/>
    </row>
    <row r="45" spans="5:29" ht="10.5" x14ac:dyDescent="0.25">
      <c r="E45" s="422"/>
      <c r="F45" s="150">
        <f>C21</f>
        <v>210</v>
      </c>
      <c r="G45" s="151" t="e">
        <f>IF(H21="","",ABS(SLOPE(D21:H21,$D$16:$H$16)))</f>
        <v>#DIV/0!</v>
      </c>
      <c r="H45" s="141" t="s">
        <v>27</v>
      </c>
      <c r="I45" s="152" t="e">
        <f>IF(G45="","",ABS(CORREL(D21:H21,D16:H16)))</f>
        <v>#DIV/0!</v>
      </c>
      <c r="J45" s="153"/>
      <c r="U45" s="237"/>
      <c r="V45" s="236"/>
      <c r="W45" s="164"/>
      <c r="X45" s="164"/>
      <c r="Y45" s="164"/>
      <c r="Z45" s="164"/>
      <c r="AA45" s="164"/>
      <c r="AB45" s="164"/>
      <c r="AC45" s="164"/>
    </row>
    <row r="46" spans="5:29" ht="10.5" x14ac:dyDescent="0.25">
      <c r="E46" s="422"/>
      <c r="F46" s="154"/>
      <c r="G46" s="155" t="e">
        <f>IF(G45="","",G45*1000/(60*F45))</f>
        <v>#DIV/0!</v>
      </c>
      <c r="H46" s="141" t="s">
        <v>26</v>
      </c>
      <c r="I46" s="156"/>
      <c r="J46" s="157" t="e">
        <f>IF(G45="","",IF(I45&gt;0.9,LOG(G46),""))</f>
        <v>#DIV/0!</v>
      </c>
      <c r="U46" s="237"/>
      <c r="V46" s="236"/>
      <c r="W46" s="164"/>
      <c r="X46" s="164"/>
      <c r="Y46" s="164"/>
      <c r="Z46" s="164"/>
      <c r="AA46" s="164"/>
      <c r="AB46" s="164"/>
      <c r="AC46" s="164"/>
    </row>
    <row r="47" spans="5:29" ht="10.5" x14ac:dyDescent="0.25">
      <c r="E47" s="422"/>
      <c r="F47" s="162"/>
      <c r="G47" s="159"/>
      <c r="H47" s="148"/>
      <c r="I47" s="148"/>
      <c r="J47" s="149"/>
      <c r="U47" s="432" t="s">
        <v>37</v>
      </c>
      <c r="V47" s="170">
        <f>V38</f>
        <v>30</v>
      </c>
      <c r="W47" s="172" t="e">
        <f>IF(AND(NOT(J37="")=FALSE,NOT(J34="")=TRUE),1,0)</f>
        <v>#DIV/0!</v>
      </c>
      <c r="X47" s="164"/>
      <c r="Y47" s="164"/>
      <c r="Z47" s="164"/>
      <c r="AA47" s="164"/>
      <c r="AB47" s="164"/>
      <c r="AC47" s="164"/>
    </row>
    <row r="48" spans="5:29" ht="10.5" x14ac:dyDescent="0.25">
      <c r="E48" s="422"/>
      <c r="F48" s="150">
        <f>C22</f>
        <v>1440</v>
      </c>
      <c r="G48" s="151" t="e">
        <f>IF(H22="","",ABS(SLOPE(D22:H22,$D$16:$H$16)))</f>
        <v>#DIV/0!</v>
      </c>
      <c r="H48" s="141" t="s">
        <v>27</v>
      </c>
      <c r="I48" s="152" t="e">
        <f>IF(G48="","",ABS(CORREL(D22:H22,D16:H16)))</f>
        <v>#DIV/0!</v>
      </c>
      <c r="J48" s="153"/>
      <c r="U48" s="433"/>
      <c r="V48" s="170">
        <f>V39</f>
        <v>90</v>
      </c>
      <c r="W48" s="172" t="e">
        <f>IF(AND(NOT(J40="")=FALSE,NOT(J37="")=TRUE),1,0)</f>
        <v>#DIV/0!</v>
      </c>
      <c r="X48" s="164"/>
      <c r="Y48" s="164"/>
      <c r="Z48" s="164"/>
      <c r="AA48" s="164"/>
      <c r="AB48" s="164"/>
      <c r="AC48" s="164"/>
    </row>
    <row r="49" spans="1:29" ht="10.5" x14ac:dyDescent="0.25">
      <c r="E49" s="423"/>
      <c r="F49" s="154"/>
      <c r="G49" s="155" t="e">
        <f>IF(G48="","",G48*1000/(60*F48))</f>
        <v>#DIV/0!</v>
      </c>
      <c r="H49" s="141" t="s">
        <v>26</v>
      </c>
      <c r="I49" s="156"/>
      <c r="J49" s="157" t="e">
        <f>IF(G48="","",IF(I48&gt;0.9,LOG(G49),""))</f>
        <v>#DIV/0!</v>
      </c>
      <c r="U49" s="433"/>
      <c r="V49" s="170">
        <f>V40</f>
        <v>150</v>
      </c>
      <c r="W49" s="172" t="e">
        <f>IF(AND(NOT(J43="")=FALSE,NOT(J40="")=TRUE),1,0)</f>
        <v>#DIV/0!</v>
      </c>
      <c r="X49" s="164"/>
      <c r="Y49" s="164"/>
      <c r="Z49" s="164"/>
      <c r="AA49" s="164"/>
      <c r="AB49" s="164"/>
      <c r="AC49" s="164"/>
    </row>
    <row r="50" spans="1:29" x14ac:dyDescent="0.2">
      <c r="E50" s="66"/>
      <c r="F50" s="66"/>
      <c r="G50" s="66"/>
      <c r="H50" s="66"/>
      <c r="I50" s="66"/>
      <c r="J50" s="66"/>
      <c r="U50" s="433"/>
      <c r="V50" s="170">
        <f>V41</f>
        <v>210</v>
      </c>
      <c r="W50" s="172" t="e">
        <f>IF(AND(NOT(J46="")=FALSE,NOT(J43="")=TRUE),1,0)</f>
        <v>#DIV/0!</v>
      </c>
      <c r="X50" s="164"/>
      <c r="Y50" s="164"/>
      <c r="Z50" s="164"/>
      <c r="AA50" s="164"/>
      <c r="AB50" s="164"/>
      <c r="AC50" s="164"/>
    </row>
    <row r="51" spans="1:29" ht="10.5" x14ac:dyDescent="0.25">
      <c r="A51" s="266"/>
      <c r="B51" s="188"/>
      <c r="C51" s="188"/>
      <c r="D51" s="188"/>
      <c r="E51" s="69"/>
      <c r="F51" s="69"/>
      <c r="G51" s="66"/>
      <c r="H51" s="66"/>
      <c r="I51" s="66"/>
      <c r="J51" s="66"/>
      <c r="U51" s="433"/>
      <c r="V51" s="170">
        <f>V42</f>
        <v>1440</v>
      </c>
      <c r="W51" s="172" t="e">
        <f>IF(AND(NOT(J49="")=FALSE,NOT(J46="")=TRUE),1,0)</f>
        <v>#DIV/0!</v>
      </c>
      <c r="X51" s="164"/>
      <c r="Y51" s="164"/>
      <c r="Z51" s="164"/>
      <c r="AA51" s="164"/>
      <c r="AB51" s="164"/>
      <c r="AC51" s="164"/>
    </row>
    <row r="52" spans="1:29" ht="33" x14ac:dyDescent="0.2">
      <c r="A52" s="274"/>
      <c r="B52" s="188"/>
      <c r="C52" s="188"/>
      <c r="D52" s="276" t="s">
        <v>95</v>
      </c>
      <c r="E52" s="277" t="e">
        <f>IF(E53=J34,F33,IF(E53=J37,F36,IF(E53=J40,F39,IF(E53=J43,F42,IF(E53=J46,F45,IF(E53=J49,F48,""))))))</f>
        <v>#DIV/0!</v>
      </c>
      <c r="F52" s="280" t="s">
        <v>40</v>
      </c>
      <c r="G52" s="222" t="s">
        <v>127</v>
      </c>
      <c r="H52" s="174"/>
      <c r="I52" s="174"/>
      <c r="J52" s="175" t="e">
        <f>AND(J49="",D12&gt;F3)</f>
        <v>#DIV/0!</v>
      </c>
      <c r="U52" s="434"/>
      <c r="V52" s="170" t="s">
        <v>137</v>
      </c>
      <c r="W52" s="172" t="e">
        <f>SUM(W47:W51)</f>
        <v>#DIV/0!</v>
      </c>
      <c r="X52" s="164"/>
      <c r="Y52" s="164"/>
      <c r="Z52" s="164"/>
      <c r="AA52" s="164"/>
      <c r="AB52" s="164"/>
      <c r="AC52" s="164"/>
    </row>
    <row r="53" spans="1:29" ht="12.5" x14ac:dyDescent="0.35">
      <c r="A53" s="274"/>
      <c r="B53" s="188"/>
      <c r="C53" s="264"/>
      <c r="D53" s="278" t="s">
        <v>164</v>
      </c>
      <c r="E53" s="279" t="e">
        <f>IF(AND(J34="",J37="",J40="",J43="",J46="",J49="")=TRUE,"not reactive / -3.5",MAX(J32:J49))</f>
        <v>#DIV/0!</v>
      </c>
      <c r="F53" s="281"/>
      <c r="G53" s="223" t="s">
        <v>128</v>
      </c>
      <c r="H53" s="188"/>
      <c r="I53" s="188"/>
      <c r="J53" s="224"/>
      <c r="U53" s="164"/>
      <c r="V53" s="164"/>
      <c r="W53" s="164"/>
      <c r="X53" s="164"/>
      <c r="Y53" s="164"/>
      <c r="Z53" s="164"/>
      <c r="AA53" s="164"/>
      <c r="AB53" s="164"/>
      <c r="AC53" s="164"/>
    </row>
    <row r="54" spans="1:29" x14ac:dyDescent="0.2">
      <c r="A54" s="274"/>
      <c r="B54" s="188"/>
      <c r="C54" s="188"/>
      <c r="D54" s="275"/>
      <c r="E54" s="275"/>
      <c r="F54" s="281"/>
      <c r="G54" s="189" t="s">
        <v>129</v>
      </c>
      <c r="H54" s="188"/>
      <c r="I54" s="273">
        <v>10</v>
      </c>
      <c r="J54" s="232" t="e">
        <f>IF(J55="","",IF(J$52=TRUE,AC37,""))</f>
        <v>#DIV/0!</v>
      </c>
    </row>
    <row r="55" spans="1:29" ht="10.15" customHeight="1" x14ac:dyDescent="0.2">
      <c r="A55" s="274"/>
      <c r="B55" s="188"/>
      <c r="C55" s="265"/>
      <c r="D55" s="442" t="s">
        <v>130</v>
      </c>
      <c r="E55" s="424" t="e">
        <f>IF(W52&gt;0,"Time course interrupted, check","OK")</f>
        <v>#DIV/0!</v>
      </c>
      <c r="F55" s="443"/>
      <c r="G55" s="189"/>
      <c r="H55" s="188"/>
      <c r="I55" s="273">
        <v>30</v>
      </c>
      <c r="J55" s="232" t="e">
        <f>IF(J56="","",IF(J$52=TRUE,AC38,""))</f>
        <v>#DIV/0!</v>
      </c>
    </row>
    <row r="56" spans="1:29" x14ac:dyDescent="0.2">
      <c r="A56" s="274"/>
      <c r="B56" s="188"/>
      <c r="C56" s="265"/>
      <c r="D56" s="442"/>
      <c r="E56" s="424"/>
      <c r="F56" s="443"/>
      <c r="G56" s="189"/>
      <c r="H56" s="188"/>
      <c r="I56" s="273">
        <v>90</v>
      </c>
      <c r="J56" s="232" t="e">
        <f>IF(J57="","",IF(J$52=TRUE,AC39,""))</f>
        <v>#DIV/0!</v>
      </c>
    </row>
    <row r="57" spans="1:29" x14ac:dyDescent="0.2">
      <c r="A57" s="274"/>
      <c r="B57" s="188"/>
      <c r="C57" s="188"/>
      <c r="D57" s="188"/>
      <c r="E57" s="188"/>
      <c r="F57" s="190"/>
      <c r="G57" s="189"/>
      <c r="H57" s="188"/>
      <c r="I57" s="273">
        <v>150</v>
      </c>
      <c r="J57" s="232" t="e">
        <f>IF(J58="","",IF(J$52=TRUE,AC40,""))</f>
        <v>#DIV/0!</v>
      </c>
    </row>
    <row r="58" spans="1:29" ht="10.5" x14ac:dyDescent="0.25">
      <c r="A58" s="266"/>
      <c r="B58" s="188"/>
      <c r="C58" s="188"/>
      <c r="D58" s="188"/>
      <c r="E58" s="188"/>
      <c r="F58" s="190"/>
      <c r="G58" s="189"/>
      <c r="H58" s="188"/>
      <c r="I58" s="273">
        <v>210</v>
      </c>
      <c r="J58" s="232" t="e">
        <f>IF(J59="","",IF(J$52=TRUE,AC41,""))</f>
        <v>#DIV/0!</v>
      </c>
    </row>
    <row r="59" spans="1:29" x14ac:dyDescent="0.2">
      <c r="B59" s="188"/>
      <c r="C59" s="188"/>
      <c r="D59" s="188"/>
      <c r="E59" s="188"/>
      <c r="F59" s="190"/>
      <c r="G59" s="189"/>
      <c r="H59" s="188"/>
      <c r="I59" s="273">
        <v>1440</v>
      </c>
      <c r="J59" s="232" t="e">
        <f>IF(J$52=TRUE,AC42,"")</f>
        <v>#DIV/0!</v>
      </c>
    </row>
    <row r="60" spans="1:29" ht="12.5" x14ac:dyDescent="0.35">
      <c r="A60" s="267"/>
      <c r="B60" s="188"/>
      <c r="C60" s="188"/>
      <c r="D60" s="188"/>
      <c r="E60" s="188"/>
      <c r="F60" s="190"/>
      <c r="G60" s="187"/>
      <c r="H60" s="191"/>
      <c r="I60" s="278" t="s">
        <v>164</v>
      </c>
      <c r="J60" s="234" t="e">
        <f>MAX(J54:J59)</f>
        <v>#DIV/0!</v>
      </c>
    </row>
    <row r="62" spans="1:29" ht="10.5" x14ac:dyDescent="0.25">
      <c r="A62" s="267"/>
    </row>
  </sheetData>
  <mergeCells count="18">
    <mergeCell ref="D5:H5"/>
    <mergeCell ref="D15:H15"/>
    <mergeCell ref="I15:I16"/>
    <mergeCell ref="W15:AA15"/>
    <mergeCell ref="U7:U12"/>
    <mergeCell ref="D55:D56"/>
    <mergeCell ref="U17:U22"/>
    <mergeCell ref="F25:F29"/>
    <mergeCell ref="J15:J16"/>
    <mergeCell ref="B7:B12"/>
    <mergeCell ref="B17:B22"/>
    <mergeCell ref="E55:F56"/>
    <mergeCell ref="E32:E49"/>
    <mergeCell ref="W25:AA25"/>
    <mergeCell ref="U27:U32"/>
    <mergeCell ref="W35:AA35"/>
    <mergeCell ref="U37:U42"/>
    <mergeCell ref="U47:U52"/>
  </mergeCells>
  <conditionalFormatting sqref="J52">
    <cfRule type="cellIs" dxfId="8" priority="8" operator="equal">
      <formula>FALSE</formula>
    </cfRule>
    <cfRule type="cellIs" dxfId="7" priority="9" operator="equal">
      <formula>TRUE</formula>
    </cfRule>
  </conditionalFormatting>
  <conditionalFormatting sqref="J53">
    <cfRule type="cellIs" dxfId="6" priority="6" operator="equal">
      <formula>FALSE</formula>
    </cfRule>
    <cfRule type="cellIs" dxfId="5" priority="7" operator="equal">
      <formula>TRUE</formula>
    </cfRule>
  </conditionalFormatting>
  <conditionalFormatting sqref="E55">
    <cfRule type="cellIs" dxfId="4" priority="2" operator="equal">
      <formula>"time course interrupted, check"</formula>
    </cfRule>
    <cfRule type="cellIs" dxfId="3" priority="3" operator="equal">
      <formula>"OK"</formula>
    </cfRule>
  </conditionalFormatting>
  <conditionalFormatting sqref="B52:B57">
    <cfRule type="expression" dxfId="2" priority="1">
      <formula>"&gt;10"</formula>
    </cfRule>
  </conditionalFormatting>
  <printOptions headings="1" gridLines="1"/>
  <pageMargins left="0.7" right="0.7" top="0.78740157499999996" bottom="0.78740157499999996" header="0.3" footer="0.3"/>
  <pageSetup paperSize="9" scale="54" fitToWidth="3" orientation="landscape" r:id="rId1"/>
  <headerFooter>
    <oddHeader>&amp;L&amp;F&amp;C&amp;A&amp;R&amp;P von &amp;N</oddHeader>
  </headerFooter>
  <colBreaks count="1" manualBreakCount="1">
    <brk id="20" max="5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="85" zoomScaleNormal="85" workbookViewId="0"/>
  </sheetViews>
  <sheetFormatPr defaultColWidth="12" defaultRowHeight="10" x14ac:dyDescent="0.2"/>
  <cols>
    <col min="1" max="1" width="10.6640625" customWidth="1"/>
    <col min="2" max="17" width="11.6640625" customWidth="1"/>
  </cols>
  <sheetData>
    <row r="1" spans="1:17" x14ac:dyDescent="0.2">
      <c r="A1" s="64" t="s">
        <v>174</v>
      </c>
    </row>
    <row r="2" spans="1:17" x14ac:dyDescent="0.2">
      <c r="B2" s="309">
        <f>'Run specifications'!C10</f>
        <v>10</v>
      </c>
      <c r="C2" s="310">
        <f>'t1'!B4</f>
        <v>0</v>
      </c>
      <c r="D2" s="310">
        <f>'t1'!C4</f>
        <v>0</v>
      </c>
      <c r="E2" s="310">
        <f>'t1'!D4</f>
        <v>0</v>
      </c>
      <c r="F2" s="310">
        <f>'t1'!E4</f>
        <v>0</v>
      </c>
      <c r="G2" s="310">
        <f>'t1'!F4</f>
        <v>0</v>
      </c>
      <c r="H2" s="310">
        <f>'t1'!G4</f>
        <v>0</v>
      </c>
      <c r="I2" s="310">
        <f>'t1'!H4</f>
        <v>0</v>
      </c>
      <c r="J2" s="310">
        <f>'t1'!I4</f>
        <v>0</v>
      </c>
      <c r="K2" s="310">
        <f>'t1'!J4</f>
        <v>0</v>
      </c>
      <c r="L2" s="310">
        <f>'t1'!K4</f>
        <v>0</v>
      </c>
      <c r="M2" s="310">
        <f>'t1'!L4</f>
        <v>0</v>
      </c>
      <c r="N2" s="310">
        <f>'t1'!M4</f>
        <v>0</v>
      </c>
      <c r="O2" s="313" t="e">
        <f>'t1'!O8</f>
        <v>#DIV/0!</v>
      </c>
      <c r="P2" s="310" t="e">
        <f>'t1'!P8</f>
        <v>#DIV/0!</v>
      </c>
      <c r="Q2" s="314" t="e">
        <f>P2/O2*100</f>
        <v>#DIV/0!</v>
      </c>
    </row>
    <row r="3" spans="1:17" x14ac:dyDescent="0.2">
      <c r="B3" s="309">
        <f>'Run specifications'!C11</f>
        <v>30</v>
      </c>
      <c r="C3" s="310">
        <f>'t2'!B4</f>
        <v>0</v>
      </c>
      <c r="D3" s="310">
        <f>'t2'!C4</f>
        <v>0</v>
      </c>
      <c r="E3" s="310">
        <f>'t2'!D4</f>
        <v>0</v>
      </c>
      <c r="F3" s="310">
        <f>'t2'!E4</f>
        <v>0</v>
      </c>
      <c r="G3" s="310">
        <f>'t2'!F4</f>
        <v>0</v>
      </c>
      <c r="H3" s="310">
        <f>'t2'!G4</f>
        <v>0</v>
      </c>
      <c r="I3" s="310">
        <f>'t2'!H4</f>
        <v>0</v>
      </c>
      <c r="J3" s="310">
        <f>'t2'!I4</f>
        <v>0</v>
      </c>
      <c r="K3" s="310">
        <f>'t2'!J4</f>
        <v>0</v>
      </c>
      <c r="L3" s="310">
        <f>'t2'!K4</f>
        <v>0</v>
      </c>
      <c r="M3" s="310">
        <f>'t2'!L4</f>
        <v>0</v>
      </c>
      <c r="N3" s="310">
        <f>'t2'!M4</f>
        <v>0</v>
      </c>
      <c r="O3" s="313" t="e">
        <f>'t2'!O8</f>
        <v>#DIV/0!</v>
      </c>
      <c r="P3" s="310" t="e">
        <f>'t2'!P8</f>
        <v>#DIV/0!</v>
      </c>
      <c r="Q3" s="314" t="e">
        <f t="shared" ref="Q3:Q7" si="0">P3/O3*100</f>
        <v>#DIV/0!</v>
      </c>
    </row>
    <row r="4" spans="1:17" x14ac:dyDescent="0.2">
      <c r="B4" s="309">
        <f>'Run specifications'!C12</f>
        <v>90</v>
      </c>
      <c r="C4" s="310">
        <f>'t3'!B4</f>
        <v>0</v>
      </c>
      <c r="D4" s="310">
        <f>'t3'!C4</f>
        <v>0</v>
      </c>
      <c r="E4" s="310">
        <f>'t3'!D4</f>
        <v>0</v>
      </c>
      <c r="F4" s="310">
        <f>'t3'!E4</f>
        <v>0</v>
      </c>
      <c r="G4" s="310">
        <f>'t3'!F4</f>
        <v>0</v>
      </c>
      <c r="H4" s="310">
        <f>'t3'!G4</f>
        <v>0</v>
      </c>
      <c r="I4" s="310">
        <f>'t3'!H4</f>
        <v>0</v>
      </c>
      <c r="J4" s="310">
        <f>'t3'!I4</f>
        <v>0</v>
      </c>
      <c r="K4" s="310">
        <f>'t3'!J4</f>
        <v>0</v>
      </c>
      <c r="L4" s="310">
        <f>'t3'!K4</f>
        <v>0</v>
      </c>
      <c r="M4" s="310">
        <f>'t3'!L4</f>
        <v>0</v>
      </c>
      <c r="N4" s="310">
        <f>'t3'!M4</f>
        <v>0</v>
      </c>
      <c r="O4" s="313" t="e">
        <f>'t3'!O8</f>
        <v>#DIV/0!</v>
      </c>
      <c r="P4" s="310" t="e">
        <f>'t3'!P8</f>
        <v>#DIV/0!</v>
      </c>
      <c r="Q4" s="314" t="e">
        <f t="shared" si="0"/>
        <v>#DIV/0!</v>
      </c>
    </row>
    <row r="5" spans="1:17" x14ac:dyDescent="0.2">
      <c r="B5" s="309">
        <f>'Run specifications'!C13</f>
        <v>150</v>
      </c>
      <c r="C5" s="310">
        <f>'t4'!B4</f>
        <v>0</v>
      </c>
      <c r="D5" s="310">
        <f>'t4'!C4</f>
        <v>0</v>
      </c>
      <c r="E5" s="310">
        <f>'t4'!D4</f>
        <v>0</v>
      </c>
      <c r="F5" s="310">
        <f>'t4'!E4</f>
        <v>0</v>
      </c>
      <c r="G5" s="310">
        <f>'t4'!F4</f>
        <v>0</v>
      </c>
      <c r="H5" s="310">
        <f>'t4'!G4</f>
        <v>0</v>
      </c>
      <c r="I5" s="310">
        <f>'t4'!H4</f>
        <v>0</v>
      </c>
      <c r="J5" s="310">
        <f>'t4'!I4</f>
        <v>0</v>
      </c>
      <c r="K5" s="310">
        <f>'t4'!J4</f>
        <v>0</v>
      </c>
      <c r="L5" s="310">
        <f>'t4'!K4</f>
        <v>0</v>
      </c>
      <c r="M5" s="310">
        <f>'t4'!L4</f>
        <v>0</v>
      </c>
      <c r="N5" s="310">
        <f>'t4'!M4</f>
        <v>0</v>
      </c>
      <c r="O5" s="313" t="e">
        <f>'t4'!O8</f>
        <v>#DIV/0!</v>
      </c>
      <c r="P5" s="310" t="e">
        <f>'t4'!P8</f>
        <v>#DIV/0!</v>
      </c>
      <c r="Q5" s="314" t="e">
        <f t="shared" si="0"/>
        <v>#DIV/0!</v>
      </c>
    </row>
    <row r="6" spans="1:17" x14ac:dyDescent="0.2">
      <c r="B6" s="309">
        <f>'Run specifications'!C14</f>
        <v>210</v>
      </c>
      <c r="C6" s="310">
        <f>'t5'!B4</f>
        <v>0</v>
      </c>
      <c r="D6" s="310">
        <f>'t5'!C4</f>
        <v>0</v>
      </c>
      <c r="E6" s="310">
        <f>'t5'!D4</f>
        <v>0</v>
      </c>
      <c r="F6" s="310">
        <f>'t5'!E4</f>
        <v>0</v>
      </c>
      <c r="G6" s="310">
        <f>'t5'!F4</f>
        <v>0</v>
      </c>
      <c r="H6" s="310">
        <f>'t5'!G4</f>
        <v>0</v>
      </c>
      <c r="I6" s="310">
        <f>'t5'!H4</f>
        <v>0</v>
      </c>
      <c r="J6" s="310">
        <f>'t5'!I4</f>
        <v>0</v>
      </c>
      <c r="K6" s="310">
        <f>'t5'!J4</f>
        <v>0</v>
      </c>
      <c r="L6" s="310">
        <f>'t5'!K4</f>
        <v>0</v>
      </c>
      <c r="M6" s="310">
        <f>'t5'!L4</f>
        <v>0</v>
      </c>
      <c r="N6" s="310">
        <f>'t5'!M4</f>
        <v>0</v>
      </c>
      <c r="O6" s="313" t="e">
        <f>'t5'!O8</f>
        <v>#DIV/0!</v>
      </c>
      <c r="P6" s="310" t="e">
        <f>'t5'!P8</f>
        <v>#DIV/0!</v>
      </c>
      <c r="Q6" s="314" t="e">
        <f t="shared" si="0"/>
        <v>#DIV/0!</v>
      </c>
    </row>
    <row r="7" spans="1:17" x14ac:dyDescent="0.2">
      <c r="B7" s="309">
        <f>'Run specifications'!C15</f>
        <v>1440</v>
      </c>
      <c r="C7" s="310">
        <f>'t6'!B4</f>
        <v>0</v>
      </c>
      <c r="D7" s="310">
        <f>'t6'!C4</f>
        <v>0</v>
      </c>
      <c r="E7" s="310">
        <f>'t6'!D4</f>
        <v>0</v>
      </c>
      <c r="F7" s="310">
        <f>'t6'!E4</f>
        <v>0</v>
      </c>
      <c r="G7" s="310">
        <f>'t6'!F4</f>
        <v>0</v>
      </c>
      <c r="H7" s="310">
        <f>'t6'!G4</f>
        <v>0</v>
      </c>
      <c r="I7" s="310">
        <f>'t6'!H4</f>
        <v>0</v>
      </c>
      <c r="J7" s="310">
        <f>'t6'!I4</f>
        <v>0</v>
      </c>
      <c r="K7" s="310">
        <f>'t6'!J4</f>
        <v>0</v>
      </c>
      <c r="L7" s="310">
        <f>'t6'!K4</f>
        <v>0</v>
      </c>
      <c r="M7" s="310">
        <f>'t6'!L4</f>
        <v>0</v>
      </c>
      <c r="N7" s="310">
        <f>'t6'!M4</f>
        <v>0</v>
      </c>
      <c r="O7" s="313" t="e">
        <f>'t6'!O8</f>
        <v>#DIV/0!</v>
      </c>
      <c r="P7" s="310" t="e">
        <f>'t6'!P8</f>
        <v>#DIV/0!</v>
      </c>
      <c r="Q7" s="314" t="e">
        <f t="shared" si="0"/>
        <v>#DIV/0!</v>
      </c>
    </row>
    <row r="9" spans="1:17" x14ac:dyDescent="0.2">
      <c r="A9" s="64" t="s">
        <v>175</v>
      </c>
    </row>
    <row r="10" spans="1:17" x14ac:dyDescent="0.2">
      <c r="B10">
        <f>'Run specifications'!D1</f>
        <v>0</v>
      </c>
      <c r="E10" s="312" t="e">
        <f>'Evaluation (PC)'!E52</f>
        <v>#DIV/0!</v>
      </c>
      <c r="F10" s="311" t="e">
        <f>'Evaluation (PC)'!E53</f>
        <v>#DIV/0!</v>
      </c>
      <c r="G10" s="311" t="e">
        <f>summary!N42</f>
        <v>#DIV/0!</v>
      </c>
      <c r="H10" s="311" t="e">
        <f>MAX(summary!N37:N42)</f>
        <v>#DIV/0!</v>
      </c>
      <c r="I10" s="311" t="e">
        <f>'Evaluation (PC)'!J34</f>
        <v>#DIV/0!</v>
      </c>
      <c r="J10" s="311" t="e">
        <f>'Evaluation (PC)'!J37</f>
        <v>#DIV/0!</v>
      </c>
      <c r="K10" s="311" t="e">
        <f>'Evaluation (PC)'!J40</f>
        <v>#DIV/0!</v>
      </c>
      <c r="L10" s="311" t="e">
        <f>'Evaluation (PC)'!J43</f>
        <v>#DIV/0!</v>
      </c>
      <c r="M10" s="311" t="e">
        <f>'Evaluation (PC)'!J46</f>
        <v>#DIV/0!</v>
      </c>
      <c r="N10" s="311" t="e">
        <f>'Evaluation (PC)'!J49</f>
        <v>#DIV/0!</v>
      </c>
    </row>
  </sheetData>
  <conditionalFormatting sqref="Q2:Q7">
    <cfRule type="cellIs" dxfId="1" priority="1" operator="lessThan">
      <formula>12.5</formula>
    </cfRule>
    <cfRule type="cellIs" dxfId="0" priority="2" operator="greaterThanOrEqual">
      <formula>12.5</formula>
    </cfRule>
  </conditionalFormatting>
  <printOptions headings="1" gridLines="1"/>
  <pageMargins left="0.7" right="0.7" top="0.78740157499999996" bottom="0.78740157499999996" header="0.3" footer="0.3"/>
  <pageSetup paperSize="9" orientation="landscape" r:id="rId1"/>
  <headerFooter>
    <oddHeader>&amp;L&amp;F&amp;C&amp;A&amp;R&amp;P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7"/>
  <sheetViews>
    <sheetView zoomScaleNormal="100" zoomScaleSheetLayoutView="110" workbookViewId="0"/>
  </sheetViews>
  <sheetFormatPr defaultColWidth="9.109375" defaultRowHeight="10" x14ac:dyDescent="0.2"/>
  <cols>
    <col min="1" max="13" width="12.44140625" customWidth="1"/>
    <col min="14" max="14" width="7.44140625" customWidth="1"/>
  </cols>
  <sheetData>
    <row r="2" spans="1:14" ht="13" x14ac:dyDescent="0.3">
      <c r="B2" s="11" t="s">
        <v>47</v>
      </c>
      <c r="F2" s="31" t="s">
        <v>51</v>
      </c>
    </row>
    <row r="3" spans="1:14" ht="13" x14ac:dyDescent="0.3">
      <c r="B3" s="11"/>
      <c r="F3" s="31"/>
    </row>
    <row r="4" spans="1:14" ht="16" thickBot="1" x14ac:dyDescent="0.4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</row>
    <row r="5" spans="1:14" ht="39.75" customHeight="1" thickBot="1" x14ac:dyDescent="0.4">
      <c r="A5" s="8" t="s">
        <v>15</v>
      </c>
      <c r="B5" s="382" t="s">
        <v>194</v>
      </c>
      <c r="C5" s="383" t="s">
        <v>178</v>
      </c>
      <c r="D5" s="383" t="s">
        <v>178</v>
      </c>
      <c r="E5" s="383" t="s">
        <v>178</v>
      </c>
      <c r="F5" s="383" t="s">
        <v>178</v>
      </c>
      <c r="G5" s="383" t="s">
        <v>178</v>
      </c>
      <c r="H5" s="383" t="s">
        <v>178</v>
      </c>
      <c r="I5" s="383" t="s">
        <v>178</v>
      </c>
      <c r="J5" s="383" t="s">
        <v>178</v>
      </c>
      <c r="K5" s="383" t="s">
        <v>178</v>
      </c>
      <c r="L5" s="383" t="s">
        <v>178</v>
      </c>
      <c r="M5" s="384" t="s">
        <v>178</v>
      </c>
    </row>
    <row r="6" spans="1:14" ht="39.75" customHeight="1" thickBot="1" x14ac:dyDescent="0.4">
      <c r="A6" s="8" t="s">
        <v>16</v>
      </c>
      <c r="B6" s="385" t="s">
        <v>194</v>
      </c>
      <c r="C6" s="386" t="s">
        <v>178</v>
      </c>
      <c r="D6" s="386" t="s">
        <v>178</v>
      </c>
      <c r="E6" s="386" t="s">
        <v>178</v>
      </c>
      <c r="F6" s="386" t="s">
        <v>178</v>
      </c>
      <c r="G6" s="386" t="s">
        <v>178</v>
      </c>
      <c r="H6" s="386" t="s">
        <v>178</v>
      </c>
      <c r="I6" s="386" t="s">
        <v>178</v>
      </c>
      <c r="J6" s="386" t="s">
        <v>178</v>
      </c>
      <c r="K6" s="386" t="s">
        <v>178</v>
      </c>
      <c r="L6" s="386" t="s">
        <v>178</v>
      </c>
      <c r="M6" s="387" t="s">
        <v>178</v>
      </c>
    </row>
    <row r="7" spans="1:14" ht="39.75" customHeight="1" thickBot="1" x14ac:dyDescent="0.4">
      <c r="A7" s="8" t="s">
        <v>17</v>
      </c>
      <c r="B7" s="388" t="s">
        <v>179</v>
      </c>
      <c r="C7" s="389" t="s">
        <v>179</v>
      </c>
      <c r="D7" s="390" t="s">
        <v>179</v>
      </c>
      <c r="E7" s="391" t="s">
        <v>180</v>
      </c>
      <c r="F7" s="392" t="s">
        <v>180</v>
      </c>
      <c r="G7" s="393" t="s">
        <v>180</v>
      </c>
      <c r="H7" s="394" t="s">
        <v>181</v>
      </c>
      <c r="I7" s="395" t="s">
        <v>181</v>
      </c>
      <c r="J7" s="396" t="s">
        <v>181</v>
      </c>
      <c r="K7" s="351" t="s">
        <v>179</v>
      </c>
      <c r="L7" s="352" t="s">
        <v>180</v>
      </c>
      <c r="M7" s="350" t="s">
        <v>181</v>
      </c>
    </row>
    <row r="8" spans="1:14" ht="39.75" customHeight="1" thickBot="1" x14ac:dyDescent="0.4">
      <c r="A8" s="9" t="s">
        <v>18</v>
      </c>
      <c r="B8" s="388" t="s">
        <v>182</v>
      </c>
      <c r="C8" s="389" t="s">
        <v>182</v>
      </c>
      <c r="D8" s="390" t="s">
        <v>182</v>
      </c>
      <c r="E8" s="391" t="s">
        <v>183</v>
      </c>
      <c r="F8" s="392" t="s">
        <v>183</v>
      </c>
      <c r="G8" s="393" t="s">
        <v>183</v>
      </c>
      <c r="H8" s="394" t="s">
        <v>184</v>
      </c>
      <c r="I8" s="395" t="s">
        <v>184</v>
      </c>
      <c r="J8" s="396" t="s">
        <v>184</v>
      </c>
      <c r="K8" s="351" t="s">
        <v>182</v>
      </c>
      <c r="L8" s="352" t="s">
        <v>183</v>
      </c>
      <c r="M8" s="350" t="s">
        <v>184</v>
      </c>
    </row>
    <row r="9" spans="1:14" ht="39.75" customHeight="1" thickBot="1" x14ac:dyDescent="0.4">
      <c r="A9" s="9" t="s">
        <v>19</v>
      </c>
      <c r="B9" s="388" t="s">
        <v>185</v>
      </c>
      <c r="C9" s="389" t="s">
        <v>185</v>
      </c>
      <c r="D9" s="390" t="s">
        <v>185</v>
      </c>
      <c r="E9" s="391" t="s">
        <v>186</v>
      </c>
      <c r="F9" s="392" t="s">
        <v>186</v>
      </c>
      <c r="G9" s="393" t="s">
        <v>186</v>
      </c>
      <c r="H9" s="394" t="s">
        <v>187</v>
      </c>
      <c r="I9" s="395" t="s">
        <v>187</v>
      </c>
      <c r="J9" s="396" t="s">
        <v>187</v>
      </c>
      <c r="K9" s="351" t="s">
        <v>185</v>
      </c>
      <c r="L9" s="352" t="s">
        <v>186</v>
      </c>
      <c r="M9" s="350" t="s">
        <v>187</v>
      </c>
    </row>
    <row r="10" spans="1:14" ht="39.75" customHeight="1" thickBot="1" x14ac:dyDescent="0.4">
      <c r="A10" s="9" t="s">
        <v>20</v>
      </c>
      <c r="B10" s="388" t="s">
        <v>188</v>
      </c>
      <c r="C10" s="389" t="s">
        <v>188</v>
      </c>
      <c r="D10" s="390" t="s">
        <v>188</v>
      </c>
      <c r="E10" s="391" t="s">
        <v>189</v>
      </c>
      <c r="F10" s="392" t="s">
        <v>189</v>
      </c>
      <c r="G10" s="393" t="s">
        <v>189</v>
      </c>
      <c r="H10" s="394" t="s">
        <v>190</v>
      </c>
      <c r="I10" s="395" t="s">
        <v>190</v>
      </c>
      <c r="J10" s="396" t="s">
        <v>190</v>
      </c>
      <c r="K10" s="351" t="s">
        <v>188</v>
      </c>
      <c r="L10" s="352" t="s">
        <v>189</v>
      </c>
      <c r="M10" s="350" t="s">
        <v>190</v>
      </c>
    </row>
    <row r="11" spans="1:14" ht="39.75" customHeight="1" thickBot="1" x14ac:dyDescent="0.4">
      <c r="A11" s="9" t="s">
        <v>21</v>
      </c>
      <c r="B11" s="388" t="s">
        <v>191</v>
      </c>
      <c r="C11" s="389" t="s">
        <v>191</v>
      </c>
      <c r="D11" s="390" t="s">
        <v>191</v>
      </c>
      <c r="E11" s="391" t="s">
        <v>192</v>
      </c>
      <c r="F11" s="392" t="s">
        <v>192</v>
      </c>
      <c r="G11" s="393" t="s">
        <v>192</v>
      </c>
      <c r="H11" s="394" t="s">
        <v>193</v>
      </c>
      <c r="I11" s="395" t="s">
        <v>193</v>
      </c>
      <c r="J11" s="396" t="s">
        <v>193</v>
      </c>
      <c r="K11" s="351" t="s">
        <v>191</v>
      </c>
      <c r="L11" s="352" t="s">
        <v>192</v>
      </c>
      <c r="M11" s="350" t="s">
        <v>193</v>
      </c>
    </row>
    <row r="12" spans="1:14" ht="39.75" customHeight="1" thickBot="1" x14ac:dyDescent="0.4">
      <c r="A12" s="9" t="s">
        <v>22</v>
      </c>
      <c r="B12" s="353" t="s">
        <v>42</v>
      </c>
      <c r="C12" s="353" t="s">
        <v>43</v>
      </c>
      <c r="D12" s="353" t="s">
        <v>44</v>
      </c>
      <c r="E12" s="353" t="s">
        <v>45</v>
      </c>
      <c r="F12" s="353" t="s">
        <v>46</v>
      </c>
      <c r="G12" s="349"/>
      <c r="H12" s="349"/>
      <c r="I12" s="354" t="s">
        <v>42</v>
      </c>
      <c r="J12" s="354" t="s">
        <v>43</v>
      </c>
      <c r="K12" s="354" t="s">
        <v>44</v>
      </c>
      <c r="L12" s="354" t="s">
        <v>45</v>
      </c>
      <c r="M12" s="354" t="s">
        <v>46</v>
      </c>
    </row>
    <row r="13" spans="1:14" ht="13.5" customHeight="1" x14ac:dyDescent="0.2">
      <c r="K13" s="3"/>
      <c r="L13" s="3"/>
      <c r="M13" s="3"/>
    </row>
    <row r="14" spans="1:14" ht="13.5" customHeight="1" x14ac:dyDescent="0.2">
      <c r="B14" s="370" t="str">
        <f>'Run specifications'!B4</f>
        <v>A</v>
      </c>
      <c r="C14" s="371"/>
      <c r="D14" s="372"/>
      <c r="E14" s="373" t="str">
        <f>'Run specifications'!B5</f>
        <v>B</v>
      </c>
      <c r="F14" s="374"/>
      <c r="G14" s="375"/>
      <c r="H14" s="376" t="str">
        <f>'Run specifications'!B6</f>
        <v>C</v>
      </c>
      <c r="I14" s="377"/>
      <c r="J14" s="378"/>
      <c r="K14" s="379" t="str">
        <f>'Run specifications'!B3</f>
        <v>PC</v>
      </c>
      <c r="L14" s="380"/>
      <c r="M14" s="381"/>
    </row>
    <row r="15" spans="1:14" ht="43.5" customHeight="1" x14ac:dyDescent="0.2">
      <c r="B15" s="370">
        <f>'Run specifications'!D4</f>
        <v>0</v>
      </c>
      <c r="C15" s="371"/>
      <c r="D15" s="372"/>
      <c r="E15" s="373">
        <f>'Run specifications'!D5</f>
        <v>0</v>
      </c>
      <c r="F15" s="374"/>
      <c r="G15" s="375"/>
      <c r="H15" s="376">
        <f>'Run specifications'!D6</f>
        <v>0</v>
      </c>
      <c r="I15" s="377"/>
      <c r="J15" s="378"/>
      <c r="K15" s="379" t="str">
        <f>'Run specifications'!D3</f>
        <v>Cinnamic aldehyde</v>
      </c>
      <c r="L15" s="380"/>
      <c r="M15" s="381"/>
    </row>
    <row r="16" spans="1:14" ht="12.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5" x14ac:dyDescent="0.25">
      <c r="B17" s="58" t="s">
        <v>119</v>
      </c>
      <c r="C17" s="10"/>
      <c r="D17" s="10"/>
      <c r="E17" s="61" t="s">
        <v>109</v>
      </c>
      <c r="F17" s="10"/>
      <c r="G17" s="10"/>
      <c r="H17" s="59">
        <v>240</v>
      </c>
      <c r="I17" s="59" t="s">
        <v>29</v>
      </c>
      <c r="J17" s="10"/>
      <c r="K17" s="10"/>
      <c r="L17" s="10"/>
      <c r="M17" s="10"/>
      <c r="N17" s="10"/>
    </row>
    <row r="18" spans="2:14" ht="12.5" x14ac:dyDescent="0.25">
      <c r="B18" s="10"/>
      <c r="C18" s="10"/>
      <c r="D18" s="10"/>
      <c r="E18" s="10"/>
      <c r="F18" s="10"/>
      <c r="G18" s="10"/>
      <c r="J18" s="10"/>
      <c r="K18" s="10"/>
      <c r="L18" s="10"/>
      <c r="M18" s="10"/>
      <c r="N18" s="10"/>
    </row>
    <row r="19" spans="2:14" ht="12.5" x14ac:dyDescent="0.25">
      <c r="B19" s="60" t="s">
        <v>120</v>
      </c>
      <c r="C19" s="59"/>
      <c r="D19" s="3"/>
      <c r="E19" s="3"/>
      <c r="H19" s="10"/>
      <c r="I19" s="10"/>
      <c r="J19" s="10"/>
      <c r="K19" s="10"/>
      <c r="L19" s="10"/>
      <c r="M19" s="10"/>
      <c r="N19" s="10"/>
    </row>
    <row r="20" spans="2:14" ht="12.5" x14ac:dyDescent="0.25">
      <c r="B20" s="60" t="s">
        <v>114</v>
      </c>
      <c r="C20" s="59"/>
      <c r="D20" s="3"/>
      <c r="E20" s="3"/>
      <c r="F20" s="3"/>
      <c r="G20" s="3"/>
      <c r="L20" s="10"/>
      <c r="M20" s="10"/>
      <c r="N20" s="10"/>
    </row>
    <row r="21" spans="2:14" ht="12.5" x14ac:dyDescent="0.25">
      <c r="B21" s="60" t="s">
        <v>115</v>
      </c>
      <c r="C21" s="59"/>
      <c r="D21" s="3"/>
      <c r="E21" s="3"/>
      <c r="F21" s="3"/>
      <c r="G21" s="3"/>
      <c r="L21" s="10"/>
      <c r="M21" s="10"/>
      <c r="N21" s="10"/>
    </row>
    <row r="22" spans="2:14" ht="12.5" x14ac:dyDescent="0.25">
      <c r="L22" s="10"/>
      <c r="M22" s="10"/>
      <c r="N22" s="10"/>
    </row>
    <row r="23" spans="2:14" ht="12.5" x14ac:dyDescent="0.25">
      <c r="C23" s="59"/>
      <c r="D23" s="59"/>
      <c r="E23" s="59"/>
      <c r="F23" s="59"/>
      <c r="G23" s="59"/>
      <c r="H23" s="10"/>
      <c r="I23" s="10"/>
      <c r="J23" s="10"/>
      <c r="K23" s="10"/>
      <c r="L23" s="10"/>
      <c r="M23" s="10"/>
      <c r="N23" s="10"/>
    </row>
    <row r="24" spans="2:14" ht="12.5" x14ac:dyDescent="0.25">
      <c r="C24" s="59"/>
      <c r="D24" s="59"/>
      <c r="E24" s="59"/>
      <c r="F24" s="59"/>
      <c r="G24" s="59"/>
      <c r="H24" s="10"/>
      <c r="I24" s="10"/>
      <c r="J24" s="10"/>
      <c r="K24" s="10"/>
      <c r="L24" s="10"/>
      <c r="M24" s="10"/>
      <c r="N24" s="10"/>
    </row>
    <row r="25" spans="2:14" ht="12.5" x14ac:dyDescent="0.25">
      <c r="C25" s="59"/>
      <c r="D25" s="59"/>
      <c r="E25" s="59"/>
      <c r="F25" s="59"/>
      <c r="G25" s="59"/>
      <c r="H25" s="10"/>
      <c r="I25" s="10"/>
      <c r="J25" s="10"/>
      <c r="K25" s="10"/>
      <c r="L25" s="10"/>
      <c r="M25" s="10"/>
      <c r="N25" s="10"/>
    </row>
    <row r="26" spans="2:14" ht="12.5" x14ac:dyDescent="0.25">
      <c r="B26" s="60"/>
      <c r="C26" s="3"/>
      <c r="D26" s="3"/>
      <c r="E26" s="3"/>
      <c r="F26" s="3"/>
      <c r="G26" s="3"/>
    </row>
    <row r="27" spans="2:14" ht="12.5" x14ac:dyDescent="0.25">
      <c r="B27" s="59"/>
      <c r="C27" s="3"/>
      <c r="D27" s="3"/>
      <c r="E27" s="3"/>
      <c r="F27" s="3"/>
      <c r="G27" s="3"/>
    </row>
  </sheetData>
  <sheetProtection algorithmName="SHA-512" hashValue="roAWUvTMbgbTrtQeWI8VDQ3MNqRCaRNcOpY3cRRfIjeQCj681uhbT9S+Bv3ncnFvCpqRQPDwfDpQr/SojLIJgA==" saltValue="XWw5DGgTvEwiXvL+o99G2g==" spinCount="100000" sheet="1" objects="1" scenarios="1"/>
  <mergeCells count="25">
    <mergeCell ref="B10:D10"/>
    <mergeCell ref="E10:G10"/>
    <mergeCell ref="H10:J10"/>
    <mergeCell ref="B11:D11"/>
    <mergeCell ref="E11:G11"/>
    <mergeCell ref="H11:J11"/>
    <mergeCell ref="B8:D8"/>
    <mergeCell ref="E8:G8"/>
    <mergeCell ref="H8:J8"/>
    <mergeCell ref="B9:D9"/>
    <mergeCell ref="E9:G9"/>
    <mergeCell ref="H9:J9"/>
    <mergeCell ref="B5:M5"/>
    <mergeCell ref="B6:M6"/>
    <mergeCell ref="B7:D7"/>
    <mergeCell ref="E7:G7"/>
    <mergeCell ref="H7:J7"/>
    <mergeCell ref="B14:D14"/>
    <mergeCell ref="E14:G14"/>
    <mergeCell ref="H14:J14"/>
    <mergeCell ref="K14:M14"/>
    <mergeCell ref="B15:D15"/>
    <mergeCell ref="E15:G15"/>
    <mergeCell ref="H15:J15"/>
    <mergeCell ref="K15:M15"/>
  </mergeCells>
  <printOptions headings="1" gridLines="1"/>
  <pageMargins left="0.75" right="0.75" top="1" bottom="1" header="0.5" footer="0.5"/>
  <pageSetup paperSize="9" scale="95" pageOrder="overThenDown" orientation="landscape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zoomScale="90" zoomScaleNormal="90" zoomScaleSheetLayoutView="90" workbookViewId="0"/>
  </sheetViews>
  <sheetFormatPr defaultColWidth="9.109375" defaultRowHeight="10" x14ac:dyDescent="0.2"/>
  <cols>
    <col min="1" max="1" width="6.44140625" customWidth="1"/>
    <col min="2" max="2" width="10" customWidth="1"/>
    <col min="3" max="14" width="13.33203125" customWidth="1"/>
    <col min="15" max="15" width="9.109375" customWidth="1"/>
    <col min="16" max="16" width="10" customWidth="1"/>
    <col min="17" max="28" width="13.33203125" customWidth="1"/>
  </cols>
  <sheetData>
    <row r="1" spans="1:28" ht="13" x14ac:dyDescent="0.3">
      <c r="B1" s="11" t="s">
        <v>121</v>
      </c>
      <c r="P1" s="11" t="s">
        <v>121</v>
      </c>
    </row>
    <row r="2" spans="1:28" ht="13" x14ac:dyDescent="0.3">
      <c r="B2" s="11"/>
      <c r="P2" s="11"/>
    </row>
    <row r="3" spans="1:28" ht="13" x14ac:dyDescent="0.3">
      <c r="B3" s="11" t="s">
        <v>142</v>
      </c>
      <c r="P3" s="11" t="s">
        <v>143</v>
      </c>
    </row>
    <row r="4" spans="1:28" x14ac:dyDescent="0.2">
      <c r="B4" s="64"/>
      <c r="P4" s="64"/>
    </row>
    <row r="5" spans="1:28" ht="16" thickBot="1" x14ac:dyDescent="0.4"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Q5" s="8">
        <v>1</v>
      </c>
      <c r="R5" s="8">
        <v>2</v>
      </c>
      <c r="S5" s="8">
        <v>3</v>
      </c>
      <c r="T5" s="8">
        <v>4</v>
      </c>
      <c r="U5" s="8">
        <v>5</v>
      </c>
      <c r="V5" s="8">
        <v>6</v>
      </c>
      <c r="W5" s="8">
        <v>7</v>
      </c>
      <c r="X5" s="8">
        <v>8</v>
      </c>
      <c r="Y5" s="8">
        <v>9</v>
      </c>
      <c r="Z5" s="8">
        <v>10</v>
      </c>
      <c r="AA5" s="8">
        <v>11</v>
      </c>
      <c r="AB5" s="8">
        <v>12</v>
      </c>
    </row>
    <row r="6" spans="1:28" ht="39.75" customHeight="1" thickBot="1" x14ac:dyDescent="0.4">
      <c r="B6" s="8" t="s">
        <v>15</v>
      </c>
      <c r="C6" s="382" t="s">
        <v>195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P6" s="8" t="s">
        <v>15</v>
      </c>
      <c r="Q6" s="382" t="s">
        <v>237</v>
      </c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4"/>
    </row>
    <row r="7" spans="1:28" ht="39.75" customHeight="1" thickBot="1" x14ac:dyDescent="0.4">
      <c r="B7" s="8" t="s">
        <v>16</v>
      </c>
      <c r="C7" s="385" t="s">
        <v>196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  <c r="P7" s="8" t="s">
        <v>16</v>
      </c>
      <c r="Q7" s="385" t="s">
        <v>238</v>
      </c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7"/>
    </row>
    <row r="8" spans="1:28" ht="39.75" customHeight="1" thickBot="1" x14ac:dyDescent="0.4">
      <c r="B8" s="8" t="s">
        <v>17</v>
      </c>
      <c r="C8" s="388" t="s">
        <v>217</v>
      </c>
      <c r="D8" s="389"/>
      <c r="E8" s="390"/>
      <c r="F8" s="391" t="s">
        <v>218</v>
      </c>
      <c r="G8" s="392"/>
      <c r="H8" s="393"/>
      <c r="I8" s="394" t="s">
        <v>219</v>
      </c>
      <c r="J8" s="395"/>
      <c r="K8" s="396"/>
      <c r="L8" s="351" t="s">
        <v>197</v>
      </c>
      <c r="M8" s="352" t="s">
        <v>198</v>
      </c>
      <c r="N8" s="350" t="s">
        <v>199</v>
      </c>
      <c r="P8" s="8" t="s">
        <v>17</v>
      </c>
      <c r="Q8" s="388" t="s">
        <v>217</v>
      </c>
      <c r="R8" s="389"/>
      <c r="S8" s="390"/>
      <c r="T8" s="391" t="s">
        <v>218</v>
      </c>
      <c r="U8" s="392"/>
      <c r="V8" s="393"/>
      <c r="W8" s="394" t="s">
        <v>219</v>
      </c>
      <c r="X8" s="395"/>
      <c r="Y8" s="396"/>
      <c r="Z8" s="351" t="s">
        <v>197</v>
      </c>
      <c r="AA8" s="352" t="s">
        <v>198</v>
      </c>
      <c r="AB8" s="350" t="s">
        <v>199</v>
      </c>
    </row>
    <row r="9" spans="1:28" ht="39.75" customHeight="1" thickBot="1" x14ac:dyDescent="0.4">
      <c r="B9" s="9" t="s">
        <v>18</v>
      </c>
      <c r="C9" s="388" t="s">
        <v>220</v>
      </c>
      <c r="D9" s="389"/>
      <c r="E9" s="390"/>
      <c r="F9" s="391" t="s">
        <v>221</v>
      </c>
      <c r="G9" s="392"/>
      <c r="H9" s="393"/>
      <c r="I9" s="394" t="s">
        <v>222</v>
      </c>
      <c r="J9" s="395"/>
      <c r="K9" s="396"/>
      <c r="L9" s="351" t="s">
        <v>200</v>
      </c>
      <c r="M9" s="352" t="s">
        <v>201</v>
      </c>
      <c r="N9" s="350" t="s">
        <v>202</v>
      </c>
      <c r="P9" s="9" t="s">
        <v>18</v>
      </c>
      <c r="Q9" s="388" t="s">
        <v>220</v>
      </c>
      <c r="R9" s="389"/>
      <c r="S9" s="390"/>
      <c r="T9" s="391" t="s">
        <v>221</v>
      </c>
      <c r="U9" s="392"/>
      <c r="V9" s="393"/>
      <c r="W9" s="394" t="s">
        <v>222</v>
      </c>
      <c r="X9" s="395"/>
      <c r="Y9" s="396"/>
      <c r="Z9" s="351" t="s">
        <v>200</v>
      </c>
      <c r="AA9" s="352" t="s">
        <v>201</v>
      </c>
      <c r="AB9" s="350" t="s">
        <v>202</v>
      </c>
    </row>
    <row r="10" spans="1:28" ht="39.75" customHeight="1" thickBot="1" x14ac:dyDescent="0.4">
      <c r="B10" s="9" t="s">
        <v>19</v>
      </c>
      <c r="C10" s="388" t="s">
        <v>223</v>
      </c>
      <c r="D10" s="389"/>
      <c r="E10" s="390"/>
      <c r="F10" s="391" t="s">
        <v>224</v>
      </c>
      <c r="G10" s="392"/>
      <c r="H10" s="393"/>
      <c r="I10" s="394" t="s">
        <v>225</v>
      </c>
      <c r="J10" s="395"/>
      <c r="K10" s="396"/>
      <c r="L10" s="351" t="s">
        <v>203</v>
      </c>
      <c r="M10" s="352" t="s">
        <v>204</v>
      </c>
      <c r="N10" s="350" t="s">
        <v>205</v>
      </c>
      <c r="P10" s="9" t="s">
        <v>19</v>
      </c>
      <c r="Q10" s="388" t="s">
        <v>223</v>
      </c>
      <c r="R10" s="389"/>
      <c r="S10" s="390"/>
      <c r="T10" s="391" t="s">
        <v>224</v>
      </c>
      <c r="U10" s="392"/>
      <c r="V10" s="393"/>
      <c r="W10" s="394" t="s">
        <v>225</v>
      </c>
      <c r="X10" s="395"/>
      <c r="Y10" s="396"/>
      <c r="Z10" s="351" t="s">
        <v>203</v>
      </c>
      <c r="AA10" s="352" t="s">
        <v>204</v>
      </c>
      <c r="AB10" s="350" t="s">
        <v>205</v>
      </c>
    </row>
    <row r="11" spans="1:28" ht="39.75" customHeight="1" thickBot="1" x14ac:dyDescent="0.4">
      <c r="B11" s="9" t="s">
        <v>20</v>
      </c>
      <c r="C11" s="388" t="s">
        <v>226</v>
      </c>
      <c r="D11" s="389"/>
      <c r="E11" s="390"/>
      <c r="F11" s="391" t="s">
        <v>227</v>
      </c>
      <c r="G11" s="392"/>
      <c r="H11" s="393"/>
      <c r="I11" s="394" t="s">
        <v>228</v>
      </c>
      <c r="J11" s="395"/>
      <c r="K11" s="396"/>
      <c r="L11" s="351" t="s">
        <v>206</v>
      </c>
      <c r="M11" s="352" t="s">
        <v>207</v>
      </c>
      <c r="N11" s="350" t="s">
        <v>208</v>
      </c>
      <c r="P11" s="9" t="s">
        <v>20</v>
      </c>
      <c r="Q11" s="388" t="s">
        <v>226</v>
      </c>
      <c r="R11" s="389"/>
      <c r="S11" s="390"/>
      <c r="T11" s="391" t="s">
        <v>227</v>
      </c>
      <c r="U11" s="392"/>
      <c r="V11" s="393"/>
      <c r="W11" s="394" t="s">
        <v>228</v>
      </c>
      <c r="X11" s="395"/>
      <c r="Y11" s="396"/>
      <c r="Z11" s="351" t="s">
        <v>206</v>
      </c>
      <c r="AA11" s="352" t="s">
        <v>207</v>
      </c>
      <c r="AB11" s="350" t="s">
        <v>208</v>
      </c>
    </row>
    <row r="12" spans="1:28" ht="39.75" customHeight="1" thickBot="1" x14ac:dyDescent="0.4">
      <c r="B12" s="9" t="s">
        <v>21</v>
      </c>
      <c r="C12" s="388" t="s">
        <v>229</v>
      </c>
      <c r="D12" s="389"/>
      <c r="E12" s="390"/>
      <c r="F12" s="391" t="s">
        <v>230</v>
      </c>
      <c r="G12" s="392"/>
      <c r="H12" s="393"/>
      <c r="I12" s="394" t="s">
        <v>231</v>
      </c>
      <c r="J12" s="395"/>
      <c r="K12" s="396"/>
      <c r="L12" s="351" t="s">
        <v>209</v>
      </c>
      <c r="M12" s="352" t="s">
        <v>210</v>
      </c>
      <c r="N12" s="350" t="s">
        <v>211</v>
      </c>
      <c r="P12" s="9" t="s">
        <v>21</v>
      </c>
      <c r="Q12" s="388" t="s">
        <v>229</v>
      </c>
      <c r="R12" s="389"/>
      <c r="S12" s="390"/>
      <c r="T12" s="391" t="s">
        <v>230</v>
      </c>
      <c r="U12" s="392"/>
      <c r="V12" s="393"/>
      <c r="W12" s="394" t="s">
        <v>231</v>
      </c>
      <c r="X12" s="395"/>
      <c r="Y12" s="396"/>
      <c r="Z12" s="351" t="s">
        <v>209</v>
      </c>
      <c r="AA12" s="352" t="s">
        <v>210</v>
      </c>
      <c r="AB12" s="350" t="s">
        <v>211</v>
      </c>
    </row>
    <row r="13" spans="1:28" ht="39.75" customHeight="1" thickBot="1" x14ac:dyDescent="0.4">
      <c r="B13" s="9" t="s">
        <v>22</v>
      </c>
      <c r="C13" s="353" t="s">
        <v>232</v>
      </c>
      <c r="D13" s="353" t="s">
        <v>233</v>
      </c>
      <c r="E13" s="353" t="s">
        <v>234</v>
      </c>
      <c r="F13" s="353" t="s">
        <v>235</v>
      </c>
      <c r="G13" s="353" t="s">
        <v>236</v>
      </c>
      <c r="H13" s="349"/>
      <c r="I13" s="349"/>
      <c r="J13" s="354" t="s">
        <v>212</v>
      </c>
      <c r="K13" s="354" t="s">
        <v>213</v>
      </c>
      <c r="L13" s="354" t="s">
        <v>214</v>
      </c>
      <c r="M13" s="354" t="s">
        <v>215</v>
      </c>
      <c r="N13" s="354" t="s">
        <v>216</v>
      </c>
      <c r="P13" s="9" t="s">
        <v>22</v>
      </c>
      <c r="Q13" s="353" t="s">
        <v>232</v>
      </c>
      <c r="R13" s="353" t="s">
        <v>233</v>
      </c>
      <c r="S13" s="353" t="s">
        <v>234</v>
      </c>
      <c r="T13" s="353" t="s">
        <v>235</v>
      </c>
      <c r="U13" s="353" t="s">
        <v>236</v>
      </c>
      <c r="V13" s="349"/>
      <c r="W13" s="349"/>
      <c r="X13" s="354" t="s">
        <v>212</v>
      </c>
      <c r="Y13" s="354" t="s">
        <v>213</v>
      </c>
      <c r="Z13" s="354" t="s">
        <v>214</v>
      </c>
      <c r="AA13" s="354" t="s">
        <v>215</v>
      </c>
      <c r="AB13" s="354" t="s">
        <v>216</v>
      </c>
    </row>
    <row r="14" spans="1:28" ht="13.5" customHeight="1" x14ac:dyDescent="0.2">
      <c r="A14" s="3"/>
      <c r="L14" s="3"/>
      <c r="M14" s="3"/>
      <c r="N14" s="3"/>
      <c r="Z14" s="3"/>
      <c r="AA14" s="3"/>
      <c r="AB14" s="3"/>
    </row>
    <row r="15" spans="1:28" ht="13.5" customHeight="1" x14ac:dyDescent="0.2">
      <c r="A15" s="3"/>
      <c r="C15" s="370" t="str">
        <f>'Run specifications'!B4</f>
        <v>A</v>
      </c>
      <c r="D15" s="371"/>
      <c r="E15" s="372"/>
      <c r="F15" s="373" t="str">
        <f>'Run specifications'!B5</f>
        <v>B</v>
      </c>
      <c r="G15" s="374"/>
      <c r="H15" s="375"/>
      <c r="I15" s="376" t="str">
        <f>'Run specifications'!B6</f>
        <v>C</v>
      </c>
      <c r="J15" s="377"/>
      <c r="K15" s="378"/>
      <c r="L15" s="379" t="str">
        <f>'Run specifications'!B3</f>
        <v>PC</v>
      </c>
      <c r="M15" s="380"/>
      <c r="N15" s="381"/>
      <c r="Q15" s="370">
        <f>'Run specifications'!P4</f>
        <v>0</v>
      </c>
      <c r="R15" s="371"/>
      <c r="S15" s="372"/>
      <c r="T15" s="373">
        <f>'Run specifications'!P5</f>
        <v>0</v>
      </c>
      <c r="U15" s="374"/>
      <c r="V15" s="375"/>
      <c r="W15" s="376">
        <f>'Run specifications'!P6</f>
        <v>0</v>
      </c>
      <c r="X15" s="377"/>
      <c r="Y15" s="378"/>
      <c r="Z15" s="379">
        <f>'Run specifications'!P3</f>
        <v>0</v>
      </c>
      <c r="AA15" s="380"/>
      <c r="AB15" s="381"/>
    </row>
    <row r="16" spans="1:28" ht="43.5" customHeight="1" x14ac:dyDescent="0.2">
      <c r="A16" s="3"/>
      <c r="C16" s="370">
        <f>'Run specifications'!D4</f>
        <v>0</v>
      </c>
      <c r="D16" s="371"/>
      <c r="E16" s="372"/>
      <c r="F16" s="373">
        <f>'Run specifications'!D5</f>
        <v>0</v>
      </c>
      <c r="G16" s="374"/>
      <c r="H16" s="375"/>
      <c r="I16" s="376">
        <f>'Run specifications'!D6</f>
        <v>0</v>
      </c>
      <c r="J16" s="377"/>
      <c r="K16" s="378"/>
      <c r="L16" s="379" t="str">
        <f>'Run specifications'!D3</f>
        <v>Cinnamic aldehyde</v>
      </c>
      <c r="M16" s="380"/>
      <c r="N16" s="381"/>
      <c r="Q16" s="370">
        <f>'Run specifications'!R4</f>
        <v>0</v>
      </c>
      <c r="R16" s="371"/>
      <c r="S16" s="372"/>
      <c r="T16" s="373">
        <f>'Run specifications'!R5</f>
        <v>0</v>
      </c>
      <c r="U16" s="374"/>
      <c r="V16" s="375"/>
      <c r="W16" s="376">
        <f>'Run specifications'!R6</f>
        <v>0</v>
      </c>
      <c r="X16" s="377"/>
      <c r="Y16" s="378"/>
      <c r="Z16" s="379">
        <f>'Run specifications'!R3</f>
        <v>0</v>
      </c>
      <c r="AA16" s="380"/>
      <c r="AB16" s="381"/>
    </row>
    <row r="17" spans="1:29" ht="12.5" x14ac:dyDescent="0.25">
      <c r="A17" s="3"/>
      <c r="G17" s="10"/>
      <c r="H17" s="10"/>
      <c r="I17" s="10"/>
      <c r="J17" s="10"/>
      <c r="K17" s="10"/>
      <c r="L17" s="10"/>
      <c r="M17" s="10"/>
      <c r="N17" s="10"/>
      <c r="O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3" x14ac:dyDescent="0.3">
      <c r="A18" s="3"/>
      <c r="B18" s="31" t="s">
        <v>119</v>
      </c>
      <c r="C18" s="12"/>
      <c r="D18" s="10"/>
      <c r="F18" s="57" t="s">
        <v>48</v>
      </c>
      <c r="G18" s="55"/>
      <c r="H18" s="57" t="s">
        <v>49</v>
      </c>
      <c r="I18" s="54"/>
      <c r="J18" s="57" t="s">
        <v>50</v>
      </c>
      <c r="K18" s="14"/>
      <c r="L18" s="10"/>
      <c r="N18" s="10"/>
      <c r="O18" s="10"/>
      <c r="P18" s="31" t="s">
        <v>119</v>
      </c>
      <c r="Q18" s="12"/>
      <c r="R18" s="10"/>
      <c r="T18" s="57" t="s">
        <v>48</v>
      </c>
      <c r="U18" s="55"/>
      <c r="V18" s="57" t="s">
        <v>49</v>
      </c>
      <c r="W18" s="54"/>
      <c r="X18" s="57" t="s">
        <v>50</v>
      </c>
      <c r="Y18" s="14"/>
      <c r="Z18" s="10"/>
      <c r="AB18" s="10"/>
      <c r="AC18" s="10"/>
    </row>
    <row r="19" spans="1:29" ht="13" x14ac:dyDescent="0.3">
      <c r="A19" s="3"/>
      <c r="B19" s="31"/>
      <c r="C19" s="12"/>
      <c r="D19" s="10"/>
      <c r="F19" s="52" t="s">
        <v>107</v>
      </c>
      <c r="G19" s="52" t="s">
        <v>123</v>
      </c>
      <c r="H19" s="52" t="s">
        <v>107</v>
      </c>
      <c r="I19" s="52" t="s">
        <v>123</v>
      </c>
      <c r="J19" s="52" t="s">
        <v>107</v>
      </c>
      <c r="K19" s="52" t="s">
        <v>123</v>
      </c>
      <c r="L19" s="10"/>
      <c r="N19" s="10"/>
      <c r="O19" s="10"/>
      <c r="P19" s="31"/>
      <c r="Q19" s="12"/>
      <c r="R19" s="10"/>
      <c r="T19" s="52" t="s">
        <v>107</v>
      </c>
      <c r="U19" s="52" t="s">
        <v>123</v>
      </c>
      <c r="V19" s="52" t="s">
        <v>107</v>
      </c>
      <c r="W19" s="52" t="s">
        <v>123</v>
      </c>
      <c r="X19" s="52" t="s">
        <v>107</v>
      </c>
      <c r="Y19" s="52" t="s">
        <v>123</v>
      </c>
      <c r="Z19" s="10"/>
      <c r="AB19" s="10"/>
      <c r="AC19" s="10"/>
    </row>
    <row r="20" spans="1:29" ht="12.5" x14ac:dyDescent="0.25">
      <c r="C20" s="10"/>
      <c r="D20" s="56" t="s">
        <v>155</v>
      </c>
      <c r="F20" s="53">
        <v>372</v>
      </c>
      <c r="G20" s="53">
        <v>44.64</v>
      </c>
      <c r="H20" s="53">
        <v>282</v>
      </c>
      <c r="I20" s="53">
        <v>33.840000000000003</v>
      </c>
      <c r="J20" s="53">
        <v>192</v>
      </c>
      <c r="K20" s="53">
        <v>23.04</v>
      </c>
      <c r="L20" s="10"/>
      <c r="N20" s="10"/>
      <c r="O20" s="10"/>
      <c r="Q20" s="10"/>
      <c r="R20" s="56" t="s">
        <v>157</v>
      </c>
      <c r="T20" s="53">
        <v>372</v>
      </c>
      <c r="U20" s="53">
        <f>T20*0.08</f>
        <v>29.76</v>
      </c>
      <c r="V20" s="53">
        <v>282</v>
      </c>
      <c r="W20" s="53">
        <f>V20*0.08</f>
        <v>22.56</v>
      </c>
      <c r="X20" s="53">
        <v>192</v>
      </c>
      <c r="Y20" s="53">
        <f>X20*0.08</f>
        <v>15.36</v>
      </c>
      <c r="Z20" s="10"/>
      <c r="AB20" s="10"/>
      <c r="AC20" s="10"/>
    </row>
    <row r="21" spans="1:29" ht="12.5" x14ac:dyDescent="0.25">
      <c r="C21" s="10"/>
      <c r="D21" s="56" t="s">
        <v>156</v>
      </c>
      <c r="F21" s="53">
        <v>192</v>
      </c>
      <c r="G21" s="53">
        <v>23.04</v>
      </c>
      <c r="H21" s="53">
        <v>162</v>
      </c>
      <c r="I21" s="53">
        <v>19.440000000000001</v>
      </c>
      <c r="J21" s="53">
        <v>132</v>
      </c>
      <c r="K21" s="53">
        <v>15.84</v>
      </c>
      <c r="L21" s="10"/>
      <c r="N21" s="10"/>
      <c r="O21" s="10"/>
      <c r="Q21" s="10"/>
      <c r="R21" s="56" t="s">
        <v>156</v>
      </c>
      <c r="T21" s="53">
        <v>192</v>
      </c>
      <c r="U21" s="53">
        <v>23.04</v>
      </c>
      <c r="V21" s="53">
        <v>162</v>
      </c>
      <c r="W21" s="53">
        <v>19.440000000000001</v>
      </c>
      <c r="X21" s="53">
        <v>132</v>
      </c>
      <c r="Y21" s="53">
        <v>15.84</v>
      </c>
      <c r="Z21" s="260" t="s">
        <v>158</v>
      </c>
      <c r="AB21" s="10"/>
      <c r="AC21" s="10"/>
    </row>
    <row r="22" spans="1:29" ht="12.5" x14ac:dyDescent="0.25">
      <c r="C22" s="10"/>
      <c r="D22" s="56" t="s">
        <v>108</v>
      </c>
      <c r="E22" s="53" t="s">
        <v>122</v>
      </c>
      <c r="F22" s="53"/>
      <c r="G22" s="53"/>
      <c r="H22" s="53"/>
      <c r="I22" s="53"/>
      <c r="J22" s="53"/>
      <c r="K22" s="53"/>
      <c r="L22" s="10"/>
      <c r="N22" s="10"/>
      <c r="O22" s="10"/>
      <c r="Q22" s="10"/>
      <c r="R22" s="56" t="s">
        <v>108</v>
      </c>
      <c r="S22" s="53" t="s">
        <v>122</v>
      </c>
      <c r="T22" s="53"/>
      <c r="U22" s="53"/>
      <c r="V22" s="53"/>
      <c r="W22" s="53"/>
      <c r="X22" s="53"/>
      <c r="Y22" s="53"/>
      <c r="Z22" s="10"/>
      <c r="AB22" s="10"/>
      <c r="AC22" s="10"/>
    </row>
    <row r="23" spans="1:29" ht="12.5" x14ac:dyDescent="0.25">
      <c r="C23" s="10"/>
      <c r="D23" s="56" t="s">
        <v>72</v>
      </c>
      <c r="F23" s="53">
        <v>564</v>
      </c>
      <c r="G23" s="53">
        <v>22.56</v>
      </c>
      <c r="H23" s="53">
        <v>444</v>
      </c>
      <c r="I23" s="53">
        <v>17.760000000000002</v>
      </c>
      <c r="J23" s="53">
        <v>324</v>
      </c>
      <c r="K23" s="53">
        <v>12.96</v>
      </c>
      <c r="L23" s="10"/>
      <c r="N23" s="10"/>
      <c r="O23" s="10"/>
      <c r="Q23" s="10"/>
      <c r="R23" s="56" t="s">
        <v>72</v>
      </c>
      <c r="T23" s="53">
        <v>564</v>
      </c>
      <c r="U23" s="53">
        <v>22.56</v>
      </c>
      <c r="V23" s="53">
        <v>444</v>
      </c>
      <c r="W23" s="53">
        <v>17.760000000000002</v>
      </c>
      <c r="X23" s="53">
        <v>324</v>
      </c>
      <c r="Y23" s="53">
        <v>12.96</v>
      </c>
      <c r="Z23" s="10"/>
      <c r="AB23" s="10"/>
      <c r="AC23" s="10"/>
    </row>
    <row r="24" spans="1:29" ht="12.5" x14ac:dyDescent="0.25">
      <c r="C24" s="10"/>
      <c r="D24" s="56"/>
      <c r="F24" s="53"/>
      <c r="G24" s="53"/>
      <c r="H24" s="53"/>
      <c r="I24" s="53"/>
      <c r="J24" s="53"/>
      <c r="K24" s="53"/>
      <c r="L24" s="10"/>
      <c r="N24" s="10"/>
      <c r="O24" s="10"/>
      <c r="Q24" s="10"/>
      <c r="R24" s="56"/>
      <c r="T24" s="53"/>
      <c r="U24" s="53"/>
      <c r="V24" s="53"/>
      <c r="W24" s="53"/>
      <c r="X24" s="53"/>
      <c r="Y24" s="53"/>
      <c r="Z24" s="10"/>
      <c r="AB24" s="10"/>
      <c r="AC24" s="10"/>
    </row>
    <row r="25" spans="1:29" ht="12.5" x14ac:dyDescent="0.25">
      <c r="M25" s="10"/>
      <c r="N25" s="10"/>
      <c r="O25" s="10"/>
      <c r="AA25" s="10"/>
      <c r="AB25" s="10"/>
      <c r="AC25" s="10"/>
    </row>
    <row r="26" spans="1:29" ht="13" thickBot="1" x14ac:dyDescent="0.3">
      <c r="M26" s="10"/>
      <c r="N26" s="10"/>
      <c r="O26" s="10"/>
      <c r="AA26" s="10"/>
      <c r="AB26" s="10"/>
      <c r="AC26" s="10"/>
    </row>
    <row r="27" spans="1:29" ht="26.5" thickBot="1" x14ac:dyDescent="0.35">
      <c r="C27" s="44"/>
      <c r="D27" s="243"/>
      <c r="E27" s="45" t="s">
        <v>62</v>
      </c>
      <c r="F27" s="50" t="s">
        <v>63</v>
      </c>
      <c r="G27" s="46" t="s">
        <v>69</v>
      </c>
      <c r="H27" s="47" t="s">
        <v>32</v>
      </c>
      <c r="I27" s="48" t="s">
        <v>64</v>
      </c>
      <c r="M27" s="10"/>
      <c r="N27" s="10"/>
      <c r="O27" s="10"/>
      <c r="Q27" s="44"/>
      <c r="R27" s="243"/>
      <c r="S27" s="45" t="s">
        <v>62</v>
      </c>
      <c r="T27" s="50" t="s">
        <v>63</v>
      </c>
      <c r="U27" s="46" t="s">
        <v>69</v>
      </c>
      <c r="V27" s="46" t="s">
        <v>153</v>
      </c>
      <c r="W27" s="249" t="s">
        <v>32</v>
      </c>
      <c r="X27" s="245" t="s">
        <v>154</v>
      </c>
      <c r="AA27" s="10"/>
      <c r="AB27" s="10"/>
      <c r="AC27" s="10"/>
    </row>
    <row r="28" spans="1:29" ht="30" x14ac:dyDescent="0.25">
      <c r="C28" s="397" t="s">
        <v>68</v>
      </c>
      <c r="D28" s="253" t="s">
        <v>145</v>
      </c>
      <c r="E28" s="41" t="s">
        <v>65</v>
      </c>
      <c r="F28" s="63" t="s">
        <v>66</v>
      </c>
      <c r="G28" s="42" t="s">
        <v>65</v>
      </c>
      <c r="H28" s="43" t="s">
        <v>65</v>
      </c>
      <c r="I28" s="62" t="s">
        <v>66</v>
      </c>
      <c r="M28" s="10"/>
      <c r="N28" s="10"/>
      <c r="O28" s="10"/>
      <c r="Q28" s="404" t="s">
        <v>68</v>
      </c>
      <c r="R28" s="409" t="s">
        <v>145</v>
      </c>
      <c r="S28" s="255" t="s">
        <v>144</v>
      </c>
      <c r="T28" s="256" t="s">
        <v>150</v>
      </c>
      <c r="U28" s="257" t="s">
        <v>144</v>
      </c>
      <c r="V28" s="248" t="s">
        <v>150</v>
      </c>
      <c r="W28" s="258" t="s">
        <v>144</v>
      </c>
      <c r="X28" s="259" t="s">
        <v>150</v>
      </c>
      <c r="AA28" s="10"/>
      <c r="AB28" s="10"/>
      <c r="AC28" s="10"/>
    </row>
    <row r="29" spans="1:29" ht="33" customHeight="1" x14ac:dyDescent="0.25">
      <c r="C29" s="398"/>
      <c r="D29" s="254" t="s">
        <v>146</v>
      </c>
      <c r="E29" s="33" t="s">
        <v>148</v>
      </c>
      <c r="F29" s="51" t="s">
        <v>148</v>
      </c>
      <c r="G29" s="35" t="s">
        <v>70</v>
      </c>
      <c r="H29" s="34" t="s">
        <v>71</v>
      </c>
      <c r="I29" s="40" t="s">
        <v>67</v>
      </c>
      <c r="M29" s="10"/>
      <c r="N29" s="10"/>
      <c r="O29" s="10"/>
      <c r="Q29" s="397"/>
      <c r="R29" s="410"/>
      <c r="S29" s="252" t="s">
        <v>149</v>
      </c>
      <c r="T29" s="63" t="s">
        <v>149</v>
      </c>
      <c r="U29" s="244" t="s">
        <v>148</v>
      </c>
      <c r="V29" s="244" t="s">
        <v>148</v>
      </c>
      <c r="W29" s="250" t="s">
        <v>149</v>
      </c>
      <c r="X29" s="246" t="s">
        <v>149</v>
      </c>
      <c r="AA29" s="10"/>
      <c r="AB29" s="10"/>
      <c r="AC29" s="10"/>
    </row>
    <row r="30" spans="1:29" ht="61.15" customHeight="1" thickBot="1" x14ac:dyDescent="0.3">
      <c r="C30" s="399" t="s">
        <v>147</v>
      </c>
      <c r="D30" s="400"/>
      <c r="E30" s="406" t="s">
        <v>28</v>
      </c>
      <c r="F30" s="407"/>
      <c r="G30" s="407"/>
      <c r="H30" s="407"/>
      <c r="I30" s="408"/>
      <c r="J30" s="10"/>
      <c r="K30" s="10"/>
      <c r="L30" s="10"/>
      <c r="M30" s="10"/>
      <c r="N30" s="10"/>
      <c r="O30" s="10"/>
      <c r="Q30" s="405"/>
      <c r="R30" s="254" t="s">
        <v>146</v>
      </c>
      <c r="S30" s="33" t="s">
        <v>148</v>
      </c>
      <c r="T30" s="51" t="s">
        <v>148</v>
      </c>
      <c r="U30" s="35" t="s">
        <v>151</v>
      </c>
      <c r="V30" s="35" t="s">
        <v>151</v>
      </c>
      <c r="W30" s="251" t="s">
        <v>152</v>
      </c>
      <c r="X30" s="247" t="s">
        <v>152</v>
      </c>
      <c r="Y30" s="10"/>
      <c r="Z30" s="10"/>
      <c r="AA30" s="10"/>
      <c r="AB30" s="10"/>
      <c r="AC30" s="10"/>
    </row>
    <row r="31" spans="1:29" ht="24" customHeight="1" thickBot="1" x14ac:dyDescent="0.25">
      <c r="Q31" s="411" t="s">
        <v>147</v>
      </c>
      <c r="R31" s="412"/>
      <c r="S31" s="401" t="s">
        <v>28</v>
      </c>
      <c r="T31" s="402"/>
      <c r="U31" s="402"/>
      <c r="V31" s="402"/>
      <c r="W31" s="402"/>
      <c r="X31" s="403"/>
    </row>
  </sheetData>
  <sheetProtection algorithmName="SHA-512" hashValue="VnZuYSAU81qkyYk1/Q+N2SLbWwTjFqcxigCp9yLwLU7781F33mFbbT5Q7SlvB3ziIpHI0yUct9gHX5r50upsWw==" saltValue="o+seh/AgFa+2FOfQqjYy9g==" spinCount="100000" sheet="1" objects="1" scenarios="1"/>
  <mergeCells count="57">
    <mergeCell ref="Q11:S11"/>
    <mergeCell ref="T11:V11"/>
    <mergeCell ref="W11:Y11"/>
    <mergeCell ref="Q12:S12"/>
    <mergeCell ref="T12:V12"/>
    <mergeCell ref="W12:Y12"/>
    <mergeCell ref="Q9:S9"/>
    <mergeCell ref="T9:V9"/>
    <mergeCell ref="W9:Y9"/>
    <mergeCell ref="Q10:S10"/>
    <mergeCell ref="T10:V10"/>
    <mergeCell ref="W10:Y10"/>
    <mergeCell ref="Q6:AB6"/>
    <mergeCell ref="Q7:AB7"/>
    <mergeCell ref="Q8:S8"/>
    <mergeCell ref="T8:V8"/>
    <mergeCell ref="W8:Y8"/>
    <mergeCell ref="C11:E11"/>
    <mergeCell ref="F11:H11"/>
    <mergeCell ref="I11:K11"/>
    <mergeCell ref="C12:E12"/>
    <mergeCell ref="F12:H12"/>
    <mergeCell ref="I12:K12"/>
    <mergeCell ref="C9:E9"/>
    <mergeCell ref="F9:H9"/>
    <mergeCell ref="I9:K9"/>
    <mergeCell ref="C10:E10"/>
    <mergeCell ref="F10:H10"/>
    <mergeCell ref="I10:K10"/>
    <mergeCell ref="C6:N6"/>
    <mergeCell ref="C7:N7"/>
    <mergeCell ref="C8:E8"/>
    <mergeCell ref="F8:H8"/>
    <mergeCell ref="I8:K8"/>
    <mergeCell ref="C30:D30"/>
    <mergeCell ref="S31:X31"/>
    <mergeCell ref="Q28:Q30"/>
    <mergeCell ref="E30:I30"/>
    <mergeCell ref="R28:R29"/>
    <mergeCell ref="Q31:R31"/>
    <mergeCell ref="Q15:S15"/>
    <mergeCell ref="T15:V15"/>
    <mergeCell ref="W15:Y15"/>
    <mergeCell ref="Z15:AB15"/>
    <mergeCell ref="Q16:S16"/>
    <mergeCell ref="T16:V16"/>
    <mergeCell ref="W16:Y16"/>
    <mergeCell ref="Z16:AB16"/>
    <mergeCell ref="C15:E15"/>
    <mergeCell ref="F15:H15"/>
    <mergeCell ref="I15:K15"/>
    <mergeCell ref="L15:N15"/>
    <mergeCell ref="C28:C29"/>
    <mergeCell ref="L16:N16"/>
    <mergeCell ref="C16:E16"/>
    <mergeCell ref="F16:H16"/>
    <mergeCell ref="I16:K16"/>
  </mergeCells>
  <printOptions headings="1" gridLines="1"/>
  <pageMargins left="0.75" right="0.75" top="1" bottom="1" header="0.5" footer="0.5"/>
  <pageSetup paperSize="9" scale="59" fitToWidth="2" pageOrder="overThenDown" orientation="landscape" r:id="rId1"/>
  <headerFooter alignWithMargins="0">
    <oddHeader>&amp;L&amp;F&amp;C&amp;A</oddHeader>
  </headerFooter>
  <colBreaks count="1" manualBreakCount="1">
    <brk id="15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BreakPreview" zoomScale="99" zoomScaleNormal="100" zoomScaleSheetLayoutView="99" workbookViewId="0"/>
  </sheetViews>
  <sheetFormatPr defaultColWidth="9.109375" defaultRowHeight="10" x14ac:dyDescent="0.2"/>
  <cols>
    <col min="1" max="13" width="10.77734375" style="66" customWidth="1"/>
    <col min="14" max="17" width="14.44140625" style="66" customWidth="1"/>
    <col min="18" max="18" width="20.109375" style="66" customWidth="1"/>
    <col min="19" max="23" width="13" style="70" customWidth="1"/>
    <col min="24" max="16384" width="9.109375" style="66"/>
  </cols>
  <sheetData>
    <row r="1" spans="1:23" ht="11.5" x14ac:dyDescent="0.25">
      <c r="A1" s="68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W2" s="66"/>
    </row>
    <row r="3" spans="1:23" x14ac:dyDescent="0.2">
      <c r="A3" s="69"/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O3" s="200" t="s">
        <v>73</v>
      </c>
      <c r="P3" s="120"/>
      <c r="W3" s="66"/>
    </row>
    <row r="4" spans="1:23" ht="13.5" customHeight="1" x14ac:dyDescent="0.2">
      <c r="A4" s="73" t="s">
        <v>15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O4" s="200" t="s">
        <v>31</v>
      </c>
      <c r="P4" s="200" t="s">
        <v>1</v>
      </c>
      <c r="W4" s="66"/>
    </row>
    <row r="5" spans="1:23" ht="13.5" customHeight="1" x14ac:dyDescent="0.2">
      <c r="A5" s="73" t="s">
        <v>16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O5" s="176" t="e">
        <f>AVERAGE(B5:M5)</f>
        <v>#DIV/0!</v>
      </c>
      <c r="P5" s="176" t="e">
        <f>STDEV(B5:M5)</f>
        <v>#DIV/0!</v>
      </c>
      <c r="W5" s="66"/>
    </row>
    <row r="6" spans="1:23" ht="13.5" customHeight="1" x14ac:dyDescent="0.2">
      <c r="A6" s="73" t="s">
        <v>17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O6" s="201" t="s">
        <v>74</v>
      </c>
      <c r="P6" s="202"/>
      <c r="W6" s="66"/>
    </row>
    <row r="7" spans="1:23" ht="13.5" customHeight="1" x14ac:dyDescent="0.2">
      <c r="A7" s="73" t="s">
        <v>18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O7" s="201" t="s">
        <v>80</v>
      </c>
      <c r="P7" s="201" t="s">
        <v>1</v>
      </c>
      <c r="W7" s="66"/>
    </row>
    <row r="8" spans="1:23" ht="13.5" customHeight="1" x14ac:dyDescent="0.2">
      <c r="A8" s="73" t="s">
        <v>19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80"/>
      <c r="O8" s="177" t="e">
        <f>AVERAGE(B4:M4)-O5</f>
        <v>#DIV/0!</v>
      </c>
      <c r="P8" s="177" t="e">
        <f>STDEV(B4:M4)</f>
        <v>#DIV/0!</v>
      </c>
      <c r="W8" s="66"/>
    </row>
    <row r="9" spans="1:23" ht="13.5" customHeight="1" x14ac:dyDescent="0.2">
      <c r="A9" s="73" t="s">
        <v>20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81"/>
      <c r="P9" s="82"/>
      <c r="W9" s="66"/>
    </row>
    <row r="10" spans="1:23" ht="13.5" customHeight="1" x14ac:dyDescent="0.2">
      <c r="A10" s="73" t="s">
        <v>21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W10" s="66"/>
    </row>
    <row r="11" spans="1:23" ht="13.5" customHeight="1" x14ac:dyDescent="0.2">
      <c r="A11" s="73" t="s">
        <v>22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</row>
    <row r="12" spans="1:23" ht="13.5" customHeight="1" x14ac:dyDescent="0.2">
      <c r="A12" s="69"/>
      <c r="N12" s="220"/>
    </row>
    <row r="13" spans="1:23" ht="13" x14ac:dyDescent="0.3">
      <c r="A13" s="119" t="str">
        <f>'Run specifications'!B4</f>
        <v>A</v>
      </c>
      <c r="B13" s="120"/>
      <c r="C13" s="121">
        <f>'Run specifications'!D4</f>
        <v>0</v>
      </c>
      <c r="D13" s="120"/>
      <c r="E13" s="120"/>
      <c r="F13" s="120"/>
      <c r="G13" s="120"/>
      <c r="H13" s="120"/>
      <c r="I13" s="120"/>
      <c r="J13" s="120"/>
      <c r="L13" s="65" t="s">
        <v>75</v>
      </c>
      <c r="N13" s="70"/>
      <c r="O13" s="70"/>
      <c r="P13" s="70"/>
      <c r="Q13" s="70"/>
    </row>
    <row r="14" spans="1:23" ht="51.75" customHeight="1" x14ac:dyDescent="0.2">
      <c r="A14" s="203" t="s">
        <v>105</v>
      </c>
      <c r="B14" s="203" t="s">
        <v>106</v>
      </c>
      <c r="C14" s="204" t="s">
        <v>76</v>
      </c>
      <c r="D14" s="205" t="s">
        <v>78</v>
      </c>
      <c r="E14" s="206" t="s">
        <v>77</v>
      </c>
      <c r="F14" s="207" t="s">
        <v>33</v>
      </c>
      <c r="G14" s="205" t="s">
        <v>34</v>
      </c>
      <c r="H14" s="203" t="s">
        <v>35</v>
      </c>
      <c r="I14" s="207" t="s">
        <v>23</v>
      </c>
      <c r="J14" s="205" t="s">
        <v>2</v>
      </c>
      <c r="K14" s="75" t="s">
        <v>166</v>
      </c>
      <c r="L14" s="86" t="s">
        <v>105</v>
      </c>
      <c r="M14" s="86" t="s">
        <v>106</v>
      </c>
      <c r="N14" s="87" t="str">
        <f>'Run specifications'!B4</f>
        <v>A</v>
      </c>
      <c r="O14" s="88" t="str">
        <f>'Run specifications'!B5</f>
        <v>B</v>
      </c>
      <c r="P14" s="89" t="str">
        <f>'Run specifications'!B6</f>
        <v>C</v>
      </c>
      <c r="Q14" s="90" t="str">
        <f>'Run specifications'!B3</f>
        <v>PC</v>
      </c>
    </row>
    <row r="15" spans="1:23" ht="10.5" x14ac:dyDescent="0.25">
      <c r="A15" s="105">
        <v>1.25</v>
      </c>
      <c r="B15" s="105">
        <f>A15/4</f>
        <v>0.3125</v>
      </c>
      <c r="C15" s="181">
        <f>B6-$N$15</f>
        <v>0</v>
      </c>
      <c r="D15" s="182">
        <f>C6-$N$15</f>
        <v>0</v>
      </c>
      <c r="E15" s="183">
        <f>D6-$N$15</f>
        <v>0</v>
      </c>
      <c r="F15" s="112" t="e">
        <f t="shared" ref="F15:H19" si="0">(1-(C15/$O$8))*100</f>
        <v>#DIV/0!</v>
      </c>
      <c r="G15" s="110" t="e">
        <f t="shared" si="0"/>
        <v>#DIV/0!</v>
      </c>
      <c r="H15" s="118" t="e">
        <f t="shared" si="0"/>
        <v>#DIV/0!</v>
      </c>
      <c r="I15" s="114" t="e">
        <f>AVERAGE(F15:H15)</f>
        <v>#DIV/0!</v>
      </c>
      <c r="J15" s="115" t="e">
        <f>STDEV(F15:H15)</f>
        <v>#DIV/0!</v>
      </c>
      <c r="K15" s="282" t="e">
        <f>TTEST(B6:D6,$B$4:$M$4,2,3)</f>
        <v>#DIV/0!</v>
      </c>
      <c r="L15" s="197">
        <v>1.25</v>
      </c>
      <c r="M15" s="196">
        <f>L15/4</f>
        <v>0.3125</v>
      </c>
      <c r="N15" s="178">
        <f>K6</f>
        <v>0</v>
      </c>
      <c r="O15" s="178">
        <f t="shared" ref="N15:P19" si="1">L6</f>
        <v>0</v>
      </c>
      <c r="P15" s="178">
        <f t="shared" si="1"/>
        <v>0</v>
      </c>
      <c r="Q15" s="179">
        <f>I11</f>
        <v>0</v>
      </c>
    </row>
    <row r="16" spans="1:23" ht="10.5" x14ac:dyDescent="0.25">
      <c r="A16" s="116">
        <v>2.5</v>
      </c>
      <c r="B16" s="105">
        <f t="shared" ref="B16:B19" si="2">A16/4</f>
        <v>0.625</v>
      </c>
      <c r="C16" s="181">
        <f>B7-$N$16</f>
        <v>0</v>
      </c>
      <c r="D16" s="182">
        <f>C7-$N$16</f>
        <v>0</v>
      </c>
      <c r="E16" s="183">
        <f>D7-$N$16</f>
        <v>0</v>
      </c>
      <c r="F16" s="112" t="e">
        <f t="shared" si="0"/>
        <v>#DIV/0!</v>
      </c>
      <c r="G16" s="110" t="e">
        <f t="shared" si="0"/>
        <v>#DIV/0!</v>
      </c>
      <c r="H16" s="118" t="e">
        <f t="shared" si="0"/>
        <v>#DIV/0!</v>
      </c>
      <c r="I16" s="114" t="e">
        <f>AVERAGE(F16:H16)</f>
        <v>#DIV/0!</v>
      </c>
      <c r="J16" s="115" t="e">
        <f>STDEV(F16:H16)</f>
        <v>#DIV/0!</v>
      </c>
      <c r="K16" s="282" t="e">
        <f>TTEST(B7:D7,$B$4:$M$4,2,3)</f>
        <v>#DIV/0!</v>
      </c>
      <c r="L16" s="198">
        <v>2.5</v>
      </c>
      <c r="M16" s="196">
        <f>L16/4</f>
        <v>0.625</v>
      </c>
      <c r="N16" s="178">
        <f>K7</f>
        <v>0</v>
      </c>
      <c r="O16" s="178">
        <f t="shared" si="1"/>
        <v>0</v>
      </c>
      <c r="P16" s="178">
        <f t="shared" si="1"/>
        <v>0</v>
      </c>
      <c r="Q16" s="180">
        <f>J11</f>
        <v>0</v>
      </c>
    </row>
    <row r="17" spans="1:17" ht="10.5" x14ac:dyDescent="0.25">
      <c r="A17" s="117">
        <v>5</v>
      </c>
      <c r="B17" s="105">
        <f t="shared" si="2"/>
        <v>1.25</v>
      </c>
      <c r="C17" s="181">
        <f>B8-$N$17</f>
        <v>0</v>
      </c>
      <c r="D17" s="182">
        <f>C8-$N$17</f>
        <v>0</v>
      </c>
      <c r="E17" s="183">
        <f>D8-$N$17</f>
        <v>0</v>
      </c>
      <c r="F17" s="112" t="e">
        <f t="shared" si="0"/>
        <v>#DIV/0!</v>
      </c>
      <c r="G17" s="110" t="e">
        <f t="shared" si="0"/>
        <v>#DIV/0!</v>
      </c>
      <c r="H17" s="118" t="e">
        <f t="shared" si="0"/>
        <v>#DIV/0!</v>
      </c>
      <c r="I17" s="114" t="e">
        <f>AVERAGE(F17:H17)</f>
        <v>#DIV/0!</v>
      </c>
      <c r="J17" s="115" t="e">
        <f>STDEV(F17:H17)</f>
        <v>#DIV/0!</v>
      </c>
      <c r="K17" s="282" t="e">
        <f>TTEST(B8:D8,$B$4:$M$4,2,3)</f>
        <v>#DIV/0!</v>
      </c>
      <c r="L17" s="198">
        <v>5</v>
      </c>
      <c r="M17" s="196">
        <f t="shared" ref="M17:M19" si="3">L17/4</f>
        <v>1.25</v>
      </c>
      <c r="N17" s="178">
        <f>K8</f>
        <v>0</v>
      </c>
      <c r="O17" s="178">
        <f t="shared" si="1"/>
        <v>0</v>
      </c>
      <c r="P17" s="178">
        <f t="shared" si="1"/>
        <v>0</v>
      </c>
      <c r="Q17" s="180">
        <f>K11</f>
        <v>0</v>
      </c>
    </row>
    <row r="18" spans="1:17" ht="10.5" x14ac:dyDescent="0.25">
      <c r="A18" s="117">
        <v>10</v>
      </c>
      <c r="B18" s="107">
        <f t="shared" si="2"/>
        <v>2.5</v>
      </c>
      <c r="C18" s="181">
        <f>B9-$N$18</f>
        <v>0</v>
      </c>
      <c r="D18" s="182">
        <f>C9-$N$18</f>
        <v>0</v>
      </c>
      <c r="E18" s="183">
        <f>D9-$N$18</f>
        <v>0</v>
      </c>
      <c r="F18" s="112" t="e">
        <f t="shared" si="0"/>
        <v>#DIV/0!</v>
      </c>
      <c r="G18" s="110" t="e">
        <f t="shared" si="0"/>
        <v>#DIV/0!</v>
      </c>
      <c r="H18" s="118" t="e">
        <f t="shared" si="0"/>
        <v>#DIV/0!</v>
      </c>
      <c r="I18" s="114" t="e">
        <f>AVERAGE(F18:H18)</f>
        <v>#DIV/0!</v>
      </c>
      <c r="J18" s="115" t="e">
        <f>STDEV(F18:H18)</f>
        <v>#DIV/0!</v>
      </c>
      <c r="K18" s="282" t="e">
        <f>TTEST(B9:D9,$B$4:$M$4,2,3)</f>
        <v>#DIV/0!</v>
      </c>
      <c r="L18" s="198">
        <v>10</v>
      </c>
      <c r="M18" s="199">
        <f t="shared" si="3"/>
        <v>2.5</v>
      </c>
      <c r="N18" s="178">
        <f t="shared" si="1"/>
        <v>0</v>
      </c>
      <c r="O18" s="178">
        <f t="shared" si="1"/>
        <v>0</v>
      </c>
      <c r="P18" s="178">
        <f t="shared" si="1"/>
        <v>0</v>
      </c>
      <c r="Q18" s="180">
        <f>L11</f>
        <v>0</v>
      </c>
    </row>
    <row r="19" spans="1:17" ht="10.5" x14ac:dyDescent="0.25">
      <c r="A19" s="117">
        <v>20</v>
      </c>
      <c r="B19" s="107">
        <f t="shared" si="2"/>
        <v>5</v>
      </c>
      <c r="C19" s="181">
        <f>B10-$N$19</f>
        <v>0</v>
      </c>
      <c r="D19" s="182">
        <f>C10-$N$19</f>
        <v>0</v>
      </c>
      <c r="E19" s="183">
        <f>D10-$N$19</f>
        <v>0</v>
      </c>
      <c r="F19" s="112" t="e">
        <f t="shared" si="0"/>
        <v>#DIV/0!</v>
      </c>
      <c r="G19" s="110" t="e">
        <f t="shared" si="0"/>
        <v>#DIV/0!</v>
      </c>
      <c r="H19" s="118" t="e">
        <f t="shared" si="0"/>
        <v>#DIV/0!</v>
      </c>
      <c r="I19" s="114" t="e">
        <f>AVERAGE(F19:H19)</f>
        <v>#DIV/0!</v>
      </c>
      <c r="J19" s="115" t="e">
        <f>STDEV(F19:H19)</f>
        <v>#DIV/0!</v>
      </c>
      <c r="K19" s="282" t="e">
        <f>TTEST(B10:D10,$B$4:$M$4,2,3)</f>
        <v>#DIV/0!</v>
      </c>
      <c r="L19" s="198">
        <v>20</v>
      </c>
      <c r="M19" s="199">
        <f t="shared" si="3"/>
        <v>5</v>
      </c>
      <c r="N19" s="178">
        <f t="shared" si="1"/>
        <v>0</v>
      </c>
      <c r="O19" s="178">
        <f t="shared" si="1"/>
        <v>0</v>
      </c>
      <c r="P19" s="178">
        <f t="shared" si="1"/>
        <v>0</v>
      </c>
      <c r="Q19" s="180">
        <f>M11</f>
        <v>0</v>
      </c>
    </row>
    <row r="20" spans="1:17" ht="10.5" x14ac:dyDescent="0.2">
      <c r="A20" s="208"/>
      <c r="B20" s="120"/>
      <c r="C20" s="208"/>
      <c r="D20" s="208"/>
      <c r="E20" s="208"/>
      <c r="F20" s="209"/>
      <c r="G20" s="209"/>
      <c r="H20" s="209"/>
      <c r="I20" s="210"/>
      <c r="J20" s="211"/>
      <c r="K20" s="283"/>
    </row>
    <row r="21" spans="1:17" ht="13" x14ac:dyDescent="0.3">
      <c r="A21" s="119" t="str">
        <f>'Run specifications'!B5</f>
        <v>B</v>
      </c>
      <c r="B21" s="120"/>
      <c r="C21" s="121">
        <f>'Run specifications'!D5</f>
        <v>0</v>
      </c>
      <c r="D21" s="120"/>
      <c r="E21" s="120"/>
      <c r="F21" s="120"/>
      <c r="G21" s="120"/>
      <c r="H21" s="120"/>
      <c r="I21" s="120"/>
      <c r="J21" s="120"/>
      <c r="K21" s="220"/>
    </row>
    <row r="22" spans="1:17" ht="30" x14ac:dyDescent="0.2">
      <c r="A22" s="122" t="s">
        <v>105</v>
      </c>
      <c r="B22" s="122" t="s">
        <v>106</v>
      </c>
      <c r="C22" s="123" t="s">
        <v>76</v>
      </c>
      <c r="D22" s="212" t="s">
        <v>78</v>
      </c>
      <c r="E22" s="213" t="s">
        <v>77</v>
      </c>
      <c r="F22" s="123" t="s">
        <v>33</v>
      </c>
      <c r="G22" s="212" t="s">
        <v>34</v>
      </c>
      <c r="H22" s="213" t="s">
        <v>35</v>
      </c>
      <c r="I22" s="214" t="s">
        <v>23</v>
      </c>
      <c r="J22" s="212" t="s">
        <v>2</v>
      </c>
      <c r="K22" s="76" t="s">
        <v>166</v>
      </c>
    </row>
    <row r="23" spans="1:17" ht="10.5" x14ac:dyDescent="0.2">
      <c r="A23" s="105">
        <v>1.25</v>
      </c>
      <c r="B23" s="105">
        <f>A23/4</f>
        <v>0.3125</v>
      </c>
      <c r="C23" s="181">
        <f>E6-$O$15</f>
        <v>0</v>
      </c>
      <c r="D23" s="182">
        <f>F6-$O$15</f>
        <v>0</v>
      </c>
      <c r="E23" s="184">
        <f>G6-$O$15</f>
        <v>0</v>
      </c>
      <c r="F23" s="112" t="e">
        <f>(1-(C23/$O$8))*100</f>
        <v>#DIV/0!</v>
      </c>
      <c r="G23" s="110" t="e">
        <f t="shared" ref="G23:H27" si="4">(1-(D23/$O$8))*100</f>
        <v>#DIV/0!</v>
      </c>
      <c r="H23" s="113" t="e">
        <f t="shared" si="4"/>
        <v>#DIV/0!</v>
      </c>
      <c r="I23" s="114" t="e">
        <f>AVERAGE(F23:H23)</f>
        <v>#DIV/0!</v>
      </c>
      <c r="J23" s="115" t="e">
        <f>STDEV(F23:H23)</f>
        <v>#DIV/0!</v>
      </c>
      <c r="K23" s="282" t="e">
        <f>TTEST(E6:G6,$B$4:$M$4,2,3)</f>
        <v>#DIV/0!</v>
      </c>
    </row>
    <row r="24" spans="1:17" ht="10.5" x14ac:dyDescent="0.2">
      <c r="A24" s="116">
        <v>2.5</v>
      </c>
      <c r="B24" s="105">
        <f>A24/4</f>
        <v>0.625</v>
      </c>
      <c r="C24" s="181">
        <f>E7-$O$16</f>
        <v>0</v>
      </c>
      <c r="D24" s="182">
        <f>F7-$O$16</f>
        <v>0</v>
      </c>
      <c r="E24" s="184">
        <f>G7-$O$16</f>
        <v>0</v>
      </c>
      <c r="F24" s="112" t="e">
        <f>(1-(C24/$O$8))*100</f>
        <v>#DIV/0!</v>
      </c>
      <c r="G24" s="110" t="e">
        <f t="shared" si="4"/>
        <v>#DIV/0!</v>
      </c>
      <c r="H24" s="113" t="e">
        <f t="shared" si="4"/>
        <v>#DIV/0!</v>
      </c>
      <c r="I24" s="114" t="e">
        <f>AVERAGE(F24:H24)</f>
        <v>#DIV/0!</v>
      </c>
      <c r="J24" s="115" t="e">
        <f>STDEV(F24:H24)</f>
        <v>#DIV/0!</v>
      </c>
      <c r="K24" s="282" t="e">
        <f>TTEST(E7:G7,$B$4:$M$4,2,3)</f>
        <v>#DIV/0!</v>
      </c>
    </row>
    <row r="25" spans="1:17" ht="10.5" x14ac:dyDescent="0.2">
      <c r="A25" s="117">
        <v>5</v>
      </c>
      <c r="B25" s="105">
        <f t="shared" ref="B25:B27" si="5">A25/4</f>
        <v>1.25</v>
      </c>
      <c r="C25" s="181">
        <f>E8-$O$17</f>
        <v>0</v>
      </c>
      <c r="D25" s="182">
        <f>F8-$O$17</f>
        <v>0</v>
      </c>
      <c r="E25" s="184">
        <f>G8-$O$17</f>
        <v>0</v>
      </c>
      <c r="F25" s="112" t="e">
        <f>(1-(C25/$O$8))*100</f>
        <v>#DIV/0!</v>
      </c>
      <c r="G25" s="110" t="e">
        <f t="shared" si="4"/>
        <v>#DIV/0!</v>
      </c>
      <c r="H25" s="113" t="e">
        <f t="shared" si="4"/>
        <v>#DIV/0!</v>
      </c>
      <c r="I25" s="114" t="e">
        <f>AVERAGE(F25:H25)</f>
        <v>#DIV/0!</v>
      </c>
      <c r="J25" s="115" t="e">
        <f>STDEV(F25:H25)</f>
        <v>#DIV/0!</v>
      </c>
      <c r="K25" s="282" t="e">
        <f>TTEST(E8:G8,$B$4:$M$4,2,3)</f>
        <v>#DIV/0!</v>
      </c>
    </row>
    <row r="26" spans="1:17" ht="10.5" x14ac:dyDescent="0.2">
      <c r="A26" s="117">
        <v>10</v>
      </c>
      <c r="B26" s="107">
        <f t="shared" si="5"/>
        <v>2.5</v>
      </c>
      <c r="C26" s="181">
        <f>E9-$O$18</f>
        <v>0</v>
      </c>
      <c r="D26" s="182">
        <f>F9-$O$18</f>
        <v>0</v>
      </c>
      <c r="E26" s="184">
        <f>G9-$O$18</f>
        <v>0</v>
      </c>
      <c r="F26" s="112" t="e">
        <f>(1-(C26/$O$8))*100</f>
        <v>#DIV/0!</v>
      </c>
      <c r="G26" s="110" t="e">
        <f t="shared" si="4"/>
        <v>#DIV/0!</v>
      </c>
      <c r="H26" s="113" t="e">
        <f t="shared" si="4"/>
        <v>#DIV/0!</v>
      </c>
      <c r="I26" s="114" t="e">
        <f>AVERAGE(F26:H26)</f>
        <v>#DIV/0!</v>
      </c>
      <c r="J26" s="115" t="e">
        <f>STDEV(F26:H26)</f>
        <v>#DIV/0!</v>
      </c>
      <c r="K26" s="282" t="e">
        <f>TTEST(E9:G9,$B$4:$M$4,2,3)</f>
        <v>#DIV/0!</v>
      </c>
    </row>
    <row r="27" spans="1:17" ht="10.5" x14ac:dyDescent="0.2">
      <c r="A27" s="117">
        <v>20</v>
      </c>
      <c r="B27" s="107">
        <f t="shared" si="5"/>
        <v>5</v>
      </c>
      <c r="C27" s="181">
        <f>E10-$O$19</f>
        <v>0</v>
      </c>
      <c r="D27" s="182">
        <f>F10-$O$19</f>
        <v>0</v>
      </c>
      <c r="E27" s="184">
        <f>G10-$O$19</f>
        <v>0</v>
      </c>
      <c r="F27" s="112" t="e">
        <f>(1-(C27/$O$8))*100</f>
        <v>#DIV/0!</v>
      </c>
      <c r="G27" s="110" t="e">
        <f t="shared" si="4"/>
        <v>#DIV/0!</v>
      </c>
      <c r="H27" s="113" t="e">
        <f t="shared" si="4"/>
        <v>#DIV/0!</v>
      </c>
      <c r="I27" s="114" t="e">
        <f>AVERAGE(F27:H27)</f>
        <v>#DIV/0!</v>
      </c>
      <c r="J27" s="115" t="e">
        <f>STDEV(F27:H27)</f>
        <v>#DIV/0!</v>
      </c>
      <c r="K27" s="282" t="e">
        <f>TTEST(E10:G10,$B$4:$M$4,2,3)</f>
        <v>#DIV/0!</v>
      </c>
    </row>
    <row r="28" spans="1:17" ht="10.5" x14ac:dyDescent="0.2">
      <c r="A28" s="208"/>
      <c r="B28" s="120"/>
      <c r="C28" s="208"/>
      <c r="D28" s="208"/>
      <c r="E28" s="208"/>
      <c r="F28" s="209"/>
      <c r="G28" s="209"/>
      <c r="H28" s="209"/>
      <c r="I28" s="210"/>
      <c r="J28" s="211"/>
      <c r="K28" s="283"/>
    </row>
    <row r="29" spans="1:17" ht="13" x14ac:dyDescent="0.3">
      <c r="A29" s="119" t="str">
        <f>'Run specifications'!B6</f>
        <v>C</v>
      </c>
      <c r="B29" s="120"/>
      <c r="C29" s="121">
        <f>'Run specifications'!D6</f>
        <v>0</v>
      </c>
      <c r="D29" s="120"/>
      <c r="E29" s="120"/>
      <c r="F29" s="120"/>
      <c r="G29" s="120"/>
      <c r="H29" s="120"/>
      <c r="I29" s="120"/>
      <c r="J29" s="120"/>
      <c r="K29" s="220"/>
    </row>
    <row r="30" spans="1:17" ht="30" x14ac:dyDescent="0.2">
      <c r="A30" s="124" t="s">
        <v>105</v>
      </c>
      <c r="B30" s="124" t="s">
        <v>106</v>
      </c>
      <c r="C30" s="125" t="s">
        <v>76</v>
      </c>
      <c r="D30" s="215" t="s">
        <v>78</v>
      </c>
      <c r="E30" s="216" t="s">
        <v>77</v>
      </c>
      <c r="F30" s="125" t="s">
        <v>33</v>
      </c>
      <c r="G30" s="215" t="s">
        <v>34</v>
      </c>
      <c r="H30" s="216" t="s">
        <v>35</v>
      </c>
      <c r="I30" s="217" t="s">
        <v>23</v>
      </c>
      <c r="J30" s="215" t="s">
        <v>2</v>
      </c>
      <c r="K30" s="77" t="s">
        <v>166</v>
      </c>
    </row>
    <row r="31" spans="1:17" ht="10.5" x14ac:dyDescent="0.2">
      <c r="A31" s="105">
        <v>1.25</v>
      </c>
      <c r="B31" s="105">
        <f>A31/4</f>
        <v>0.3125</v>
      </c>
      <c r="C31" s="181">
        <f>H6-$P$15</f>
        <v>0</v>
      </c>
      <c r="D31" s="182">
        <f>I6-$P$15</f>
        <v>0</v>
      </c>
      <c r="E31" s="184">
        <f>J6-$P$15</f>
        <v>0</v>
      </c>
      <c r="F31" s="112" t="e">
        <f>(1-(C31/$O$8))*100</f>
        <v>#DIV/0!</v>
      </c>
      <c r="G31" s="110" t="e">
        <f t="shared" ref="G31:H35" si="6">(1-(D31/$O$8))*100</f>
        <v>#DIV/0!</v>
      </c>
      <c r="H31" s="113" t="e">
        <f t="shared" si="6"/>
        <v>#DIV/0!</v>
      </c>
      <c r="I31" s="114" t="e">
        <f>AVERAGE(F31:H31)</f>
        <v>#DIV/0!</v>
      </c>
      <c r="J31" s="115" t="e">
        <f>STDEV(F31:H31)</f>
        <v>#DIV/0!</v>
      </c>
      <c r="K31" s="282" t="e">
        <f>TTEST(H6:J6,$B$4:$M$4,2,3)</f>
        <v>#DIV/0!</v>
      </c>
    </row>
    <row r="32" spans="1:17" ht="10.5" x14ac:dyDescent="0.2">
      <c r="A32" s="116">
        <v>2.5</v>
      </c>
      <c r="B32" s="105">
        <f t="shared" ref="B32:B35" si="7">A32/4</f>
        <v>0.625</v>
      </c>
      <c r="C32" s="181">
        <f>H7-$P$16</f>
        <v>0</v>
      </c>
      <c r="D32" s="182">
        <f>I7-$P$16</f>
        <v>0</v>
      </c>
      <c r="E32" s="184">
        <f>J7-$P$16</f>
        <v>0</v>
      </c>
      <c r="F32" s="112" t="e">
        <f>(1-(C32/$O$8))*100</f>
        <v>#DIV/0!</v>
      </c>
      <c r="G32" s="110" t="e">
        <f t="shared" si="6"/>
        <v>#DIV/0!</v>
      </c>
      <c r="H32" s="113" t="e">
        <f t="shared" si="6"/>
        <v>#DIV/0!</v>
      </c>
      <c r="I32" s="114" t="e">
        <f>AVERAGE(F32:H32)</f>
        <v>#DIV/0!</v>
      </c>
      <c r="J32" s="115" t="e">
        <f>STDEV(F32:H32)</f>
        <v>#DIV/0!</v>
      </c>
      <c r="K32" s="282" t="e">
        <f>TTEST(H7:J7,$B$4:$M$4,2,3)</f>
        <v>#DIV/0!</v>
      </c>
    </row>
    <row r="33" spans="1:11" ht="10.5" x14ac:dyDescent="0.2">
      <c r="A33" s="117">
        <v>5</v>
      </c>
      <c r="B33" s="105">
        <f t="shared" si="7"/>
        <v>1.25</v>
      </c>
      <c r="C33" s="181">
        <f>H8-$P$17</f>
        <v>0</v>
      </c>
      <c r="D33" s="182">
        <f>I8-$P$17</f>
        <v>0</v>
      </c>
      <c r="E33" s="184">
        <f>J8-$P$17</f>
        <v>0</v>
      </c>
      <c r="F33" s="112" t="e">
        <f>(1-(C33/$O$8))*100</f>
        <v>#DIV/0!</v>
      </c>
      <c r="G33" s="110" t="e">
        <f t="shared" si="6"/>
        <v>#DIV/0!</v>
      </c>
      <c r="H33" s="113" t="e">
        <f t="shared" si="6"/>
        <v>#DIV/0!</v>
      </c>
      <c r="I33" s="114" t="e">
        <f>AVERAGE(F33:H33)</f>
        <v>#DIV/0!</v>
      </c>
      <c r="J33" s="115" t="e">
        <f>STDEV(F33:H33)</f>
        <v>#DIV/0!</v>
      </c>
      <c r="K33" s="282" t="e">
        <f>TTEST(H8:J8,$B$4:$M$4,2,3)</f>
        <v>#DIV/0!</v>
      </c>
    </row>
    <row r="34" spans="1:11" ht="10.5" x14ac:dyDescent="0.2">
      <c r="A34" s="117">
        <v>10</v>
      </c>
      <c r="B34" s="107">
        <f t="shared" si="7"/>
        <v>2.5</v>
      </c>
      <c r="C34" s="181">
        <f>H9-$P$18</f>
        <v>0</v>
      </c>
      <c r="D34" s="182">
        <f>I9-$P$18</f>
        <v>0</v>
      </c>
      <c r="E34" s="184">
        <f>J9-$P$18</f>
        <v>0</v>
      </c>
      <c r="F34" s="112" t="e">
        <f>(1-(C34/$O$8))*100</f>
        <v>#DIV/0!</v>
      </c>
      <c r="G34" s="110" t="e">
        <f t="shared" si="6"/>
        <v>#DIV/0!</v>
      </c>
      <c r="H34" s="113" t="e">
        <f t="shared" si="6"/>
        <v>#DIV/0!</v>
      </c>
      <c r="I34" s="114" t="e">
        <f>AVERAGE(F34:H34)</f>
        <v>#DIV/0!</v>
      </c>
      <c r="J34" s="115" t="e">
        <f>STDEV(F34:H34)</f>
        <v>#DIV/0!</v>
      </c>
      <c r="K34" s="282" t="e">
        <f>TTEST(H9:J9,$B$4:$M$4,2,3)</f>
        <v>#DIV/0!</v>
      </c>
    </row>
    <row r="35" spans="1:11" ht="10.5" x14ac:dyDescent="0.2">
      <c r="A35" s="117">
        <v>20</v>
      </c>
      <c r="B35" s="107">
        <f t="shared" si="7"/>
        <v>5</v>
      </c>
      <c r="C35" s="181">
        <f>H10-$P$19</f>
        <v>0</v>
      </c>
      <c r="D35" s="182">
        <f>I10-$P$19</f>
        <v>0</v>
      </c>
      <c r="E35" s="184">
        <f>J10-$P$19</f>
        <v>0</v>
      </c>
      <c r="F35" s="112" t="e">
        <f>(1-(C35/$O$8))*100</f>
        <v>#DIV/0!</v>
      </c>
      <c r="G35" s="110" t="e">
        <f t="shared" si="6"/>
        <v>#DIV/0!</v>
      </c>
      <c r="H35" s="113" t="e">
        <f t="shared" si="6"/>
        <v>#DIV/0!</v>
      </c>
      <c r="I35" s="114" t="e">
        <f>AVERAGE(F35:H35)</f>
        <v>#DIV/0!</v>
      </c>
      <c r="J35" s="115" t="e">
        <f>STDEV(F35:H35)</f>
        <v>#DIV/0!</v>
      </c>
      <c r="K35" s="282" t="e">
        <f>TTEST(H10:J10,$B$4:$M$4,2,3)</f>
        <v>#DIV/0!</v>
      </c>
    </row>
    <row r="36" spans="1:1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218"/>
    </row>
    <row r="37" spans="1:11" ht="13" x14ac:dyDescent="0.3">
      <c r="A37" s="119" t="str">
        <f>'Run specifications'!B3</f>
        <v>PC</v>
      </c>
      <c r="B37" s="120"/>
      <c r="C37" s="121" t="str">
        <f>'Run specifications'!D3</f>
        <v>Cinnamic aldehyde</v>
      </c>
      <c r="D37" s="120"/>
    </row>
    <row r="38" spans="1:11" ht="30" x14ac:dyDescent="0.2">
      <c r="A38" s="219" t="s">
        <v>105</v>
      </c>
      <c r="B38" s="219" t="s">
        <v>106</v>
      </c>
      <c r="C38" s="219" t="s">
        <v>76</v>
      </c>
      <c r="D38" s="219" t="s">
        <v>36</v>
      </c>
    </row>
    <row r="39" spans="1:11" x14ac:dyDescent="0.2">
      <c r="A39" s="108">
        <v>1.25</v>
      </c>
      <c r="B39" s="105">
        <f>A39/4</f>
        <v>0.3125</v>
      </c>
      <c r="C39" s="182">
        <f>B11-Q15</f>
        <v>0</v>
      </c>
      <c r="D39" s="110" t="e">
        <f>(1-(C39/$O$8))*100</f>
        <v>#DIV/0!</v>
      </c>
    </row>
    <row r="40" spans="1:11" x14ac:dyDescent="0.2">
      <c r="A40" s="111">
        <v>2.5</v>
      </c>
      <c r="B40" s="105">
        <f t="shared" ref="B40:B43" si="8">A40/4</f>
        <v>0.625</v>
      </c>
      <c r="C40" s="182">
        <f>C11-Q16</f>
        <v>0</v>
      </c>
      <c r="D40" s="110" t="e">
        <f>(1-(C40/$O$8))*100</f>
        <v>#DIV/0!</v>
      </c>
    </row>
    <row r="41" spans="1:11" x14ac:dyDescent="0.2">
      <c r="A41" s="109">
        <v>5</v>
      </c>
      <c r="B41" s="105">
        <f t="shared" si="8"/>
        <v>1.25</v>
      </c>
      <c r="C41" s="182">
        <f>D11-Q17</f>
        <v>0</v>
      </c>
      <c r="D41" s="110" t="e">
        <f>(1-(C41/$O$8))*100</f>
        <v>#DIV/0!</v>
      </c>
    </row>
    <row r="42" spans="1:11" x14ac:dyDescent="0.2">
      <c r="A42" s="109">
        <v>10</v>
      </c>
      <c r="B42" s="107">
        <f t="shared" si="8"/>
        <v>2.5</v>
      </c>
      <c r="C42" s="182">
        <f>E11-Q18</f>
        <v>0</v>
      </c>
      <c r="D42" s="110" t="e">
        <f>(1-(C42/$O$8))*100</f>
        <v>#DIV/0!</v>
      </c>
    </row>
    <row r="43" spans="1:11" x14ac:dyDescent="0.2">
      <c r="A43" s="109">
        <v>20</v>
      </c>
      <c r="B43" s="107">
        <f t="shared" si="8"/>
        <v>5</v>
      </c>
      <c r="C43" s="182">
        <f>F11-Q19</f>
        <v>0</v>
      </c>
      <c r="D43" s="110" t="e">
        <f>(1-(C43/$O$8))*100</f>
        <v>#DIV/0!</v>
      </c>
    </row>
  </sheetData>
  <printOptions headings="1" gridLines="1"/>
  <pageMargins left="0.75" right="0.75" top="1" bottom="1" header="0.5" footer="0.5"/>
  <pageSetup paperSize="9" scale="74" pageOrder="overThenDown" orientation="landscape" r:id="rId1"/>
  <headerFooter alignWithMargins="0">
    <oddHeader>&amp;L&amp;F&amp;C&amp;A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BreakPreview" zoomScale="99" zoomScaleNormal="100" zoomScaleSheetLayoutView="99" workbookViewId="0"/>
  </sheetViews>
  <sheetFormatPr defaultColWidth="9.109375" defaultRowHeight="10" x14ac:dyDescent="0.2"/>
  <cols>
    <col min="1" max="13" width="10.77734375" style="66" customWidth="1"/>
    <col min="14" max="17" width="14.44140625" style="66" customWidth="1"/>
    <col min="18" max="18" width="20.109375" style="66" customWidth="1"/>
    <col min="19" max="23" width="13" style="70" customWidth="1"/>
    <col min="24" max="16384" width="9.109375" style="66"/>
  </cols>
  <sheetData>
    <row r="1" spans="1:23" ht="11.5" x14ac:dyDescent="0.25">
      <c r="A1" s="68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W2" s="66"/>
    </row>
    <row r="3" spans="1:23" x14ac:dyDescent="0.2">
      <c r="A3" s="69"/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O3" s="200" t="s">
        <v>73</v>
      </c>
      <c r="P3" s="120"/>
      <c r="W3" s="66"/>
    </row>
    <row r="4" spans="1:23" ht="13.5" customHeight="1" x14ac:dyDescent="0.2">
      <c r="A4" s="73" t="s">
        <v>15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O4" s="200" t="s">
        <v>31</v>
      </c>
      <c r="P4" s="200" t="s">
        <v>1</v>
      </c>
      <c r="W4" s="66"/>
    </row>
    <row r="5" spans="1:23" ht="13.5" customHeight="1" x14ac:dyDescent="0.2">
      <c r="A5" s="73" t="s">
        <v>16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O5" s="176" t="e">
        <f>AVERAGE(B5:M5)</f>
        <v>#DIV/0!</v>
      </c>
      <c r="P5" s="176" t="e">
        <f>STDEV(B5:M5)</f>
        <v>#DIV/0!</v>
      </c>
      <c r="W5" s="66"/>
    </row>
    <row r="6" spans="1:23" ht="13.5" customHeight="1" x14ac:dyDescent="0.2">
      <c r="A6" s="73" t="s">
        <v>17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O6" s="201" t="s">
        <v>74</v>
      </c>
      <c r="P6" s="202"/>
      <c r="W6" s="66"/>
    </row>
    <row r="7" spans="1:23" ht="13.5" customHeight="1" x14ac:dyDescent="0.2">
      <c r="A7" s="73" t="s">
        <v>18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O7" s="201" t="s">
        <v>80</v>
      </c>
      <c r="P7" s="201" t="s">
        <v>1</v>
      </c>
      <c r="W7" s="66"/>
    </row>
    <row r="8" spans="1:23" ht="13.5" customHeight="1" x14ac:dyDescent="0.2">
      <c r="A8" s="73" t="s">
        <v>19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80"/>
      <c r="O8" s="177" t="e">
        <f>AVERAGE(B4:M4)-O5</f>
        <v>#DIV/0!</v>
      </c>
      <c r="P8" s="177" t="e">
        <f>STDEV(B4:M4)</f>
        <v>#DIV/0!</v>
      </c>
      <c r="W8" s="66"/>
    </row>
    <row r="9" spans="1:23" ht="13.5" customHeight="1" x14ac:dyDescent="0.2">
      <c r="A9" s="73" t="s">
        <v>20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81"/>
      <c r="P9" s="82"/>
      <c r="W9" s="66"/>
    </row>
    <row r="10" spans="1:23" ht="13.5" customHeight="1" x14ac:dyDescent="0.2">
      <c r="A10" s="73" t="s">
        <v>21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W10" s="66"/>
    </row>
    <row r="11" spans="1:23" ht="13.5" customHeight="1" x14ac:dyDescent="0.2">
      <c r="A11" s="73" t="s">
        <v>22</v>
      </c>
      <c r="B11" s="368"/>
      <c r="C11" s="369"/>
      <c r="D11" s="369"/>
      <c r="E11" s="368"/>
      <c r="F11" s="368"/>
      <c r="G11" s="368"/>
      <c r="H11" s="368"/>
      <c r="I11" s="368"/>
      <c r="J11" s="368"/>
      <c r="K11" s="368"/>
      <c r="L11" s="368"/>
      <c r="M11" s="368"/>
    </row>
    <row r="12" spans="1:23" ht="13.5" customHeight="1" x14ac:dyDescent="0.2">
      <c r="A12" s="69"/>
      <c r="N12" s="220"/>
    </row>
    <row r="13" spans="1:23" ht="13" x14ac:dyDescent="0.3">
      <c r="A13" s="119" t="str">
        <f>'Run specifications'!B4</f>
        <v>A</v>
      </c>
      <c r="B13" s="120"/>
      <c r="C13" s="121">
        <f>'Run specifications'!D4</f>
        <v>0</v>
      </c>
      <c r="D13" s="120"/>
      <c r="E13" s="120"/>
      <c r="F13" s="120"/>
      <c r="G13" s="120"/>
      <c r="H13" s="120"/>
      <c r="I13" s="120"/>
      <c r="J13" s="120"/>
      <c r="L13" s="65" t="s">
        <v>75</v>
      </c>
      <c r="N13" s="70"/>
      <c r="O13" s="70"/>
      <c r="P13" s="70"/>
      <c r="Q13" s="70"/>
    </row>
    <row r="14" spans="1:23" ht="51.75" customHeight="1" x14ac:dyDescent="0.2">
      <c r="A14" s="203" t="s">
        <v>105</v>
      </c>
      <c r="B14" s="203" t="s">
        <v>106</v>
      </c>
      <c r="C14" s="204" t="s">
        <v>76</v>
      </c>
      <c r="D14" s="205" t="s">
        <v>78</v>
      </c>
      <c r="E14" s="206" t="s">
        <v>77</v>
      </c>
      <c r="F14" s="207" t="s">
        <v>33</v>
      </c>
      <c r="G14" s="205" t="s">
        <v>34</v>
      </c>
      <c r="H14" s="203" t="s">
        <v>35</v>
      </c>
      <c r="I14" s="207" t="s">
        <v>23</v>
      </c>
      <c r="J14" s="205" t="s">
        <v>2</v>
      </c>
      <c r="K14" s="75" t="s">
        <v>166</v>
      </c>
      <c r="L14" s="86" t="s">
        <v>105</v>
      </c>
      <c r="M14" s="86" t="s">
        <v>106</v>
      </c>
      <c r="N14" s="87" t="str">
        <f>'Run specifications'!B4</f>
        <v>A</v>
      </c>
      <c r="O14" s="88" t="str">
        <f>'Run specifications'!B5</f>
        <v>B</v>
      </c>
      <c r="P14" s="89" t="str">
        <f>'Run specifications'!B6</f>
        <v>C</v>
      </c>
      <c r="Q14" s="90" t="str">
        <f>'Run specifications'!B3</f>
        <v>PC</v>
      </c>
    </row>
    <row r="15" spans="1:23" ht="10.5" x14ac:dyDescent="0.25">
      <c r="A15" s="105">
        <v>1.25</v>
      </c>
      <c r="B15" s="105">
        <f>A15/4</f>
        <v>0.3125</v>
      </c>
      <c r="C15" s="181">
        <f>B6-$N$15</f>
        <v>0</v>
      </c>
      <c r="D15" s="182">
        <f>C6-$N$15</f>
        <v>0</v>
      </c>
      <c r="E15" s="183">
        <f>D6-$N$15</f>
        <v>0</v>
      </c>
      <c r="F15" s="112" t="e">
        <f t="shared" ref="F15:H19" si="0">(1-(C15/$O$8))*100</f>
        <v>#DIV/0!</v>
      </c>
      <c r="G15" s="110" t="e">
        <f t="shared" si="0"/>
        <v>#DIV/0!</v>
      </c>
      <c r="H15" s="118" t="e">
        <f t="shared" si="0"/>
        <v>#DIV/0!</v>
      </c>
      <c r="I15" s="114" t="e">
        <f>AVERAGE(F15:H15)</f>
        <v>#DIV/0!</v>
      </c>
      <c r="J15" s="115" t="e">
        <f>STDEV(F15:H15)</f>
        <v>#DIV/0!</v>
      </c>
      <c r="K15" s="282" t="e">
        <f>TTEST(B6:D6,$B$4:$M$4,2,3)</f>
        <v>#DIV/0!</v>
      </c>
      <c r="L15" s="197">
        <v>1.25</v>
      </c>
      <c r="M15" s="196">
        <f>L15/4</f>
        <v>0.3125</v>
      </c>
      <c r="N15" s="178">
        <f>K6</f>
        <v>0</v>
      </c>
      <c r="O15" s="178">
        <f t="shared" ref="N15:P19" si="1">L6</f>
        <v>0</v>
      </c>
      <c r="P15" s="178">
        <f t="shared" si="1"/>
        <v>0</v>
      </c>
      <c r="Q15" s="179">
        <f>I11</f>
        <v>0</v>
      </c>
    </row>
    <row r="16" spans="1:23" ht="10.5" x14ac:dyDescent="0.25">
      <c r="A16" s="116">
        <v>2.5</v>
      </c>
      <c r="B16" s="105">
        <f t="shared" ref="B16:B19" si="2">A16/4</f>
        <v>0.625</v>
      </c>
      <c r="C16" s="181">
        <f>B7-$N$16</f>
        <v>0</v>
      </c>
      <c r="D16" s="182">
        <f>C7-$N$16</f>
        <v>0</v>
      </c>
      <c r="E16" s="183">
        <f>D7-$N$16</f>
        <v>0</v>
      </c>
      <c r="F16" s="112" t="e">
        <f t="shared" si="0"/>
        <v>#DIV/0!</v>
      </c>
      <c r="G16" s="110" t="e">
        <f t="shared" si="0"/>
        <v>#DIV/0!</v>
      </c>
      <c r="H16" s="118" t="e">
        <f t="shared" si="0"/>
        <v>#DIV/0!</v>
      </c>
      <c r="I16" s="114" t="e">
        <f>AVERAGE(F16:H16)</f>
        <v>#DIV/0!</v>
      </c>
      <c r="J16" s="115" t="e">
        <f>STDEV(F16:H16)</f>
        <v>#DIV/0!</v>
      </c>
      <c r="K16" s="282" t="e">
        <f>TTEST(B7:D7,$B$4:$M$4,2,3)</f>
        <v>#DIV/0!</v>
      </c>
      <c r="L16" s="198">
        <v>2.5</v>
      </c>
      <c r="M16" s="196">
        <f>L16/4</f>
        <v>0.625</v>
      </c>
      <c r="N16" s="178">
        <f>K7</f>
        <v>0</v>
      </c>
      <c r="O16" s="178">
        <f t="shared" si="1"/>
        <v>0</v>
      </c>
      <c r="P16" s="178">
        <f t="shared" si="1"/>
        <v>0</v>
      </c>
      <c r="Q16" s="180">
        <f>J11</f>
        <v>0</v>
      </c>
    </row>
    <row r="17" spans="1:17" ht="10.5" x14ac:dyDescent="0.25">
      <c r="A17" s="117">
        <v>5</v>
      </c>
      <c r="B17" s="105">
        <f t="shared" si="2"/>
        <v>1.25</v>
      </c>
      <c r="C17" s="181">
        <f>B8-$N$17</f>
        <v>0</v>
      </c>
      <c r="D17" s="182">
        <f>C8-$N$17</f>
        <v>0</v>
      </c>
      <c r="E17" s="183">
        <f>D8-$N$17</f>
        <v>0</v>
      </c>
      <c r="F17" s="112" t="e">
        <f t="shared" si="0"/>
        <v>#DIV/0!</v>
      </c>
      <c r="G17" s="110" t="e">
        <f t="shared" si="0"/>
        <v>#DIV/0!</v>
      </c>
      <c r="H17" s="118" t="e">
        <f t="shared" si="0"/>
        <v>#DIV/0!</v>
      </c>
      <c r="I17" s="114" t="e">
        <f>AVERAGE(F17:H17)</f>
        <v>#DIV/0!</v>
      </c>
      <c r="J17" s="115" t="e">
        <f>STDEV(F17:H17)</f>
        <v>#DIV/0!</v>
      </c>
      <c r="K17" s="282" t="e">
        <f>TTEST(B8:D8,$B$4:$M$4,2,3)</f>
        <v>#DIV/0!</v>
      </c>
      <c r="L17" s="198">
        <v>5</v>
      </c>
      <c r="M17" s="196">
        <f t="shared" ref="M17:M19" si="3">L17/4</f>
        <v>1.25</v>
      </c>
      <c r="N17" s="178">
        <f>K8</f>
        <v>0</v>
      </c>
      <c r="O17" s="178">
        <f t="shared" si="1"/>
        <v>0</v>
      </c>
      <c r="P17" s="178">
        <f t="shared" si="1"/>
        <v>0</v>
      </c>
      <c r="Q17" s="180">
        <f>K11</f>
        <v>0</v>
      </c>
    </row>
    <row r="18" spans="1:17" ht="10.5" x14ac:dyDescent="0.25">
      <c r="A18" s="117">
        <v>10</v>
      </c>
      <c r="B18" s="107">
        <f t="shared" si="2"/>
        <v>2.5</v>
      </c>
      <c r="C18" s="181">
        <f>B9-$N$18</f>
        <v>0</v>
      </c>
      <c r="D18" s="182">
        <f>C9-$N$18</f>
        <v>0</v>
      </c>
      <c r="E18" s="183">
        <f>D9-$N$18</f>
        <v>0</v>
      </c>
      <c r="F18" s="112" t="e">
        <f t="shared" si="0"/>
        <v>#DIV/0!</v>
      </c>
      <c r="G18" s="110" t="e">
        <f t="shared" si="0"/>
        <v>#DIV/0!</v>
      </c>
      <c r="H18" s="118" t="e">
        <f t="shared" si="0"/>
        <v>#DIV/0!</v>
      </c>
      <c r="I18" s="114" t="e">
        <f>AVERAGE(F18:H18)</f>
        <v>#DIV/0!</v>
      </c>
      <c r="J18" s="115" t="e">
        <f>STDEV(F18:H18)</f>
        <v>#DIV/0!</v>
      </c>
      <c r="K18" s="282" t="e">
        <f>TTEST(B9:D9,$B$4:$M$4,2,3)</f>
        <v>#DIV/0!</v>
      </c>
      <c r="L18" s="198">
        <v>10</v>
      </c>
      <c r="M18" s="199">
        <f t="shared" si="3"/>
        <v>2.5</v>
      </c>
      <c r="N18" s="178">
        <f t="shared" si="1"/>
        <v>0</v>
      </c>
      <c r="O18" s="178">
        <f t="shared" si="1"/>
        <v>0</v>
      </c>
      <c r="P18" s="178">
        <f t="shared" si="1"/>
        <v>0</v>
      </c>
      <c r="Q18" s="180">
        <f>L11</f>
        <v>0</v>
      </c>
    </row>
    <row r="19" spans="1:17" ht="10.5" x14ac:dyDescent="0.25">
      <c r="A19" s="117">
        <v>20</v>
      </c>
      <c r="B19" s="107">
        <f t="shared" si="2"/>
        <v>5</v>
      </c>
      <c r="C19" s="181">
        <f>B10-$N$19</f>
        <v>0</v>
      </c>
      <c r="D19" s="182">
        <f>C10-$N$19</f>
        <v>0</v>
      </c>
      <c r="E19" s="183">
        <f>D10-$N$19</f>
        <v>0</v>
      </c>
      <c r="F19" s="112" t="e">
        <f t="shared" si="0"/>
        <v>#DIV/0!</v>
      </c>
      <c r="G19" s="110" t="e">
        <f t="shared" si="0"/>
        <v>#DIV/0!</v>
      </c>
      <c r="H19" s="118" t="e">
        <f t="shared" si="0"/>
        <v>#DIV/0!</v>
      </c>
      <c r="I19" s="114" t="e">
        <f>AVERAGE(F19:H19)</f>
        <v>#DIV/0!</v>
      </c>
      <c r="J19" s="115" t="e">
        <f>STDEV(F19:H19)</f>
        <v>#DIV/0!</v>
      </c>
      <c r="K19" s="282" t="e">
        <f>TTEST(B10:D10,$B$4:$M$4,2,3)</f>
        <v>#DIV/0!</v>
      </c>
      <c r="L19" s="198">
        <v>20</v>
      </c>
      <c r="M19" s="199">
        <f t="shared" si="3"/>
        <v>5</v>
      </c>
      <c r="N19" s="178">
        <f t="shared" si="1"/>
        <v>0</v>
      </c>
      <c r="O19" s="178">
        <f t="shared" si="1"/>
        <v>0</v>
      </c>
      <c r="P19" s="178">
        <f t="shared" si="1"/>
        <v>0</v>
      </c>
      <c r="Q19" s="180">
        <f>M11</f>
        <v>0</v>
      </c>
    </row>
    <row r="20" spans="1:17" ht="10.5" x14ac:dyDescent="0.2">
      <c r="A20" s="208"/>
      <c r="B20" s="120"/>
      <c r="C20" s="208"/>
      <c r="D20" s="208"/>
      <c r="E20" s="208"/>
      <c r="F20" s="209"/>
      <c r="G20" s="209"/>
      <c r="H20" s="209"/>
      <c r="I20" s="210"/>
      <c r="J20" s="211"/>
      <c r="K20" s="283"/>
    </row>
    <row r="21" spans="1:17" ht="13" x14ac:dyDescent="0.3">
      <c r="A21" s="119" t="str">
        <f>'Run specifications'!B5</f>
        <v>B</v>
      </c>
      <c r="B21" s="120"/>
      <c r="C21" s="121">
        <f>'Run specifications'!D5</f>
        <v>0</v>
      </c>
      <c r="D21" s="120"/>
      <c r="E21" s="120"/>
      <c r="F21" s="120"/>
      <c r="G21" s="120"/>
      <c r="H21" s="120"/>
      <c r="I21" s="120"/>
      <c r="J21" s="120"/>
      <c r="K21" s="220"/>
    </row>
    <row r="22" spans="1:17" ht="30" x14ac:dyDescent="0.2">
      <c r="A22" s="122" t="s">
        <v>105</v>
      </c>
      <c r="B22" s="122" t="s">
        <v>106</v>
      </c>
      <c r="C22" s="123" t="s">
        <v>76</v>
      </c>
      <c r="D22" s="212" t="s">
        <v>78</v>
      </c>
      <c r="E22" s="213" t="s">
        <v>77</v>
      </c>
      <c r="F22" s="123" t="s">
        <v>33</v>
      </c>
      <c r="G22" s="212" t="s">
        <v>34</v>
      </c>
      <c r="H22" s="213" t="s">
        <v>35</v>
      </c>
      <c r="I22" s="214" t="s">
        <v>23</v>
      </c>
      <c r="J22" s="212" t="s">
        <v>2</v>
      </c>
      <c r="K22" s="76" t="s">
        <v>166</v>
      </c>
    </row>
    <row r="23" spans="1:17" ht="10.5" x14ac:dyDescent="0.2">
      <c r="A23" s="105">
        <v>1.25</v>
      </c>
      <c r="B23" s="105">
        <f>A23/4</f>
        <v>0.3125</v>
      </c>
      <c r="C23" s="181">
        <f>E6-$O$15</f>
        <v>0</v>
      </c>
      <c r="D23" s="182">
        <f>F6-$O$15</f>
        <v>0</v>
      </c>
      <c r="E23" s="184">
        <f>G6-$O$15</f>
        <v>0</v>
      </c>
      <c r="F23" s="112" t="e">
        <f>(1-(C23/$O$8))*100</f>
        <v>#DIV/0!</v>
      </c>
      <c r="G23" s="110" t="e">
        <f t="shared" ref="G23:H27" si="4">(1-(D23/$O$8))*100</f>
        <v>#DIV/0!</v>
      </c>
      <c r="H23" s="113" t="e">
        <f t="shared" si="4"/>
        <v>#DIV/0!</v>
      </c>
      <c r="I23" s="114" t="e">
        <f>AVERAGE(F23:H23)</f>
        <v>#DIV/0!</v>
      </c>
      <c r="J23" s="115" t="e">
        <f>STDEV(F23:H23)</f>
        <v>#DIV/0!</v>
      </c>
      <c r="K23" s="282" t="e">
        <f>TTEST(E6:G6,$B$4:$M$4,2,3)</f>
        <v>#DIV/0!</v>
      </c>
    </row>
    <row r="24" spans="1:17" ht="10.5" x14ac:dyDescent="0.2">
      <c r="A24" s="116">
        <v>2.5</v>
      </c>
      <c r="B24" s="105">
        <f>A24/4</f>
        <v>0.625</v>
      </c>
      <c r="C24" s="181">
        <f>E7-$O$16</f>
        <v>0</v>
      </c>
      <c r="D24" s="182">
        <f>F7-$O$16</f>
        <v>0</v>
      </c>
      <c r="E24" s="184">
        <f>G7-$O$16</f>
        <v>0</v>
      </c>
      <c r="F24" s="112" t="e">
        <f>(1-(C24/$O$8))*100</f>
        <v>#DIV/0!</v>
      </c>
      <c r="G24" s="110" t="e">
        <f t="shared" si="4"/>
        <v>#DIV/0!</v>
      </c>
      <c r="H24" s="113" t="e">
        <f t="shared" si="4"/>
        <v>#DIV/0!</v>
      </c>
      <c r="I24" s="114" t="e">
        <f>AVERAGE(F24:H24)</f>
        <v>#DIV/0!</v>
      </c>
      <c r="J24" s="115" t="e">
        <f>STDEV(F24:H24)</f>
        <v>#DIV/0!</v>
      </c>
      <c r="K24" s="282" t="e">
        <f>TTEST(E7:G7,$B$4:$M$4,2,3)</f>
        <v>#DIV/0!</v>
      </c>
    </row>
    <row r="25" spans="1:17" ht="10.5" x14ac:dyDescent="0.2">
      <c r="A25" s="117">
        <v>5</v>
      </c>
      <c r="B25" s="105">
        <f t="shared" ref="B25:B27" si="5">A25/4</f>
        <v>1.25</v>
      </c>
      <c r="C25" s="181">
        <f>E8-$O$17</f>
        <v>0</v>
      </c>
      <c r="D25" s="182">
        <f>F8-$O$17</f>
        <v>0</v>
      </c>
      <c r="E25" s="184">
        <f>G8-$O$17</f>
        <v>0</v>
      </c>
      <c r="F25" s="112" t="e">
        <f>(1-(C25/$O$8))*100</f>
        <v>#DIV/0!</v>
      </c>
      <c r="G25" s="110" t="e">
        <f t="shared" si="4"/>
        <v>#DIV/0!</v>
      </c>
      <c r="H25" s="113" t="e">
        <f t="shared" si="4"/>
        <v>#DIV/0!</v>
      </c>
      <c r="I25" s="114" t="e">
        <f>AVERAGE(F25:H25)</f>
        <v>#DIV/0!</v>
      </c>
      <c r="J25" s="115" t="e">
        <f>STDEV(F25:H25)</f>
        <v>#DIV/0!</v>
      </c>
      <c r="K25" s="282" t="e">
        <f>TTEST(E8:G8,$B$4:$M$4,2,3)</f>
        <v>#DIV/0!</v>
      </c>
    </row>
    <row r="26" spans="1:17" ht="10.5" x14ac:dyDescent="0.2">
      <c r="A26" s="117">
        <v>10</v>
      </c>
      <c r="B26" s="107">
        <f t="shared" si="5"/>
        <v>2.5</v>
      </c>
      <c r="C26" s="181">
        <f>E9-$O$18</f>
        <v>0</v>
      </c>
      <c r="D26" s="182">
        <f>F9-$O$18</f>
        <v>0</v>
      </c>
      <c r="E26" s="184">
        <f>G9-$O$18</f>
        <v>0</v>
      </c>
      <c r="F26" s="112" t="e">
        <f>(1-(C26/$O$8))*100</f>
        <v>#DIV/0!</v>
      </c>
      <c r="G26" s="110" t="e">
        <f t="shared" si="4"/>
        <v>#DIV/0!</v>
      </c>
      <c r="H26" s="113" t="e">
        <f t="shared" si="4"/>
        <v>#DIV/0!</v>
      </c>
      <c r="I26" s="114" t="e">
        <f>AVERAGE(F26:H26)</f>
        <v>#DIV/0!</v>
      </c>
      <c r="J26" s="115" t="e">
        <f>STDEV(F26:H26)</f>
        <v>#DIV/0!</v>
      </c>
      <c r="K26" s="282" t="e">
        <f>TTEST(E9:G9,$B$4:$M$4,2,3)</f>
        <v>#DIV/0!</v>
      </c>
    </row>
    <row r="27" spans="1:17" ht="10.5" x14ac:dyDescent="0.2">
      <c r="A27" s="117">
        <v>20</v>
      </c>
      <c r="B27" s="107">
        <f t="shared" si="5"/>
        <v>5</v>
      </c>
      <c r="C27" s="181">
        <f>E10-$O$19</f>
        <v>0</v>
      </c>
      <c r="D27" s="182">
        <f>F10-$O$19</f>
        <v>0</v>
      </c>
      <c r="E27" s="184">
        <f>G10-$O$19</f>
        <v>0</v>
      </c>
      <c r="F27" s="112" t="e">
        <f>(1-(C27/$O$8))*100</f>
        <v>#DIV/0!</v>
      </c>
      <c r="G27" s="110" t="e">
        <f t="shared" si="4"/>
        <v>#DIV/0!</v>
      </c>
      <c r="H27" s="113" t="e">
        <f t="shared" si="4"/>
        <v>#DIV/0!</v>
      </c>
      <c r="I27" s="114" t="e">
        <f>AVERAGE(F27:H27)</f>
        <v>#DIV/0!</v>
      </c>
      <c r="J27" s="115" t="e">
        <f>STDEV(F27:H27)</f>
        <v>#DIV/0!</v>
      </c>
      <c r="K27" s="282" t="e">
        <f>TTEST(E10:G10,$B$4:$M$4,2,3)</f>
        <v>#DIV/0!</v>
      </c>
    </row>
    <row r="28" spans="1:17" ht="10.5" x14ac:dyDescent="0.2">
      <c r="A28" s="208"/>
      <c r="B28" s="120"/>
      <c r="C28" s="208"/>
      <c r="D28" s="208"/>
      <c r="E28" s="208"/>
      <c r="F28" s="209"/>
      <c r="G28" s="209"/>
      <c r="H28" s="209"/>
      <c r="I28" s="210"/>
      <c r="J28" s="211"/>
      <c r="K28" s="283"/>
    </row>
    <row r="29" spans="1:17" ht="13" x14ac:dyDescent="0.3">
      <c r="A29" s="119" t="str">
        <f>'Run specifications'!B6</f>
        <v>C</v>
      </c>
      <c r="B29" s="120"/>
      <c r="C29" s="121">
        <f>'Run specifications'!D6</f>
        <v>0</v>
      </c>
      <c r="D29" s="120"/>
      <c r="E29" s="120"/>
      <c r="F29" s="120"/>
      <c r="G29" s="120"/>
      <c r="H29" s="120"/>
      <c r="I29" s="120"/>
      <c r="J29" s="120"/>
      <c r="K29" s="220"/>
    </row>
    <row r="30" spans="1:17" ht="30" x14ac:dyDescent="0.2">
      <c r="A30" s="124" t="s">
        <v>105</v>
      </c>
      <c r="B30" s="124" t="s">
        <v>106</v>
      </c>
      <c r="C30" s="125" t="s">
        <v>76</v>
      </c>
      <c r="D30" s="215" t="s">
        <v>78</v>
      </c>
      <c r="E30" s="216" t="s">
        <v>77</v>
      </c>
      <c r="F30" s="125" t="s">
        <v>33</v>
      </c>
      <c r="G30" s="215" t="s">
        <v>34</v>
      </c>
      <c r="H30" s="216" t="s">
        <v>35</v>
      </c>
      <c r="I30" s="217" t="s">
        <v>23</v>
      </c>
      <c r="J30" s="215" t="s">
        <v>2</v>
      </c>
      <c r="K30" s="77" t="s">
        <v>166</v>
      </c>
    </row>
    <row r="31" spans="1:17" ht="10.5" x14ac:dyDescent="0.2">
      <c r="A31" s="105">
        <v>1.25</v>
      </c>
      <c r="B31" s="105">
        <f>A31/4</f>
        <v>0.3125</v>
      </c>
      <c r="C31" s="181">
        <f>H6-$P$15</f>
        <v>0</v>
      </c>
      <c r="D31" s="182">
        <f>I6-$P$15</f>
        <v>0</v>
      </c>
      <c r="E31" s="184">
        <f>J6-$P$15</f>
        <v>0</v>
      </c>
      <c r="F31" s="112" t="e">
        <f>(1-(C31/$O$8))*100</f>
        <v>#DIV/0!</v>
      </c>
      <c r="G31" s="110" t="e">
        <f t="shared" ref="G31:H35" si="6">(1-(D31/$O$8))*100</f>
        <v>#DIV/0!</v>
      </c>
      <c r="H31" s="113" t="e">
        <f t="shared" si="6"/>
        <v>#DIV/0!</v>
      </c>
      <c r="I31" s="114" t="e">
        <f>AVERAGE(F31:H31)</f>
        <v>#DIV/0!</v>
      </c>
      <c r="J31" s="115" t="e">
        <f>STDEV(F31:H31)</f>
        <v>#DIV/0!</v>
      </c>
      <c r="K31" s="282" t="e">
        <f>TTEST(H6:J6,$B$4:$M$4,2,3)</f>
        <v>#DIV/0!</v>
      </c>
    </row>
    <row r="32" spans="1:17" ht="10.5" x14ac:dyDescent="0.2">
      <c r="A32" s="116">
        <v>2.5</v>
      </c>
      <c r="B32" s="105">
        <f t="shared" ref="B32:B35" si="7">A32/4</f>
        <v>0.625</v>
      </c>
      <c r="C32" s="181">
        <f>H7-$P$16</f>
        <v>0</v>
      </c>
      <c r="D32" s="182">
        <f>I7-$P$16</f>
        <v>0</v>
      </c>
      <c r="E32" s="184">
        <f>J7-$P$16</f>
        <v>0</v>
      </c>
      <c r="F32" s="112" t="e">
        <f>(1-(C32/$O$8))*100</f>
        <v>#DIV/0!</v>
      </c>
      <c r="G32" s="110" t="e">
        <f t="shared" si="6"/>
        <v>#DIV/0!</v>
      </c>
      <c r="H32" s="113" t="e">
        <f t="shared" si="6"/>
        <v>#DIV/0!</v>
      </c>
      <c r="I32" s="114" t="e">
        <f>AVERAGE(F32:H32)</f>
        <v>#DIV/0!</v>
      </c>
      <c r="J32" s="115" t="e">
        <f>STDEV(F32:H32)</f>
        <v>#DIV/0!</v>
      </c>
      <c r="K32" s="282" t="e">
        <f>TTEST(H7:J7,$B$4:$M$4,2,3)</f>
        <v>#DIV/0!</v>
      </c>
    </row>
    <row r="33" spans="1:11" ht="10.5" x14ac:dyDescent="0.2">
      <c r="A33" s="117">
        <v>5</v>
      </c>
      <c r="B33" s="105">
        <f t="shared" si="7"/>
        <v>1.25</v>
      </c>
      <c r="C33" s="181">
        <f>H8-$P$17</f>
        <v>0</v>
      </c>
      <c r="D33" s="182">
        <f>I8-$P$17</f>
        <v>0</v>
      </c>
      <c r="E33" s="184">
        <f>J8-$P$17</f>
        <v>0</v>
      </c>
      <c r="F33" s="112" t="e">
        <f>(1-(C33/$O$8))*100</f>
        <v>#DIV/0!</v>
      </c>
      <c r="G33" s="110" t="e">
        <f t="shared" si="6"/>
        <v>#DIV/0!</v>
      </c>
      <c r="H33" s="113" t="e">
        <f t="shared" si="6"/>
        <v>#DIV/0!</v>
      </c>
      <c r="I33" s="114" t="e">
        <f>AVERAGE(F33:H33)</f>
        <v>#DIV/0!</v>
      </c>
      <c r="J33" s="115" t="e">
        <f>STDEV(F33:H33)</f>
        <v>#DIV/0!</v>
      </c>
      <c r="K33" s="282" t="e">
        <f>TTEST(H8:J8,$B$4:$M$4,2,3)</f>
        <v>#DIV/0!</v>
      </c>
    </row>
    <row r="34" spans="1:11" ht="10.5" x14ac:dyDescent="0.2">
      <c r="A34" s="117">
        <v>10</v>
      </c>
      <c r="B34" s="107">
        <f t="shared" si="7"/>
        <v>2.5</v>
      </c>
      <c r="C34" s="181">
        <f>H9-$P$18</f>
        <v>0</v>
      </c>
      <c r="D34" s="182">
        <f>I9-$P$18</f>
        <v>0</v>
      </c>
      <c r="E34" s="184">
        <f>J9-$P$18</f>
        <v>0</v>
      </c>
      <c r="F34" s="112" t="e">
        <f>(1-(C34/$O$8))*100</f>
        <v>#DIV/0!</v>
      </c>
      <c r="G34" s="110" t="e">
        <f t="shared" si="6"/>
        <v>#DIV/0!</v>
      </c>
      <c r="H34" s="113" t="e">
        <f t="shared" si="6"/>
        <v>#DIV/0!</v>
      </c>
      <c r="I34" s="114" t="e">
        <f>AVERAGE(F34:H34)</f>
        <v>#DIV/0!</v>
      </c>
      <c r="J34" s="115" t="e">
        <f>STDEV(F34:H34)</f>
        <v>#DIV/0!</v>
      </c>
      <c r="K34" s="282" t="e">
        <f>TTEST(H9:J9,$B$4:$M$4,2,3)</f>
        <v>#DIV/0!</v>
      </c>
    </row>
    <row r="35" spans="1:11" ht="10.5" x14ac:dyDescent="0.2">
      <c r="A35" s="117">
        <v>20</v>
      </c>
      <c r="B35" s="107">
        <f t="shared" si="7"/>
        <v>5</v>
      </c>
      <c r="C35" s="181">
        <f>H10-$P$19</f>
        <v>0</v>
      </c>
      <c r="D35" s="182">
        <f>I10-$P$19</f>
        <v>0</v>
      </c>
      <c r="E35" s="184">
        <f>J10-$P$19</f>
        <v>0</v>
      </c>
      <c r="F35" s="112" t="e">
        <f>(1-(C35/$O$8))*100</f>
        <v>#DIV/0!</v>
      </c>
      <c r="G35" s="110" t="e">
        <f t="shared" si="6"/>
        <v>#DIV/0!</v>
      </c>
      <c r="H35" s="113" t="e">
        <f t="shared" si="6"/>
        <v>#DIV/0!</v>
      </c>
      <c r="I35" s="114" t="e">
        <f>AVERAGE(F35:H35)</f>
        <v>#DIV/0!</v>
      </c>
      <c r="J35" s="115" t="e">
        <f>STDEV(F35:H35)</f>
        <v>#DIV/0!</v>
      </c>
      <c r="K35" s="282" t="e">
        <f>TTEST(H10:J10,$B$4:$M$4,2,3)</f>
        <v>#DIV/0!</v>
      </c>
    </row>
    <row r="36" spans="1:1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218"/>
    </row>
    <row r="37" spans="1:11" ht="13" x14ac:dyDescent="0.3">
      <c r="A37" s="119" t="str">
        <f>'Run specifications'!B3</f>
        <v>PC</v>
      </c>
      <c r="B37" s="120"/>
      <c r="C37" s="121" t="str">
        <f>'Run specifications'!D3</f>
        <v>Cinnamic aldehyde</v>
      </c>
      <c r="D37" s="120"/>
    </row>
    <row r="38" spans="1:11" ht="30" x14ac:dyDescent="0.2">
      <c r="A38" s="219" t="s">
        <v>105</v>
      </c>
      <c r="B38" s="219" t="s">
        <v>106</v>
      </c>
      <c r="C38" s="219" t="s">
        <v>76</v>
      </c>
      <c r="D38" s="219" t="s">
        <v>36</v>
      </c>
    </row>
    <row r="39" spans="1:11" x14ac:dyDescent="0.2">
      <c r="A39" s="108">
        <v>1.25</v>
      </c>
      <c r="B39" s="105">
        <f>A39/4</f>
        <v>0.3125</v>
      </c>
      <c r="C39" s="182">
        <f>B11-Q15</f>
        <v>0</v>
      </c>
      <c r="D39" s="110" t="e">
        <f>(1-(C39/$O$8))*100</f>
        <v>#DIV/0!</v>
      </c>
    </row>
    <row r="40" spans="1:11" x14ac:dyDescent="0.2">
      <c r="A40" s="111">
        <v>2.5</v>
      </c>
      <c r="B40" s="105">
        <f t="shared" ref="B40:B43" si="8">A40/4</f>
        <v>0.625</v>
      </c>
      <c r="C40" s="182">
        <f>C11-Q16</f>
        <v>0</v>
      </c>
      <c r="D40" s="110" t="e">
        <f>(1-(C40/$O$8))*100</f>
        <v>#DIV/0!</v>
      </c>
    </row>
    <row r="41" spans="1:11" x14ac:dyDescent="0.2">
      <c r="A41" s="109">
        <v>5</v>
      </c>
      <c r="B41" s="105">
        <f t="shared" si="8"/>
        <v>1.25</v>
      </c>
      <c r="C41" s="182">
        <f>D11-Q17</f>
        <v>0</v>
      </c>
      <c r="D41" s="110" t="e">
        <f>(1-(C41/$O$8))*100</f>
        <v>#DIV/0!</v>
      </c>
    </row>
    <row r="42" spans="1:11" x14ac:dyDescent="0.2">
      <c r="A42" s="109">
        <v>10</v>
      </c>
      <c r="B42" s="107">
        <f t="shared" si="8"/>
        <v>2.5</v>
      </c>
      <c r="C42" s="182">
        <f>E11-Q18</f>
        <v>0</v>
      </c>
      <c r="D42" s="110" t="e">
        <f>(1-(C42/$O$8))*100</f>
        <v>#DIV/0!</v>
      </c>
    </row>
    <row r="43" spans="1:11" x14ac:dyDescent="0.2">
      <c r="A43" s="109">
        <v>20</v>
      </c>
      <c r="B43" s="107">
        <f t="shared" si="8"/>
        <v>5</v>
      </c>
      <c r="C43" s="182">
        <f>F11-Q19</f>
        <v>0</v>
      </c>
      <c r="D43" s="110" t="e">
        <f>(1-(C43/$O$8))*100</f>
        <v>#DIV/0!</v>
      </c>
    </row>
  </sheetData>
  <printOptions headings="1" gridLines="1"/>
  <pageMargins left="0.75" right="0.75" top="1" bottom="1" header="0.5" footer="0.5"/>
  <pageSetup paperSize="9" scale="74" pageOrder="overThenDown" orientation="landscape" r:id="rId1"/>
  <headerFooter alignWithMargins="0">
    <oddHeader>&amp;L&amp;F&amp;C&amp;A</oddHeader>
  </headerFooter>
  <ignoredErrors>
    <ignoredError sqref="K20:K22 K28:K3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BreakPreview" zoomScaleNormal="100" zoomScaleSheetLayoutView="100" workbookViewId="0"/>
  </sheetViews>
  <sheetFormatPr defaultColWidth="9.109375" defaultRowHeight="10" x14ac:dyDescent="0.2"/>
  <cols>
    <col min="1" max="8" width="10.77734375" style="66" customWidth="1"/>
    <col min="9" max="9" width="11.109375" style="66" bestFit="1" customWidth="1"/>
    <col min="10" max="13" width="10.77734375" style="66" customWidth="1"/>
    <col min="14" max="17" width="14.44140625" style="66" customWidth="1"/>
    <col min="18" max="18" width="20.109375" style="66" customWidth="1"/>
    <col min="19" max="23" width="13" style="70" customWidth="1"/>
    <col min="24" max="16384" width="9.109375" style="66"/>
  </cols>
  <sheetData>
    <row r="1" spans="1:23" ht="11.5" x14ac:dyDescent="0.25">
      <c r="A1" s="68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W2" s="66"/>
    </row>
    <row r="3" spans="1:23" x14ac:dyDescent="0.2">
      <c r="A3" s="69"/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O3" s="200" t="s">
        <v>73</v>
      </c>
      <c r="P3" s="120"/>
      <c r="W3" s="66"/>
    </row>
    <row r="4" spans="1:23" ht="13.5" customHeight="1" x14ac:dyDescent="0.2">
      <c r="A4" s="73" t="s">
        <v>15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O4" s="200" t="s">
        <v>31</v>
      </c>
      <c r="P4" s="200" t="s">
        <v>1</v>
      </c>
      <c r="W4" s="66"/>
    </row>
    <row r="5" spans="1:23" ht="13.5" customHeight="1" x14ac:dyDescent="0.2">
      <c r="A5" s="73" t="s">
        <v>16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O5" s="176" t="e">
        <f>AVERAGE(B5:M5)</f>
        <v>#DIV/0!</v>
      </c>
      <c r="P5" s="176" t="e">
        <f>STDEV(B5:M5)</f>
        <v>#DIV/0!</v>
      </c>
      <c r="W5" s="66"/>
    </row>
    <row r="6" spans="1:23" ht="13.5" customHeight="1" x14ac:dyDescent="0.2">
      <c r="A6" s="73" t="s">
        <v>17</v>
      </c>
      <c r="B6" s="356"/>
      <c r="C6" s="356"/>
      <c r="D6" s="356"/>
      <c r="E6" s="357"/>
      <c r="F6" s="357"/>
      <c r="G6" s="357"/>
      <c r="H6" s="357"/>
      <c r="I6" s="357"/>
      <c r="J6" s="356"/>
      <c r="K6" s="358"/>
      <c r="L6" s="358"/>
      <c r="M6" s="358"/>
      <c r="O6" s="201" t="s">
        <v>74</v>
      </c>
      <c r="P6" s="202"/>
      <c r="W6" s="66"/>
    </row>
    <row r="7" spans="1:23" ht="13.5" customHeight="1" x14ac:dyDescent="0.2">
      <c r="A7" s="73" t="s">
        <v>18</v>
      </c>
      <c r="B7" s="356"/>
      <c r="C7" s="356"/>
      <c r="D7" s="356"/>
      <c r="E7" s="357"/>
      <c r="F7" s="357"/>
      <c r="G7" s="357"/>
      <c r="H7" s="357"/>
      <c r="I7" s="357"/>
      <c r="J7" s="357"/>
      <c r="K7" s="358"/>
      <c r="L7" s="358"/>
      <c r="M7" s="358"/>
      <c r="O7" s="201" t="s">
        <v>80</v>
      </c>
      <c r="P7" s="201" t="s">
        <v>1</v>
      </c>
      <c r="W7" s="66"/>
    </row>
    <row r="8" spans="1:23" ht="13.5" customHeight="1" x14ac:dyDescent="0.2">
      <c r="A8" s="73" t="s">
        <v>19</v>
      </c>
      <c r="B8" s="356"/>
      <c r="C8" s="356"/>
      <c r="D8" s="356"/>
      <c r="E8" s="359"/>
      <c r="F8" s="359"/>
      <c r="G8" s="359"/>
      <c r="H8" s="357"/>
      <c r="I8" s="357"/>
      <c r="J8" s="357"/>
      <c r="K8" s="358"/>
      <c r="L8" s="358"/>
      <c r="M8" s="358"/>
      <c r="N8" s="80"/>
      <c r="O8" s="177" t="e">
        <f>AVERAGE(B4:M4)-O5</f>
        <v>#DIV/0!</v>
      </c>
      <c r="P8" s="177" t="e">
        <f>STDEV(B4:M4)</f>
        <v>#DIV/0!</v>
      </c>
      <c r="W8" s="66"/>
    </row>
    <row r="9" spans="1:23" ht="13.5" customHeight="1" x14ac:dyDescent="0.2">
      <c r="A9" s="73" t="s">
        <v>20</v>
      </c>
      <c r="B9" s="356"/>
      <c r="C9" s="356"/>
      <c r="D9" s="356"/>
      <c r="E9" s="359"/>
      <c r="F9" s="360"/>
      <c r="G9" s="360"/>
      <c r="H9" s="359"/>
      <c r="I9" s="359"/>
      <c r="J9" s="359"/>
      <c r="K9" s="358"/>
      <c r="L9" s="358"/>
      <c r="M9" s="358"/>
      <c r="N9" s="81"/>
      <c r="P9" s="82"/>
      <c r="W9" s="66"/>
    </row>
    <row r="10" spans="1:23" ht="13.5" customHeight="1" x14ac:dyDescent="0.2">
      <c r="A10" s="73" t="s">
        <v>21</v>
      </c>
      <c r="B10" s="356"/>
      <c r="C10" s="356"/>
      <c r="D10" s="356"/>
      <c r="E10" s="361"/>
      <c r="F10" s="361"/>
      <c r="G10" s="361"/>
      <c r="H10" s="361"/>
      <c r="I10" s="361"/>
      <c r="J10" s="361"/>
      <c r="K10" s="358"/>
      <c r="L10" s="358"/>
      <c r="M10" s="358"/>
      <c r="W10" s="66"/>
    </row>
    <row r="11" spans="1:23" ht="13.5" customHeight="1" x14ac:dyDescent="0.2">
      <c r="A11" s="73" t="s">
        <v>22</v>
      </c>
      <c r="B11" s="356"/>
      <c r="C11" s="356"/>
      <c r="D11" s="357"/>
      <c r="E11" s="359"/>
      <c r="F11" s="361"/>
      <c r="G11" s="358"/>
      <c r="H11" s="358"/>
      <c r="I11" s="358"/>
      <c r="J11" s="358"/>
      <c r="K11" s="358"/>
      <c r="L11" s="358"/>
      <c r="M11" s="358"/>
    </row>
    <row r="12" spans="1:23" ht="13.5" customHeight="1" x14ac:dyDescent="0.2">
      <c r="A12" s="69"/>
    </row>
    <row r="13" spans="1:23" ht="13" x14ac:dyDescent="0.3">
      <c r="A13" s="119" t="str">
        <f>'Run specifications'!B4</f>
        <v>A</v>
      </c>
      <c r="B13" s="120"/>
      <c r="C13" s="121">
        <f>'Run specifications'!D4</f>
        <v>0</v>
      </c>
      <c r="D13" s="120"/>
      <c r="E13" s="120"/>
      <c r="F13" s="120"/>
      <c r="G13" s="120"/>
      <c r="H13" s="120"/>
      <c r="I13" s="120"/>
      <c r="J13" s="120"/>
      <c r="L13" s="65" t="s">
        <v>75</v>
      </c>
      <c r="N13" s="70"/>
      <c r="O13" s="70"/>
      <c r="P13" s="70"/>
      <c r="Q13" s="70"/>
    </row>
    <row r="14" spans="1:23" ht="51.75" customHeight="1" x14ac:dyDescent="0.2">
      <c r="A14" s="203" t="s">
        <v>105</v>
      </c>
      <c r="B14" s="203" t="s">
        <v>106</v>
      </c>
      <c r="C14" s="204" t="s">
        <v>76</v>
      </c>
      <c r="D14" s="205" t="s">
        <v>78</v>
      </c>
      <c r="E14" s="206" t="s">
        <v>77</v>
      </c>
      <c r="F14" s="207" t="s">
        <v>33</v>
      </c>
      <c r="G14" s="205" t="s">
        <v>34</v>
      </c>
      <c r="H14" s="203" t="s">
        <v>35</v>
      </c>
      <c r="I14" s="207" t="s">
        <v>23</v>
      </c>
      <c r="J14" s="205" t="s">
        <v>2</v>
      </c>
      <c r="K14" s="75" t="s">
        <v>166</v>
      </c>
      <c r="L14" s="86" t="s">
        <v>105</v>
      </c>
      <c r="M14" s="86" t="s">
        <v>106</v>
      </c>
      <c r="N14" s="87" t="str">
        <f>'Run specifications'!B4</f>
        <v>A</v>
      </c>
      <c r="O14" s="88" t="str">
        <f>'Run specifications'!B5</f>
        <v>B</v>
      </c>
      <c r="P14" s="89" t="str">
        <f>'Run specifications'!B6</f>
        <v>C</v>
      </c>
      <c r="Q14" s="90" t="str">
        <f>'Run specifications'!B3</f>
        <v>PC</v>
      </c>
    </row>
    <row r="15" spans="1:23" ht="10.5" x14ac:dyDescent="0.25">
      <c r="A15" s="105">
        <v>1.25</v>
      </c>
      <c r="B15" s="105">
        <f>A15/4</f>
        <v>0.3125</v>
      </c>
      <c r="C15" s="181">
        <f>B6-$N$15</f>
        <v>0</v>
      </c>
      <c r="D15" s="182">
        <f>C6-$N$15</f>
        <v>0</v>
      </c>
      <c r="E15" s="183">
        <f>D6-$N$15</f>
        <v>0</v>
      </c>
      <c r="F15" s="112" t="e">
        <f t="shared" ref="F15:H19" si="0">(1-(C15/$O$8))*100</f>
        <v>#DIV/0!</v>
      </c>
      <c r="G15" s="110" t="e">
        <f t="shared" si="0"/>
        <v>#DIV/0!</v>
      </c>
      <c r="H15" s="118" t="e">
        <f t="shared" si="0"/>
        <v>#DIV/0!</v>
      </c>
      <c r="I15" s="114" t="e">
        <f>AVERAGE(F15:H15)</f>
        <v>#DIV/0!</v>
      </c>
      <c r="J15" s="115" t="e">
        <f>STDEV(F15:H15)</f>
        <v>#DIV/0!</v>
      </c>
      <c r="K15" s="282" t="e">
        <f>TTEST(B6:D6,$B$4:$M$4,2,3)</f>
        <v>#DIV/0!</v>
      </c>
      <c r="L15" s="104">
        <v>1.25</v>
      </c>
      <c r="M15" s="105">
        <f>L15/4</f>
        <v>0.3125</v>
      </c>
      <c r="N15" s="178">
        <f t="shared" ref="N15:P19" si="1">K6</f>
        <v>0</v>
      </c>
      <c r="O15" s="178">
        <f t="shared" si="1"/>
        <v>0</v>
      </c>
      <c r="P15" s="178">
        <f t="shared" si="1"/>
        <v>0</v>
      </c>
      <c r="Q15" s="179">
        <f>I11</f>
        <v>0</v>
      </c>
    </row>
    <row r="16" spans="1:23" ht="10.5" x14ac:dyDescent="0.25">
      <c r="A16" s="116">
        <v>2.5</v>
      </c>
      <c r="B16" s="105">
        <f t="shared" ref="B16:B19" si="2">A16/4</f>
        <v>0.625</v>
      </c>
      <c r="C16" s="181">
        <f>B7-$N$16</f>
        <v>0</v>
      </c>
      <c r="D16" s="182">
        <f>C7-$N$16</f>
        <v>0</v>
      </c>
      <c r="E16" s="183">
        <f>D7-$N$16</f>
        <v>0</v>
      </c>
      <c r="F16" s="112" t="e">
        <f t="shared" si="0"/>
        <v>#DIV/0!</v>
      </c>
      <c r="G16" s="110" t="e">
        <f t="shared" si="0"/>
        <v>#DIV/0!</v>
      </c>
      <c r="H16" s="118" t="e">
        <f t="shared" si="0"/>
        <v>#DIV/0!</v>
      </c>
      <c r="I16" s="114" t="e">
        <f>AVERAGE(F16:H16)</f>
        <v>#DIV/0!</v>
      </c>
      <c r="J16" s="115" t="e">
        <f>STDEV(F16:H16)</f>
        <v>#DIV/0!</v>
      </c>
      <c r="K16" s="282" t="e">
        <f>TTEST(B7:D7,$B$4:$M$4,2,3)</f>
        <v>#DIV/0!</v>
      </c>
      <c r="L16" s="106">
        <v>2.5</v>
      </c>
      <c r="M16" s="105">
        <f>L16/4</f>
        <v>0.625</v>
      </c>
      <c r="N16" s="178">
        <f t="shared" si="1"/>
        <v>0</v>
      </c>
      <c r="O16" s="178">
        <f t="shared" si="1"/>
        <v>0</v>
      </c>
      <c r="P16" s="178">
        <f t="shared" si="1"/>
        <v>0</v>
      </c>
      <c r="Q16" s="180">
        <f>J11</f>
        <v>0</v>
      </c>
    </row>
    <row r="17" spans="1:17" ht="10.5" x14ac:dyDescent="0.25">
      <c r="A17" s="117">
        <v>5</v>
      </c>
      <c r="B17" s="105">
        <f t="shared" si="2"/>
        <v>1.25</v>
      </c>
      <c r="C17" s="181">
        <f>B8-$N$17</f>
        <v>0</v>
      </c>
      <c r="D17" s="182">
        <f>C8-$N$17</f>
        <v>0</v>
      </c>
      <c r="E17" s="183">
        <f>D8-$N$17</f>
        <v>0</v>
      </c>
      <c r="F17" s="112" t="e">
        <f t="shared" si="0"/>
        <v>#DIV/0!</v>
      </c>
      <c r="G17" s="110" t="e">
        <f t="shared" si="0"/>
        <v>#DIV/0!</v>
      </c>
      <c r="H17" s="118" t="e">
        <f t="shared" si="0"/>
        <v>#DIV/0!</v>
      </c>
      <c r="I17" s="114" t="e">
        <f>AVERAGE(F17:H17)</f>
        <v>#DIV/0!</v>
      </c>
      <c r="J17" s="115" t="e">
        <f>STDEV(F17:H17)</f>
        <v>#DIV/0!</v>
      </c>
      <c r="K17" s="282" t="e">
        <f>TTEST(B8:D8,$B$4:$M$4,2,3)</f>
        <v>#DIV/0!</v>
      </c>
      <c r="L17" s="106">
        <v>5</v>
      </c>
      <c r="M17" s="105">
        <f t="shared" ref="M17:M19" si="3">L17/4</f>
        <v>1.25</v>
      </c>
      <c r="N17" s="178">
        <f t="shared" si="1"/>
        <v>0</v>
      </c>
      <c r="O17" s="178">
        <f t="shared" si="1"/>
        <v>0</v>
      </c>
      <c r="P17" s="178">
        <f t="shared" si="1"/>
        <v>0</v>
      </c>
      <c r="Q17" s="180">
        <f>K11</f>
        <v>0</v>
      </c>
    </row>
    <row r="18" spans="1:17" ht="10.5" x14ac:dyDescent="0.25">
      <c r="A18" s="117">
        <v>10</v>
      </c>
      <c r="B18" s="107">
        <f t="shared" si="2"/>
        <v>2.5</v>
      </c>
      <c r="C18" s="181">
        <f>B9-$N$18</f>
        <v>0</v>
      </c>
      <c r="D18" s="182">
        <f>C9-$N$18</f>
        <v>0</v>
      </c>
      <c r="E18" s="183">
        <f>D9-$N$18</f>
        <v>0</v>
      </c>
      <c r="F18" s="112" t="e">
        <f t="shared" si="0"/>
        <v>#DIV/0!</v>
      </c>
      <c r="G18" s="110" t="e">
        <f t="shared" si="0"/>
        <v>#DIV/0!</v>
      </c>
      <c r="H18" s="118" t="e">
        <f t="shared" si="0"/>
        <v>#DIV/0!</v>
      </c>
      <c r="I18" s="114" t="e">
        <f>AVERAGE(F18:H18)</f>
        <v>#DIV/0!</v>
      </c>
      <c r="J18" s="115" t="e">
        <f>STDEV(F18:H18)</f>
        <v>#DIV/0!</v>
      </c>
      <c r="K18" s="282" t="e">
        <f>TTEST(B9:D9,$B$4:$M$4,2,3)</f>
        <v>#DIV/0!</v>
      </c>
      <c r="L18" s="106">
        <v>10</v>
      </c>
      <c r="M18" s="107">
        <f t="shared" si="3"/>
        <v>2.5</v>
      </c>
      <c r="N18" s="178">
        <f t="shared" si="1"/>
        <v>0</v>
      </c>
      <c r="O18" s="178">
        <f t="shared" si="1"/>
        <v>0</v>
      </c>
      <c r="P18" s="178">
        <f t="shared" si="1"/>
        <v>0</v>
      </c>
      <c r="Q18" s="180">
        <f>L11</f>
        <v>0</v>
      </c>
    </row>
    <row r="19" spans="1:17" ht="10.5" x14ac:dyDescent="0.25">
      <c r="A19" s="117">
        <v>20</v>
      </c>
      <c r="B19" s="107">
        <f t="shared" si="2"/>
        <v>5</v>
      </c>
      <c r="C19" s="181">
        <f>B10-$N$19</f>
        <v>0</v>
      </c>
      <c r="D19" s="182">
        <f>C10-$N$19</f>
        <v>0</v>
      </c>
      <c r="E19" s="183">
        <f>D10-$N$19</f>
        <v>0</v>
      </c>
      <c r="F19" s="112" t="e">
        <f t="shared" si="0"/>
        <v>#DIV/0!</v>
      </c>
      <c r="G19" s="110" t="e">
        <f t="shared" si="0"/>
        <v>#DIV/0!</v>
      </c>
      <c r="H19" s="118" t="e">
        <f t="shared" si="0"/>
        <v>#DIV/0!</v>
      </c>
      <c r="I19" s="114" t="e">
        <f>AVERAGE(F19:H19)</f>
        <v>#DIV/0!</v>
      </c>
      <c r="J19" s="115" t="e">
        <f>STDEV(F19:H19)</f>
        <v>#DIV/0!</v>
      </c>
      <c r="K19" s="282" t="e">
        <f>TTEST(B10:D10,$B$4:$M$4,2,3)</f>
        <v>#DIV/0!</v>
      </c>
      <c r="L19" s="106">
        <v>20</v>
      </c>
      <c r="M19" s="107">
        <f t="shared" si="3"/>
        <v>5</v>
      </c>
      <c r="N19" s="178">
        <f t="shared" si="1"/>
        <v>0</v>
      </c>
      <c r="O19" s="178">
        <f t="shared" si="1"/>
        <v>0</v>
      </c>
      <c r="P19" s="178">
        <f t="shared" si="1"/>
        <v>0</v>
      </c>
      <c r="Q19" s="180">
        <f>M11</f>
        <v>0</v>
      </c>
    </row>
    <row r="20" spans="1:17" ht="10.5" x14ac:dyDescent="0.2">
      <c r="A20" s="208"/>
      <c r="B20" s="120"/>
      <c r="C20" s="208"/>
      <c r="D20" s="208"/>
      <c r="E20" s="208"/>
      <c r="F20" s="209"/>
      <c r="G20" s="209"/>
      <c r="H20" s="209"/>
      <c r="I20" s="210"/>
      <c r="J20" s="211"/>
      <c r="K20" s="283"/>
    </row>
    <row r="21" spans="1:17" ht="13" x14ac:dyDescent="0.3">
      <c r="A21" s="119" t="str">
        <f>'Run specifications'!B5</f>
        <v>B</v>
      </c>
      <c r="B21" s="120"/>
      <c r="C21" s="121">
        <f>'Run specifications'!D5</f>
        <v>0</v>
      </c>
      <c r="D21" s="120"/>
      <c r="E21" s="120"/>
      <c r="F21" s="120"/>
      <c r="G21" s="120"/>
      <c r="H21" s="120"/>
      <c r="I21" s="120"/>
      <c r="J21" s="120"/>
      <c r="K21" s="220"/>
    </row>
    <row r="22" spans="1:17" ht="30" x14ac:dyDescent="0.2">
      <c r="A22" s="122" t="s">
        <v>105</v>
      </c>
      <c r="B22" s="122" t="s">
        <v>106</v>
      </c>
      <c r="C22" s="123" t="s">
        <v>76</v>
      </c>
      <c r="D22" s="212" t="s">
        <v>78</v>
      </c>
      <c r="E22" s="213" t="s">
        <v>77</v>
      </c>
      <c r="F22" s="123" t="s">
        <v>33</v>
      </c>
      <c r="G22" s="212" t="s">
        <v>34</v>
      </c>
      <c r="H22" s="213" t="s">
        <v>35</v>
      </c>
      <c r="I22" s="214" t="s">
        <v>23</v>
      </c>
      <c r="J22" s="212" t="s">
        <v>2</v>
      </c>
      <c r="K22" s="76" t="s">
        <v>166</v>
      </c>
    </row>
    <row r="23" spans="1:17" ht="10.5" x14ac:dyDescent="0.2">
      <c r="A23" s="105">
        <v>1.25</v>
      </c>
      <c r="B23" s="105">
        <f>A23/4</f>
        <v>0.3125</v>
      </c>
      <c r="C23" s="181">
        <f>E6-$O$15</f>
        <v>0</v>
      </c>
      <c r="D23" s="182">
        <f>F6-$O$15</f>
        <v>0</v>
      </c>
      <c r="E23" s="184">
        <f>G6-$O$15</f>
        <v>0</v>
      </c>
      <c r="F23" s="112" t="e">
        <f>(1-(C23/$O$8))*100</f>
        <v>#DIV/0!</v>
      </c>
      <c r="G23" s="110" t="e">
        <f t="shared" ref="G23:H27" si="4">(1-(D23/$O$8))*100</f>
        <v>#DIV/0!</v>
      </c>
      <c r="H23" s="113" t="e">
        <f t="shared" si="4"/>
        <v>#DIV/0!</v>
      </c>
      <c r="I23" s="114" t="e">
        <f>AVERAGE(F23:H23)</f>
        <v>#DIV/0!</v>
      </c>
      <c r="J23" s="115" t="e">
        <f>STDEV(F23:H23)</f>
        <v>#DIV/0!</v>
      </c>
      <c r="K23" s="282" t="e">
        <f>TTEST(E6:G6,$B$4:$M$4,2,3)</f>
        <v>#DIV/0!</v>
      </c>
    </row>
    <row r="24" spans="1:17" ht="10.5" x14ac:dyDescent="0.2">
      <c r="A24" s="116">
        <v>2.5</v>
      </c>
      <c r="B24" s="105">
        <f>A24/4</f>
        <v>0.625</v>
      </c>
      <c r="C24" s="181">
        <f>E7-$O$16</f>
        <v>0</v>
      </c>
      <c r="D24" s="182">
        <f>F7-$O$16</f>
        <v>0</v>
      </c>
      <c r="E24" s="184">
        <f>G7-$O$16</f>
        <v>0</v>
      </c>
      <c r="F24" s="112" t="e">
        <f>(1-(C24/$O$8))*100</f>
        <v>#DIV/0!</v>
      </c>
      <c r="G24" s="110" t="e">
        <f t="shared" si="4"/>
        <v>#DIV/0!</v>
      </c>
      <c r="H24" s="113" t="e">
        <f t="shared" si="4"/>
        <v>#DIV/0!</v>
      </c>
      <c r="I24" s="114" t="e">
        <f>AVERAGE(F24:H24)</f>
        <v>#DIV/0!</v>
      </c>
      <c r="J24" s="115" t="e">
        <f>STDEV(F24:H24)</f>
        <v>#DIV/0!</v>
      </c>
      <c r="K24" s="282" t="e">
        <f>TTEST(E7:G7,$B$4:$M$4,2,3)</f>
        <v>#DIV/0!</v>
      </c>
    </row>
    <row r="25" spans="1:17" ht="10.5" x14ac:dyDescent="0.2">
      <c r="A25" s="117">
        <v>5</v>
      </c>
      <c r="B25" s="105">
        <f t="shared" ref="B25:B27" si="5">A25/4</f>
        <v>1.25</v>
      </c>
      <c r="C25" s="181">
        <f>E8-$O$17</f>
        <v>0</v>
      </c>
      <c r="D25" s="182">
        <f>F8-$O$17</f>
        <v>0</v>
      </c>
      <c r="E25" s="184">
        <f>G8-$O$17</f>
        <v>0</v>
      </c>
      <c r="F25" s="112" t="e">
        <f>(1-(C25/$O$8))*100</f>
        <v>#DIV/0!</v>
      </c>
      <c r="G25" s="110" t="e">
        <f t="shared" si="4"/>
        <v>#DIV/0!</v>
      </c>
      <c r="H25" s="113" t="e">
        <f t="shared" si="4"/>
        <v>#DIV/0!</v>
      </c>
      <c r="I25" s="114" t="e">
        <f>AVERAGE(F25:H25)</f>
        <v>#DIV/0!</v>
      </c>
      <c r="J25" s="115" t="e">
        <f>STDEV(F25:H25)</f>
        <v>#DIV/0!</v>
      </c>
      <c r="K25" s="282" t="e">
        <f>TTEST(E8:G8,$B$4:$M$4,2,3)</f>
        <v>#DIV/0!</v>
      </c>
    </row>
    <row r="26" spans="1:17" ht="10.5" x14ac:dyDescent="0.2">
      <c r="A26" s="117">
        <v>10</v>
      </c>
      <c r="B26" s="107">
        <f t="shared" si="5"/>
        <v>2.5</v>
      </c>
      <c r="C26" s="181">
        <f>E9-$O$18</f>
        <v>0</v>
      </c>
      <c r="D26" s="182">
        <f>F9-$O$18</f>
        <v>0</v>
      </c>
      <c r="E26" s="184">
        <f>G9-$O$18</f>
        <v>0</v>
      </c>
      <c r="F26" s="112" t="e">
        <f>(1-(C26/$O$8))*100</f>
        <v>#DIV/0!</v>
      </c>
      <c r="G26" s="110" t="e">
        <f t="shared" si="4"/>
        <v>#DIV/0!</v>
      </c>
      <c r="H26" s="113" t="e">
        <f t="shared" si="4"/>
        <v>#DIV/0!</v>
      </c>
      <c r="I26" s="114" t="e">
        <f>AVERAGE(F26:H26)</f>
        <v>#DIV/0!</v>
      </c>
      <c r="J26" s="115" t="e">
        <f>STDEV(F26:H26)</f>
        <v>#DIV/0!</v>
      </c>
      <c r="K26" s="282" t="e">
        <f>TTEST(E9:G9,$B$4:$M$4,2,3)</f>
        <v>#DIV/0!</v>
      </c>
    </row>
    <row r="27" spans="1:17" ht="10.5" x14ac:dyDescent="0.2">
      <c r="A27" s="117">
        <v>20</v>
      </c>
      <c r="B27" s="107">
        <f t="shared" si="5"/>
        <v>5</v>
      </c>
      <c r="C27" s="181">
        <f>E10-$O$19</f>
        <v>0</v>
      </c>
      <c r="D27" s="182">
        <f>F10-$O$19</f>
        <v>0</v>
      </c>
      <c r="E27" s="184">
        <f>G10-$O$19</f>
        <v>0</v>
      </c>
      <c r="F27" s="112" t="e">
        <f>(1-(C27/$O$8))*100</f>
        <v>#DIV/0!</v>
      </c>
      <c r="G27" s="110" t="e">
        <f t="shared" si="4"/>
        <v>#DIV/0!</v>
      </c>
      <c r="H27" s="113" t="e">
        <f t="shared" si="4"/>
        <v>#DIV/0!</v>
      </c>
      <c r="I27" s="114" t="e">
        <f>AVERAGE(F27:H27)</f>
        <v>#DIV/0!</v>
      </c>
      <c r="J27" s="115" t="e">
        <f>STDEV(F27:H27)</f>
        <v>#DIV/0!</v>
      </c>
      <c r="K27" s="282" t="e">
        <f>TTEST(E10:G10,$B$4:$M$4,2,3)</f>
        <v>#DIV/0!</v>
      </c>
    </row>
    <row r="28" spans="1:17" ht="10.5" x14ac:dyDescent="0.2">
      <c r="A28" s="208"/>
      <c r="B28" s="120"/>
      <c r="C28" s="208"/>
      <c r="D28" s="208"/>
      <c r="E28" s="208"/>
      <c r="F28" s="209"/>
      <c r="G28" s="209"/>
      <c r="H28" s="209"/>
      <c r="I28" s="210"/>
      <c r="J28" s="211"/>
      <c r="K28" s="283"/>
    </row>
    <row r="29" spans="1:17" ht="13" x14ac:dyDescent="0.3">
      <c r="A29" s="119" t="str">
        <f>'Run specifications'!B6</f>
        <v>C</v>
      </c>
      <c r="B29" s="120"/>
      <c r="C29" s="121">
        <f>'Run specifications'!D6</f>
        <v>0</v>
      </c>
      <c r="D29" s="120"/>
      <c r="E29" s="120"/>
      <c r="F29" s="120"/>
      <c r="G29" s="120"/>
      <c r="H29" s="120"/>
      <c r="I29" s="120"/>
      <c r="J29" s="120"/>
      <c r="K29" s="220"/>
    </row>
    <row r="30" spans="1:17" ht="30" x14ac:dyDescent="0.2">
      <c r="A30" s="124" t="s">
        <v>105</v>
      </c>
      <c r="B30" s="124" t="s">
        <v>106</v>
      </c>
      <c r="C30" s="125" t="s">
        <v>76</v>
      </c>
      <c r="D30" s="215" t="s">
        <v>78</v>
      </c>
      <c r="E30" s="216" t="s">
        <v>77</v>
      </c>
      <c r="F30" s="125" t="s">
        <v>33</v>
      </c>
      <c r="G30" s="215" t="s">
        <v>34</v>
      </c>
      <c r="H30" s="216" t="s">
        <v>35</v>
      </c>
      <c r="I30" s="217" t="s">
        <v>23</v>
      </c>
      <c r="J30" s="215" t="s">
        <v>2</v>
      </c>
      <c r="K30" s="77" t="s">
        <v>166</v>
      </c>
    </row>
    <row r="31" spans="1:17" ht="10.5" x14ac:dyDescent="0.2">
      <c r="A31" s="105">
        <v>1.25</v>
      </c>
      <c r="B31" s="105">
        <f>A31/4</f>
        <v>0.3125</v>
      </c>
      <c r="C31" s="181">
        <f>H6-$P$15</f>
        <v>0</v>
      </c>
      <c r="D31" s="182">
        <f>I6-$P$15</f>
        <v>0</v>
      </c>
      <c r="E31" s="184">
        <f>J6-$P$15</f>
        <v>0</v>
      </c>
      <c r="F31" s="112" t="e">
        <f>(1-(C31/$O$8))*100</f>
        <v>#DIV/0!</v>
      </c>
      <c r="G31" s="110" t="e">
        <f t="shared" ref="G31:H35" si="6">(1-(D31/$O$8))*100</f>
        <v>#DIV/0!</v>
      </c>
      <c r="H31" s="113" t="e">
        <f t="shared" si="6"/>
        <v>#DIV/0!</v>
      </c>
      <c r="I31" s="114" t="e">
        <f>AVERAGE(F31:H31)</f>
        <v>#DIV/0!</v>
      </c>
      <c r="J31" s="115" t="e">
        <f>STDEV(F31:H31)</f>
        <v>#DIV/0!</v>
      </c>
      <c r="K31" s="282" t="e">
        <f>TTEST(H6:J6,$B$4:$M$4,2,3)</f>
        <v>#DIV/0!</v>
      </c>
    </row>
    <row r="32" spans="1:17" ht="10.5" x14ac:dyDescent="0.2">
      <c r="A32" s="116">
        <v>2.5</v>
      </c>
      <c r="B32" s="105">
        <f t="shared" ref="B32:B35" si="7">A32/4</f>
        <v>0.625</v>
      </c>
      <c r="C32" s="181">
        <f>H7-$P$16</f>
        <v>0</v>
      </c>
      <c r="D32" s="182">
        <f>I7-$P$16</f>
        <v>0</v>
      </c>
      <c r="E32" s="184">
        <f>J7-$P$16</f>
        <v>0</v>
      </c>
      <c r="F32" s="112" t="e">
        <f>(1-(C32/$O$8))*100</f>
        <v>#DIV/0!</v>
      </c>
      <c r="G32" s="110" t="e">
        <f t="shared" si="6"/>
        <v>#DIV/0!</v>
      </c>
      <c r="H32" s="113" t="e">
        <f t="shared" si="6"/>
        <v>#DIV/0!</v>
      </c>
      <c r="I32" s="114" t="e">
        <f>AVERAGE(F32:H32)</f>
        <v>#DIV/0!</v>
      </c>
      <c r="J32" s="115" t="e">
        <f>STDEV(F32:H32)</f>
        <v>#DIV/0!</v>
      </c>
      <c r="K32" s="282" t="e">
        <f>TTEST(H7:J7,$B$4:$M$4,2,3)</f>
        <v>#DIV/0!</v>
      </c>
    </row>
    <row r="33" spans="1:11" ht="10.5" x14ac:dyDescent="0.2">
      <c r="A33" s="117">
        <v>5</v>
      </c>
      <c r="B33" s="105">
        <f t="shared" si="7"/>
        <v>1.25</v>
      </c>
      <c r="C33" s="181">
        <f>H8-$P$17</f>
        <v>0</v>
      </c>
      <c r="D33" s="182">
        <f>I8-$P$17</f>
        <v>0</v>
      </c>
      <c r="E33" s="184">
        <f>J8-$P$17</f>
        <v>0</v>
      </c>
      <c r="F33" s="112" t="e">
        <f>(1-(C33/$O$8))*100</f>
        <v>#DIV/0!</v>
      </c>
      <c r="G33" s="110" t="e">
        <f t="shared" si="6"/>
        <v>#DIV/0!</v>
      </c>
      <c r="H33" s="113" t="e">
        <f t="shared" si="6"/>
        <v>#DIV/0!</v>
      </c>
      <c r="I33" s="114" t="e">
        <f>AVERAGE(F33:H33)</f>
        <v>#DIV/0!</v>
      </c>
      <c r="J33" s="115" t="e">
        <f>STDEV(F33:H33)</f>
        <v>#DIV/0!</v>
      </c>
      <c r="K33" s="282" t="e">
        <f>TTEST(H8:J8,$B$4:$M$4,2,3)</f>
        <v>#DIV/0!</v>
      </c>
    </row>
    <row r="34" spans="1:11" ht="10.5" x14ac:dyDescent="0.2">
      <c r="A34" s="117">
        <v>10</v>
      </c>
      <c r="B34" s="107">
        <f t="shared" si="7"/>
        <v>2.5</v>
      </c>
      <c r="C34" s="181">
        <f>H9-$P$18</f>
        <v>0</v>
      </c>
      <c r="D34" s="182">
        <f>I9-$P$18</f>
        <v>0</v>
      </c>
      <c r="E34" s="184">
        <f>J9-$P$18</f>
        <v>0</v>
      </c>
      <c r="F34" s="112" t="e">
        <f>(1-(C34/$O$8))*100</f>
        <v>#DIV/0!</v>
      </c>
      <c r="G34" s="110" t="e">
        <f t="shared" si="6"/>
        <v>#DIV/0!</v>
      </c>
      <c r="H34" s="113" t="e">
        <f t="shared" si="6"/>
        <v>#DIV/0!</v>
      </c>
      <c r="I34" s="114" t="e">
        <f>AVERAGE(F34:H34)</f>
        <v>#DIV/0!</v>
      </c>
      <c r="J34" s="115" t="e">
        <f>STDEV(F34:H34)</f>
        <v>#DIV/0!</v>
      </c>
      <c r="K34" s="282" t="e">
        <f>TTEST(H9:J9,$B$4:$M$4,2,3)</f>
        <v>#DIV/0!</v>
      </c>
    </row>
    <row r="35" spans="1:11" ht="10.5" x14ac:dyDescent="0.2">
      <c r="A35" s="117">
        <v>20</v>
      </c>
      <c r="B35" s="107">
        <f t="shared" si="7"/>
        <v>5</v>
      </c>
      <c r="C35" s="181">
        <f>H10-$P$19</f>
        <v>0</v>
      </c>
      <c r="D35" s="182">
        <f>I10-$P$19</f>
        <v>0</v>
      </c>
      <c r="E35" s="184">
        <f>J10-$P$19</f>
        <v>0</v>
      </c>
      <c r="F35" s="112" t="e">
        <f>(1-(C35/$O$8))*100</f>
        <v>#DIV/0!</v>
      </c>
      <c r="G35" s="110" t="e">
        <f t="shared" si="6"/>
        <v>#DIV/0!</v>
      </c>
      <c r="H35" s="113" t="e">
        <f t="shared" si="6"/>
        <v>#DIV/0!</v>
      </c>
      <c r="I35" s="114" t="e">
        <f>AVERAGE(F35:H35)</f>
        <v>#DIV/0!</v>
      </c>
      <c r="J35" s="115" t="e">
        <f>STDEV(F35:H35)</f>
        <v>#DIV/0!</v>
      </c>
      <c r="K35" s="282" t="e">
        <f>TTEST(H10:J10,$B$4:$M$4,2,3)</f>
        <v>#DIV/0!</v>
      </c>
    </row>
    <row r="36" spans="1:11" x14ac:dyDescent="0.2">
      <c r="A36" s="120"/>
      <c r="B36" s="120"/>
      <c r="C36" s="120"/>
      <c r="D36" s="120"/>
      <c r="J36" s="102"/>
    </row>
    <row r="37" spans="1:11" ht="13" x14ac:dyDescent="0.3">
      <c r="A37" s="119" t="str">
        <f>'Run specifications'!B3</f>
        <v>PC</v>
      </c>
      <c r="B37" s="120"/>
      <c r="C37" s="121" t="str">
        <f>'Run specifications'!D3</f>
        <v>Cinnamic aldehyde</v>
      </c>
      <c r="D37" s="120"/>
    </row>
    <row r="38" spans="1:11" ht="30" x14ac:dyDescent="0.2">
      <c r="A38" s="219" t="s">
        <v>105</v>
      </c>
      <c r="B38" s="219" t="s">
        <v>106</v>
      </c>
      <c r="C38" s="219" t="s">
        <v>76</v>
      </c>
      <c r="D38" s="219" t="s">
        <v>36</v>
      </c>
    </row>
    <row r="39" spans="1:11" x14ac:dyDescent="0.2">
      <c r="A39" s="108">
        <v>1.25</v>
      </c>
      <c r="B39" s="105">
        <f>A39/4</f>
        <v>0.3125</v>
      </c>
      <c r="C39" s="182">
        <f>B11-Q15</f>
        <v>0</v>
      </c>
      <c r="D39" s="110" t="e">
        <f>(1-(C39/$O$8))*100</f>
        <v>#DIV/0!</v>
      </c>
    </row>
    <row r="40" spans="1:11" x14ac:dyDescent="0.2">
      <c r="A40" s="111">
        <v>2.5</v>
      </c>
      <c r="B40" s="105">
        <f t="shared" ref="B40:B43" si="8">A40/4</f>
        <v>0.625</v>
      </c>
      <c r="C40" s="182">
        <f>C11-Q16</f>
        <v>0</v>
      </c>
      <c r="D40" s="110" t="e">
        <f>(1-(C40/$O$8))*100</f>
        <v>#DIV/0!</v>
      </c>
    </row>
    <row r="41" spans="1:11" x14ac:dyDescent="0.2">
      <c r="A41" s="109">
        <v>5</v>
      </c>
      <c r="B41" s="105">
        <f t="shared" si="8"/>
        <v>1.25</v>
      </c>
      <c r="C41" s="182">
        <f>D11-Q17</f>
        <v>0</v>
      </c>
      <c r="D41" s="110" t="e">
        <f>(1-(C41/$O$8))*100</f>
        <v>#DIV/0!</v>
      </c>
    </row>
    <row r="42" spans="1:11" x14ac:dyDescent="0.2">
      <c r="A42" s="109">
        <v>10</v>
      </c>
      <c r="B42" s="107">
        <f t="shared" si="8"/>
        <v>2.5</v>
      </c>
      <c r="C42" s="182">
        <f>E11-Q18</f>
        <v>0</v>
      </c>
      <c r="D42" s="110" t="e">
        <f>(1-(C42/$O$8))*100</f>
        <v>#DIV/0!</v>
      </c>
    </row>
    <row r="43" spans="1:11" x14ac:dyDescent="0.2">
      <c r="A43" s="109">
        <v>20</v>
      </c>
      <c r="B43" s="107">
        <f t="shared" si="8"/>
        <v>5</v>
      </c>
      <c r="C43" s="182">
        <f>F11-Q19</f>
        <v>0</v>
      </c>
      <c r="D43" s="110" t="e">
        <f>(1-(C43/$O$8))*100</f>
        <v>#DIV/0!</v>
      </c>
    </row>
  </sheetData>
  <sheetProtection algorithmName="SHA-512" hashValue="Y3Ku/XhkVetMMAtzRrg9OaL0fqY+tgmbmDGGxXfSGLrFHHKg2sH2ajFOoCtpPMRsJdTTv/d0bb7/jfPn1pcL7w==" saltValue="XgXssWGEzwzcYtHS67+3ew==" spinCount="100000" sheet="1" objects="1" scenarios="1"/>
  <printOptions headings="1" gridLines="1"/>
  <pageMargins left="0.75" right="0.75" top="1" bottom="1" header="0.5" footer="0.5"/>
  <pageSetup paperSize="9" scale="74" pageOrder="overThenDown" orientation="landscape" r:id="rId1"/>
  <headerFooter alignWithMargins="0">
    <oddHeader>&amp;L&amp;F&amp;C&amp;A</oddHeader>
  </headerFooter>
  <ignoredErrors>
    <ignoredError sqref="K20:K22 K28:K3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BreakPreview" zoomScaleNormal="100" zoomScaleSheetLayoutView="100" workbookViewId="0"/>
  </sheetViews>
  <sheetFormatPr defaultColWidth="9.109375" defaultRowHeight="10" x14ac:dyDescent="0.2"/>
  <cols>
    <col min="1" max="13" width="10.77734375" style="66" customWidth="1"/>
    <col min="14" max="17" width="14.44140625" style="66" customWidth="1"/>
    <col min="18" max="18" width="20.109375" style="66" customWidth="1"/>
    <col min="19" max="23" width="13" style="70" customWidth="1"/>
    <col min="24" max="16384" width="9.109375" style="66"/>
  </cols>
  <sheetData>
    <row r="1" spans="1:23" ht="11.5" x14ac:dyDescent="0.25">
      <c r="A1" s="68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W2" s="66"/>
    </row>
    <row r="3" spans="1:23" x14ac:dyDescent="0.2">
      <c r="A3" s="69"/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O3" s="72" t="s">
        <v>73</v>
      </c>
      <c r="W3" s="66"/>
    </row>
    <row r="4" spans="1:23" ht="13.5" customHeight="1" x14ac:dyDescent="0.2">
      <c r="A4" s="73" t="s">
        <v>15</v>
      </c>
      <c r="B4" s="356"/>
      <c r="C4" s="356"/>
      <c r="D4" s="356"/>
      <c r="E4" s="356"/>
      <c r="F4" s="356"/>
      <c r="G4" s="356"/>
      <c r="H4" s="356"/>
      <c r="I4" s="357"/>
      <c r="J4" s="357"/>
      <c r="K4" s="356"/>
      <c r="L4" s="357"/>
      <c r="M4" s="357"/>
      <c r="O4" s="72" t="s">
        <v>31</v>
      </c>
      <c r="P4" s="72" t="s">
        <v>1</v>
      </c>
      <c r="W4" s="66"/>
    </row>
    <row r="5" spans="1:23" ht="13.5" customHeight="1" x14ac:dyDescent="0.2">
      <c r="A5" s="73" t="s">
        <v>16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O5" s="176" t="e">
        <f>AVERAGE(B5:M5)</f>
        <v>#DIV/0!</v>
      </c>
      <c r="P5" s="176" t="e">
        <f>STDEV(B5:M5)</f>
        <v>#DIV/0!</v>
      </c>
      <c r="W5" s="66"/>
    </row>
    <row r="6" spans="1:23" ht="13.5" customHeight="1" x14ac:dyDescent="0.2">
      <c r="A6" s="73" t="s">
        <v>17</v>
      </c>
      <c r="B6" s="356"/>
      <c r="C6" s="356"/>
      <c r="D6" s="357"/>
      <c r="E6" s="357"/>
      <c r="F6" s="357"/>
      <c r="G6" s="357"/>
      <c r="H6" s="357"/>
      <c r="I6" s="357"/>
      <c r="J6" s="357"/>
      <c r="K6" s="358"/>
      <c r="L6" s="358"/>
      <c r="M6" s="358"/>
      <c r="O6" s="79" t="s">
        <v>74</v>
      </c>
      <c r="P6" s="69"/>
      <c r="W6" s="66"/>
    </row>
    <row r="7" spans="1:23" ht="13.5" customHeight="1" x14ac:dyDescent="0.2">
      <c r="A7" s="73" t="s">
        <v>18</v>
      </c>
      <c r="B7" s="356"/>
      <c r="C7" s="356"/>
      <c r="D7" s="356"/>
      <c r="E7" s="357"/>
      <c r="F7" s="357"/>
      <c r="G7" s="357"/>
      <c r="H7" s="357"/>
      <c r="I7" s="357"/>
      <c r="J7" s="357"/>
      <c r="K7" s="358"/>
      <c r="L7" s="358"/>
      <c r="M7" s="358"/>
      <c r="O7" s="79" t="s">
        <v>80</v>
      </c>
      <c r="P7" s="79" t="s">
        <v>1</v>
      </c>
      <c r="W7" s="66"/>
    </row>
    <row r="8" spans="1:23" ht="13.5" customHeight="1" x14ac:dyDescent="0.2">
      <c r="A8" s="73" t="s">
        <v>19</v>
      </c>
      <c r="B8" s="356"/>
      <c r="C8" s="356"/>
      <c r="D8" s="357"/>
      <c r="E8" s="359"/>
      <c r="F8" s="359"/>
      <c r="G8" s="359"/>
      <c r="H8" s="359"/>
      <c r="I8" s="359"/>
      <c r="J8" s="359"/>
      <c r="K8" s="358"/>
      <c r="L8" s="358"/>
      <c r="M8" s="358"/>
      <c r="N8" s="80"/>
      <c r="O8" s="177" t="e">
        <f>AVERAGE(B4:M4)-O5</f>
        <v>#DIV/0!</v>
      </c>
      <c r="P8" s="177" t="e">
        <f>STDEV(B4:M4)</f>
        <v>#DIV/0!</v>
      </c>
      <c r="W8" s="66"/>
    </row>
    <row r="9" spans="1:23" ht="13.5" customHeight="1" x14ac:dyDescent="0.2">
      <c r="A9" s="73" t="s">
        <v>20</v>
      </c>
      <c r="B9" s="356"/>
      <c r="C9" s="356"/>
      <c r="D9" s="357"/>
      <c r="E9" s="360"/>
      <c r="F9" s="359"/>
      <c r="G9" s="360"/>
      <c r="H9" s="360"/>
      <c r="I9" s="360"/>
      <c r="J9" s="360"/>
      <c r="K9" s="358"/>
      <c r="L9" s="358"/>
      <c r="M9" s="358"/>
      <c r="N9" s="81"/>
      <c r="P9" s="82"/>
      <c r="W9" s="66"/>
    </row>
    <row r="10" spans="1:23" ht="13.5" customHeight="1" x14ac:dyDescent="0.2">
      <c r="A10" s="73" t="s">
        <v>21</v>
      </c>
      <c r="B10" s="356"/>
      <c r="C10" s="357"/>
      <c r="D10" s="357"/>
      <c r="E10" s="361"/>
      <c r="F10" s="359"/>
      <c r="G10" s="360"/>
      <c r="H10" s="362"/>
      <c r="I10" s="362"/>
      <c r="J10" s="362"/>
      <c r="K10" s="358"/>
      <c r="L10" s="358"/>
      <c r="M10" s="358"/>
      <c r="W10" s="66"/>
    </row>
    <row r="11" spans="1:23" ht="13.5" customHeight="1" x14ac:dyDescent="0.2">
      <c r="A11" s="73" t="s">
        <v>22</v>
      </c>
      <c r="B11" s="356"/>
      <c r="C11" s="357"/>
      <c r="D11" s="359"/>
      <c r="E11" s="361"/>
      <c r="F11" s="363"/>
      <c r="G11" s="358"/>
      <c r="H11" s="358"/>
      <c r="I11" s="358"/>
      <c r="J11" s="358"/>
      <c r="K11" s="358"/>
      <c r="L11" s="358"/>
      <c r="M11" s="358"/>
    </row>
    <row r="12" spans="1:23" ht="13.5" customHeight="1" x14ac:dyDescent="0.2">
      <c r="A12" s="69"/>
    </row>
    <row r="13" spans="1:23" ht="13" x14ac:dyDescent="0.3">
      <c r="A13" s="119" t="str">
        <f>'Run specifications'!B4</f>
        <v>A</v>
      </c>
      <c r="C13" s="121">
        <f>'Run specifications'!D4</f>
        <v>0</v>
      </c>
      <c r="L13" s="65" t="s">
        <v>75</v>
      </c>
      <c r="N13" s="70"/>
      <c r="O13" s="70"/>
      <c r="P13" s="70"/>
      <c r="Q13" s="70"/>
    </row>
    <row r="14" spans="1:23" ht="51.75" customHeight="1" x14ac:dyDescent="0.2">
      <c r="A14" s="83" t="s">
        <v>105</v>
      </c>
      <c r="B14" s="83" t="s">
        <v>106</v>
      </c>
      <c r="C14" s="84" t="s">
        <v>76</v>
      </c>
      <c r="D14" s="75" t="s">
        <v>78</v>
      </c>
      <c r="E14" s="85" t="s">
        <v>77</v>
      </c>
      <c r="F14" s="74" t="s">
        <v>33</v>
      </c>
      <c r="G14" s="75" t="s">
        <v>34</v>
      </c>
      <c r="H14" s="83" t="s">
        <v>35</v>
      </c>
      <c r="I14" s="74" t="s">
        <v>23</v>
      </c>
      <c r="J14" s="75" t="s">
        <v>2</v>
      </c>
      <c r="K14" s="75" t="s">
        <v>166</v>
      </c>
      <c r="L14" s="86" t="s">
        <v>105</v>
      </c>
      <c r="M14" s="86" t="s">
        <v>106</v>
      </c>
      <c r="N14" s="87" t="str">
        <f>'Run specifications'!B4</f>
        <v>A</v>
      </c>
      <c r="O14" s="88" t="str">
        <f>'Run specifications'!B5</f>
        <v>B</v>
      </c>
      <c r="P14" s="89" t="str">
        <f>'Run specifications'!B6</f>
        <v>C</v>
      </c>
      <c r="Q14" s="90" t="str">
        <f>'Run specifications'!B3</f>
        <v>PC</v>
      </c>
    </row>
    <row r="15" spans="1:23" ht="10.5" x14ac:dyDescent="0.25">
      <c r="A15" s="105">
        <v>1.25</v>
      </c>
      <c r="B15" s="105">
        <f>A15/4</f>
        <v>0.3125</v>
      </c>
      <c r="C15" s="181">
        <f>B6-$N$15</f>
        <v>0</v>
      </c>
      <c r="D15" s="182">
        <f>C6-$N$15</f>
        <v>0</v>
      </c>
      <c r="E15" s="183">
        <f>D6-$N$15</f>
        <v>0</v>
      </c>
      <c r="F15" s="112" t="e">
        <f t="shared" ref="F15:H19" si="0">(1-(C15/$O$8))*100</f>
        <v>#DIV/0!</v>
      </c>
      <c r="G15" s="110" t="e">
        <f t="shared" si="0"/>
        <v>#DIV/0!</v>
      </c>
      <c r="H15" s="118" t="e">
        <f t="shared" si="0"/>
        <v>#DIV/0!</v>
      </c>
      <c r="I15" s="114" t="e">
        <f>AVERAGE(F15:H15)</f>
        <v>#DIV/0!</v>
      </c>
      <c r="J15" s="115" t="e">
        <f>STDEV(F15:H15)</f>
        <v>#DIV/0!</v>
      </c>
      <c r="K15" s="282" t="e">
        <f>TTEST(B6:D6,$B$4:$M$4,2,3)</f>
        <v>#DIV/0!</v>
      </c>
      <c r="L15" s="104">
        <v>1.25</v>
      </c>
      <c r="M15" s="105">
        <f>L15/4</f>
        <v>0.3125</v>
      </c>
      <c r="N15" s="178">
        <f t="shared" ref="N15:P19" si="1">K6</f>
        <v>0</v>
      </c>
      <c r="O15" s="178">
        <f t="shared" si="1"/>
        <v>0</v>
      </c>
      <c r="P15" s="178">
        <f t="shared" si="1"/>
        <v>0</v>
      </c>
      <c r="Q15" s="179">
        <f>I11</f>
        <v>0</v>
      </c>
    </row>
    <row r="16" spans="1:23" ht="10.5" x14ac:dyDescent="0.25">
      <c r="A16" s="116">
        <v>2.5</v>
      </c>
      <c r="B16" s="105">
        <f t="shared" ref="B16:B19" si="2">A16/4</f>
        <v>0.625</v>
      </c>
      <c r="C16" s="181">
        <f>B7-$N$16</f>
        <v>0</v>
      </c>
      <c r="D16" s="182">
        <f>C7-$N$16</f>
        <v>0</v>
      </c>
      <c r="E16" s="183">
        <f>D7-$N$16</f>
        <v>0</v>
      </c>
      <c r="F16" s="112" t="e">
        <f t="shared" si="0"/>
        <v>#DIV/0!</v>
      </c>
      <c r="G16" s="110" t="e">
        <f t="shared" si="0"/>
        <v>#DIV/0!</v>
      </c>
      <c r="H16" s="118" t="e">
        <f t="shared" si="0"/>
        <v>#DIV/0!</v>
      </c>
      <c r="I16" s="114" t="e">
        <f>AVERAGE(F16:H16)</f>
        <v>#DIV/0!</v>
      </c>
      <c r="J16" s="115" t="e">
        <f>STDEV(F16:H16)</f>
        <v>#DIV/0!</v>
      </c>
      <c r="K16" s="282" t="e">
        <f>TTEST(B7:D7,$B$4:$M$4,2,3)</f>
        <v>#DIV/0!</v>
      </c>
      <c r="L16" s="106">
        <v>2.5</v>
      </c>
      <c r="M16" s="105">
        <f>L16/4</f>
        <v>0.625</v>
      </c>
      <c r="N16" s="178">
        <f t="shared" si="1"/>
        <v>0</v>
      </c>
      <c r="O16" s="178">
        <f t="shared" si="1"/>
        <v>0</v>
      </c>
      <c r="P16" s="178">
        <f t="shared" si="1"/>
        <v>0</v>
      </c>
      <c r="Q16" s="180">
        <f>J11</f>
        <v>0</v>
      </c>
    </row>
    <row r="17" spans="1:17" ht="10.5" x14ac:dyDescent="0.25">
      <c r="A17" s="117">
        <v>5</v>
      </c>
      <c r="B17" s="105">
        <f t="shared" si="2"/>
        <v>1.25</v>
      </c>
      <c r="C17" s="181">
        <f>B8-$N$17</f>
        <v>0</v>
      </c>
      <c r="D17" s="182">
        <f>C8-$N$17</f>
        <v>0</v>
      </c>
      <c r="E17" s="183">
        <f>D8-$N$17</f>
        <v>0</v>
      </c>
      <c r="F17" s="112" t="e">
        <f t="shared" si="0"/>
        <v>#DIV/0!</v>
      </c>
      <c r="G17" s="110" t="e">
        <f t="shared" si="0"/>
        <v>#DIV/0!</v>
      </c>
      <c r="H17" s="118" t="e">
        <f t="shared" si="0"/>
        <v>#DIV/0!</v>
      </c>
      <c r="I17" s="114" t="e">
        <f>AVERAGE(F17:H17)</f>
        <v>#DIV/0!</v>
      </c>
      <c r="J17" s="115" t="e">
        <f>STDEV(F17:H17)</f>
        <v>#DIV/0!</v>
      </c>
      <c r="K17" s="282" t="e">
        <f>TTEST(B8:D8,$B$4:$M$4,2,3)</f>
        <v>#DIV/0!</v>
      </c>
      <c r="L17" s="106">
        <v>5</v>
      </c>
      <c r="M17" s="105">
        <f t="shared" ref="M17:M19" si="3">L17/4</f>
        <v>1.25</v>
      </c>
      <c r="N17" s="178">
        <f t="shared" si="1"/>
        <v>0</v>
      </c>
      <c r="O17" s="178">
        <f t="shared" si="1"/>
        <v>0</v>
      </c>
      <c r="P17" s="178">
        <f t="shared" si="1"/>
        <v>0</v>
      </c>
      <c r="Q17" s="180">
        <f>K11</f>
        <v>0</v>
      </c>
    </row>
    <row r="18" spans="1:17" ht="10.5" x14ac:dyDescent="0.25">
      <c r="A18" s="117">
        <v>10</v>
      </c>
      <c r="B18" s="107">
        <f t="shared" si="2"/>
        <v>2.5</v>
      </c>
      <c r="C18" s="181">
        <f>B9-$N$18</f>
        <v>0</v>
      </c>
      <c r="D18" s="182">
        <f>C9-$N$18</f>
        <v>0</v>
      </c>
      <c r="E18" s="183">
        <f>D9-$N$18</f>
        <v>0</v>
      </c>
      <c r="F18" s="112" t="e">
        <f t="shared" si="0"/>
        <v>#DIV/0!</v>
      </c>
      <c r="G18" s="110" t="e">
        <f t="shared" si="0"/>
        <v>#DIV/0!</v>
      </c>
      <c r="H18" s="118" t="e">
        <f t="shared" si="0"/>
        <v>#DIV/0!</v>
      </c>
      <c r="I18" s="114" t="e">
        <f>AVERAGE(F18:H18)</f>
        <v>#DIV/0!</v>
      </c>
      <c r="J18" s="115" t="e">
        <f>STDEV(F18:H18)</f>
        <v>#DIV/0!</v>
      </c>
      <c r="K18" s="282" t="e">
        <f>TTEST(B9:D9,$B$4:$M$4,2,3)</f>
        <v>#DIV/0!</v>
      </c>
      <c r="L18" s="106">
        <v>10</v>
      </c>
      <c r="M18" s="107">
        <f t="shared" si="3"/>
        <v>2.5</v>
      </c>
      <c r="N18" s="178">
        <f t="shared" si="1"/>
        <v>0</v>
      </c>
      <c r="O18" s="178">
        <f t="shared" si="1"/>
        <v>0</v>
      </c>
      <c r="P18" s="178">
        <f t="shared" si="1"/>
        <v>0</v>
      </c>
      <c r="Q18" s="180">
        <f>L11</f>
        <v>0</v>
      </c>
    </row>
    <row r="19" spans="1:17" ht="10.5" x14ac:dyDescent="0.25">
      <c r="A19" s="117">
        <v>20</v>
      </c>
      <c r="B19" s="107">
        <f t="shared" si="2"/>
        <v>5</v>
      </c>
      <c r="C19" s="181">
        <f>B10-$N$19</f>
        <v>0</v>
      </c>
      <c r="D19" s="182">
        <f>C10-$N$19</f>
        <v>0</v>
      </c>
      <c r="E19" s="183">
        <f>D10-$N$19</f>
        <v>0</v>
      </c>
      <c r="F19" s="112" t="e">
        <f t="shared" si="0"/>
        <v>#DIV/0!</v>
      </c>
      <c r="G19" s="110" t="e">
        <f t="shared" si="0"/>
        <v>#DIV/0!</v>
      </c>
      <c r="H19" s="118" t="e">
        <f t="shared" si="0"/>
        <v>#DIV/0!</v>
      </c>
      <c r="I19" s="114" t="e">
        <f>AVERAGE(F19:H19)</f>
        <v>#DIV/0!</v>
      </c>
      <c r="J19" s="115" t="e">
        <f>STDEV(F19:H19)</f>
        <v>#DIV/0!</v>
      </c>
      <c r="K19" s="282" t="e">
        <f>TTEST(B10:D10,$B$4:$M$4,2,3)</f>
        <v>#DIV/0!</v>
      </c>
      <c r="L19" s="106">
        <v>20</v>
      </c>
      <c r="M19" s="107">
        <f t="shared" si="3"/>
        <v>5</v>
      </c>
      <c r="N19" s="178">
        <f t="shared" si="1"/>
        <v>0</v>
      </c>
      <c r="O19" s="178">
        <f t="shared" si="1"/>
        <v>0</v>
      </c>
      <c r="P19" s="178">
        <f t="shared" si="1"/>
        <v>0</v>
      </c>
      <c r="Q19" s="180">
        <f>M11</f>
        <v>0</v>
      </c>
    </row>
    <row r="20" spans="1:17" ht="10.5" x14ac:dyDescent="0.2">
      <c r="A20" s="91"/>
      <c r="C20" s="91"/>
      <c r="D20" s="91"/>
      <c r="E20" s="91"/>
      <c r="F20" s="92"/>
      <c r="G20" s="92"/>
      <c r="H20" s="92"/>
      <c r="I20" s="93"/>
      <c r="J20" s="94"/>
      <c r="K20" s="283"/>
    </row>
    <row r="21" spans="1:17" ht="13" x14ac:dyDescent="0.3">
      <c r="A21" s="119" t="str">
        <f>'Run specifications'!B5</f>
        <v>B</v>
      </c>
      <c r="C21" s="121">
        <f>'Run specifications'!D5</f>
        <v>0</v>
      </c>
      <c r="K21" s="220"/>
    </row>
    <row r="22" spans="1:17" ht="30" x14ac:dyDescent="0.2">
      <c r="A22" s="95" t="s">
        <v>105</v>
      </c>
      <c r="B22" s="95" t="s">
        <v>106</v>
      </c>
      <c r="C22" s="96" t="s">
        <v>76</v>
      </c>
      <c r="D22" s="76" t="s">
        <v>78</v>
      </c>
      <c r="E22" s="97" t="s">
        <v>77</v>
      </c>
      <c r="F22" s="96" t="s">
        <v>33</v>
      </c>
      <c r="G22" s="76" t="s">
        <v>34</v>
      </c>
      <c r="H22" s="97" t="s">
        <v>35</v>
      </c>
      <c r="I22" s="98" t="s">
        <v>23</v>
      </c>
      <c r="J22" s="76" t="s">
        <v>2</v>
      </c>
      <c r="K22" s="76" t="s">
        <v>166</v>
      </c>
    </row>
    <row r="23" spans="1:17" ht="10.5" x14ac:dyDescent="0.2">
      <c r="A23" s="105">
        <v>1.25</v>
      </c>
      <c r="B23" s="105">
        <f>A23/4</f>
        <v>0.3125</v>
      </c>
      <c r="C23" s="181">
        <f>E6-$O$15</f>
        <v>0</v>
      </c>
      <c r="D23" s="182">
        <f>F6-$O$15</f>
        <v>0</v>
      </c>
      <c r="E23" s="184">
        <f>G6-$O$15</f>
        <v>0</v>
      </c>
      <c r="F23" s="112" t="e">
        <f>(1-(C23/$O$8))*100</f>
        <v>#DIV/0!</v>
      </c>
      <c r="G23" s="110" t="e">
        <f t="shared" ref="G23:H27" si="4">(1-(D23/$O$8))*100</f>
        <v>#DIV/0!</v>
      </c>
      <c r="H23" s="113" t="e">
        <f t="shared" si="4"/>
        <v>#DIV/0!</v>
      </c>
      <c r="I23" s="114" t="e">
        <f>AVERAGE(F23:H23)</f>
        <v>#DIV/0!</v>
      </c>
      <c r="J23" s="115" t="e">
        <f>STDEV(F23:H23)</f>
        <v>#DIV/0!</v>
      </c>
      <c r="K23" s="282" t="e">
        <f>TTEST(E6:G6,$B$4:$M$4,2,3)</f>
        <v>#DIV/0!</v>
      </c>
    </row>
    <row r="24" spans="1:17" ht="10.5" x14ac:dyDescent="0.2">
      <c r="A24" s="116">
        <v>2.5</v>
      </c>
      <c r="B24" s="105">
        <f>A24/4</f>
        <v>0.625</v>
      </c>
      <c r="C24" s="181">
        <f>E7-$O$16</f>
        <v>0</v>
      </c>
      <c r="D24" s="182">
        <f>F7-$O$16</f>
        <v>0</v>
      </c>
      <c r="E24" s="184">
        <f>G7-$O$16</f>
        <v>0</v>
      </c>
      <c r="F24" s="112" t="e">
        <f>(1-(C24/$O$8))*100</f>
        <v>#DIV/0!</v>
      </c>
      <c r="G24" s="110" t="e">
        <f t="shared" si="4"/>
        <v>#DIV/0!</v>
      </c>
      <c r="H24" s="113" t="e">
        <f t="shared" si="4"/>
        <v>#DIV/0!</v>
      </c>
      <c r="I24" s="114" t="e">
        <f>AVERAGE(F24:H24)</f>
        <v>#DIV/0!</v>
      </c>
      <c r="J24" s="115" t="e">
        <f>STDEV(F24:H24)</f>
        <v>#DIV/0!</v>
      </c>
      <c r="K24" s="282" t="e">
        <f>TTEST(E7:G7,$B$4:$M$4,2,3)</f>
        <v>#DIV/0!</v>
      </c>
    </row>
    <row r="25" spans="1:17" ht="10.5" x14ac:dyDescent="0.2">
      <c r="A25" s="117">
        <v>5</v>
      </c>
      <c r="B25" s="105">
        <f t="shared" ref="B25:B27" si="5">A25/4</f>
        <v>1.25</v>
      </c>
      <c r="C25" s="181">
        <f>E8-$O$17</f>
        <v>0</v>
      </c>
      <c r="D25" s="182">
        <f>F8-$O$17</f>
        <v>0</v>
      </c>
      <c r="E25" s="184">
        <f>G8-$O$17</f>
        <v>0</v>
      </c>
      <c r="F25" s="112" t="e">
        <f>(1-(C25/$O$8))*100</f>
        <v>#DIV/0!</v>
      </c>
      <c r="G25" s="110" t="e">
        <f t="shared" si="4"/>
        <v>#DIV/0!</v>
      </c>
      <c r="H25" s="113" t="e">
        <f t="shared" si="4"/>
        <v>#DIV/0!</v>
      </c>
      <c r="I25" s="114" t="e">
        <f>AVERAGE(F25:H25)</f>
        <v>#DIV/0!</v>
      </c>
      <c r="J25" s="115" t="e">
        <f>STDEV(F25:H25)</f>
        <v>#DIV/0!</v>
      </c>
      <c r="K25" s="282" t="e">
        <f>TTEST(E8:G8,$B$4:$M$4,2,3)</f>
        <v>#DIV/0!</v>
      </c>
    </row>
    <row r="26" spans="1:17" ht="10.5" x14ac:dyDescent="0.2">
      <c r="A26" s="117">
        <v>10</v>
      </c>
      <c r="B26" s="107">
        <f t="shared" si="5"/>
        <v>2.5</v>
      </c>
      <c r="C26" s="181">
        <f>E9-$O$18</f>
        <v>0</v>
      </c>
      <c r="D26" s="182">
        <f>F9-$O$18</f>
        <v>0</v>
      </c>
      <c r="E26" s="184">
        <f>G9-$O$18</f>
        <v>0</v>
      </c>
      <c r="F26" s="112" t="e">
        <f>(1-(C26/$O$8))*100</f>
        <v>#DIV/0!</v>
      </c>
      <c r="G26" s="110" t="e">
        <f t="shared" si="4"/>
        <v>#DIV/0!</v>
      </c>
      <c r="H26" s="113" t="e">
        <f t="shared" si="4"/>
        <v>#DIV/0!</v>
      </c>
      <c r="I26" s="114" t="e">
        <f>AVERAGE(F26:H26)</f>
        <v>#DIV/0!</v>
      </c>
      <c r="J26" s="115" t="e">
        <f>STDEV(F26:H26)</f>
        <v>#DIV/0!</v>
      </c>
      <c r="K26" s="282" t="e">
        <f>TTEST(E9:G9,$B$4:$M$4,2,3)</f>
        <v>#DIV/0!</v>
      </c>
    </row>
    <row r="27" spans="1:17" ht="10.5" x14ac:dyDescent="0.2">
      <c r="A27" s="117">
        <v>20</v>
      </c>
      <c r="B27" s="107">
        <f t="shared" si="5"/>
        <v>5</v>
      </c>
      <c r="C27" s="181">
        <f>E10-$O$19</f>
        <v>0</v>
      </c>
      <c r="D27" s="182">
        <f>F10-$O$19</f>
        <v>0</v>
      </c>
      <c r="E27" s="184">
        <f>G10-$O$19</f>
        <v>0</v>
      </c>
      <c r="F27" s="112" t="e">
        <f>(1-(C27/$O$8))*100</f>
        <v>#DIV/0!</v>
      </c>
      <c r="G27" s="110" t="e">
        <f t="shared" si="4"/>
        <v>#DIV/0!</v>
      </c>
      <c r="H27" s="113" t="e">
        <f t="shared" si="4"/>
        <v>#DIV/0!</v>
      </c>
      <c r="I27" s="114" t="e">
        <f>AVERAGE(F27:H27)</f>
        <v>#DIV/0!</v>
      </c>
      <c r="J27" s="115" t="e">
        <f>STDEV(F27:H27)</f>
        <v>#DIV/0!</v>
      </c>
      <c r="K27" s="282" t="e">
        <f>TTEST(E10:G10,$B$4:$M$4,2,3)</f>
        <v>#DIV/0!</v>
      </c>
    </row>
    <row r="28" spans="1:17" ht="10.5" x14ac:dyDescent="0.2">
      <c r="A28" s="91"/>
      <c r="C28" s="91"/>
      <c r="D28" s="91"/>
      <c r="E28" s="91"/>
      <c r="F28" s="92"/>
      <c r="G28" s="92"/>
      <c r="H28" s="92"/>
      <c r="I28" s="93"/>
      <c r="J28" s="94"/>
      <c r="K28" s="283"/>
    </row>
    <row r="29" spans="1:17" ht="13" x14ac:dyDescent="0.3">
      <c r="A29" s="119" t="str">
        <f>'Run specifications'!B6</f>
        <v>C</v>
      </c>
      <c r="C29" s="121">
        <f>'Run specifications'!D6</f>
        <v>0</v>
      </c>
      <c r="K29" s="220"/>
    </row>
    <row r="30" spans="1:17" ht="30" x14ac:dyDescent="0.2">
      <c r="A30" s="99" t="s">
        <v>105</v>
      </c>
      <c r="B30" s="99" t="s">
        <v>106</v>
      </c>
      <c r="C30" s="100" t="s">
        <v>76</v>
      </c>
      <c r="D30" s="77" t="s">
        <v>78</v>
      </c>
      <c r="E30" s="78" t="s">
        <v>77</v>
      </c>
      <c r="F30" s="100" t="s">
        <v>33</v>
      </c>
      <c r="G30" s="77" t="s">
        <v>34</v>
      </c>
      <c r="H30" s="78" t="s">
        <v>35</v>
      </c>
      <c r="I30" s="101" t="s">
        <v>23</v>
      </c>
      <c r="J30" s="77" t="s">
        <v>2</v>
      </c>
      <c r="K30" s="77" t="s">
        <v>166</v>
      </c>
    </row>
    <row r="31" spans="1:17" ht="10.5" x14ac:dyDescent="0.2">
      <c r="A31" s="105">
        <v>1.25</v>
      </c>
      <c r="B31" s="105">
        <f>A31/4</f>
        <v>0.3125</v>
      </c>
      <c r="C31" s="181">
        <f>H6-$P$15</f>
        <v>0</v>
      </c>
      <c r="D31" s="182">
        <f>I6-$P$15</f>
        <v>0</v>
      </c>
      <c r="E31" s="184">
        <f>J6-$P$15</f>
        <v>0</v>
      </c>
      <c r="F31" s="112" t="e">
        <f>(1-(C31/$O$8))*100</f>
        <v>#DIV/0!</v>
      </c>
      <c r="G31" s="110" t="e">
        <f t="shared" ref="G31:H35" si="6">(1-(D31/$O$8))*100</f>
        <v>#DIV/0!</v>
      </c>
      <c r="H31" s="113" t="e">
        <f t="shared" si="6"/>
        <v>#DIV/0!</v>
      </c>
      <c r="I31" s="114" t="e">
        <f>AVERAGE(F31:H31)</f>
        <v>#DIV/0!</v>
      </c>
      <c r="J31" s="115" t="e">
        <f>STDEV(F31:H31)</f>
        <v>#DIV/0!</v>
      </c>
      <c r="K31" s="282" t="e">
        <f>TTEST(H6:J6,$B$4:$M$4,2,3)</f>
        <v>#DIV/0!</v>
      </c>
    </row>
    <row r="32" spans="1:17" ht="10.5" x14ac:dyDescent="0.2">
      <c r="A32" s="116">
        <v>2.5</v>
      </c>
      <c r="B32" s="105">
        <f t="shared" ref="B32:B35" si="7">A32/4</f>
        <v>0.625</v>
      </c>
      <c r="C32" s="181">
        <f>H7-$P$16</f>
        <v>0</v>
      </c>
      <c r="D32" s="182">
        <f>I7-$P$16</f>
        <v>0</v>
      </c>
      <c r="E32" s="184">
        <f>J7-$P$16</f>
        <v>0</v>
      </c>
      <c r="F32" s="112" t="e">
        <f>(1-(C32/$O$8))*100</f>
        <v>#DIV/0!</v>
      </c>
      <c r="G32" s="110" t="e">
        <f t="shared" si="6"/>
        <v>#DIV/0!</v>
      </c>
      <c r="H32" s="113" t="e">
        <f t="shared" si="6"/>
        <v>#DIV/0!</v>
      </c>
      <c r="I32" s="114" t="e">
        <f>AVERAGE(F32:H32)</f>
        <v>#DIV/0!</v>
      </c>
      <c r="J32" s="115" t="e">
        <f>STDEV(F32:H32)</f>
        <v>#DIV/0!</v>
      </c>
      <c r="K32" s="282" t="e">
        <f>TTEST(H7:J7,$B$4:$M$4,2,3)</f>
        <v>#DIV/0!</v>
      </c>
    </row>
    <row r="33" spans="1:11" ht="10.5" x14ac:dyDescent="0.2">
      <c r="A33" s="117">
        <v>5</v>
      </c>
      <c r="B33" s="105">
        <f t="shared" si="7"/>
        <v>1.25</v>
      </c>
      <c r="C33" s="181">
        <f>H8-$P$17</f>
        <v>0</v>
      </c>
      <c r="D33" s="182">
        <f>I8-$P$17</f>
        <v>0</v>
      </c>
      <c r="E33" s="184">
        <f>J8-$P$17</f>
        <v>0</v>
      </c>
      <c r="F33" s="112" t="e">
        <f>(1-(C33/$O$8))*100</f>
        <v>#DIV/0!</v>
      </c>
      <c r="G33" s="110" t="e">
        <f t="shared" si="6"/>
        <v>#DIV/0!</v>
      </c>
      <c r="H33" s="113" t="e">
        <f t="shared" si="6"/>
        <v>#DIV/0!</v>
      </c>
      <c r="I33" s="114" t="e">
        <f>AVERAGE(F33:H33)</f>
        <v>#DIV/0!</v>
      </c>
      <c r="J33" s="115" t="e">
        <f>STDEV(F33:H33)</f>
        <v>#DIV/0!</v>
      </c>
      <c r="K33" s="282" t="e">
        <f>TTEST(H8:J8,$B$4:$M$4,2,3)</f>
        <v>#DIV/0!</v>
      </c>
    </row>
    <row r="34" spans="1:11" ht="10.5" x14ac:dyDescent="0.2">
      <c r="A34" s="117">
        <v>10</v>
      </c>
      <c r="B34" s="107">
        <f t="shared" si="7"/>
        <v>2.5</v>
      </c>
      <c r="C34" s="181">
        <f>H9-$P$18</f>
        <v>0</v>
      </c>
      <c r="D34" s="182">
        <f>I9-$P$18</f>
        <v>0</v>
      </c>
      <c r="E34" s="184">
        <f>J9-$P$18</f>
        <v>0</v>
      </c>
      <c r="F34" s="112" t="e">
        <f>(1-(C34/$O$8))*100</f>
        <v>#DIV/0!</v>
      </c>
      <c r="G34" s="110" t="e">
        <f t="shared" si="6"/>
        <v>#DIV/0!</v>
      </c>
      <c r="H34" s="113" t="e">
        <f t="shared" si="6"/>
        <v>#DIV/0!</v>
      </c>
      <c r="I34" s="114" t="e">
        <f>AVERAGE(F34:H34)</f>
        <v>#DIV/0!</v>
      </c>
      <c r="J34" s="115" t="e">
        <f>STDEV(F34:H34)</f>
        <v>#DIV/0!</v>
      </c>
      <c r="K34" s="282" t="e">
        <f>TTEST(H9:J9,$B$4:$M$4,2,3)</f>
        <v>#DIV/0!</v>
      </c>
    </row>
    <row r="35" spans="1:11" ht="10.5" x14ac:dyDescent="0.2">
      <c r="A35" s="117">
        <v>20</v>
      </c>
      <c r="B35" s="107">
        <f t="shared" si="7"/>
        <v>5</v>
      </c>
      <c r="C35" s="181">
        <f>H10-$P$19</f>
        <v>0</v>
      </c>
      <c r="D35" s="182">
        <f>I10-$P$19</f>
        <v>0</v>
      </c>
      <c r="E35" s="184">
        <f>J10-$P$19</f>
        <v>0</v>
      </c>
      <c r="F35" s="112" t="e">
        <f>(1-(C35/$O$8))*100</f>
        <v>#DIV/0!</v>
      </c>
      <c r="G35" s="110" t="e">
        <f t="shared" si="6"/>
        <v>#DIV/0!</v>
      </c>
      <c r="H35" s="113" t="e">
        <f t="shared" si="6"/>
        <v>#DIV/0!</v>
      </c>
      <c r="I35" s="114" t="e">
        <f>AVERAGE(F35:H35)</f>
        <v>#DIV/0!</v>
      </c>
      <c r="J35" s="115" t="e">
        <f>STDEV(F35:H35)</f>
        <v>#DIV/0!</v>
      </c>
      <c r="K35" s="282" t="e">
        <f>TTEST(H10:J10,$B$4:$M$4,2,3)</f>
        <v>#DIV/0!</v>
      </c>
    </row>
    <row r="36" spans="1:11" x14ac:dyDescent="0.2">
      <c r="J36" s="102"/>
    </row>
    <row r="37" spans="1:11" ht="13" x14ac:dyDescent="0.3">
      <c r="A37" s="119" t="str">
        <f>'Run specifications'!B3</f>
        <v>PC</v>
      </c>
      <c r="C37" s="121" t="str">
        <f>'Run specifications'!D3</f>
        <v>Cinnamic aldehyde</v>
      </c>
    </row>
    <row r="38" spans="1:11" ht="30" x14ac:dyDescent="0.2">
      <c r="A38" s="103" t="s">
        <v>105</v>
      </c>
      <c r="B38" s="103" t="s">
        <v>106</v>
      </c>
      <c r="C38" s="103" t="s">
        <v>76</v>
      </c>
      <c r="D38" s="103" t="s">
        <v>36</v>
      </c>
    </row>
    <row r="39" spans="1:11" x14ac:dyDescent="0.2">
      <c r="A39" s="108">
        <v>1.25</v>
      </c>
      <c r="B39" s="105">
        <f>A39/4</f>
        <v>0.3125</v>
      </c>
      <c r="C39" s="182">
        <f>B11-Q15</f>
        <v>0</v>
      </c>
      <c r="D39" s="110" t="e">
        <f>(1-(C39/$O$8))*100</f>
        <v>#DIV/0!</v>
      </c>
    </row>
    <row r="40" spans="1:11" x14ac:dyDescent="0.2">
      <c r="A40" s="111">
        <v>2.5</v>
      </c>
      <c r="B40" s="105">
        <f t="shared" ref="B40:B43" si="8">A40/4</f>
        <v>0.625</v>
      </c>
      <c r="C40" s="182">
        <f>C11-Q16</f>
        <v>0</v>
      </c>
      <c r="D40" s="110" t="e">
        <f>(1-(C40/$O$8))*100</f>
        <v>#DIV/0!</v>
      </c>
    </row>
    <row r="41" spans="1:11" x14ac:dyDescent="0.2">
      <c r="A41" s="109">
        <v>5</v>
      </c>
      <c r="B41" s="105">
        <f t="shared" si="8"/>
        <v>1.25</v>
      </c>
      <c r="C41" s="182">
        <f>D11-Q17</f>
        <v>0</v>
      </c>
      <c r="D41" s="110" t="e">
        <f>(1-(C41/$O$8))*100</f>
        <v>#DIV/0!</v>
      </c>
    </row>
    <row r="42" spans="1:11" x14ac:dyDescent="0.2">
      <c r="A42" s="109">
        <v>10</v>
      </c>
      <c r="B42" s="107">
        <f t="shared" si="8"/>
        <v>2.5</v>
      </c>
      <c r="C42" s="182">
        <f>E11-Q18</f>
        <v>0</v>
      </c>
      <c r="D42" s="110" t="e">
        <f>(1-(C42/$O$8))*100</f>
        <v>#DIV/0!</v>
      </c>
    </row>
    <row r="43" spans="1:11" x14ac:dyDescent="0.2">
      <c r="A43" s="109">
        <v>20</v>
      </c>
      <c r="B43" s="107">
        <f t="shared" si="8"/>
        <v>5</v>
      </c>
      <c r="C43" s="182">
        <f>F11-Q19</f>
        <v>0</v>
      </c>
      <c r="D43" s="110" t="e">
        <f>(1-(C43/$O$8))*100</f>
        <v>#DIV/0!</v>
      </c>
    </row>
  </sheetData>
  <sheetProtection algorithmName="SHA-512" hashValue="rmQEROOKyLOiSPfV7W+KqlPMzO9K7vEzENNQ1KFWYcFyDovwU+zoBwY0IDGGAPSkBwFdDtgWfwBbFSvMjTjU7w==" saltValue="qzqb5lII9twmqFeLdvl7CQ==" spinCount="100000" sheet="1" objects="1" scenarios="1"/>
  <printOptions headings="1" gridLines="1"/>
  <pageMargins left="0.75" right="0.75" top="1" bottom="1" header="0.5" footer="0.5"/>
  <pageSetup paperSize="9" scale="74" pageOrder="overThenDown" orientation="landscape" r:id="rId1"/>
  <headerFooter alignWithMargins="0">
    <oddHeader>&amp;L&amp;F&amp;C&amp;A</oddHeader>
  </headerFooter>
  <ignoredErrors>
    <ignoredError sqref="K20:K22 K28:K3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BreakPreview" zoomScaleNormal="100" zoomScaleSheetLayoutView="100" workbookViewId="0"/>
  </sheetViews>
  <sheetFormatPr defaultColWidth="9.109375" defaultRowHeight="10" x14ac:dyDescent="0.2"/>
  <cols>
    <col min="1" max="4" width="11" style="66" customWidth="1"/>
    <col min="5" max="13" width="10.77734375" style="66" customWidth="1"/>
    <col min="14" max="17" width="14.44140625" style="66" customWidth="1"/>
    <col min="18" max="18" width="20.109375" style="66" customWidth="1"/>
    <col min="19" max="23" width="13" style="70" customWidth="1"/>
    <col min="24" max="16384" width="9.109375" style="66"/>
  </cols>
  <sheetData>
    <row r="1" spans="1:23" ht="11.5" x14ac:dyDescent="0.25">
      <c r="A1" s="126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W2" s="66"/>
    </row>
    <row r="3" spans="1:23" x14ac:dyDescent="0.2">
      <c r="A3" s="69"/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O3" s="72" t="s">
        <v>73</v>
      </c>
      <c r="W3" s="66"/>
    </row>
    <row r="4" spans="1:23" ht="13.5" customHeight="1" x14ac:dyDescent="0.2">
      <c r="A4" s="73" t="s">
        <v>15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O4" s="72" t="s">
        <v>31</v>
      </c>
      <c r="P4" s="72" t="s">
        <v>1</v>
      </c>
      <c r="W4" s="66"/>
    </row>
    <row r="5" spans="1:23" ht="13.5" customHeight="1" x14ac:dyDescent="0.2">
      <c r="A5" s="73" t="s">
        <v>16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O5" s="176" t="e">
        <f>AVERAGE(B5:M5)</f>
        <v>#DIV/0!</v>
      </c>
      <c r="P5" s="176" t="e">
        <f>STDEV(B5:M5)</f>
        <v>#DIV/0!</v>
      </c>
      <c r="W5" s="66"/>
    </row>
    <row r="6" spans="1:23" ht="13.5" customHeight="1" x14ac:dyDescent="0.2">
      <c r="A6" s="73" t="s">
        <v>17</v>
      </c>
      <c r="B6" s="356"/>
      <c r="C6" s="356"/>
      <c r="D6" s="356"/>
      <c r="E6" s="356"/>
      <c r="F6" s="357"/>
      <c r="G6" s="357"/>
      <c r="H6" s="356"/>
      <c r="I6" s="357"/>
      <c r="J6" s="357"/>
      <c r="K6" s="358"/>
      <c r="L6" s="358"/>
      <c r="M6" s="358"/>
      <c r="O6" s="79" t="s">
        <v>74</v>
      </c>
      <c r="P6" s="69"/>
      <c r="W6" s="66"/>
    </row>
    <row r="7" spans="1:23" ht="13.5" customHeight="1" x14ac:dyDescent="0.2">
      <c r="A7" s="73" t="s">
        <v>18</v>
      </c>
      <c r="B7" s="356"/>
      <c r="C7" s="356"/>
      <c r="D7" s="356"/>
      <c r="E7" s="357"/>
      <c r="F7" s="357"/>
      <c r="G7" s="357"/>
      <c r="H7" s="357"/>
      <c r="I7" s="357"/>
      <c r="J7" s="357"/>
      <c r="K7" s="358"/>
      <c r="L7" s="358"/>
      <c r="M7" s="358"/>
      <c r="O7" s="79" t="s">
        <v>80</v>
      </c>
      <c r="P7" s="79" t="s">
        <v>1</v>
      </c>
      <c r="W7" s="66"/>
    </row>
    <row r="8" spans="1:23" ht="13.5" customHeight="1" x14ac:dyDescent="0.2">
      <c r="A8" s="73" t="s">
        <v>19</v>
      </c>
      <c r="B8" s="356"/>
      <c r="C8" s="356"/>
      <c r="D8" s="356"/>
      <c r="E8" s="357"/>
      <c r="F8" s="357"/>
      <c r="G8" s="357"/>
      <c r="H8" s="359"/>
      <c r="I8" s="359"/>
      <c r="J8" s="359"/>
      <c r="K8" s="358"/>
      <c r="L8" s="358"/>
      <c r="M8" s="358"/>
      <c r="N8" s="80"/>
      <c r="O8" s="177" t="e">
        <f>AVERAGE(B4:M4)-O5</f>
        <v>#DIV/0!</v>
      </c>
      <c r="P8" s="177" t="e">
        <f>STDEV(B4:M4)</f>
        <v>#DIV/0!</v>
      </c>
      <c r="W8" s="66"/>
    </row>
    <row r="9" spans="1:23" ht="13.5" customHeight="1" x14ac:dyDescent="0.2">
      <c r="A9" s="73" t="s">
        <v>20</v>
      </c>
      <c r="B9" s="356"/>
      <c r="C9" s="356"/>
      <c r="D9" s="356"/>
      <c r="E9" s="359"/>
      <c r="F9" s="359"/>
      <c r="G9" s="359"/>
      <c r="H9" s="360"/>
      <c r="I9" s="360"/>
      <c r="J9" s="360"/>
      <c r="K9" s="358"/>
      <c r="L9" s="358"/>
      <c r="M9" s="358"/>
      <c r="N9" s="81"/>
      <c r="P9" s="82"/>
      <c r="W9" s="66"/>
    </row>
    <row r="10" spans="1:23" ht="13.5" customHeight="1" x14ac:dyDescent="0.2">
      <c r="A10" s="73" t="s">
        <v>21</v>
      </c>
      <c r="B10" s="357"/>
      <c r="C10" s="356"/>
      <c r="D10" s="357"/>
      <c r="E10" s="360"/>
      <c r="F10" s="360"/>
      <c r="G10" s="360"/>
      <c r="H10" s="362"/>
      <c r="I10" s="362"/>
      <c r="J10" s="362"/>
      <c r="K10" s="358"/>
      <c r="L10" s="358"/>
      <c r="M10" s="358"/>
      <c r="W10" s="66"/>
    </row>
    <row r="11" spans="1:23" ht="13.5" customHeight="1" x14ac:dyDescent="0.2">
      <c r="A11" s="73" t="s">
        <v>22</v>
      </c>
      <c r="B11" s="356"/>
      <c r="C11" s="357"/>
      <c r="D11" s="360"/>
      <c r="E11" s="362"/>
      <c r="F11" s="365"/>
      <c r="G11" s="358"/>
      <c r="H11" s="358"/>
      <c r="I11" s="358"/>
      <c r="J11" s="358"/>
      <c r="K11" s="358"/>
      <c r="L11" s="358"/>
      <c r="M11" s="358"/>
    </row>
    <row r="12" spans="1:23" ht="13.5" customHeight="1" x14ac:dyDescent="0.2">
      <c r="A12" s="69"/>
    </row>
    <row r="13" spans="1:23" ht="13" x14ac:dyDescent="0.3">
      <c r="A13" s="119" t="str">
        <f>'Run specifications'!B4</f>
        <v>A</v>
      </c>
      <c r="C13" s="121">
        <f>'Run specifications'!D4</f>
        <v>0</v>
      </c>
      <c r="L13" s="65" t="s">
        <v>75</v>
      </c>
      <c r="N13" s="70"/>
      <c r="O13" s="70"/>
      <c r="P13" s="70"/>
      <c r="Q13" s="70"/>
    </row>
    <row r="14" spans="1:23" ht="51.75" customHeight="1" x14ac:dyDescent="0.2">
      <c r="A14" s="83" t="s">
        <v>105</v>
      </c>
      <c r="B14" s="83" t="s">
        <v>106</v>
      </c>
      <c r="C14" s="84" t="s">
        <v>76</v>
      </c>
      <c r="D14" s="75" t="s">
        <v>78</v>
      </c>
      <c r="E14" s="85" t="s">
        <v>77</v>
      </c>
      <c r="F14" s="74" t="s">
        <v>33</v>
      </c>
      <c r="G14" s="75" t="s">
        <v>34</v>
      </c>
      <c r="H14" s="83" t="s">
        <v>35</v>
      </c>
      <c r="I14" s="74" t="s">
        <v>23</v>
      </c>
      <c r="J14" s="75" t="s">
        <v>2</v>
      </c>
      <c r="K14" s="75" t="s">
        <v>166</v>
      </c>
      <c r="L14" s="86" t="s">
        <v>105</v>
      </c>
      <c r="M14" s="86" t="s">
        <v>106</v>
      </c>
      <c r="N14" s="87" t="str">
        <f>'Run specifications'!B4</f>
        <v>A</v>
      </c>
      <c r="O14" s="88" t="str">
        <f>'Run specifications'!B5</f>
        <v>B</v>
      </c>
      <c r="P14" s="89" t="str">
        <f>'Run specifications'!B6</f>
        <v>C</v>
      </c>
      <c r="Q14" s="90" t="str">
        <f>'Run specifications'!B3</f>
        <v>PC</v>
      </c>
    </row>
    <row r="15" spans="1:23" ht="10.5" x14ac:dyDescent="0.25">
      <c r="A15" s="105">
        <v>1.25</v>
      </c>
      <c r="B15" s="105">
        <f>A15/4</f>
        <v>0.3125</v>
      </c>
      <c r="C15" s="181">
        <f>B6-$N$15</f>
        <v>0</v>
      </c>
      <c r="D15" s="182">
        <f>C6-$N$15</f>
        <v>0</v>
      </c>
      <c r="E15" s="183">
        <f>D6-$N$15</f>
        <v>0</v>
      </c>
      <c r="F15" s="112" t="e">
        <f t="shared" ref="F15:H19" si="0">(1-(C15/$O$8))*100</f>
        <v>#DIV/0!</v>
      </c>
      <c r="G15" s="110" t="e">
        <f t="shared" si="0"/>
        <v>#DIV/0!</v>
      </c>
      <c r="H15" s="118" t="e">
        <f t="shared" si="0"/>
        <v>#DIV/0!</v>
      </c>
      <c r="I15" s="114" t="e">
        <f>AVERAGE(F15:H15)</f>
        <v>#DIV/0!</v>
      </c>
      <c r="J15" s="115" t="e">
        <f>STDEV(F15:H15)</f>
        <v>#DIV/0!</v>
      </c>
      <c r="K15" s="282" t="e">
        <f>TTEST(B6:D6,$B$4:$M$4,2,3)</f>
        <v>#DIV/0!</v>
      </c>
      <c r="L15" s="104">
        <v>1.25</v>
      </c>
      <c r="M15" s="105">
        <f>L15/4</f>
        <v>0.3125</v>
      </c>
      <c r="N15" s="178">
        <f t="shared" ref="N15:P19" si="1">K6</f>
        <v>0</v>
      </c>
      <c r="O15" s="178">
        <f t="shared" si="1"/>
        <v>0</v>
      </c>
      <c r="P15" s="178">
        <f t="shared" si="1"/>
        <v>0</v>
      </c>
      <c r="Q15" s="179">
        <f>I11</f>
        <v>0</v>
      </c>
    </row>
    <row r="16" spans="1:23" ht="10.5" x14ac:dyDescent="0.25">
      <c r="A16" s="116">
        <v>2.5</v>
      </c>
      <c r="B16" s="105">
        <f t="shared" ref="B16:B19" si="2">A16/4</f>
        <v>0.625</v>
      </c>
      <c r="C16" s="181">
        <f>B7-$N$16</f>
        <v>0</v>
      </c>
      <c r="D16" s="182">
        <f>C7-$N$16</f>
        <v>0</v>
      </c>
      <c r="E16" s="183">
        <f>D7-$N$16</f>
        <v>0</v>
      </c>
      <c r="F16" s="112" t="e">
        <f t="shared" si="0"/>
        <v>#DIV/0!</v>
      </c>
      <c r="G16" s="110" t="e">
        <f t="shared" si="0"/>
        <v>#DIV/0!</v>
      </c>
      <c r="H16" s="118" t="e">
        <f t="shared" si="0"/>
        <v>#DIV/0!</v>
      </c>
      <c r="I16" s="114" t="e">
        <f>AVERAGE(F16:H16)</f>
        <v>#DIV/0!</v>
      </c>
      <c r="J16" s="115" t="e">
        <f>STDEV(F16:H16)</f>
        <v>#DIV/0!</v>
      </c>
      <c r="K16" s="282" t="e">
        <f>TTEST(B7:D7,$B$4:$M$4,2,3)</f>
        <v>#DIV/0!</v>
      </c>
      <c r="L16" s="106">
        <v>2.5</v>
      </c>
      <c r="M16" s="105">
        <f>L16/4</f>
        <v>0.625</v>
      </c>
      <c r="N16" s="178">
        <f t="shared" si="1"/>
        <v>0</v>
      </c>
      <c r="O16" s="178">
        <f t="shared" si="1"/>
        <v>0</v>
      </c>
      <c r="P16" s="178">
        <f t="shared" si="1"/>
        <v>0</v>
      </c>
      <c r="Q16" s="180">
        <f>J11</f>
        <v>0</v>
      </c>
    </row>
    <row r="17" spans="1:17" ht="10.5" x14ac:dyDescent="0.25">
      <c r="A17" s="117">
        <v>5</v>
      </c>
      <c r="B17" s="105">
        <f t="shared" si="2"/>
        <v>1.25</v>
      </c>
      <c r="C17" s="181">
        <f>B8-$N$17</f>
        <v>0</v>
      </c>
      <c r="D17" s="182">
        <f>C8-$N$17</f>
        <v>0</v>
      </c>
      <c r="E17" s="183">
        <f>D8-$N$17</f>
        <v>0</v>
      </c>
      <c r="F17" s="112" t="e">
        <f t="shared" si="0"/>
        <v>#DIV/0!</v>
      </c>
      <c r="G17" s="110" t="e">
        <f t="shared" si="0"/>
        <v>#DIV/0!</v>
      </c>
      <c r="H17" s="118" t="e">
        <f t="shared" si="0"/>
        <v>#DIV/0!</v>
      </c>
      <c r="I17" s="114" t="e">
        <f>AVERAGE(F17:H17)</f>
        <v>#DIV/0!</v>
      </c>
      <c r="J17" s="115" t="e">
        <f>STDEV(F17:H17)</f>
        <v>#DIV/0!</v>
      </c>
      <c r="K17" s="282" t="e">
        <f>TTEST(B8:D8,$B$4:$M$4,2,3)</f>
        <v>#DIV/0!</v>
      </c>
      <c r="L17" s="106">
        <v>5</v>
      </c>
      <c r="M17" s="105">
        <f t="shared" ref="M17:M19" si="3">L17/4</f>
        <v>1.25</v>
      </c>
      <c r="N17" s="178">
        <f t="shared" si="1"/>
        <v>0</v>
      </c>
      <c r="O17" s="178">
        <f t="shared" si="1"/>
        <v>0</v>
      </c>
      <c r="P17" s="178">
        <f t="shared" si="1"/>
        <v>0</v>
      </c>
      <c r="Q17" s="180">
        <f>K11</f>
        <v>0</v>
      </c>
    </row>
    <row r="18" spans="1:17" ht="10.5" x14ac:dyDescent="0.25">
      <c r="A18" s="117">
        <v>10</v>
      </c>
      <c r="B18" s="107">
        <f t="shared" si="2"/>
        <v>2.5</v>
      </c>
      <c r="C18" s="181">
        <f>B9-$N$18</f>
        <v>0</v>
      </c>
      <c r="D18" s="182">
        <f>C9-$N$18</f>
        <v>0</v>
      </c>
      <c r="E18" s="183">
        <f>D9-$N$18</f>
        <v>0</v>
      </c>
      <c r="F18" s="112" t="e">
        <f t="shared" si="0"/>
        <v>#DIV/0!</v>
      </c>
      <c r="G18" s="110" t="e">
        <f t="shared" si="0"/>
        <v>#DIV/0!</v>
      </c>
      <c r="H18" s="118" t="e">
        <f t="shared" si="0"/>
        <v>#DIV/0!</v>
      </c>
      <c r="I18" s="114" t="e">
        <f>AVERAGE(F18:H18)</f>
        <v>#DIV/0!</v>
      </c>
      <c r="J18" s="115" t="e">
        <f>STDEV(F18:H18)</f>
        <v>#DIV/0!</v>
      </c>
      <c r="K18" s="282" t="e">
        <f>TTEST(B9:D9,$B$4:$M$4,2,3)</f>
        <v>#DIV/0!</v>
      </c>
      <c r="L18" s="106">
        <v>10</v>
      </c>
      <c r="M18" s="107">
        <f t="shared" si="3"/>
        <v>2.5</v>
      </c>
      <c r="N18" s="178">
        <f t="shared" si="1"/>
        <v>0</v>
      </c>
      <c r="O18" s="178">
        <f t="shared" si="1"/>
        <v>0</v>
      </c>
      <c r="P18" s="178">
        <f t="shared" si="1"/>
        <v>0</v>
      </c>
      <c r="Q18" s="180">
        <f>L11</f>
        <v>0</v>
      </c>
    </row>
    <row r="19" spans="1:17" ht="10.5" x14ac:dyDescent="0.25">
      <c r="A19" s="117">
        <v>20</v>
      </c>
      <c r="B19" s="107">
        <f t="shared" si="2"/>
        <v>5</v>
      </c>
      <c r="C19" s="181">
        <f>B10-$N$19</f>
        <v>0</v>
      </c>
      <c r="D19" s="182">
        <f>C10-$N$19</f>
        <v>0</v>
      </c>
      <c r="E19" s="183">
        <f>D10-$N$19</f>
        <v>0</v>
      </c>
      <c r="F19" s="112" t="e">
        <f t="shared" si="0"/>
        <v>#DIV/0!</v>
      </c>
      <c r="G19" s="110" t="e">
        <f t="shared" si="0"/>
        <v>#DIV/0!</v>
      </c>
      <c r="H19" s="118" t="e">
        <f t="shared" si="0"/>
        <v>#DIV/0!</v>
      </c>
      <c r="I19" s="114" t="e">
        <f>AVERAGE(F19:H19)</f>
        <v>#DIV/0!</v>
      </c>
      <c r="J19" s="115" t="e">
        <f>STDEV(F19:H19)</f>
        <v>#DIV/0!</v>
      </c>
      <c r="K19" s="282" t="e">
        <f>TTEST(B10:D10,$B$4:$M$4,2,3)</f>
        <v>#DIV/0!</v>
      </c>
      <c r="L19" s="106">
        <v>20</v>
      </c>
      <c r="M19" s="107">
        <f t="shared" si="3"/>
        <v>5</v>
      </c>
      <c r="N19" s="178">
        <f t="shared" si="1"/>
        <v>0</v>
      </c>
      <c r="O19" s="178">
        <f t="shared" si="1"/>
        <v>0</v>
      </c>
      <c r="P19" s="178">
        <f t="shared" si="1"/>
        <v>0</v>
      </c>
      <c r="Q19" s="180">
        <f>M11</f>
        <v>0</v>
      </c>
    </row>
    <row r="20" spans="1:17" ht="10.5" x14ac:dyDescent="0.2">
      <c r="A20" s="91"/>
      <c r="C20" s="91"/>
      <c r="D20" s="91"/>
      <c r="E20" s="91"/>
      <c r="F20" s="92"/>
      <c r="G20" s="92"/>
      <c r="H20" s="92"/>
      <c r="I20" s="93"/>
      <c r="J20" s="94"/>
      <c r="K20" s="283"/>
    </row>
    <row r="21" spans="1:17" ht="13" x14ac:dyDescent="0.3">
      <c r="A21" s="119" t="str">
        <f>'Run specifications'!B5</f>
        <v>B</v>
      </c>
      <c r="C21" s="121">
        <f>'Run specifications'!D5</f>
        <v>0</v>
      </c>
      <c r="K21" s="220"/>
    </row>
    <row r="22" spans="1:17" ht="30" x14ac:dyDescent="0.2">
      <c r="A22" s="95" t="s">
        <v>105</v>
      </c>
      <c r="B22" s="95" t="s">
        <v>106</v>
      </c>
      <c r="C22" s="96" t="s">
        <v>76</v>
      </c>
      <c r="D22" s="76" t="s">
        <v>78</v>
      </c>
      <c r="E22" s="97" t="s">
        <v>77</v>
      </c>
      <c r="F22" s="96" t="s">
        <v>33</v>
      </c>
      <c r="G22" s="76" t="s">
        <v>34</v>
      </c>
      <c r="H22" s="97" t="s">
        <v>35</v>
      </c>
      <c r="I22" s="98" t="s">
        <v>23</v>
      </c>
      <c r="J22" s="76" t="s">
        <v>2</v>
      </c>
      <c r="K22" s="76" t="s">
        <v>166</v>
      </c>
    </row>
    <row r="23" spans="1:17" ht="10.5" x14ac:dyDescent="0.2">
      <c r="A23" s="105">
        <v>1.25</v>
      </c>
      <c r="B23" s="105">
        <f>A23/4</f>
        <v>0.3125</v>
      </c>
      <c r="C23" s="181">
        <f>E6-$O$15</f>
        <v>0</v>
      </c>
      <c r="D23" s="182">
        <f>F6-$O$15</f>
        <v>0</v>
      </c>
      <c r="E23" s="184">
        <f>G6-$O$15</f>
        <v>0</v>
      </c>
      <c r="F23" s="112" t="e">
        <f>(1-(C23/$O$8))*100</f>
        <v>#DIV/0!</v>
      </c>
      <c r="G23" s="110" t="e">
        <f t="shared" ref="G23:H27" si="4">(1-(D23/$O$8))*100</f>
        <v>#DIV/0!</v>
      </c>
      <c r="H23" s="113" t="e">
        <f t="shared" si="4"/>
        <v>#DIV/0!</v>
      </c>
      <c r="I23" s="114" t="e">
        <f>AVERAGE(F23:H23)</f>
        <v>#DIV/0!</v>
      </c>
      <c r="J23" s="115" t="e">
        <f>STDEV(F23:H23)</f>
        <v>#DIV/0!</v>
      </c>
      <c r="K23" s="282" t="e">
        <f>TTEST(E6:G6,$B$4:$M$4,2,3)</f>
        <v>#DIV/0!</v>
      </c>
    </row>
    <row r="24" spans="1:17" ht="10.5" x14ac:dyDescent="0.2">
      <c r="A24" s="116">
        <v>2.5</v>
      </c>
      <c r="B24" s="105">
        <f>A24/4</f>
        <v>0.625</v>
      </c>
      <c r="C24" s="181">
        <f>E7-$O$16</f>
        <v>0</v>
      </c>
      <c r="D24" s="182">
        <f>F7-$O$16</f>
        <v>0</v>
      </c>
      <c r="E24" s="184">
        <f>G7-$O$16</f>
        <v>0</v>
      </c>
      <c r="F24" s="112" t="e">
        <f>(1-(C24/$O$8))*100</f>
        <v>#DIV/0!</v>
      </c>
      <c r="G24" s="110" t="e">
        <f t="shared" si="4"/>
        <v>#DIV/0!</v>
      </c>
      <c r="H24" s="113" t="e">
        <f t="shared" si="4"/>
        <v>#DIV/0!</v>
      </c>
      <c r="I24" s="114" t="e">
        <f>AVERAGE(F24:H24)</f>
        <v>#DIV/0!</v>
      </c>
      <c r="J24" s="115" t="e">
        <f>STDEV(F24:H24)</f>
        <v>#DIV/0!</v>
      </c>
      <c r="K24" s="282" t="e">
        <f>TTEST(E7:G7,$B$4:$M$4,2,3)</f>
        <v>#DIV/0!</v>
      </c>
    </row>
    <row r="25" spans="1:17" ht="10.5" x14ac:dyDescent="0.2">
      <c r="A25" s="117">
        <v>5</v>
      </c>
      <c r="B25" s="105">
        <f t="shared" ref="B25:B27" si="5">A25/4</f>
        <v>1.25</v>
      </c>
      <c r="C25" s="181">
        <f>E8-$O$17</f>
        <v>0</v>
      </c>
      <c r="D25" s="182">
        <f>F8-$O$17</f>
        <v>0</v>
      </c>
      <c r="E25" s="184">
        <f>G8-$O$17</f>
        <v>0</v>
      </c>
      <c r="F25" s="112" t="e">
        <f>(1-(C25/$O$8))*100</f>
        <v>#DIV/0!</v>
      </c>
      <c r="G25" s="110" t="e">
        <f t="shared" si="4"/>
        <v>#DIV/0!</v>
      </c>
      <c r="H25" s="113" t="e">
        <f t="shared" si="4"/>
        <v>#DIV/0!</v>
      </c>
      <c r="I25" s="114" t="e">
        <f>AVERAGE(F25:H25)</f>
        <v>#DIV/0!</v>
      </c>
      <c r="J25" s="115" t="e">
        <f>STDEV(F25:H25)</f>
        <v>#DIV/0!</v>
      </c>
      <c r="K25" s="282" t="e">
        <f>TTEST(E8:G8,$B$4:$M$4,2,3)</f>
        <v>#DIV/0!</v>
      </c>
    </row>
    <row r="26" spans="1:17" ht="10.5" x14ac:dyDescent="0.2">
      <c r="A26" s="117">
        <v>10</v>
      </c>
      <c r="B26" s="107">
        <f t="shared" si="5"/>
        <v>2.5</v>
      </c>
      <c r="C26" s="181">
        <f>E9-$O$18</f>
        <v>0</v>
      </c>
      <c r="D26" s="182">
        <f>F9-$O$18</f>
        <v>0</v>
      </c>
      <c r="E26" s="184">
        <f>G9-$O$18</f>
        <v>0</v>
      </c>
      <c r="F26" s="112" t="e">
        <f>(1-(C26/$O$8))*100</f>
        <v>#DIV/0!</v>
      </c>
      <c r="G26" s="110" t="e">
        <f t="shared" si="4"/>
        <v>#DIV/0!</v>
      </c>
      <c r="H26" s="113" t="e">
        <f t="shared" si="4"/>
        <v>#DIV/0!</v>
      </c>
      <c r="I26" s="114" t="e">
        <f>AVERAGE(F26:H26)</f>
        <v>#DIV/0!</v>
      </c>
      <c r="J26" s="115" t="e">
        <f>STDEV(F26:H26)</f>
        <v>#DIV/0!</v>
      </c>
      <c r="K26" s="282" t="e">
        <f>TTEST(E9:G9,$B$4:$M$4,2,3)</f>
        <v>#DIV/0!</v>
      </c>
    </row>
    <row r="27" spans="1:17" ht="10.5" x14ac:dyDescent="0.2">
      <c r="A27" s="117">
        <v>20</v>
      </c>
      <c r="B27" s="107">
        <f t="shared" si="5"/>
        <v>5</v>
      </c>
      <c r="C27" s="181">
        <f>E10-$O$19</f>
        <v>0</v>
      </c>
      <c r="D27" s="182">
        <f>F10-$O$19</f>
        <v>0</v>
      </c>
      <c r="E27" s="184">
        <f>G10-$O$19</f>
        <v>0</v>
      </c>
      <c r="F27" s="112" t="e">
        <f>(1-(C27/$O$8))*100</f>
        <v>#DIV/0!</v>
      </c>
      <c r="G27" s="110" t="e">
        <f t="shared" si="4"/>
        <v>#DIV/0!</v>
      </c>
      <c r="H27" s="113" t="e">
        <f t="shared" si="4"/>
        <v>#DIV/0!</v>
      </c>
      <c r="I27" s="114" t="e">
        <f>AVERAGE(F27:H27)</f>
        <v>#DIV/0!</v>
      </c>
      <c r="J27" s="115" t="e">
        <f>STDEV(F27:H27)</f>
        <v>#DIV/0!</v>
      </c>
      <c r="K27" s="282" t="e">
        <f>TTEST(E10:G10,$B$4:$M$4,2,3)</f>
        <v>#DIV/0!</v>
      </c>
    </row>
    <row r="28" spans="1:17" ht="10.5" x14ac:dyDescent="0.2">
      <c r="A28" s="91"/>
      <c r="C28" s="91"/>
      <c r="D28" s="91"/>
      <c r="E28" s="91"/>
      <c r="F28" s="92"/>
      <c r="G28" s="92"/>
      <c r="H28" s="92"/>
      <c r="I28" s="93"/>
      <c r="J28" s="94"/>
      <c r="K28" s="283"/>
    </row>
    <row r="29" spans="1:17" ht="13" x14ac:dyDescent="0.3">
      <c r="A29" s="119" t="str">
        <f>'Run specifications'!B6</f>
        <v>C</v>
      </c>
      <c r="C29" s="121">
        <f>'Run specifications'!D6</f>
        <v>0</v>
      </c>
      <c r="K29" s="220"/>
    </row>
    <row r="30" spans="1:17" ht="30" x14ac:dyDescent="0.2">
      <c r="A30" s="99" t="s">
        <v>105</v>
      </c>
      <c r="B30" s="99" t="s">
        <v>106</v>
      </c>
      <c r="C30" s="100" t="s">
        <v>76</v>
      </c>
      <c r="D30" s="77" t="s">
        <v>78</v>
      </c>
      <c r="E30" s="78" t="s">
        <v>77</v>
      </c>
      <c r="F30" s="100" t="s">
        <v>33</v>
      </c>
      <c r="G30" s="77" t="s">
        <v>34</v>
      </c>
      <c r="H30" s="78" t="s">
        <v>35</v>
      </c>
      <c r="I30" s="101" t="s">
        <v>23</v>
      </c>
      <c r="J30" s="77" t="s">
        <v>2</v>
      </c>
      <c r="K30" s="77" t="s">
        <v>166</v>
      </c>
    </row>
    <row r="31" spans="1:17" ht="10.5" x14ac:dyDescent="0.2">
      <c r="A31" s="105">
        <v>1.25</v>
      </c>
      <c r="B31" s="105">
        <f>A31/4</f>
        <v>0.3125</v>
      </c>
      <c r="C31" s="181">
        <f>H6-$P$15</f>
        <v>0</v>
      </c>
      <c r="D31" s="182">
        <f>I6-$P$15</f>
        <v>0</v>
      </c>
      <c r="E31" s="184">
        <f>J6-$P$15</f>
        <v>0</v>
      </c>
      <c r="F31" s="112" t="e">
        <f>(1-(C31/$O$8))*100</f>
        <v>#DIV/0!</v>
      </c>
      <c r="G31" s="110" t="e">
        <f t="shared" ref="G31:H35" si="6">(1-(D31/$O$8))*100</f>
        <v>#DIV/0!</v>
      </c>
      <c r="H31" s="113" t="e">
        <f t="shared" si="6"/>
        <v>#DIV/0!</v>
      </c>
      <c r="I31" s="114" t="e">
        <f>AVERAGE(F31:H31)</f>
        <v>#DIV/0!</v>
      </c>
      <c r="J31" s="115" t="e">
        <f>STDEV(F31:H31)</f>
        <v>#DIV/0!</v>
      </c>
      <c r="K31" s="282" t="e">
        <f>TTEST(H6:J6,$B$4:$M$4,2,3)</f>
        <v>#DIV/0!</v>
      </c>
    </row>
    <row r="32" spans="1:17" ht="10.5" x14ac:dyDescent="0.2">
      <c r="A32" s="116">
        <v>2.5</v>
      </c>
      <c r="B32" s="105">
        <f t="shared" ref="B32:B35" si="7">A32/4</f>
        <v>0.625</v>
      </c>
      <c r="C32" s="181">
        <f>H7-$P$16</f>
        <v>0</v>
      </c>
      <c r="D32" s="182">
        <f>I7-$P$16</f>
        <v>0</v>
      </c>
      <c r="E32" s="184">
        <f>J7-$P$16</f>
        <v>0</v>
      </c>
      <c r="F32" s="112" t="e">
        <f>(1-(C32/$O$8))*100</f>
        <v>#DIV/0!</v>
      </c>
      <c r="G32" s="110" t="e">
        <f t="shared" si="6"/>
        <v>#DIV/0!</v>
      </c>
      <c r="H32" s="113" t="e">
        <f t="shared" si="6"/>
        <v>#DIV/0!</v>
      </c>
      <c r="I32" s="114" t="e">
        <f>AVERAGE(F32:H32)</f>
        <v>#DIV/0!</v>
      </c>
      <c r="J32" s="115" t="e">
        <f>STDEV(F32:H32)</f>
        <v>#DIV/0!</v>
      </c>
      <c r="K32" s="282" t="e">
        <f>TTEST(H7:J7,$B$4:$M$4,2,3)</f>
        <v>#DIV/0!</v>
      </c>
    </row>
    <row r="33" spans="1:11" ht="10.5" x14ac:dyDescent="0.2">
      <c r="A33" s="117">
        <v>5</v>
      </c>
      <c r="B33" s="105">
        <f t="shared" si="7"/>
        <v>1.25</v>
      </c>
      <c r="C33" s="181">
        <f>H8-$P$17</f>
        <v>0</v>
      </c>
      <c r="D33" s="182">
        <f>I8-$P$17</f>
        <v>0</v>
      </c>
      <c r="E33" s="184">
        <f>J8-$P$17</f>
        <v>0</v>
      </c>
      <c r="F33" s="112" t="e">
        <f>(1-(C33/$O$8))*100</f>
        <v>#DIV/0!</v>
      </c>
      <c r="G33" s="110" t="e">
        <f t="shared" si="6"/>
        <v>#DIV/0!</v>
      </c>
      <c r="H33" s="113" t="e">
        <f t="shared" si="6"/>
        <v>#DIV/0!</v>
      </c>
      <c r="I33" s="114" t="e">
        <f>AVERAGE(F33:H33)</f>
        <v>#DIV/0!</v>
      </c>
      <c r="J33" s="115" t="e">
        <f>STDEV(F33:H33)</f>
        <v>#DIV/0!</v>
      </c>
      <c r="K33" s="282" t="e">
        <f>TTEST(H8:J8,$B$4:$M$4,2,3)</f>
        <v>#DIV/0!</v>
      </c>
    </row>
    <row r="34" spans="1:11" ht="10.5" x14ac:dyDescent="0.2">
      <c r="A34" s="117">
        <v>10</v>
      </c>
      <c r="B34" s="107">
        <f t="shared" si="7"/>
        <v>2.5</v>
      </c>
      <c r="C34" s="181">
        <f>H9-$P$18</f>
        <v>0</v>
      </c>
      <c r="D34" s="182">
        <f>I9-$P$18</f>
        <v>0</v>
      </c>
      <c r="E34" s="184">
        <f>J9-$P$18</f>
        <v>0</v>
      </c>
      <c r="F34" s="112" t="e">
        <f>(1-(C34/$O$8))*100</f>
        <v>#DIV/0!</v>
      </c>
      <c r="G34" s="110" t="e">
        <f t="shared" si="6"/>
        <v>#DIV/0!</v>
      </c>
      <c r="H34" s="113" t="e">
        <f t="shared" si="6"/>
        <v>#DIV/0!</v>
      </c>
      <c r="I34" s="114" t="e">
        <f>AVERAGE(F34:H34)</f>
        <v>#DIV/0!</v>
      </c>
      <c r="J34" s="115" t="e">
        <f>STDEV(F34:H34)</f>
        <v>#DIV/0!</v>
      </c>
      <c r="K34" s="282" t="e">
        <f>TTEST(H9:J9,$B$4:$M$4,2,3)</f>
        <v>#DIV/0!</v>
      </c>
    </row>
    <row r="35" spans="1:11" ht="10.5" x14ac:dyDescent="0.2">
      <c r="A35" s="117">
        <v>20</v>
      </c>
      <c r="B35" s="107">
        <f t="shared" si="7"/>
        <v>5</v>
      </c>
      <c r="C35" s="181">
        <f>H10-$P$19</f>
        <v>0</v>
      </c>
      <c r="D35" s="182">
        <f>I10-$P$19</f>
        <v>0</v>
      </c>
      <c r="E35" s="184">
        <f>J10-$P$19</f>
        <v>0</v>
      </c>
      <c r="F35" s="112" t="e">
        <f>(1-(C35/$O$8))*100</f>
        <v>#DIV/0!</v>
      </c>
      <c r="G35" s="110" t="e">
        <f t="shared" si="6"/>
        <v>#DIV/0!</v>
      </c>
      <c r="H35" s="113" t="e">
        <f t="shared" si="6"/>
        <v>#DIV/0!</v>
      </c>
      <c r="I35" s="114" t="e">
        <f>AVERAGE(F35:H35)</f>
        <v>#DIV/0!</v>
      </c>
      <c r="J35" s="115" t="e">
        <f>STDEV(F35:H35)</f>
        <v>#DIV/0!</v>
      </c>
      <c r="K35" s="282" t="e">
        <f>TTEST(H10:J10,$B$4:$M$4,2,3)</f>
        <v>#DIV/0!</v>
      </c>
    </row>
    <row r="36" spans="1:11" x14ac:dyDescent="0.2">
      <c r="J36" s="102"/>
    </row>
    <row r="37" spans="1:11" ht="13" x14ac:dyDescent="0.3">
      <c r="A37" s="119" t="str">
        <f>'Run specifications'!B3</f>
        <v>PC</v>
      </c>
      <c r="C37" s="121" t="str">
        <f>'Run specifications'!D3</f>
        <v>Cinnamic aldehyde</v>
      </c>
    </row>
    <row r="38" spans="1:11" ht="30" x14ac:dyDescent="0.2">
      <c r="A38" s="103" t="s">
        <v>105</v>
      </c>
      <c r="B38" s="103" t="s">
        <v>106</v>
      </c>
      <c r="C38" s="103" t="s">
        <v>76</v>
      </c>
      <c r="D38" s="103" t="s">
        <v>36</v>
      </c>
    </row>
    <row r="39" spans="1:11" x14ac:dyDescent="0.2">
      <c r="A39" s="108">
        <v>1.25</v>
      </c>
      <c r="B39" s="105">
        <f>A39/4</f>
        <v>0.3125</v>
      </c>
      <c r="C39" s="182">
        <f>B11-Q15</f>
        <v>0</v>
      </c>
      <c r="D39" s="110" t="e">
        <f>(1-(C39/$O$8))*100</f>
        <v>#DIV/0!</v>
      </c>
    </row>
    <row r="40" spans="1:11" x14ac:dyDescent="0.2">
      <c r="A40" s="111">
        <v>2.5</v>
      </c>
      <c r="B40" s="105">
        <f t="shared" ref="B40:B43" si="8">A40/4</f>
        <v>0.625</v>
      </c>
      <c r="C40" s="182">
        <f>C11-Q16</f>
        <v>0</v>
      </c>
      <c r="D40" s="110" t="e">
        <f>(1-(C40/$O$8))*100</f>
        <v>#DIV/0!</v>
      </c>
    </row>
    <row r="41" spans="1:11" x14ac:dyDescent="0.2">
      <c r="A41" s="109">
        <v>5</v>
      </c>
      <c r="B41" s="105">
        <f t="shared" si="8"/>
        <v>1.25</v>
      </c>
      <c r="C41" s="182">
        <f>D11-Q17</f>
        <v>0</v>
      </c>
      <c r="D41" s="110" t="e">
        <f>(1-(C41/$O$8))*100</f>
        <v>#DIV/0!</v>
      </c>
    </row>
    <row r="42" spans="1:11" x14ac:dyDescent="0.2">
      <c r="A42" s="109">
        <v>10</v>
      </c>
      <c r="B42" s="107">
        <f t="shared" si="8"/>
        <v>2.5</v>
      </c>
      <c r="C42" s="182">
        <f>E11-Q18</f>
        <v>0</v>
      </c>
      <c r="D42" s="110" t="e">
        <f>(1-(C42/$O$8))*100</f>
        <v>#DIV/0!</v>
      </c>
    </row>
    <row r="43" spans="1:11" x14ac:dyDescent="0.2">
      <c r="A43" s="109">
        <v>20</v>
      </c>
      <c r="B43" s="107">
        <f t="shared" si="8"/>
        <v>5</v>
      </c>
      <c r="C43" s="182">
        <f>F11-Q19</f>
        <v>0</v>
      </c>
      <c r="D43" s="110" t="e">
        <f>(1-(C43/$O$8))*100</f>
        <v>#DIV/0!</v>
      </c>
    </row>
  </sheetData>
  <sheetProtection algorithmName="SHA-512" hashValue="c9++OwjVbSObMhvsb+mZGu1pYSh+ixpLtLr3yzMxyXvp1hInewE5YKtra6P3NkeDuAqBaz+DXKL9DQPcTlValw==" saltValue="YlOoWy2fVc/h3hVSYg3zNw==" spinCount="100000" sheet="1" objects="1" scenarios="1"/>
  <printOptions headings="1" gridLines="1"/>
  <pageMargins left="0.75" right="0.75" top="1" bottom="1" header="0.5" footer="0.5"/>
  <pageSetup paperSize="9" scale="74" pageOrder="overThenDown" orientation="landscape" r:id="rId1"/>
  <headerFooter alignWithMargins="0">
    <oddHeader>&amp;L&amp;F&amp;C&amp;A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BreakPreview" zoomScaleNormal="100" zoomScaleSheetLayoutView="100" workbookViewId="0"/>
  </sheetViews>
  <sheetFormatPr defaultColWidth="9.109375" defaultRowHeight="10" x14ac:dyDescent="0.2"/>
  <cols>
    <col min="1" max="1" width="9.109375" style="66"/>
    <col min="2" max="13" width="10.77734375" style="66" customWidth="1"/>
    <col min="14" max="17" width="14.44140625" style="66" customWidth="1"/>
    <col min="18" max="18" width="20.109375" style="66" customWidth="1"/>
    <col min="19" max="23" width="13" style="70" customWidth="1"/>
    <col min="24" max="16384" width="9.109375" style="66"/>
  </cols>
  <sheetData>
    <row r="1" spans="1:23" ht="11.5" x14ac:dyDescent="0.25">
      <c r="A1" s="185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3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W2" s="66"/>
    </row>
    <row r="3" spans="1:23" x14ac:dyDescent="0.2">
      <c r="A3" s="69"/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O3" s="72" t="s">
        <v>73</v>
      </c>
      <c r="W3" s="66"/>
    </row>
    <row r="4" spans="1:23" ht="13.5" customHeight="1" x14ac:dyDescent="0.2">
      <c r="A4" s="73" t="s">
        <v>15</v>
      </c>
      <c r="B4" s="356"/>
      <c r="C4" s="356"/>
      <c r="D4" s="357"/>
      <c r="E4" s="356"/>
      <c r="F4" s="357"/>
      <c r="G4" s="357"/>
      <c r="H4" s="357"/>
      <c r="I4" s="357"/>
      <c r="J4" s="357"/>
      <c r="K4" s="357"/>
      <c r="L4" s="357"/>
      <c r="M4" s="356"/>
      <c r="O4" s="72" t="s">
        <v>31</v>
      </c>
      <c r="P4" s="72" t="s">
        <v>1</v>
      </c>
      <c r="W4" s="66"/>
    </row>
    <row r="5" spans="1:23" ht="13.5" customHeight="1" x14ac:dyDescent="0.2">
      <c r="A5" s="73" t="s">
        <v>16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O5" s="176" t="e">
        <f>AVERAGE(B5:M5)</f>
        <v>#DIV/0!</v>
      </c>
      <c r="P5" s="176" t="e">
        <f>STDEV(B5:M5)</f>
        <v>#DIV/0!</v>
      </c>
      <c r="W5" s="66"/>
    </row>
    <row r="6" spans="1:23" ht="13.5" customHeight="1" x14ac:dyDescent="0.2">
      <c r="A6" s="73" t="s">
        <v>17</v>
      </c>
      <c r="B6" s="356"/>
      <c r="C6" s="356"/>
      <c r="D6" s="357"/>
      <c r="E6" s="357"/>
      <c r="F6" s="357"/>
      <c r="G6" s="357"/>
      <c r="H6" s="357"/>
      <c r="I6" s="357"/>
      <c r="J6" s="357"/>
      <c r="K6" s="358"/>
      <c r="L6" s="358"/>
      <c r="M6" s="358"/>
      <c r="O6" s="79" t="s">
        <v>74</v>
      </c>
      <c r="P6" s="69"/>
      <c r="W6" s="66"/>
    </row>
    <row r="7" spans="1:23" ht="13.5" customHeight="1" x14ac:dyDescent="0.2">
      <c r="A7" s="73" t="s">
        <v>18</v>
      </c>
      <c r="B7" s="356"/>
      <c r="C7" s="356"/>
      <c r="D7" s="356"/>
      <c r="E7" s="357"/>
      <c r="F7" s="357"/>
      <c r="G7" s="357"/>
      <c r="H7" s="357"/>
      <c r="I7" s="357"/>
      <c r="J7" s="357"/>
      <c r="K7" s="358"/>
      <c r="L7" s="358"/>
      <c r="M7" s="358"/>
      <c r="O7" s="79" t="s">
        <v>80</v>
      </c>
      <c r="P7" s="79" t="s">
        <v>1</v>
      </c>
      <c r="W7" s="66"/>
    </row>
    <row r="8" spans="1:23" ht="13.5" customHeight="1" x14ac:dyDescent="0.2">
      <c r="A8" s="73" t="s">
        <v>19</v>
      </c>
      <c r="B8" s="356"/>
      <c r="C8" s="356"/>
      <c r="D8" s="357"/>
      <c r="E8" s="357"/>
      <c r="F8" s="357"/>
      <c r="G8" s="357"/>
      <c r="H8" s="359"/>
      <c r="I8" s="359"/>
      <c r="J8" s="359"/>
      <c r="K8" s="358"/>
      <c r="L8" s="358"/>
      <c r="M8" s="358"/>
      <c r="N8" s="80"/>
      <c r="O8" s="177" t="e">
        <f>AVERAGE(B4:M4)-O5</f>
        <v>#DIV/0!</v>
      </c>
      <c r="P8" s="177" t="e">
        <f>STDEV(B4:M4)</f>
        <v>#DIV/0!</v>
      </c>
      <c r="W8" s="66"/>
    </row>
    <row r="9" spans="1:23" ht="13.5" customHeight="1" x14ac:dyDescent="0.2">
      <c r="A9" s="73" t="s">
        <v>20</v>
      </c>
      <c r="B9" s="357"/>
      <c r="C9" s="357"/>
      <c r="D9" s="357"/>
      <c r="E9" s="359"/>
      <c r="F9" s="359"/>
      <c r="G9" s="357"/>
      <c r="H9" s="360"/>
      <c r="I9" s="360"/>
      <c r="J9" s="360"/>
      <c r="K9" s="358"/>
      <c r="L9" s="358"/>
      <c r="M9" s="358"/>
      <c r="N9" s="81"/>
      <c r="P9" s="82"/>
      <c r="W9" s="66"/>
    </row>
    <row r="10" spans="1:23" ht="13.5" customHeight="1" x14ac:dyDescent="0.2">
      <c r="A10" s="73" t="s">
        <v>21</v>
      </c>
      <c r="B10" s="357"/>
      <c r="C10" s="357"/>
      <c r="D10" s="357"/>
      <c r="E10" s="360"/>
      <c r="F10" s="360"/>
      <c r="G10" s="360"/>
      <c r="H10" s="364"/>
      <c r="I10" s="364"/>
      <c r="J10" s="364"/>
      <c r="K10" s="358"/>
      <c r="L10" s="358"/>
      <c r="M10" s="358"/>
      <c r="W10" s="66"/>
    </row>
    <row r="11" spans="1:23" ht="13.5" customHeight="1" x14ac:dyDescent="0.2">
      <c r="A11" s="73" t="s">
        <v>22</v>
      </c>
      <c r="B11" s="356"/>
      <c r="C11" s="359"/>
      <c r="D11" s="361"/>
      <c r="E11" s="364"/>
      <c r="F11" s="365"/>
      <c r="G11" s="358"/>
      <c r="H11" s="358"/>
      <c r="I11" s="358"/>
      <c r="J11" s="358"/>
      <c r="K11" s="358"/>
      <c r="L11" s="358"/>
      <c r="M11" s="358"/>
    </row>
    <row r="12" spans="1:23" ht="13.5" customHeight="1" x14ac:dyDescent="0.2">
      <c r="A12" s="69"/>
    </row>
    <row r="13" spans="1:23" ht="13" x14ac:dyDescent="0.3">
      <c r="A13" s="119" t="str">
        <f>'Run specifications'!B4</f>
        <v>A</v>
      </c>
      <c r="C13" s="121">
        <f>'Run specifications'!D4</f>
        <v>0</v>
      </c>
      <c r="L13" s="65" t="s">
        <v>75</v>
      </c>
      <c r="N13" s="70"/>
      <c r="O13" s="70"/>
      <c r="P13" s="70"/>
      <c r="Q13" s="70"/>
    </row>
    <row r="14" spans="1:23" ht="51.75" customHeight="1" x14ac:dyDescent="0.2">
      <c r="A14" s="83" t="s">
        <v>105</v>
      </c>
      <c r="B14" s="83" t="s">
        <v>106</v>
      </c>
      <c r="C14" s="84" t="s">
        <v>76</v>
      </c>
      <c r="D14" s="75" t="s">
        <v>78</v>
      </c>
      <c r="E14" s="85" t="s">
        <v>77</v>
      </c>
      <c r="F14" s="74" t="s">
        <v>33</v>
      </c>
      <c r="G14" s="75" t="s">
        <v>34</v>
      </c>
      <c r="H14" s="83" t="s">
        <v>35</v>
      </c>
      <c r="I14" s="74" t="s">
        <v>23</v>
      </c>
      <c r="J14" s="75" t="s">
        <v>2</v>
      </c>
      <c r="K14" s="75" t="s">
        <v>166</v>
      </c>
      <c r="L14" s="86" t="s">
        <v>105</v>
      </c>
      <c r="M14" s="86" t="s">
        <v>106</v>
      </c>
      <c r="N14" s="87" t="str">
        <f>'Run specifications'!B4</f>
        <v>A</v>
      </c>
      <c r="O14" s="88" t="str">
        <f>'Run specifications'!B5</f>
        <v>B</v>
      </c>
      <c r="P14" s="89" t="str">
        <f>'Run specifications'!B6</f>
        <v>C</v>
      </c>
      <c r="Q14" s="90" t="str">
        <f>'Run specifications'!B3</f>
        <v>PC</v>
      </c>
    </row>
    <row r="15" spans="1:23" ht="10.5" x14ac:dyDescent="0.25">
      <c r="A15" s="105">
        <v>1.25</v>
      </c>
      <c r="B15" s="105">
        <f>A15/4</f>
        <v>0.3125</v>
      </c>
      <c r="C15" s="181">
        <f>B6-$N$15</f>
        <v>0</v>
      </c>
      <c r="D15" s="182">
        <f>C6-$N$15</f>
        <v>0</v>
      </c>
      <c r="E15" s="183">
        <f>D6-$N$15</f>
        <v>0</v>
      </c>
      <c r="F15" s="112" t="e">
        <f t="shared" ref="F15:H19" si="0">(1-(C15/$O$8))*100</f>
        <v>#DIV/0!</v>
      </c>
      <c r="G15" s="110" t="e">
        <f t="shared" si="0"/>
        <v>#DIV/0!</v>
      </c>
      <c r="H15" s="118" t="e">
        <f t="shared" si="0"/>
        <v>#DIV/0!</v>
      </c>
      <c r="I15" s="114" t="e">
        <f>AVERAGE(F15:H15)</f>
        <v>#DIV/0!</v>
      </c>
      <c r="J15" s="115" t="e">
        <f>STDEV(F15:H15)</f>
        <v>#DIV/0!</v>
      </c>
      <c r="K15" s="282" t="e">
        <f>TTEST(B6:D6,$B$4:$M$4,2,3)</f>
        <v>#DIV/0!</v>
      </c>
      <c r="L15" s="104">
        <v>1.25</v>
      </c>
      <c r="M15" s="105">
        <f>L15/4</f>
        <v>0.3125</v>
      </c>
      <c r="N15" s="178">
        <f t="shared" ref="N15:P19" si="1">K6</f>
        <v>0</v>
      </c>
      <c r="O15" s="178">
        <f t="shared" si="1"/>
        <v>0</v>
      </c>
      <c r="P15" s="178">
        <f t="shared" si="1"/>
        <v>0</v>
      </c>
      <c r="Q15" s="179">
        <f>I11</f>
        <v>0</v>
      </c>
    </row>
    <row r="16" spans="1:23" ht="10.5" x14ac:dyDescent="0.25">
      <c r="A16" s="116">
        <v>2.5</v>
      </c>
      <c r="B16" s="105">
        <f t="shared" ref="B16:B19" si="2">A16/4</f>
        <v>0.625</v>
      </c>
      <c r="C16" s="181">
        <f>B7-$N$16</f>
        <v>0</v>
      </c>
      <c r="D16" s="182">
        <f>C7-$N$16</f>
        <v>0</v>
      </c>
      <c r="E16" s="183">
        <f>D7-$N$16</f>
        <v>0</v>
      </c>
      <c r="F16" s="112" t="e">
        <f t="shared" si="0"/>
        <v>#DIV/0!</v>
      </c>
      <c r="G16" s="110" t="e">
        <f t="shared" si="0"/>
        <v>#DIV/0!</v>
      </c>
      <c r="H16" s="118" t="e">
        <f t="shared" si="0"/>
        <v>#DIV/0!</v>
      </c>
      <c r="I16" s="114" t="e">
        <f>AVERAGE(F16:H16)</f>
        <v>#DIV/0!</v>
      </c>
      <c r="J16" s="115" t="e">
        <f>STDEV(F16:H16)</f>
        <v>#DIV/0!</v>
      </c>
      <c r="K16" s="282" t="e">
        <f>TTEST(B7:D7,$B$4:$M$4,2,3)</f>
        <v>#DIV/0!</v>
      </c>
      <c r="L16" s="106">
        <v>2.5</v>
      </c>
      <c r="M16" s="105">
        <f>L16/4</f>
        <v>0.625</v>
      </c>
      <c r="N16" s="178">
        <f t="shared" si="1"/>
        <v>0</v>
      </c>
      <c r="O16" s="178">
        <f t="shared" si="1"/>
        <v>0</v>
      </c>
      <c r="P16" s="178">
        <f t="shared" si="1"/>
        <v>0</v>
      </c>
      <c r="Q16" s="180">
        <f>J11</f>
        <v>0</v>
      </c>
    </row>
    <row r="17" spans="1:17" ht="10.5" x14ac:dyDescent="0.25">
      <c r="A17" s="117">
        <v>5</v>
      </c>
      <c r="B17" s="105">
        <f t="shared" si="2"/>
        <v>1.25</v>
      </c>
      <c r="C17" s="181">
        <f>B8-$N$17</f>
        <v>0</v>
      </c>
      <c r="D17" s="182">
        <f>C8-$N$17</f>
        <v>0</v>
      </c>
      <c r="E17" s="183">
        <f>D8-$N$17</f>
        <v>0</v>
      </c>
      <c r="F17" s="112" t="e">
        <f t="shared" si="0"/>
        <v>#DIV/0!</v>
      </c>
      <c r="G17" s="110" t="e">
        <f t="shared" si="0"/>
        <v>#DIV/0!</v>
      </c>
      <c r="H17" s="118" t="e">
        <f t="shared" si="0"/>
        <v>#DIV/0!</v>
      </c>
      <c r="I17" s="114" t="e">
        <f>AVERAGE(F17:H17)</f>
        <v>#DIV/0!</v>
      </c>
      <c r="J17" s="115" t="e">
        <f>STDEV(F17:H17)</f>
        <v>#DIV/0!</v>
      </c>
      <c r="K17" s="282" t="e">
        <f>TTEST(B8:D8,$B$4:$M$4,2,3)</f>
        <v>#DIV/0!</v>
      </c>
      <c r="L17" s="106">
        <v>5</v>
      </c>
      <c r="M17" s="105">
        <f t="shared" ref="M17:M19" si="3">L17/4</f>
        <v>1.25</v>
      </c>
      <c r="N17" s="178">
        <f t="shared" si="1"/>
        <v>0</v>
      </c>
      <c r="O17" s="178">
        <f t="shared" si="1"/>
        <v>0</v>
      </c>
      <c r="P17" s="178">
        <f t="shared" si="1"/>
        <v>0</v>
      </c>
      <c r="Q17" s="180">
        <f>K11</f>
        <v>0</v>
      </c>
    </row>
    <row r="18" spans="1:17" ht="10.5" x14ac:dyDescent="0.25">
      <c r="A18" s="117">
        <v>10</v>
      </c>
      <c r="B18" s="107">
        <f t="shared" si="2"/>
        <v>2.5</v>
      </c>
      <c r="C18" s="181">
        <f>B9-$N$18</f>
        <v>0</v>
      </c>
      <c r="D18" s="182">
        <f>C9-$N$18</f>
        <v>0</v>
      </c>
      <c r="E18" s="183">
        <f>D9-$N$18</f>
        <v>0</v>
      </c>
      <c r="F18" s="112" t="e">
        <f t="shared" si="0"/>
        <v>#DIV/0!</v>
      </c>
      <c r="G18" s="110" t="e">
        <f t="shared" si="0"/>
        <v>#DIV/0!</v>
      </c>
      <c r="H18" s="118" t="e">
        <f t="shared" si="0"/>
        <v>#DIV/0!</v>
      </c>
      <c r="I18" s="114" t="e">
        <f>AVERAGE(F18:H18)</f>
        <v>#DIV/0!</v>
      </c>
      <c r="J18" s="115" t="e">
        <f>STDEV(F18:H18)</f>
        <v>#DIV/0!</v>
      </c>
      <c r="K18" s="282" t="e">
        <f>TTEST(B9:D9,$B$4:$M$4,2,3)</f>
        <v>#DIV/0!</v>
      </c>
      <c r="L18" s="106">
        <v>10</v>
      </c>
      <c r="M18" s="107">
        <f t="shared" si="3"/>
        <v>2.5</v>
      </c>
      <c r="N18" s="178">
        <f t="shared" si="1"/>
        <v>0</v>
      </c>
      <c r="O18" s="178">
        <f t="shared" si="1"/>
        <v>0</v>
      </c>
      <c r="P18" s="178">
        <f t="shared" si="1"/>
        <v>0</v>
      </c>
      <c r="Q18" s="180">
        <f>L11</f>
        <v>0</v>
      </c>
    </row>
    <row r="19" spans="1:17" ht="10.5" x14ac:dyDescent="0.25">
      <c r="A19" s="117">
        <v>20</v>
      </c>
      <c r="B19" s="107">
        <f t="shared" si="2"/>
        <v>5</v>
      </c>
      <c r="C19" s="181">
        <f>B10-$N$19</f>
        <v>0</v>
      </c>
      <c r="D19" s="182">
        <f>C10-$N$19</f>
        <v>0</v>
      </c>
      <c r="E19" s="183">
        <f>D10-$N$19</f>
        <v>0</v>
      </c>
      <c r="F19" s="112" t="e">
        <f t="shared" si="0"/>
        <v>#DIV/0!</v>
      </c>
      <c r="G19" s="110" t="e">
        <f t="shared" si="0"/>
        <v>#DIV/0!</v>
      </c>
      <c r="H19" s="118" t="e">
        <f t="shared" si="0"/>
        <v>#DIV/0!</v>
      </c>
      <c r="I19" s="114" t="e">
        <f>AVERAGE(F19:H19)</f>
        <v>#DIV/0!</v>
      </c>
      <c r="J19" s="115" t="e">
        <f>STDEV(F19:H19)</f>
        <v>#DIV/0!</v>
      </c>
      <c r="K19" s="282" t="e">
        <f>TTEST(B10:D10,$B$4:$M$4,2,3)</f>
        <v>#DIV/0!</v>
      </c>
      <c r="L19" s="106">
        <v>20</v>
      </c>
      <c r="M19" s="107">
        <f t="shared" si="3"/>
        <v>5</v>
      </c>
      <c r="N19" s="178">
        <f t="shared" si="1"/>
        <v>0</v>
      </c>
      <c r="O19" s="178">
        <f t="shared" si="1"/>
        <v>0</v>
      </c>
      <c r="P19" s="178">
        <f t="shared" si="1"/>
        <v>0</v>
      </c>
      <c r="Q19" s="180">
        <f>M11</f>
        <v>0</v>
      </c>
    </row>
    <row r="20" spans="1:17" ht="10.5" x14ac:dyDescent="0.2">
      <c r="A20" s="91"/>
      <c r="C20" s="186"/>
      <c r="D20" s="186"/>
      <c r="E20" s="186"/>
      <c r="F20" s="92"/>
      <c r="G20" s="92"/>
      <c r="H20" s="92"/>
      <c r="I20" s="93"/>
      <c r="J20" s="94"/>
      <c r="K20" s="283"/>
    </row>
    <row r="21" spans="1:17" ht="13" x14ac:dyDescent="0.3">
      <c r="A21" s="119" t="str">
        <f>'Run specifications'!B5</f>
        <v>B</v>
      </c>
      <c r="C21" s="121">
        <f>'Run specifications'!D5</f>
        <v>0</v>
      </c>
      <c r="K21" s="220"/>
    </row>
    <row r="22" spans="1:17" ht="30" x14ac:dyDescent="0.2">
      <c r="A22" s="95" t="s">
        <v>105</v>
      </c>
      <c r="B22" s="95" t="s">
        <v>106</v>
      </c>
      <c r="C22" s="96" t="s">
        <v>76</v>
      </c>
      <c r="D22" s="76" t="s">
        <v>78</v>
      </c>
      <c r="E22" s="97" t="s">
        <v>77</v>
      </c>
      <c r="F22" s="96" t="s">
        <v>33</v>
      </c>
      <c r="G22" s="76" t="s">
        <v>34</v>
      </c>
      <c r="H22" s="97" t="s">
        <v>35</v>
      </c>
      <c r="I22" s="98" t="s">
        <v>23</v>
      </c>
      <c r="J22" s="76" t="s">
        <v>2</v>
      </c>
      <c r="K22" s="76" t="s">
        <v>166</v>
      </c>
    </row>
    <row r="23" spans="1:17" ht="10.5" x14ac:dyDescent="0.2">
      <c r="A23" s="105">
        <v>1.25</v>
      </c>
      <c r="B23" s="105">
        <f>A23/4</f>
        <v>0.3125</v>
      </c>
      <c r="C23" s="181">
        <f>E6-$O$15</f>
        <v>0</v>
      </c>
      <c r="D23" s="182">
        <f>F6-$O$15</f>
        <v>0</v>
      </c>
      <c r="E23" s="184">
        <f>G6-$O$15</f>
        <v>0</v>
      </c>
      <c r="F23" s="112" t="e">
        <f>(1-(C23/$O$8))*100</f>
        <v>#DIV/0!</v>
      </c>
      <c r="G23" s="110" t="e">
        <f t="shared" ref="G23:H27" si="4">(1-(D23/$O$8))*100</f>
        <v>#DIV/0!</v>
      </c>
      <c r="H23" s="113" t="e">
        <f t="shared" si="4"/>
        <v>#DIV/0!</v>
      </c>
      <c r="I23" s="114" t="e">
        <f>AVERAGE(F23:H23)</f>
        <v>#DIV/0!</v>
      </c>
      <c r="J23" s="115" t="e">
        <f>STDEV(F23:H23)</f>
        <v>#DIV/0!</v>
      </c>
      <c r="K23" s="282" t="e">
        <f>TTEST(E6:G6,$B$4:$M$4,2,3)</f>
        <v>#DIV/0!</v>
      </c>
    </row>
    <row r="24" spans="1:17" ht="10.5" x14ac:dyDescent="0.2">
      <c r="A24" s="116">
        <v>2.5</v>
      </c>
      <c r="B24" s="105">
        <f>A24/4</f>
        <v>0.625</v>
      </c>
      <c r="C24" s="181">
        <f>E7-$O$16</f>
        <v>0</v>
      </c>
      <c r="D24" s="182">
        <f>F7-$O$16</f>
        <v>0</v>
      </c>
      <c r="E24" s="184">
        <f>G7-$O$16</f>
        <v>0</v>
      </c>
      <c r="F24" s="112" t="e">
        <f>(1-(C24/$O$8))*100</f>
        <v>#DIV/0!</v>
      </c>
      <c r="G24" s="110" t="e">
        <f t="shared" si="4"/>
        <v>#DIV/0!</v>
      </c>
      <c r="H24" s="113" t="e">
        <f t="shared" si="4"/>
        <v>#DIV/0!</v>
      </c>
      <c r="I24" s="114" t="e">
        <f>AVERAGE(F24:H24)</f>
        <v>#DIV/0!</v>
      </c>
      <c r="J24" s="115" t="e">
        <f>STDEV(F24:H24)</f>
        <v>#DIV/0!</v>
      </c>
      <c r="K24" s="282" t="e">
        <f>TTEST(E7:G7,$B$4:$M$4,2,3)</f>
        <v>#DIV/0!</v>
      </c>
    </row>
    <row r="25" spans="1:17" ht="10.5" x14ac:dyDescent="0.2">
      <c r="A25" s="117">
        <v>5</v>
      </c>
      <c r="B25" s="105">
        <f t="shared" ref="B25:B27" si="5">A25/4</f>
        <v>1.25</v>
      </c>
      <c r="C25" s="181">
        <f>E8-$O$17</f>
        <v>0</v>
      </c>
      <c r="D25" s="182">
        <f>F8-$O$17</f>
        <v>0</v>
      </c>
      <c r="E25" s="184">
        <f>G8-$O$17</f>
        <v>0</v>
      </c>
      <c r="F25" s="112" t="e">
        <f>(1-(C25/$O$8))*100</f>
        <v>#DIV/0!</v>
      </c>
      <c r="G25" s="110" t="e">
        <f t="shared" si="4"/>
        <v>#DIV/0!</v>
      </c>
      <c r="H25" s="113" t="e">
        <f t="shared" si="4"/>
        <v>#DIV/0!</v>
      </c>
      <c r="I25" s="114" t="e">
        <f>AVERAGE(F25:H25)</f>
        <v>#DIV/0!</v>
      </c>
      <c r="J25" s="115" t="e">
        <f>STDEV(F25:H25)</f>
        <v>#DIV/0!</v>
      </c>
      <c r="K25" s="282" t="e">
        <f>TTEST(E8:G8,$B$4:$M$4,2,3)</f>
        <v>#DIV/0!</v>
      </c>
    </row>
    <row r="26" spans="1:17" ht="10.5" x14ac:dyDescent="0.2">
      <c r="A26" s="117">
        <v>10</v>
      </c>
      <c r="B26" s="107">
        <f t="shared" si="5"/>
        <v>2.5</v>
      </c>
      <c r="C26" s="181">
        <f>E9-$O$18</f>
        <v>0</v>
      </c>
      <c r="D26" s="182">
        <f>F9-$O$18</f>
        <v>0</v>
      </c>
      <c r="E26" s="184">
        <f>G9-$O$18</f>
        <v>0</v>
      </c>
      <c r="F26" s="112" t="e">
        <f>(1-(C26/$O$8))*100</f>
        <v>#DIV/0!</v>
      </c>
      <c r="G26" s="110" t="e">
        <f t="shared" si="4"/>
        <v>#DIV/0!</v>
      </c>
      <c r="H26" s="113" t="e">
        <f t="shared" si="4"/>
        <v>#DIV/0!</v>
      </c>
      <c r="I26" s="114" t="e">
        <f>AVERAGE(F26:H26)</f>
        <v>#DIV/0!</v>
      </c>
      <c r="J26" s="115" t="e">
        <f>STDEV(F26:H26)</f>
        <v>#DIV/0!</v>
      </c>
      <c r="K26" s="282" t="e">
        <f>TTEST(E9:G9,$B$4:$M$4,2,3)</f>
        <v>#DIV/0!</v>
      </c>
    </row>
    <row r="27" spans="1:17" ht="10.5" x14ac:dyDescent="0.2">
      <c r="A27" s="117">
        <v>20</v>
      </c>
      <c r="B27" s="107">
        <f t="shared" si="5"/>
        <v>5</v>
      </c>
      <c r="C27" s="181">
        <f>E10-$O$19</f>
        <v>0</v>
      </c>
      <c r="D27" s="182">
        <f>F10-$O$19</f>
        <v>0</v>
      </c>
      <c r="E27" s="184">
        <f>G10-$O$19</f>
        <v>0</v>
      </c>
      <c r="F27" s="112" t="e">
        <f>(1-(C27/$O$8))*100</f>
        <v>#DIV/0!</v>
      </c>
      <c r="G27" s="110" t="e">
        <f t="shared" si="4"/>
        <v>#DIV/0!</v>
      </c>
      <c r="H27" s="113" t="e">
        <f t="shared" si="4"/>
        <v>#DIV/0!</v>
      </c>
      <c r="I27" s="114" t="e">
        <f>AVERAGE(F27:H27)</f>
        <v>#DIV/0!</v>
      </c>
      <c r="J27" s="115" t="e">
        <f>STDEV(F27:H27)</f>
        <v>#DIV/0!</v>
      </c>
      <c r="K27" s="282" t="e">
        <f>TTEST(E10:G10,$B$4:$M$4,2,3)</f>
        <v>#DIV/0!</v>
      </c>
    </row>
    <row r="28" spans="1:17" ht="10.5" x14ac:dyDescent="0.2">
      <c r="A28" s="91"/>
      <c r="C28" s="91"/>
      <c r="D28" s="91"/>
      <c r="E28" s="91"/>
      <c r="F28" s="92"/>
      <c r="G28" s="92"/>
      <c r="H28" s="92"/>
      <c r="I28" s="93"/>
      <c r="J28" s="94"/>
      <c r="K28" s="283"/>
    </row>
    <row r="29" spans="1:17" ht="13" x14ac:dyDescent="0.3">
      <c r="A29" s="119" t="str">
        <f>'Run specifications'!B6</f>
        <v>C</v>
      </c>
      <c r="C29" s="121">
        <f>'Run specifications'!D6</f>
        <v>0</v>
      </c>
      <c r="K29" s="220"/>
    </row>
    <row r="30" spans="1:17" ht="30" x14ac:dyDescent="0.2">
      <c r="A30" s="99" t="s">
        <v>105</v>
      </c>
      <c r="B30" s="99" t="s">
        <v>106</v>
      </c>
      <c r="C30" s="100" t="s">
        <v>76</v>
      </c>
      <c r="D30" s="77" t="s">
        <v>78</v>
      </c>
      <c r="E30" s="78" t="s">
        <v>77</v>
      </c>
      <c r="F30" s="100" t="s">
        <v>33</v>
      </c>
      <c r="G30" s="77" t="s">
        <v>34</v>
      </c>
      <c r="H30" s="78" t="s">
        <v>35</v>
      </c>
      <c r="I30" s="101" t="s">
        <v>23</v>
      </c>
      <c r="J30" s="77" t="s">
        <v>2</v>
      </c>
      <c r="K30" s="77" t="s">
        <v>166</v>
      </c>
    </row>
    <row r="31" spans="1:17" ht="10.5" x14ac:dyDescent="0.2">
      <c r="A31" s="105">
        <v>1.25</v>
      </c>
      <c r="B31" s="105">
        <f>A31/4</f>
        <v>0.3125</v>
      </c>
      <c r="C31" s="181">
        <f>H6-$P$15</f>
        <v>0</v>
      </c>
      <c r="D31" s="182">
        <f>I6-$P$15</f>
        <v>0</v>
      </c>
      <c r="E31" s="184">
        <f>J6-$P$15</f>
        <v>0</v>
      </c>
      <c r="F31" s="112" t="e">
        <f>(1-(C31/$O$8))*100</f>
        <v>#DIV/0!</v>
      </c>
      <c r="G31" s="110" t="e">
        <f t="shared" ref="G31:H35" si="6">(1-(D31/$O$8))*100</f>
        <v>#DIV/0!</v>
      </c>
      <c r="H31" s="113" t="e">
        <f t="shared" si="6"/>
        <v>#DIV/0!</v>
      </c>
      <c r="I31" s="114" t="e">
        <f>AVERAGE(F31:H31)</f>
        <v>#DIV/0!</v>
      </c>
      <c r="J31" s="115" t="e">
        <f>STDEV(F31:H31)</f>
        <v>#DIV/0!</v>
      </c>
      <c r="K31" s="282" t="e">
        <f>TTEST(H6:J6,$B$4:$M$4,2,3)</f>
        <v>#DIV/0!</v>
      </c>
    </row>
    <row r="32" spans="1:17" ht="10.5" x14ac:dyDescent="0.2">
      <c r="A32" s="116">
        <v>2.5</v>
      </c>
      <c r="B32" s="105">
        <f t="shared" ref="B32:B35" si="7">A32/4</f>
        <v>0.625</v>
      </c>
      <c r="C32" s="181">
        <f>H7-$P$16</f>
        <v>0</v>
      </c>
      <c r="D32" s="182">
        <f>I7-$P$16</f>
        <v>0</v>
      </c>
      <c r="E32" s="184">
        <f>J7-$P$16</f>
        <v>0</v>
      </c>
      <c r="F32" s="112" t="e">
        <f>(1-(C32/$O$8))*100</f>
        <v>#DIV/0!</v>
      </c>
      <c r="G32" s="110" t="e">
        <f t="shared" si="6"/>
        <v>#DIV/0!</v>
      </c>
      <c r="H32" s="113" t="e">
        <f t="shared" si="6"/>
        <v>#DIV/0!</v>
      </c>
      <c r="I32" s="114" t="e">
        <f>AVERAGE(F32:H32)</f>
        <v>#DIV/0!</v>
      </c>
      <c r="J32" s="115" t="e">
        <f>STDEV(F32:H32)</f>
        <v>#DIV/0!</v>
      </c>
      <c r="K32" s="282" t="e">
        <f>TTEST(H7:J7,$B$4:$M$4,2,3)</f>
        <v>#DIV/0!</v>
      </c>
    </row>
    <row r="33" spans="1:11" ht="10.5" x14ac:dyDescent="0.2">
      <c r="A33" s="117">
        <v>5</v>
      </c>
      <c r="B33" s="105">
        <f t="shared" si="7"/>
        <v>1.25</v>
      </c>
      <c r="C33" s="181">
        <f>H8-$P$17</f>
        <v>0</v>
      </c>
      <c r="D33" s="182">
        <f>I8-$P$17</f>
        <v>0</v>
      </c>
      <c r="E33" s="184">
        <f>J8-$P$17</f>
        <v>0</v>
      </c>
      <c r="F33" s="112" t="e">
        <f>(1-(C33/$O$8))*100</f>
        <v>#DIV/0!</v>
      </c>
      <c r="G33" s="110" t="e">
        <f t="shared" si="6"/>
        <v>#DIV/0!</v>
      </c>
      <c r="H33" s="113" t="e">
        <f t="shared" si="6"/>
        <v>#DIV/0!</v>
      </c>
      <c r="I33" s="114" t="e">
        <f>AVERAGE(F33:H33)</f>
        <v>#DIV/0!</v>
      </c>
      <c r="J33" s="115" t="e">
        <f>STDEV(F33:H33)</f>
        <v>#DIV/0!</v>
      </c>
      <c r="K33" s="282" t="e">
        <f>TTEST(H8:J8,$B$4:$M$4,2,3)</f>
        <v>#DIV/0!</v>
      </c>
    </row>
    <row r="34" spans="1:11" ht="10.5" x14ac:dyDescent="0.2">
      <c r="A34" s="117">
        <v>10</v>
      </c>
      <c r="B34" s="107">
        <f t="shared" si="7"/>
        <v>2.5</v>
      </c>
      <c r="C34" s="181">
        <f>H9-$P$18</f>
        <v>0</v>
      </c>
      <c r="D34" s="182">
        <f>I9-$P$18</f>
        <v>0</v>
      </c>
      <c r="E34" s="184">
        <f>J9-$P$18</f>
        <v>0</v>
      </c>
      <c r="F34" s="112" t="e">
        <f>(1-(C34/$O$8))*100</f>
        <v>#DIV/0!</v>
      </c>
      <c r="G34" s="110" t="e">
        <f t="shared" si="6"/>
        <v>#DIV/0!</v>
      </c>
      <c r="H34" s="113" t="e">
        <f t="shared" si="6"/>
        <v>#DIV/0!</v>
      </c>
      <c r="I34" s="114" t="e">
        <f>AVERAGE(F34:H34)</f>
        <v>#DIV/0!</v>
      </c>
      <c r="J34" s="115" t="e">
        <f>STDEV(F34:H34)</f>
        <v>#DIV/0!</v>
      </c>
      <c r="K34" s="282" t="e">
        <f>TTEST(H9:J9,$B$4:$M$4,2,3)</f>
        <v>#DIV/0!</v>
      </c>
    </row>
    <row r="35" spans="1:11" ht="10.5" x14ac:dyDescent="0.2">
      <c r="A35" s="117">
        <v>20</v>
      </c>
      <c r="B35" s="107">
        <f t="shared" si="7"/>
        <v>5</v>
      </c>
      <c r="C35" s="181">
        <f>H10-$P$19</f>
        <v>0</v>
      </c>
      <c r="D35" s="182">
        <f>I10-$P$19</f>
        <v>0</v>
      </c>
      <c r="E35" s="184">
        <f>J10-$P$19</f>
        <v>0</v>
      </c>
      <c r="F35" s="112" t="e">
        <f>(1-(C35/$O$8))*100</f>
        <v>#DIV/0!</v>
      </c>
      <c r="G35" s="110" t="e">
        <f t="shared" si="6"/>
        <v>#DIV/0!</v>
      </c>
      <c r="H35" s="113" t="e">
        <f t="shared" si="6"/>
        <v>#DIV/0!</v>
      </c>
      <c r="I35" s="114" t="e">
        <f>AVERAGE(F35:H35)</f>
        <v>#DIV/0!</v>
      </c>
      <c r="J35" s="115" t="e">
        <f>STDEV(F35:H35)</f>
        <v>#DIV/0!</v>
      </c>
      <c r="K35" s="282" t="e">
        <f>TTEST(H10:J10,$B$4:$M$4,2,3)</f>
        <v>#DIV/0!</v>
      </c>
    </row>
    <row r="36" spans="1:11" x14ac:dyDescent="0.2">
      <c r="J36" s="102"/>
    </row>
    <row r="37" spans="1:11" ht="13" x14ac:dyDescent="0.3">
      <c r="A37" s="119" t="str">
        <f>'Run specifications'!B3</f>
        <v>PC</v>
      </c>
      <c r="C37" s="121" t="str">
        <f>'Run specifications'!D3</f>
        <v>Cinnamic aldehyde</v>
      </c>
    </row>
    <row r="38" spans="1:11" ht="30" x14ac:dyDescent="0.2">
      <c r="A38" s="103" t="s">
        <v>105</v>
      </c>
      <c r="B38" s="103" t="s">
        <v>106</v>
      </c>
      <c r="C38" s="103" t="s">
        <v>76</v>
      </c>
      <c r="D38" s="103" t="s">
        <v>36</v>
      </c>
    </row>
    <row r="39" spans="1:11" x14ac:dyDescent="0.2">
      <c r="A39" s="108">
        <v>1.25</v>
      </c>
      <c r="B39" s="105">
        <f>A39/4</f>
        <v>0.3125</v>
      </c>
      <c r="C39" s="182">
        <f>B11-Q15</f>
        <v>0</v>
      </c>
      <c r="D39" s="110" t="e">
        <f>(1-(C39/$O$8))*100</f>
        <v>#DIV/0!</v>
      </c>
    </row>
    <row r="40" spans="1:11" x14ac:dyDescent="0.2">
      <c r="A40" s="111">
        <v>2.5</v>
      </c>
      <c r="B40" s="105">
        <f t="shared" ref="B40:B43" si="8">A40/4</f>
        <v>0.625</v>
      </c>
      <c r="C40" s="182">
        <f>C11-Q16</f>
        <v>0</v>
      </c>
      <c r="D40" s="110" t="e">
        <f>(1-(C40/$O$8))*100</f>
        <v>#DIV/0!</v>
      </c>
    </row>
    <row r="41" spans="1:11" x14ac:dyDescent="0.2">
      <c r="A41" s="109">
        <v>5</v>
      </c>
      <c r="B41" s="105">
        <f t="shared" si="8"/>
        <v>1.25</v>
      </c>
      <c r="C41" s="182">
        <f>D11-Q17</f>
        <v>0</v>
      </c>
      <c r="D41" s="110" t="e">
        <f>(1-(C41/$O$8))*100</f>
        <v>#DIV/0!</v>
      </c>
    </row>
    <row r="42" spans="1:11" x14ac:dyDescent="0.2">
      <c r="A42" s="109">
        <v>10</v>
      </c>
      <c r="B42" s="107">
        <f t="shared" si="8"/>
        <v>2.5</v>
      </c>
      <c r="C42" s="182">
        <f>E11-Q18</f>
        <v>0</v>
      </c>
      <c r="D42" s="110" t="e">
        <f>(1-(C42/$O$8))*100</f>
        <v>#DIV/0!</v>
      </c>
    </row>
    <row r="43" spans="1:11" x14ac:dyDescent="0.2">
      <c r="A43" s="109">
        <v>20</v>
      </c>
      <c r="B43" s="107">
        <f t="shared" si="8"/>
        <v>5</v>
      </c>
      <c r="C43" s="182">
        <f>F11-Q19</f>
        <v>0</v>
      </c>
      <c r="D43" s="110" t="e">
        <f>(1-(C43/$O$8))*100</f>
        <v>#DIV/0!</v>
      </c>
    </row>
  </sheetData>
  <sheetProtection algorithmName="SHA-512" hashValue="2Ygl0qToTYMpQhXzWNmailw+JAzD/eR0E0sGbu2Edl/5nxt3gvv0a8SV3luEmWJOqhQleXYTRYESAGM5WoTwyw==" saltValue="DAr8KTPCD4qkwmwNKx/dww==" spinCount="100000" sheet="1" objects="1" scenarios="1"/>
  <printOptions headings="1" gridLines="1"/>
  <pageMargins left="0.75" right="0.75" top="1" bottom="1" header="0.5" footer="0.5"/>
  <pageSetup paperSize="9" scale="74" pageOrder="overThenDown" orientation="landscape" r:id="rId1"/>
  <headerFooter alignWithMargins="0">
    <oddHeader>&amp;L&amp;F&amp;C&amp;A</oddHeader>
  </headerFooter>
  <ignoredErrors>
    <ignoredError sqref="K20:K22 K28:K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Run specifications</vt:lpstr>
      <vt:lpstr>Application plate</vt:lpstr>
      <vt:lpstr>Assay plate layout</vt:lpstr>
      <vt:lpstr>t0 (inverse addtion)</vt:lpstr>
      <vt:lpstr>t1</vt:lpstr>
      <vt:lpstr>t2</vt:lpstr>
      <vt:lpstr>t3</vt:lpstr>
      <vt:lpstr>t4</vt:lpstr>
      <vt:lpstr>t5</vt:lpstr>
      <vt:lpstr>t6</vt:lpstr>
      <vt:lpstr>summary</vt:lpstr>
      <vt:lpstr>Evaluation (Subst. A)</vt:lpstr>
      <vt:lpstr>Evaluation (Subst. B)</vt:lpstr>
      <vt:lpstr>Evaluation (Subst. C)</vt:lpstr>
      <vt:lpstr>Evaluation (PC)</vt:lpstr>
      <vt:lpstr>Transfer sheet Historic data</vt:lpstr>
      <vt:lpstr>'Assay plate layout'!Print_Area</vt:lpstr>
      <vt:lpstr>'Evaluation (PC)'!Print_Area</vt:lpstr>
      <vt:lpstr>'Evaluation (Subst. A)'!Print_Area</vt:lpstr>
      <vt:lpstr>'Evaluation (Subst. B)'!Print_Area</vt:lpstr>
      <vt:lpstr>'Evaluation (Subst. C)'!Print_Area</vt:lpstr>
      <vt:lpstr>'Run specifications'!Print_Area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Haupt Tina</dc:creator>
  <cp:lastModifiedBy>Natsch Andreas</cp:lastModifiedBy>
  <cp:lastPrinted>2019-09-05T08:19:02Z</cp:lastPrinted>
  <dcterms:created xsi:type="dcterms:W3CDTF">2015-08-13T11:45:02Z</dcterms:created>
  <dcterms:modified xsi:type="dcterms:W3CDTF">2022-05-20T05:53:19Z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</Properties>
</file>