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6-07-0-4\data\temp\extrapmodel\"/>
    </mc:Choice>
  </mc:AlternateContent>
  <bookViews>
    <workbookView xWindow="120" yWindow="15" windowWidth="15195" windowHeight="8190"/>
  </bookViews>
  <sheets>
    <sheet name="Sheet1" sheetId="1" r:id="rId1"/>
  </sheets>
  <definedNames>
    <definedName name="ADOC">Sheet1!$C$52</definedName>
    <definedName name="APOC">Sheet1!$C$50</definedName>
    <definedName name="BCFP">Sheet1!$C$66</definedName>
    <definedName name="BWGM">Sheet1!$C$23</definedName>
    <definedName name="BWGSNINE">Sheet1!$C$12</definedName>
    <definedName name="BWKGM">Sheet1!$C$25</definedName>
    <definedName name="CDOC">Sheet1!$C$46</definedName>
    <definedName name="CFISHSS">Sheet1!$C$97</definedName>
    <definedName name="CLH">Sheet1!$C$82</definedName>
    <definedName name="CLINVITROINT">Sheet1!$C$70</definedName>
    <definedName name="CLINVIVOINT">Sheet1!$C$72</definedName>
    <definedName name="CLINVIVOINTTEN">Sheet1!$C$74</definedName>
    <definedName name="CLINVIVOINTTENCORR">Sheet1!#REF!</definedName>
    <definedName name="CPOC">Sheet1!$C$48</definedName>
    <definedName name="CSNINE">Sheet1!$C$14</definedName>
    <definedName name="CWFD">Sheet1!$C$87</definedName>
    <definedName name="CWTOT">Sheet1!$C$44</definedName>
    <definedName name="FU">Sheet1!$C$62</definedName>
    <definedName name="FUONE">Sheet1!$C$64</definedName>
    <definedName name="KE">Sheet1!$C$93</definedName>
    <definedName name="KG">Sheet1!$C$95</definedName>
    <definedName name="KMET">Sheet1!$C$85</definedName>
    <definedName name="KONE">Sheet1!$C$89</definedName>
    <definedName name="KOW">Sheet1!$C$58</definedName>
    <definedName name="KTWO">Sheet1!$C$91</definedName>
    <definedName name="LFBW">Sheet1!$C$29</definedName>
    <definedName name="LOGKOW">Sheet1!$C$42</definedName>
    <definedName name="LSNINE">Sheet1!$C$16</definedName>
    <definedName name="PBW">Sheet1!$C$60</definedName>
    <definedName name="QC">Sheet1!$C$78</definedName>
    <definedName name="QH">Sheet1!$C$80</definedName>
    <definedName name="QHFRAC">Sheet1!$C$31</definedName>
    <definedName name="RATE">Sheet1!$C$10</definedName>
    <definedName name="S9REC">Sheet1!#REF!</definedName>
    <definedName name="T">Sheet1!$C$27</definedName>
    <definedName name="VDBL">Sheet1!$C$68</definedName>
    <definedName name="VLWB">Sheet1!$C$33</definedName>
    <definedName name="VWBL">Sheet1!$C$35</definedName>
  </definedNames>
  <calcPr calcId="171027"/>
</workbook>
</file>

<file path=xl/calcChain.xml><?xml version="1.0" encoding="utf-8"?>
<calcChain xmlns="http://schemas.openxmlformats.org/spreadsheetml/2006/main">
  <c r="C70" i="1" l="1"/>
  <c r="C78" i="1"/>
  <c r="C80" i="1" s="1"/>
  <c r="C60" i="1"/>
  <c r="C62" i="1" s="1"/>
  <c r="C58" i="1"/>
  <c r="C25" i="1"/>
  <c r="C87" i="1" l="1"/>
  <c r="C66" i="1"/>
  <c r="C68" i="1" s="1"/>
  <c r="C72" i="1"/>
  <c r="C74" i="1" s="1"/>
  <c r="C82" i="1" s="1"/>
  <c r="C93" i="1"/>
  <c r="C89" i="1"/>
  <c r="C91" i="1" l="1"/>
  <c r="C85" i="1" l="1"/>
  <c r="C97" i="1" s="1"/>
  <c r="C101" i="1" s="1"/>
  <c r="C99" i="1" l="1"/>
</calcChain>
</file>

<file path=xl/sharedStrings.xml><?xml version="1.0" encoding="utf-8"?>
<sst xmlns="http://schemas.openxmlformats.org/spreadsheetml/2006/main" count="147" uniqueCount="117">
  <si>
    <t xml:space="preserve">S9 substrate depletion (linear) data; Standard fish </t>
  </si>
  <si>
    <t>The BCF portion of this model incorporates the Arnot and Gobas (2003)</t>
  </si>
  <si>
    <t>model equations</t>
  </si>
  <si>
    <t>Input Parameters for the source of in vitro data</t>
  </si>
  <si>
    <t>Parameter</t>
  </si>
  <si>
    <t>Value</t>
  </si>
  <si>
    <t>Units</t>
  </si>
  <si>
    <t>Reaction rate (Rate)</t>
  </si>
  <si>
    <t>1/h</t>
  </si>
  <si>
    <t>Determined from the slope of the log-transformed substrate depletion data</t>
  </si>
  <si>
    <r>
      <t>S9 Protein concentration (C</t>
    </r>
    <r>
      <rPr>
        <vertAlign val="subscript"/>
        <sz val="12"/>
        <rFont val="Arial"/>
        <family val="2"/>
      </rPr>
      <t>S9</t>
    </r>
    <r>
      <rPr>
        <sz val="12"/>
        <rFont val="Arial"/>
        <family val="2"/>
      </rPr>
      <t>)</t>
    </r>
  </si>
  <si>
    <t>mg/ml</t>
  </si>
  <si>
    <t>Set by researcher</t>
  </si>
  <si>
    <r>
      <t>Liver S9 protein content (L</t>
    </r>
    <r>
      <rPr>
        <vertAlign val="subscript"/>
        <sz val="12"/>
        <rFont val="Arial"/>
        <family val="2"/>
      </rPr>
      <t>S9</t>
    </r>
    <r>
      <rPr>
        <sz val="12"/>
        <rFont val="Arial"/>
        <family val="2"/>
      </rPr>
      <t>)</t>
    </r>
  </si>
  <si>
    <t>mg/g liver</t>
  </si>
  <si>
    <t>Unitless</t>
  </si>
  <si>
    <t>Inputs for the modeled fish (10 g fish, 5% lipid, @ 15 C)</t>
  </si>
  <si>
    <t xml:space="preserve">Modeled after fish commonly used for BCF testing.  These are also the parameters assumed by Arnot et al. (2008) </t>
  </si>
  <si>
    <r>
      <t>for his evaluation of measured BCFs (from which Jon estimated apparent whole-body K</t>
    </r>
    <r>
      <rPr>
        <vertAlign val="subscript"/>
        <sz val="12"/>
        <rFont val="Arial"/>
        <family val="2"/>
      </rPr>
      <t>MET</t>
    </r>
    <r>
      <rPr>
        <sz val="12"/>
        <rFont val="Arial"/>
        <family val="2"/>
      </rPr>
      <t xml:space="preserve"> values)</t>
    </r>
  </si>
  <si>
    <r>
      <t>Modeled body weight in grams (Bwg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)</t>
    </r>
  </si>
  <si>
    <t>g</t>
  </si>
  <si>
    <t>Standard value (assumed)</t>
  </si>
  <si>
    <r>
      <t>Modeled body weight in kilograms (Bwkg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)</t>
    </r>
  </si>
  <si>
    <t>kg</t>
  </si>
  <si>
    <t>Calculated from previous</t>
  </si>
  <si>
    <t>Modeled temperature (T)</t>
  </si>
  <si>
    <t>Assumed</t>
  </si>
  <si>
    <r>
      <t>Fractional liver weight (L</t>
    </r>
    <r>
      <rPr>
        <vertAlign val="subscript"/>
        <sz val="12"/>
        <rFont val="Arial"/>
        <family val="2"/>
      </rPr>
      <t>FBW</t>
    </r>
    <r>
      <rPr>
        <sz val="12"/>
        <rFont val="Arial"/>
        <family val="2"/>
      </rPr>
      <t>)</t>
    </r>
  </si>
  <si>
    <r>
      <t>Liver blood flow as fraction of cardiac output (Q</t>
    </r>
    <r>
      <rPr>
        <vertAlign val="subscript"/>
        <sz val="12"/>
        <rFont val="Arial"/>
        <family val="2"/>
      </rPr>
      <t>HFRAC</t>
    </r>
    <r>
      <rPr>
        <sz val="12"/>
        <rFont val="Arial"/>
        <family val="2"/>
      </rPr>
      <t>)</t>
    </r>
  </si>
  <si>
    <t>From Nichols et al. (1990)</t>
  </si>
  <si>
    <r>
      <t>Fractional whole-body lipid content (v</t>
    </r>
    <r>
      <rPr>
        <vertAlign val="subscript"/>
        <sz val="10.45"/>
        <rFont val="Arial"/>
        <family val="2"/>
      </rPr>
      <t>LWB</t>
    </r>
    <r>
      <rPr>
        <sz val="10.45"/>
        <rFont val="Arial"/>
        <family val="2"/>
      </rPr>
      <t>)</t>
    </r>
  </si>
  <si>
    <r>
      <t>Fractional blood water content (v</t>
    </r>
    <r>
      <rPr>
        <vertAlign val="subscript"/>
        <sz val="12"/>
        <rFont val="Arial"/>
        <family val="2"/>
      </rPr>
      <t>WBL</t>
    </r>
    <r>
      <rPr>
        <sz val="12"/>
        <rFont val="Arial"/>
        <family val="2"/>
      </rPr>
      <t>)</t>
    </r>
  </si>
  <si>
    <t>From Bertelsen et al. (1998)</t>
  </si>
  <si>
    <t>Additional Input Parameters</t>
  </si>
  <si>
    <r>
      <t>Log K</t>
    </r>
    <r>
      <rPr>
        <vertAlign val="subscript"/>
        <sz val="12"/>
        <rFont val="Arial"/>
        <family val="2"/>
      </rPr>
      <t>OW</t>
    </r>
  </si>
  <si>
    <r>
      <t>Total aqueous chemical conc. (C</t>
    </r>
    <r>
      <rPr>
        <vertAlign val="subscript"/>
        <sz val="12"/>
        <rFont val="Arial"/>
        <family val="2"/>
      </rPr>
      <t>W,TOT</t>
    </r>
    <r>
      <rPr>
        <sz val="12"/>
        <rFont val="Arial"/>
        <family val="2"/>
      </rPr>
      <t>)</t>
    </r>
  </si>
  <si>
    <t>mg/l</t>
  </si>
  <si>
    <r>
      <t>Dissolved organic carbon (C</t>
    </r>
    <r>
      <rPr>
        <vertAlign val="subscript"/>
        <sz val="12"/>
        <rFont val="Arial"/>
        <family val="2"/>
      </rPr>
      <t>DOC</t>
    </r>
    <r>
      <rPr>
        <sz val="12"/>
        <rFont val="Arial"/>
        <family val="2"/>
      </rPr>
      <t>)</t>
    </r>
  </si>
  <si>
    <t>kg/L</t>
  </si>
  <si>
    <r>
      <t>Particulate orgaic carbon (C</t>
    </r>
    <r>
      <rPr>
        <vertAlign val="subscript"/>
        <sz val="12"/>
        <rFont val="Arial"/>
        <family val="2"/>
      </rPr>
      <t>POC</t>
    </r>
    <r>
      <rPr>
        <sz val="12"/>
        <rFont val="Arial"/>
        <family val="2"/>
      </rPr>
      <t>)</t>
    </r>
  </si>
  <si>
    <r>
      <t>POC binding constant (</t>
    </r>
    <r>
      <rPr>
        <sz val="12"/>
        <rFont val="Calibri"/>
        <family val="2"/>
      </rPr>
      <t>α</t>
    </r>
    <r>
      <rPr>
        <vertAlign val="subscript"/>
        <sz val="12"/>
        <rFont val="Arial"/>
        <family val="2"/>
      </rPr>
      <t>POC</t>
    </r>
    <r>
      <rPr>
        <sz val="12"/>
        <rFont val="Arial"/>
        <family val="2"/>
      </rPr>
      <t>)</t>
    </r>
  </si>
  <si>
    <t>From Seth et al. (1999), cited by Arnot and Gobas (2004)</t>
  </si>
  <si>
    <r>
      <t>DOC binding constant (</t>
    </r>
    <r>
      <rPr>
        <sz val="12"/>
        <rFont val="Calibri"/>
        <family val="2"/>
      </rPr>
      <t>α</t>
    </r>
    <r>
      <rPr>
        <vertAlign val="subscript"/>
        <sz val="12"/>
        <rFont val="Arial"/>
        <family val="2"/>
      </rPr>
      <t>DOC</t>
    </r>
    <r>
      <rPr>
        <sz val="12"/>
        <rFont val="Arial"/>
        <family val="2"/>
      </rPr>
      <t>)</t>
    </r>
  </si>
  <si>
    <t>Calculated Parameters</t>
  </si>
  <si>
    <t>Equations</t>
  </si>
  <si>
    <r>
      <t>K</t>
    </r>
    <r>
      <rPr>
        <vertAlign val="subscript"/>
        <sz val="12"/>
        <rFont val="Arial"/>
        <family val="2"/>
      </rPr>
      <t>OW</t>
    </r>
  </si>
  <si>
    <r>
      <t>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 10^Log K</t>
    </r>
    <r>
      <rPr>
        <vertAlign val="subscript"/>
        <sz val="12"/>
        <rFont val="Arial"/>
        <family val="2"/>
      </rPr>
      <t>OW</t>
    </r>
  </si>
  <si>
    <r>
      <t>Blood:water partition coefficient (P</t>
    </r>
    <r>
      <rPr>
        <vertAlign val="subscript"/>
        <sz val="12"/>
        <rFont val="Arial"/>
        <family val="2"/>
      </rPr>
      <t>BW</t>
    </r>
    <r>
      <rPr>
        <sz val="12"/>
        <rFont val="Arial"/>
        <family val="2"/>
      </rPr>
      <t>)</t>
    </r>
  </si>
  <si>
    <r>
      <t>P</t>
    </r>
    <r>
      <rPr>
        <vertAlign val="subscript"/>
        <sz val="12"/>
        <rFont val="Arial"/>
        <family val="2"/>
      </rPr>
      <t>BW</t>
    </r>
    <r>
      <rPr>
        <sz val="12"/>
        <rFont val="Arial"/>
        <family val="2"/>
      </rPr>
      <t xml:space="preserve"> = (10^(0.73*Log 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) * 0.16) + v</t>
    </r>
    <r>
      <rPr>
        <vertAlign val="subscript"/>
        <sz val="12"/>
        <rFont val="Arial"/>
        <family val="2"/>
      </rPr>
      <t>WBL</t>
    </r>
  </si>
  <si>
    <t>Fitzsimmons et al. (2001)</t>
  </si>
  <si>
    <r>
      <t>Binding correction term (f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)</t>
    </r>
  </si>
  <si>
    <t>Han et al. (2009)</t>
  </si>
  <si>
    <r>
      <t>Volume of distribution ref. to blood plasma (V</t>
    </r>
    <r>
      <rPr>
        <vertAlign val="subscript"/>
        <sz val="12"/>
        <rFont val="Arial"/>
        <family val="2"/>
      </rPr>
      <t>D,BL</t>
    </r>
    <r>
      <rPr>
        <sz val="12"/>
        <rFont val="Arial"/>
        <family val="2"/>
      </rPr>
      <t>)</t>
    </r>
  </si>
  <si>
    <t>l/kg</t>
  </si>
  <si>
    <r>
      <t>In vitro intrinsic clearance (CL</t>
    </r>
    <r>
      <rPr>
        <vertAlign val="subscript"/>
        <sz val="12"/>
        <rFont val="Arial"/>
        <family val="2"/>
      </rPr>
      <t>IN VITRO,INT</t>
    </r>
    <r>
      <rPr>
        <sz val="12"/>
        <rFont val="Arial"/>
        <family val="2"/>
      </rPr>
      <t>)</t>
    </r>
  </si>
  <si>
    <r>
      <t>In vivo intrinsic clearance (CL</t>
    </r>
    <r>
      <rPr>
        <vertAlign val="subscript"/>
        <sz val="12"/>
        <rFont val="Arial"/>
        <family val="2"/>
      </rPr>
      <t>IN VIVO,INT</t>
    </r>
    <r>
      <rPr>
        <sz val="12"/>
        <rFont val="Arial"/>
        <family val="2"/>
      </rPr>
      <t>)</t>
    </r>
  </si>
  <si>
    <t>l/d/kg fish (or ml/d/g fish)</t>
  </si>
  <si>
    <r>
      <t>Temperature adjusted Cardiac output (Q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</si>
  <si>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t>l/d/kg fish</t>
  </si>
  <si>
    <r>
      <t>Q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= (((0.23*T)-0.78)*(Bwg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/500)^-0.1)*24</t>
    </r>
  </si>
  <si>
    <r>
      <t>Liver blood flow (Q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</si>
  <si>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= Q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*Q</t>
    </r>
    <r>
      <rPr>
        <vertAlign val="subscript"/>
        <sz val="12"/>
        <rFont val="Arial"/>
        <family val="2"/>
      </rPr>
      <t>HFRAC</t>
    </r>
  </si>
  <si>
    <r>
      <t>Hepatic clearance (CL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)</t>
    </r>
  </si>
  <si>
    <r>
      <t>Whole-body metabolism rate (k</t>
    </r>
    <r>
      <rPr>
        <vertAlign val="subscript"/>
        <sz val="12"/>
        <rFont val="Arial"/>
        <family val="2"/>
      </rPr>
      <t>MET</t>
    </r>
    <r>
      <rPr>
        <sz val="12"/>
        <rFont val="Arial"/>
        <family val="2"/>
      </rPr>
      <t>)</t>
    </r>
  </si>
  <si>
    <t xml:space="preserve"> /d</t>
  </si>
  <si>
    <r>
      <t>k</t>
    </r>
    <r>
      <rPr>
        <vertAlign val="subscript"/>
        <sz val="12"/>
        <rFont val="Arial"/>
        <family val="2"/>
      </rPr>
      <t xml:space="preserve">MET </t>
    </r>
    <r>
      <rPr>
        <sz val="12"/>
        <rFont val="Arial"/>
        <family val="2"/>
      </rPr>
      <t>= CL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/V</t>
    </r>
    <r>
      <rPr>
        <vertAlign val="subscript"/>
        <sz val="12"/>
        <rFont val="Arial"/>
        <family val="2"/>
      </rPr>
      <t>D,BL</t>
    </r>
  </si>
  <si>
    <r>
      <t>Chemical concentration dissolved in water (C</t>
    </r>
    <r>
      <rPr>
        <vertAlign val="subscript"/>
        <sz val="12"/>
        <rFont val="Arial"/>
        <family val="2"/>
      </rPr>
      <t>W,FD</t>
    </r>
    <r>
      <rPr>
        <sz val="12"/>
        <rFont val="Arial"/>
        <family val="2"/>
      </rPr>
      <t>)</t>
    </r>
  </si>
  <si>
    <r>
      <t>C</t>
    </r>
    <r>
      <rPr>
        <vertAlign val="subscript"/>
        <sz val="12"/>
        <rFont val="Arial"/>
        <family val="2"/>
      </rPr>
      <t xml:space="preserve">W,FD </t>
    </r>
    <r>
      <rPr>
        <sz val="12"/>
        <rFont val="Arial"/>
        <family val="2"/>
      </rPr>
      <t>= C</t>
    </r>
    <r>
      <rPr>
        <vertAlign val="subscript"/>
        <sz val="12"/>
        <rFont val="Arial"/>
        <family val="2"/>
      </rPr>
      <t>W,TOT</t>
    </r>
    <r>
      <rPr>
        <sz val="12"/>
        <rFont val="Arial"/>
        <family val="2"/>
      </rPr>
      <t xml:space="preserve"> *(1/(1+C</t>
    </r>
    <r>
      <rPr>
        <vertAlign val="subscript"/>
        <sz val="12"/>
        <rFont val="Arial"/>
        <family val="2"/>
      </rPr>
      <t>DOC</t>
    </r>
    <r>
      <rPr>
        <sz val="12"/>
        <rFont val="Arial"/>
        <family val="2"/>
      </rPr>
      <t>*</t>
    </r>
    <r>
      <rPr>
        <sz val="12"/>
        <rFont val="Calibri"/>
        <family val="2"/>
      </rPr>
      <t>α</t>
    </r>
    <r>
      <rPr>
        <vertAlign val="subscript"/>
        <sz val="12"/>
        <rFont val="Arial"/>
        <family val="2"/>
      </rPr>
      <t>DOC</t>
    </r>
    <r>
      <rPr>
        <sz val="12"/>
        <rFont val="Arial"/>
        <family val="2"/>
      </rPr>
      <t>*K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+C</t>
    </r>
    <r>
      <rPr>
        <vertAlign val="subscript"/>
        <sz val="12"/>
        <rFont val="Arial"/>
        <family val="2"/>
      </rPr>
      <t>POC</t>
    </r>
    <r>
      <rPr>
        <sz val="12"/>
        <rFont val="Arial"/>
        <family val="2"/>
      </rPr>
      <t>*</t>
    </r>
    <r>
      <rPr>
        <sz val="12"/>
        <rFont val="Calibri"/>
        <family val="2"/>
      </rPr>
      <t>α</t>
    </r>
    <r>
      <rPr>
        <vertAlign val="subscript"/>
        <sz val="12"/>
        <rFont val="Arial"/>
        <family val="2"/>
      </rPr>
      <t>POC</t>
    </r>
    <r>
      <rPr>
        <sz val="12"/>
        <rFont val="Arial"/>
        <family val="2"/>
      </rPr>
      <t>*K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))</t>
    </r>
  </si>
  <si>
    <r>
      <t>Gill uptake rate constant (k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</si>
  <si>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l/kg/d</t>
  </si>
  <si>
    <r>
      <t>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 1/((0.01 + 1/K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)*BwkgM^0.4)</t>
    </r>
  </si>
  <si>
    <r>
      <t>Gill elimination rate constant (k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</si>
  <si>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 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/(v</t>
    </r>
    <r>
      <rPr>
        <vertAlign val="subscript"/>
        <sz val="12"/>
        <rFont val="Arial"/>
        <family val="2"/>
      </rPr>
      <t>LWB</t>
    </r>
    <r>
      <rPr>
        <sz val="12"/>
        <rFont val="Arial"/>
        <family val="2"/>
      </rPr>
      <t>*K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)</t>
    </r>
  </si>
  <si>
    <r>
      <t>Fecal egestion rate constant (k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>)</t>
    </r>
  </si>
  <si>
    <r>
      <t>k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= 0.125*(0.02*Bwkg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^-0.15*e(0.06*T))/(0.000000051*K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+ 2)</t>
    </r>
  </si>
  <si>
    <r>
      <t>Growth rate constant (k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>)</t>
    </r>
  </si>
  <si>
    <t>/d</t>
  </si>
  <si>
    <r>
      <t>Concentration in fish (C</t>
    </r>
    <r>
      <rPr>
        <vertAlign val="subscript"/>
        <sz val="12"/>
        <rFont val="Arial"/>
        <family val="2"/>
      </rPr>
      <t>FISH,SS</t>
    </r>
    <r>
      <rPr>
        <sz val="12"/>
        <rFont val="Arial"/>
        <family val="2"/>
      </rPr>
      <t>)</t>
    </r>
  </si>
  <si>
    <t>mg/kg</t>
  </si>
  <si>
    <r>
      <t>C</t>
    </r>
    <r>
      <rPr>
        <vertAlign val="subscript"/>
        <sz val="12"/>
        <rFont val="Arial"/>
        <family val="2"/>
      </rPr>
      <t>FISH,SS</t>
    </r>
    <r>
      <rPr>
        <sz val="12"/>
        <rFont val="Arial"/>
        <family val="2"/>
      </rPr>
      <t xml:space="preserve"> = (k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</t>
    </r>
    <r>
      <rPr>
        <vertAlign val="subscript"/>
        <sz val="12"/>
        <rFont val="Arial"/>
        <family val="2"/>
      </rPr>
      <t>W,FD</t>
    </r>
    <r>
      <rPr>
        <sz val="12"/>
        <rFont val="Arial"/>
        <family val="2"/>
      </rPr>
      <t>)/(k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+k</t>
    </r>
    <r>
      <rPr>
        <vertAlign val="subscript"/>
        <sz val="12"/>
        <rFont val="Arial"/>
        <family val="2"/>
      </rPr>
      <t>METAB</t>
    </r>
    <r>
      <rPr>
        <sz val="12"/>
        <rFont val="Arial"/>
        <family val="2"/>
      </rPr>
      <t>+k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>+k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>)</t>
    </r>
  </si>
  <si>
    <r>
      <t>BCF, on a total conc basis, w/out lipid norm. (BCF</t>
    </r>
    <r>
      <rPr>
        <vertAlign val="subscript"/>
        <sz val="12"/>
        <rFont val="Arial"/>
        <family val="2"/>
      </rPr>
      <t>TOT</t>
    </r>
    <r>
      <rPr>
        <sz val="12"/>
        <rFont val="Arial"/>
        <family val="2"/>
      </rPr>
      <t>)</t>
    </r>
  </si>
  <si>
    <t>l/kg or ml/g</t>
  </si>
  <si>
    <r>
      <t>BCF</t>
    </r>
    <r>
      <rPr>
        <vertAlign val="subscript"/>
        <sz val="12"/>
        <rFont val="Arial"/>
        <family val="2"/>
      </rPr>
      <t>TOT</t>
    </r>
    <r>
      <rPr>
        <sz val="12"/>
        <rFont val="Arial"/>
        <family val="2"/>
      </rPr>
      <t xml:space="preserve"> = C</t>
    </r>
    <r>
      <rPr>
        <vertAlign val="subscript"/>
        <sz val="12"/>
        <rFont val="Arial"/>
        <family val="2"/>
      </rPr>
      <t>FISH,SS</t>
    </r>
    <r>
      <rPr>
        <sz val="12"/>
        <rFont val="Arial"/>
        <family val="2"/>
      </rPr>
      <t>/C</t>
    </r>
    <r>
      <rPr>
        <vertAlign val="subscript"/>
        <sz val="12"/>
        <rFont val="Arial"/>
        <family val="2"/>
      </rPr>
      <t>W,TOT</t>
    </r>
  </si>
  <si>
    <r>
      <t>BCF, on freely diss. basis, norm. for fish lipid (BCF</t>
    </r>
    <r>
      <rPr>
        <vertAlign val="subscript"/>
        <sz val="12"/>
        <rFont val="Arial"/>
        <family val="2"/>
      </rPr>
      <t>FD,L</t>
    </r>
    <r>
      <rPr>
        <sz val="12"/>
        <rFont val="Arial"/>
        <family val="2"/>
      </rPr>
      <t xml:space="preserve">) </t>
    </r>
  </si>
  <si>
    <t>l/kg lipid or ml/g lipid</t>
  </si>
  <si>
    <r>
      <t>BCF</t>
    </r>
    <r>
      <rPr>
        <vertAlign val="subscript"/>
        <sz val="12"/>
        <rFont val="Arial"/>
        <family val="2"/>
      </rPr>
      <t>FD,L</t>
    </r>
    <r>
      <rPr>
        <sz val="12"/>
        <rFont val="Arial"/>
        <family val="2"/>
      </rPr>
      <t xml:space="preserve"> = C</t>
    </r>
    <r>
      <rPr>
        <vertAlign val="subscript"/>
        <sz val="12"/>
        <rFont val="Arial"/>
        <family val="2"/>
      </rPr>
      <t>FISH,SS</t>
    </r>
    <r>
      <rPr>
        <sz val="12"/>
        <rFont val="Arial"/>
        <family val="2"/>
      </rPr>
      <t>/(C</t>
    </r>
    <r>
      <rPr>
        <vertAlign val="subscript"/>
        <sz val="12"/>
        <rFont val="Arial"/>
        <family val="2"/>
      </rPr>
      <t>W,FD</t>
    </r>
    <r>
      <rPr>
        <sz val="12"/>
        <rFont val="Arial"/>
        <family val="2"/>
      </rPr>
      <t>*v</t>
    </r>
    <r>
      <rPr>
        <vertAlign val="subscript"/>
        <sz val="12"/>
        <rFont val="Arial"/>
        <family val="2"/>
      </rPr>
      <t>LWB</t>
    </r>
    <r>
      <rPr>
        <sz val="12"/>
        <rFont val="Arial"/>
        <family val="2"/>
      </rPr>
      <t>)</t>
    </r>
  </si>
  <si>
    <t>S9 Donor fish</t>
  </si>
  <si>
    <r>
      <t>Scaled clearance for 10 g fish (CL</t>
    </r>
    <r>
      <rPr>
        <vertAlign val="subscript"/>
        <sz val="12"/>
        <rFont val="Arial"/>
        <family val="2"/>
      </rPr>
      <t>IN VIVO,INT,10</t>
    </r>
    <r>
      <rPr>
        <sz val="12"/>
        <rFont val="Arial"/>
        <family val="2"/>
      </rPr>
      <t>)</t>
    </r>
  </si>
  <si>
    <t>Binding correction term, assuming fu = 1.0 (fu,1)</t>
  </si>
  <si>
    <r>
      <t>f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=1.0</t>
    </r>
  </si>
  <si>
    <t>Assumed value</t>
  </si>
  <si>
    <t>Avg. of recovery corrected values obtained using the G6P</t>
  </si>
  <si>
    <r>
      <t>CL</t>
    </r>
    <r>
      <rPr>
        <vertAlign val="subscript"/>
        <sz val="12"/>
        <rFont val="Arial"/>
        <family val="2"/>
      </rPr>
      <t>IN VITRO,INT</t>
    </r>
    <r>
      <rPr>
        <sz val="12"/>
        <rFont val="Arial"/>
        <family val="2"/>
      </rPr>
      <t xml:space="preserve"> * L</t>
    </r>
    <r>
      <rPr>
        <vertAlign val="subscript"/>
        <sz val="12"/>
        <rFont val="Arial"/>
        <family val="2"/>
      </rPr>
      <t>S9</t>
    </r>
    <r>
      <rPr>
        <sz val="12"/>
        <rFont val="Arial"/>
        <family val="2"/>
      </rPr>
      <t xml:space="preserve"> * L</t>
    </r>
    <r>
      <rPr>
        <vertAlign val="subscript"/>
        <sz val="12"/>
        <rFont val="Arial"/>
        <family val="2"/>
      </rPr>
      <t>FBW</t>
    </r>
    <r>
      <rPr>
        <sz val="12"/>
        <rFont val="Arial"/>
        <family val="2"/>
      </rPr>
      <t xml:space="preserve"> * 24 </t>
    </r>
  </si>
  <si>
    <r>
      <t>k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 xml:space="preserve"> = 0 (or 0.000502*BwkgM^-0.2 as in BCFBAF)</t>
    </r>
  </si>
  <si>
    <t>To adopt the assumption that binding is functionally identical in vitro and in plasma</t>
  </si>
  <si>
    <t xml:space="preserve">The model presently assumes that  </t>
  </si>
  <si>
    <t>weight-normalized clearance is constant across body sizes (allometric exponent set to 0)</t>
  </si>
  <si>
    <t xml:space="preserve">Alternative assumptions are implemented by changing the exponent to a user-assigned </t>
  </si>
  <si>
    <r>
      <t>CL</t>
    </r>
    <r>
      <rPr>
        <vertAlign val="subscript"/>
        <sz val="12"/>
        <rFont val="Arial"/>
        <family val="2"/>
      </rPr>
      <t>IN VITRO,INT</t>
    </r>
    <r>
      <rPr>
        <sz val="12"/>
        <rFont val="Arial"/>
        <family val="2"/>
      </rPr>
      <t xml:space="preserve"> = Rate/C</t>
    </r>
    <r>
      <rPr>
        <vertAlign val="subscript"/>
        <sz val="12"/>
        <rFont val="Arial"/>
        <family val="2"/>
      </rPr>
      <t>S9</t>
    </r>
  </si>
  <si>
    <r>
      <t>f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= (v</t>
    </r>
    <r>
      <rPr>
        <vertAlign val="subscript"/>
        <sz val="12"/>
        <rFont val="Arial"/>
        <family val="2"/>
      </rPr>
      <t>WBL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BW</t>
    </r>
    <r>
      <rPr>
        <sz val="12"/>
        <rFont val="Arial"/>
        <family val="2"/>
      </rPr>
      <t>)/(1/(C</t>
    </r>
    <r>
      <rPr>
        <vertAlign val="subscript"/>
        <sz val="12"/>
        <rFont val="Arial"/>
        <family val="2"/>
      </rPr>
      <t>S9</t>
    </r>
    <r>
      <rPr>
        <sz val="12"/>
        <rFont val="Arial"/>
        <family val="2"/>
      </rPr>
      <t>*10^(0.694*Log 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- 2.158) + 1.0))</t>
    </r>
  </si>
  <si>
    <t>g liver/g fish</t>
  </si>
  <si>
    <t>ml/h/mg S9 protein</t>
  </si>
  <si>
    <t>S9 spreadsheet_Public_062713</t>
  </si>
  <si>
    <r>
      <t>Fish body weight in grams (Bwg</t>
    </r>
    <r>
      <rPr>
        <vertAlign val="subscript"/>
        <sz val="12"/>
        <rFont val="Arial"/>
        <family val="2"/>
      </rPr>
      <t>S9</t>
    </r>
    <r>
      <rPr>
        <sz val="12"/>
        <rFont val="Arial"/>
        <family val="2"/>
      </rPr>
      <t>)</t>
    </r>
  </si>
  <si>
    <t>C</t>
  </si>
  <si>
    <t xml:space="preserve">From Schultz et al. (1999) </t>
  </si>
  <si>
    <t>From US EPA (2003) Table 6-10, mean all types</t>
  </si>
  <si>
    <t>From Burkhard et al. (2000)</t>
  </si>
  <si>
    <r>
      <t>Partitioning based BCF (BCF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)</t>
    </r>
  </si>
  <si>
    <r>
      <t>BCF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= v</t>
    </r>
    <r>
      <rPr>
        <vertAlign val="subscript"/>
        <sz val="12"/>
        <rFont val="Arial"/>
        <family val="2"/>
      </rPr>
      <t>LWB</t>
    </r>
    <r>
      <rPr>
        <sz val="12"/>
        <rFont val="Arial"/>
        <family val="2"/>
      </rPr>
      <t>*K</t>
    </r>
    <r>
      <rPr>
        <vertAlign val="subscript"/>
        <sz val="12"/>
        <rFont val="Arial"/>
        <family val="2"/>
      </rPr>
      <t>OW</t>
    </r>
  </si>
  <si>
    <r>
      <t>V</t>
    </r>
    <r>
      <rPr>
        <vertAlign val="subscript"/>
        <sz val="12"/>
        <rFont val="Arial"/>
        <family val="2"/>
      </rPr>
      <t>D,BL</t>
    </r>
    <r>
      <rPr>
        <sz val="12"/>
        <rFont val="Arial"/>
        <family val="2"/>
      </rPr>
      <t xml:space="preserve"> = BCF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BW</t>
    </r>
  </si>
  <si>
    <t>From Erickson and McKim (1990)</t>
  </si>
  <si>
    <t>value (in cell 74C)</t>
  </si>
  <si>
    <t>the user must manually change the term "fu" to "fuone" in the equation (in cell 82C)</t>
  </si>
  <si>
    <r>
      <t>CL</t>
    </r>
    <r>
      <rPr>
        <vertAlign val="subscript"/>
        <sz val="12"/>
        <rFont val="Arial"/>
        <family val="2"/>
      </rPr>
      <t xml:space="preserve">IN VIVO,INT,10 </t>
    </r>
    <r>
      <rPr>
        <sz val="12"/>
        <rFont val="Arial"/>
        <family val="2"/>
      </rPr>
      <t>= CL</t>
    </r>
    <r>
      <rPr>
        <vertAlign val="subscript"/>
        <sz val="12"/>
        <rFont val="Arial"/>
        <family val="2"/>
      </rPr>
      <t>IN VIVO,INT</t>
    </r>
    <r>
      <rPr>
        <sz val="12"/>
        <rFont val="Arial"/>
        <family val="2"/>
      </rPr>
      <t xml:space="preserve"> * ((Bwg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/Bwg</t>
    </r>
    <r>
      <rPr>
        <vertAlign val="subscript"/>
        <sz val="12"/>
        <rFont val="Arial"/>
        <family val="2"/>
      </rPr>
      <t>S9</t>
    </r>
    <r>
      <rPr>
        <sz val="12"/>
        <rFont val="Arial"/>
        <family val="2"/>
      </rPr>
      <t>)^0)</t>
    </r>
  </si>
  <si>
    <t>and CYP content assays (Nichols et al., 2013)</t>
  </si>
  <si>
    <r>
      <t>CL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= ((Q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*f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*CL</t>
    </r>
    <r>
      <rPr>
        <vertAlign val="subscript"/>
        <sz val="12"/>
        <rFont val="Arial"/>
        <family val="2"/>
      </rPr>
      <t>IN VIVO,INT,10</t>
    </r>
    <r>
      <rPr>
        <sz val="12"/>
        <rFont val="Arial"/>
        <family val="2"/>
      </rPr>
      <t>)/(Q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+(f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*CL</t>
    </r>
    <r>
      <rPr>
        <vertAlign val="subscript"/>
        <sz val="12"/>
        <rFont val="Arial"/>
        <family val="2"/>
      </rPr>
      <t>IN VIVO,INT,10</t>
    </r>
    <r>
      <rPr>
        <sz val="12"/>
        <rFont val="Arial"/>
        <family val="2"/>
      </rPr>
      <t>)))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</si>
</sst>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vertAlign val="subscript"/>
      <sz val="10.45"/>
      <name val="Arial"/>
      <family val="2"/>
    </font>
    <font>
      <sz val="10.45"/>
      <name val="Arial"/>
      <family val="2"/>
    </font>
    <font>
      <sz val="12"/>
      <name val="Calibri"/>
      <family val="2"/>
    </font>
    <font>
      <sz val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0" fillId="0" borderId="0" xfId="0" applyNumberFormat="1" applyAlignment="1"/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166" fontId="1" fillId="0" borderId="0" xfId="0" applyNumberFormat="1" applyFont="1" applyAlignment="1"/>
    <xf numFmtId="0" fontId="7" fillId="0" borderId="0" xfId="0" applyNumberFormat="1" applyFont="1"/>
    <xf numFmtId="0" fontId="8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zoomScale="61" zoomScaleNormal="61" workbookViewId="0">
      <selection activeCell="C11" sqref="C11"/>
    </sheetView>
  </sheetViews>
  <sheetFormatPr defaultColWidth="12.42578125" defaultRowHeight="15" x14ac:dyDescent="0.2"/>
  <cols>
    <col min="1" max="1" width="3.42578125" style="3" customWidth="1"/>
    <col min="2" max="2" width="59.85546875" style="4" customWidth="1"/>
    <col min="3" max="3" width="20.140625" style="3" customWidth="1"/>
    <col min="4" max="4" width="34.28515625" style="3" customWidth="1"/>
    <col min="5" max="5" width="17.5703125" style="3" customWidth="1"/>
    <col min="6" max="6" width="15" style="3" customWidth="1"/>
    <col min="7" max="7" width="13.7109375" style="3" customWidth="1"/>
    <col min="8" max="8" width="25.28515625" style="3" customWidth="1"/>
    <col min="9" max="9" width="29.140625" style="3" customWidth="1"/>
    <col min="10" max="10" width="25.28515625" style="3" customWidth="1"/>
    <col min="11" max="16384" width="12.42578125" style="3"/>
  </cols>
  <sheetData>
    <row r="1" spans="1:10" ht="15.75" x14ac:dyDescent="0.25">
      <c r="A1" s="22"/>
      <c r="B1" s="2" t="s">
        <v>0</v>
      </c>
      <c r="C1" s="1"/>
      <c r="D1" s="1" t="s">
        <v>1</v>
      </c>
      <c r="E1" s="1"/>
      <c r="F1" s="1"/>
      <c r="G1" s="1"/>
      <c r="H1" s="1"/>
      <c r="I1" s="1"/>
      <c r="J1" s="1"/>
    </row>
    <row r="2" spans="1:10" ht="15.75" x14ac:dyDescent="0.25">
      <c r="A2" s="1"/>
      <c r="B2" s="4" t="s">
        <v>102</v>
      </c>
      <c r="D2" s="3" t="s">
        <v>2</v>
      </c>
      <c r="E2" s="5"/>
    </row>
    <row r="3" spans="1:10" x14ac:dyDescent="0.2">
      <c r="A3" s="1"/>
    </row>
    <row r="4" spans="1:10" x14ac:dyDescent="0.2">
      <c r="A4" s="1"/>
    </row>
    <row r="5" spans="1:10" ht="15.75" x14ac:dyDescent="0.25">
      <c r="A5" s="1"/>
      <c r="B5" s="2" t="s">
        <v>3</v>
      </c>
      <c r="E5" s="6"/>
    </row>
    <row r="6" spans="1:10" ht="15.75" x14ac:dyDescent="0.25">
      <c r="A6" s="1"/>
      <c r="B6" s="2"/>
      <c r="E6" s="6"/>
    </row>
    <row r="7" spans="1:10" x14ac:dyDescent="0.2">
      <c r="A7" s="1"/>
    </row>
    <row r="8" spans="1:10" x14ac:dyDescent="0.2">
      <c r="A8" s="1"/>
      <c r="B8" s="4" t="s">
        <v>4</v>
      </c>
      <c r="C8" s="4" t="s">
        <v>5</v>
      </c>
      <c r="D8" s="4" t="s">
        <v>6</v>
      </c>
    </row>
    <row r="9" spans="1:10" x14ac:dyDescent="0.2">
      <c r="A9" s="1"/>
      <c r="B9" s="7"/>
      <c r="C9" s="7"/>
      <c r="D9" s="7"/>
    </row>
    <row r="10" spans="1:10" x14ac:dyDescent="0.2">
      <c r="A10" s="1"/>
      <c r="B10" s="8" t="s">
        <v>7</v>
      </c>
      <c r="C10" s="8">
        <v>0</v>
      </c>
      <c r="D10" s="3" t="s">
        <v>8</v>
      </c>
      <c r="E10" s="23" t="s">
        <v>9</v>
      </c>
    </row>
    <row r="11" spans="1:10" ht="15.75" x14ac:dyDescent="0.25">
      <c r="A11" s="1"/>
      <c r="B11" s="8"/>
      <c r="C11" s="8"/>
      <c r="E11" s="6"/>
    </row>
    <row r="12" spans="1:10" ht="19.5" x14ac:dyDescent="0.35">
      <c r="A12" s="1"/>
      <c r="B12" s="8" t="s">
        <v>103</v>
      </c>
      <c r="C12" s="8">
        <v>373</v>
      </c>
      <c r="D12" s="3" t="s">
        <v>20</v>
      </c>
      <c r="E12" s="23" t="s">
        <v>86</v>
      </c>
    </row>
    <row r="13" spans="1:10" ht="15.75" x14ac:dyDescent="0.25">
      <c r="A13" s="1"/>
      <c r="B13" s="8"/>
      <c r="C13" s="8"/>
      <c r="E13" s="6"/>
    </row>
    <row r="14" spans="1:10" ht="19.5" x14ac:dyDescent="0.35">
      <c r="A14" s="1"/>
      <c r="B14" s="8" t="s">
        <v>10</v>
      </c>
      <c r="C14" s="8">
        <v>1</v>
      </c>
      <c r="D14" s="3" t="s">
        <v>11</v>
      </c>
      <c r="E14" s="23" t="s">
        <v>12</v>
      </c>
    </row>
    <row r="15" spans="1:10" ht="15.75" x14ac:dyDescent="0.25">
      <c r="A15" s="1"/>
      <c r="B15" s="8"/>
      <c r="C15" s="8"/>
      <c r="E15" s="6"/>
    </row>
    <row r="16" spans="1:10" ht="19.5" x14ac:dyDescent="0.35">
      <c r="A16" s="1"/>
      <c r="B16" s="8" t="s">
        <v>13</v>
      </c>
      <c r="C16" s="8">
        <v>163</v>
      </c>
      <c r="D16" s="3" t="s">
        <v>14</v>
      </c>
      <c r="E16" s="3" t="s">
        <v>91</v>
      </c>
    </row>
    <row r="17" spans="1:5" x14ac:dyDescent="0.2">
      <c r="A17" s="1"/>
      <c r="B17" s="8"/>
      <c r="C17" s="8"/>
      <c r="E17" s="3" t="s">
        <v>115</v>
      </c>
    </row>
    <row r="18" spans="1:5" x14ac:dyDescent="0.2">
      <c r="A18" s="1"/>
      <c r="C18" s="4"/>
    </row>
    <row r="19" spans="1:5" ht="15.75" x14ac:dyDescent="0.25">
      <c r="A19" s="1"/>
      <c r="B19" s="2" t="s">
        <v>16</v>
      </c>
      <c r="C19" s="4"/>
      <c r="E19" s="3" t="s">
        <v>17</v>
      </c>
    </row>
    <row r="20" spans="1:5" ht="19.5" x14ac:dyDescent="0.35">
      <c r="A20" s="1"/>
      <c r="B20" s="9"/>
      <c r="C20" s="4"/>
      <c r="E20" s="3" t="s">
        <v>18</v>
      </c>
    </row>
    <row r="21" spans="1:5" x14ac:dyDescent="0.2">
      <c r="A21" s="1"/>
      <c r="B21" s="10" t="s">
        <v>4</v>
      </c>
      <c r="C21" s="10" t="s">
        <v>5</v>
      </c>
      <c r="D21" s="10" t="s">
        <v>6</v>
      </c>
    </row>
    <row r="22" spans="1:5" x14ac:dyDescent="0.2">
      <c r="A22" s="1"/>
      <c r="B22" s="11"/>
      <c r="C22" s="11"/>
      <c r="D22" s="11"/>
    </row>
    <row r="23" spans="1:5" ht="19.5" x14ac:dyDescent="0.35">
      <c r="A23" s="1"/>
      <c r="B23" s="4" t="s">
        <v>19</v>
      </c>
      <c r="C23" s="4">
        <v>10</v>
      </c>
      <c r="D23" s="6" t="s">
        <v>20</v>
      </c>
      <c r="E23" s="3" t="s">
        <v>21</v>
      </c>
    </row>
    <row r="24" spans="1:5" x14ac:dyDescent="0.2">
      <c r="A24" s="1"/>
      <c r="B24" s="11"/>
      <c r="C24" s="11"/>
      <c r="D24" s="11"/>
    </row>
    <row r="25" spans="1:5" ht="19.5" x14ac:dyDescent="0.35">
      <c r="A25" s="1"/>
      <c r="B25" s="4" t="s">
        <v>22</v>
      </c>
      <c r="C25" s="4">
        <f>BWGM/1000</f>
        <v>0.01</v>
      </c>
      <c r="D25" s="6" t="s">
        <v>23</v>
      </c>
      <c r="E25" s="3" t="s">
        <v>24</v>
      </c>
    </row>
    <row r="26" spans="1:5" ht="15.75" x14ac:dyDescent="0.25">
      <c r="A26" s="1"/>
      <c r="C26" s="4"/>
      <c r="D26" s="6"/>
    </row>
    <row r="27" spans="1:5" ht="15.75" x14ac:dyDescent="0.25">
      <c r="A27" s="1"/>
      <c r="B27" s="4" t="s">
        <v>25</v>
      </c>
      <c r="C27" s="4">
        <v>15</v>
      </c>
      <c r="D27" s="6" t="s">
        <v>104</v>
      </c>
      <c r="E27" s="3" t="s">
        <v>26</v>
      </c>
    </row>
    <row r="28" spans="1:5" ht="15.75" x14ac:dyDescent="0.25">
      <c r="A28" s="1"/>
      <c r="C28" s="4"/>
      <c r="D28" s="6"/>
    </row>
    <row r="29" spans="1:5" ht="19.5" x14ac:dyDescent="0.35">
      <c r="A29" s="1"/>
      <c r="B29" s="4" t="s">
        <v>27</v>
      </c>
      <c r="C29" s="4">
        <v>1.4999999999999999E-2</v>
      </c>
      <c r="D29" s="3" t="s">
        <v>100</v>
      </c>
      <c r="E29" s="3" t="s">
        <v>105</v>
      </c>
    </row>
    <row r="30" spans="1:5" x14ac:dyDescent="0.2">
      <c r="A30" s="1"/>
      <c r="C30" s="4"/>
    </row>
    <row r="31" spans="1:5" ht="19.5" x14ac:dyDescent="0.35">
      <c r="A31" s="1"/>
      <c r="B31" s="4" t="s">
        <v>28</v>
      </c>
      <c r="C31" s="4">
        <v>0.25900000000000001</v>
      </c>
      <c r="D31" s="3" t="s">
        <v>15</v>
      </c>
      <c r="E31" s="3" t="s">
        <v>29</v>
      </c>
    </row>
    <row r="32" spans="1:5" x14ac:dyDescent="0.2">
      <c r="A32" s="1"/>
      <c r="C32" s="4"/>
    </row>
    <row r="33" spans="1:5" ht="16.5" x14ac:dyDescent="0.3">
      <c r="A33" s="1"/>
      <c r="B33" s="4" t="s">
        <v>30</v>
      </c>
      <c r="C33" s="4">
        <v>0.05</v>
      </c>
      <c r="D33" s="3" t="s">
        <v>15</v>
      </c>
      <c r="E33" s="3" t="s">
        <v>26</v>
      </c>
    </row>
    <row r="34" spans="1:5" x14ac:dyDescent="0.2">
      <c r="A34" s="1"/>
      <c r="C34" s="4"/>
    </row>
    <row r="35" spans="1:5" ht="19.5" x14ac:dyDescent="0.35">
      <c r="A35" s="1"/>
      <c r="B35" s="4" t="s">
        <v>31</v>
      </c>
      <c r="C35" s="4">
        <v>0.84</v>
      </c>
      <c r="D35" s="3" t="s">
        <v>15</v>
      </c>
      <c r="E35" s="3" t="s">
        <v>32</v>
      </c>
    </row>
    <row r="36" spans="1:5" x14ac:dyDescent="0.2">
      <c r="A36" s="1"/>
      <c r="C36" s="4"/>
    </row>
    <row r="37" spans="1:5" x14ac:dyDescent="0.2">
      <c r="A37" s="1"/>
    </row>
    <row r="38" spans="1:5" ht="15.75" x14ac:dyDescent="0.25">
      <c r="A38" s="1"/>
      <c r="B38" s="2" t="s">
        <v>33</v>
      </c>
    </row>
    <row r="39" spans="1:5" ht="15.75" x14ac:dyDescent="0.25">
      <c r="A39" s="1"/>
      <c r="B39" s="2"/>
    </row>
    <row r="40" spans="1:5" x14ac:dyDescent="0.2">
      <c r="A40" s="1"/>
      <c r="B40" s="4" t="s">
        <v>4</v>
      </c>
      <c r="C40" s="4" t="s">
        <v>5</v>
      </c>
      <c r="D40" s="4" t="s">
        <v>6</v>
      </c>
    </row>
    <row r="41" spans="1:5" ht="15.75" x14ac:dyDescent="0.25">
      <c r="A41" s="1"/>
      <c r="B41" s="12"/>
      <c r="C41" s="13"/>
      <c r="D41" s="14"/>
    </row>
    <row r="42" spans="1:5" ht="19.5" x14ac:dyDescent="0.35">
      <c r="A42" s="1"/>
      <c r="B42" s="8" t="s">
        <v>34</v>
      </c>
      <c r="C42" s="8">
        <v>5</v>
      </c>
      <c r="D42" s="3" t="s">
        <v>15</v>
      </c>
    </row>
    <row r="43" spans="1:5" x14ac:dyDescent="0.2">
      <c r="A43" s="1"/>
      <c r="B43" s="8"/>
      <c r="C43" s="8"/>
    </row>
    <row r="44" spans="1:5" ht="19.5" x14ac:dyDescent="0.35">
      <c r="A44" s="1"/>
      <c r="B44" s="4" t="s">
        <v>35</v>
      </c>
      <c r="C44" s="4">
        <v>1</v>
      </c>
      <c r="D44" s="3" t="s">
        <v>36</v>
      </c>
    </row>
    <row r="45" spans="1:5" x14ac:dyDescent="0.2">
      <c r="A45" s="1"/>
      <c r="C45" s="4"/>
    </row>
    <row r="46" spans="1:5" ht="19.5" x14ac:dyDescent="0.35">
      <c r="A46" s="1"/>
      <c r="B46" s="4" t="s">
        <v>37</v>
      </c>
      <c r="C46" s="4">
        <v>4.6E-6</v>
      </c>
      <c r="D46" s="3" t="s">
        <v>38</v>
      </c>
      <c r="E46" s="3" t="s">
        <v>106</v>
      </c>
    </row>
    <row r="47" spans="1:5" x14ac:dyDescent="0.2">
      <c r="A47" s="1"/>
      <c r="C47" s="4"/>
    </row>
    <row r="48" spans="1:5" ht="19.5" x14ac:dyDescent="0.35">
      <c r="A48" s="1"/>
      <c r="B48" s="4" t="s">
        <v>39</v>
      </c>
      <c r="C48" s="4">
        <v>9.9999999999999995E-7</v>
      </c>
      <c r="D48" s="3" t="s">
        <v>38</v>
      </c>
      <c r="E48" s="3" t="s">
        <v>106</v>
      </c>
    </row>
    <row r="49" spans="1:9" x14ac:dyDescent="0.2">
      <c r="A49" s="1"/>
      <c r="C49" s="4"/>
    </row>
    <row r="50" spans="1:9" ht="19.5" x14ac:dyDescent="0.35">
      <c r="A50" s="1"/>
      <c r="B50" s="4" t="s">
        <v>40</v>
      </c>
      <c r="C50" s="4">
        <v>0.35</v>
      </c>
      <c r="D50" s="3" t="s">
        <v>15</v>
      </c>
      <c r="E50" s="3" t="s">
        <v>41</v>
      </c>
    </row>
    <row r="51" spans="1:9" x14ac:dyDescent="0.2">
      <c r="A51" s="1"/>
      <c r="C51" s="4"/>
    </row>
    <row r="52" spans="1:9" ht="19.5" x14ac:dyDescent="0.35">
      <c r="A52" s="1"/>
      <c r="B52" s="4" t="s">
        <v>42</v>
      </c>
      <c r="C52" s="4">
        <v>0.08</v>
      </c>
      <c r="D52" s="3" t="s">
        <v>15</v>
      </c>
      <c r="E52" s="3" t="s">
        <v>107</v>
      </c>
    </row>
    <row r="53" spans="1:9" x14ac:dyDescent="0.2">
      <c r="A53" s="1"/>
      <c r="C53" s="4"/>
    </row>
    <row r="54" spans="1:9" ht="15.75" x14ac:dyDescent="0.25">
      <c r="A54" s="1"/>
      <c r="B54" s="2" t="s">
        <v>43</v>
      </c>
      <c r="F54" s="5" t="s">
        <v>44</v>
      </c>
    </row>
    <row r="55" spans="1:9" ht="15.75" x14ac:dyDescent="0.25">
      <c r="A55" s="1"/>
      <c r="B55" s="2"/>
      <c r="F55" s="5"/>
    </row>
    <row r="56" spans="1:9" x14ac:dyDescent="0.2">
      <c r="A56" s="1"/>
      <c r="B56" s="4" t="s">
        <v>4</v>
      </c>
      <c r="C56" s="4" t="s">
        <v>5</v>
      </c>
      <c r="D56" s="4" t="s">
        <v>6</v>
      </c>
    </row>
    <row r="57" spans="1:9" x14ac:dyDescent="0.2">
      <c r="A57" s="1"/>
      <c r="B57" s="7"/>
      <c r="C57" s="7"/>
      <c r="D57" s="7"/>
    </row>
    <row r="58" spans="1:9" ht="19.5" x14ac:dyDescent="0.35">
      <c r="A58" s="1"/>
      <c r="B58" s="4" t="s">
        <v>45</v>
      </c>
      <c r="C58" s="15">
        <f>10^LOGKOW</f>
        <v>100000</v>
      </c>
      <c r="D58" s="3" t="s">
        <v>15</v>
      </c>
      <c r="F58" s="16" t="s">
        <v>46</v>
      </c>
    </row>
    <row r="59" spans="1:9" x14ac:dyDescent="0.2">
      <c r="A59" s="1"/>
      <c r="C59" s="15"/>
      <c r="F59" s="16"/>
    </row>
    <row r="60" spans="1:9" ht="19.5" x14ac:dyDescent="0.35">
      <c r="A60" s="1"/>
      <c r="B60" s="4" t="s">
        <v>47</v>
      </c>
      <c r="C60" s="15">
        <f>(10^(0.73*LOGKOW)*0.16)+VWBL</f>
        <v>715.53374744154155</v>
      </c>
      <c r="D60" s="3" t="s">
        <v>15</v>
      </c>
      <c r="F60" s="16" t="s">
        <v>48</v>
      </c>
      <c r="I60" s="3" t="s">
        <v>49</v>
      </c>
    </row>
    <row r="61" spans="1:9" x14ac:dyDescent="0.2">
      <c r="A61" s="1"/>
      <c r="C61" s="15"/>
      <c r="F61" s="16"/>
    </row>
    <row r="62" spans="1:9" ht="19.5" x14ac:dyDescent="0.35">
      <c r="A62" s="1"/>
      <c r="B62" s="4" t="s">
        <v>50</v>
      </c>
      <c r="C62" s="15">
        <f>(VWBL/PBW)/(1/(CSNINE*10^(0.694*LOGKOW-2.158)+1))</f>
        <v>2.5253543060330685E-2</v>
      </c>
      <c r="D62" s="3" t="s">
        <v>15</v>
      </c>
      <c r="E62" s="5"/>
      <c r="F62" s="17" t="s">
        <v>99</v>
      </c>
      <c r="I62" s="3" t="s">
        <v>51</v>
      </c>
    </row>
    <row r="63" spans="1:9" ht="15.75" x14ac:dyDescent="0.25">
      <c r="A63" s="1"/>
      <c r="C63" s="15"/>
      <c r="E63" s="5"/>
      <c r="F63" s="17"/>
    </row>
    <row r="64" spans="1:9" ht="19.5" x14ac:dyDescent="0.35">
      <c r="A64" s="1"/>
      <c r="B64" s="4" t="s">
        <v>88</v>
      </c>
      <c r="C64" s="15">
        <v>1</v>
      </c>
      <c r="D64" s="3" t="s">
        <v>15</v>
      </c>
      <c r="E64" s="5"/>
      <c r="F64" s="17" t="s">
        <v>89</v>
      </c>
      <c r="I64" s="3" t="s">
        <v>90</v>
      </c>
    </row>
    <row r="65" spans="1:9" ht="15.75" x14ac:dyDescent="0.25">
      <c r="A65" s="1"/>
      <c r="C65" s="15"/>
      <c r="E65" s="5"/>
      <c r="F65" s="17"/>
    </row>
    <row r="66" spans="1:9" ht="19.5" x14ac:dyDescent="0.35">
      <c r="A66" s="1"/>
      <c r="B66" s="4" t="s">
        <v>108</v>
      </c>
      <c r="C66" s="15">
        <f>VLWB*KOW</f>
        <v>5000</v>
      </c>
      <c r="D66" s="3" t="s">
        <v>53</v>
      </c>
      <c r="E66" s="5"/>
      <c r="F66" s="17" t="s">
        <v>109</v>
      </c>
    </row>
    <row r="67" spans="1:9" x14ac:dyDescent="0.2">
      <c r="A67" s="1"/>
      <c r="F67" s="17"/>
    </row>
    <row r="68" spans="1:9" ht="19.5" x14ac:dyDescent="0.35">
      <c r="A68" s="1"/>
      <c r="B68" s="4" t="s">
        <v>52</v>
      </c>
      <c r="C68" s="18">
        <f>BCFP/PBW</f>
        <v>6.9877906078895258</v>
      </c>
      <c r="D68" s="3" t="s">
        <v>53</v>
      </c>
      <c r="F68" s="17" t="s">
        <v>110</v>
      </c>
    </row>
    <row r="69" spans="1:9" x14ac:dyDescent="0.2">
      <c r="A69" s="1"/>
      <c r="C69" s="18"/>
      <c r="F69" s="17"/>
    </row>
    <row r="70" spans="1:9" ht="19.5" x14ac:dyDescent="0.35">
      <c r="A70" s="1"/>
      <c r="B70" s="4" t="s">
        <v>54</v>
      </c>
      <c r="C70" s="18">
        <f>RATE/CSNINE</f>
        <v>0</v>
      </c>
      <c r="D70" s="3" t="s">
        <v>101</v>
      </c>
      <c r="F70" s="17" t="s">
        <v>98</v>
      </c>
    </row>
    <row r="71" spans="1:9" x14ac:dyDescent="0.2">
      <c r="A71" s="1"/>
      <c r="C71" s="18"/>
      <c r="F71" s="17"/>
    </row>
    <row r="72" spans="1:9" ht="19.5" x14ac:dyDescent="0.35">
      <c r="A72" s="1"/>
      <c r="B72" s="4" t="s">
        <v>55</v>
      </c>
      <c r="C72" s="19">
        <f>CLINVITROINT*LSNINE*LFBW*24</f>
        <v>0</v>
      </c>
      <c r="D72" s="3" t="s">
        <v>56</v>
      </c>
      <c r="F72" s="20" t="s">
        <v>92</v>
      </c>
    </row>
    <row r="73" spans="1:9" x14ac:dyDescent="0.2">
      <c r="A73" s="1"/>
      <c r="C73" s="19"/>
      <c r="F73" s="20"/>
    </row>
    <row r="74" spans="1:9" ht="19.5" x14ac:dyDescent="0.35">
      <c r="A74" s="1"/>
      <c r="B74" s="4" t="s">
        <v>87</v>
      </c>
      <c r="C74" s="19">
        <f>CLINVIVOINT*((BWGM/BWGSNINE)^0)</f>
        <v>0</v>
      </c>
      <c r="D74" s="3" t="s">
        <v>56</v>
      </c>
      <c r="F74" s="20" t="s">
        <v>114</v>
      </c>
      <c r="I74" s="3" t="s">
        <v>95</v>
      </c>
    </row>
    <row r="75" spans="1:9" x14ac:dyDescent="0.2">
      <c r="A75" s="1"/>
      <c r="C75" s="19"/>
      <c r="F75" s="20" t="s">
        <v>96</v>
      </c>
    </row>
    <row r="76" spans="1:9" x14ac:dyDescent="0.2">
      <c r="A76" s="1"/>
      <c r="C76" s="19"/>
      <c r="F76" s="20" t="s">
        <v>97</v>
      </c>
    </row>
    <row r="77" spans="1:9" x14ac:dyDescent="0.2">
      <c r="A77" s="1"/>
      <c r="C77" s="19"/>
      <c r="F77" s="20" t="s">
        <v>112</v>
      </c>
    </row>
    <row r="78" spans="1:9" ht="19.5" x14ac:dyDescent="0.35">
      <c r="A78" s="1"/>
      <c r="B78" s="4" t="s">
        <v>57</v>
      </c>
      <c r="C78" s="19">
        <f>(((0.23*T)-0.78)*(BWGM/500)^-0.1)*24</f>
        <v>94.758789355142355</v>
      </c>
      <c r="D78" s="3" t="s">
        <v>58</v>
      </c>
      <c r="F78" s="21" t="s">
        <v>59</v>
      </c>
      <c r="I78" s="3" t="s">
        <v>111</v>
      </c>
    </row>
    <row r="79" spans="1:9" x14ac:dyDescent="0.2">
      <c r="A79" s="1"/>
      <c r="C79" s="19"/>
    </row>
    <row r="80" spans="1:9" ht="19.5" x14ac:dyDescent="0.35">
      <c r="A80" s="1"/>
      <c r="B80" s="4" t="s">
        <v>60</v>
      </c>
      <c r="C80" s="19">
        <f>QC*QHFRAC</f>
        <v>24.54252644298187</v>
      </c>
      <c r="D80" s="3" t="s">
        <v>58</v>
      </c>
      <c r="F80" s="3" t="s">
        <v>61</v>
      </c>
      <c r="I80" s="3" t="s">
        <v>29</v>
      </c>
    </row>
    <row r="81" spans="1:9" x14ac:dyDescent="0.2">
      <c r="A81" s="1"/>
      <c r="C81" s="19"/>
    </row>
    <row r="82" spans="1:9" ht="19.5" x14ac:dyDescent="0.35">
      <c r="A82" s="1"/>
      <c r="B82" s="4" t="s">
        <v>62</v>
      </c>
      <c r="C82" s="19">
        <f>QH*FUONE*CLINVIVOINTTEN/(QH+(FUONE*CLINVIVOINTTEN))</f>
        <v>0</v>
      </c>
      <c r="D82" s="3" t="s">
        <v>58</v>
      </c>
      <c r="F82" s="3" t="s">
        <v>116</v>
      </c>
    </row>
    <row r="83" spans="1:9" x14ac:dyDescent="0.2">
      <c r="A83" s="1"/>
      <c r="C83" s="19"/>
      <c r="F83" s="3" t="s">
        <v>94</v>
      </c>
    </row>
    <row r="84" spans="1:9" x14ac:dyDescent="0.2">
      <c r="A84" s="1"/>
      <c r="C84" s="19"/>
      <c r="F84" s="3" t="s">
        <v>113</v>
      </c>
    </row>
    <row r="85" spans="1:9" ht="19.5" x14ac:dyDescent="0.35">
      <c r="A85" s="1"/>
      <c r="B85" s="4" t="s">
        <v>63</v>
      </c>
      <c r="C85" s="19">
        <f>CLH/VDBL</f>
        <v>0</v>
      </c>
      <c r="D85" s="3" t="s">
        <v>64</v>
      </c>
      <c r="F85" s="3" t="s">
        <v>65</v>
      </c>
    </row>
    <row r="86" spans="1:9" x14ac:dyDescent="0.2">
      <c r="A86" s="1"/>
    </row>
    <row r="87" spans="1:9" ht="19.5" x14ac:dyDescent="0.35">
      <c r="A87" s="1"/>
      <c r="B87" s="4" t="s">
        <v>66</v>
      </c>
      <c r="C87" s="4">
        <f>CWTOT*(1/(1+CDOC*ADOC*KOW+CPOC*APOC*KOW))</f>
        <v>0.93300988990483313</v>
      </c>
      <c r="D87" s="3" t="s">
        <v>36</v>
      </c>
      <c r="F87" s="3" t="s">
        <v>67</v>
      </c>
    </row>
    <row r="88" spans="1:9" x14ac:dyDescent="0.2">
      <c r="A88" s="1"/>
      <c r="C88" s="4"/>
    </row>
    <row r="89" spans="1:9" ht="19.5" x14ac:dyDescent="0.35">
      <c r="A89" s="1"/>
      <c r="B89" s="4" t="s">
        <v>68</v>
      </c>
      <c r="C89" s="4">
        <f>1/((0.01+1/KOW)*BWKGM^0.4)</f>
        <v>630.3270174627304</v>
      </c>
      <c r="D89" s="3" t="s">
        <v>69</v>
      </c>
      <c r="F89" s="3" t="s">
        <v>70</v>
      </c>
      <c r="I89" s="1"/>
    </row>
    <row r="90" spans="1:9" x14ac:dyDescent="0.2">
      <c r="C90" s="4"/>
    </row>
    <row r="91" spans="1:9" ht="19.5" x14ac:dyDescent="0.35">
      <c r="B91" s="4" t="s">
        <v>71</v>
      </c>
      <c r="C91" s="4">
        <f>KONE/(VLWB*KOW)</f>
        <v>0.12606540349254608</v>
      </c>
      <c r="D91" s="3" t="s">
        <v>76</v>
      </c>
      <c r="F91" s="3" t="s">
        <v>72</v>
      </c>
    </row>
    <row r="92" spans="1:9" x14ac:dyDescent="0.2">
      <c r="C92" s="4"/>
    </row>
    <row r="93" spans="1:9" ht="19.5" x14ac:dyDescent="0.35">
      <c r="B93" s="4" t="s">
        <v>73</v>
      </c>
      <c r="C93" s="4">
        <f>0.125*(0.02*BWKGM^-0.15*EXP(0.06*T))/(0.000000051*KOW+2)</f>
        <v>6.1188387081338481E-3</v>
      </c>
      <c r="D93" s="3" t="s">
        <v>76</v>
      </c>
      <c r="F93" s="3" t="s">
        <v>74</v>
      </c>
    </row>
    <row r="94" spans="1:9" x14ac:dyDescent="0.2">
      <c r="C94" s="4"/>
    </row>
    <row r="95" spans="1:9" ht="19.5" x14ac:dyDescent="0.35">
      <c r="B95" s="4" t="s">
        <v>75</v>
      </c>
      <c r="C95" s="4">
        <v>0</v>
      </c>
      <c r="D95" s="3" t="s">
        <v>76</v>
      </c>
      <c r="F95" s="3" t="s">
        <v>93</v>
      </c>
    </row>
    <row r="96" spans="1:9" x14ac:dyDescent="0.2">
      <c r="C96" s="4"/>
    </row>
    <row r="97" spans="2:6" ht="14.25" customHeight="1" x14ac:dyDescent="0.35">
      <c r="B97" s="4" t="s">
        <v>77</v>
      </c>
      <c r="C97" s="4">
        <f>(KONE*CWFD)/(KTWO+KMET+KG+KE)</f>
        <v>4449.1032469218098</v>
      </c>
      <c r="D97" s="3" t="s">
        <v>78</v>
      </c>
      <c r="F97" s="3" t="s">
        <v>79</v>
      </c>
    </row>
    <row r="98" spans="2:6" x14ac:dyDescent="0.2">
      <c r="C98" s="4"/>
    </row>
    <row r="99" spans="2:6" ht="19.5" x14ac:dyDescent="0.35">
      <c r="B99" s="4" t="s">
        <v>80</v>
      </c>
      <c r="C99" s="4">
        <f>CFISHSS/CWTOT</f>
        <v>4449.1032469218098</v>
      </c>
      <c r="D99" s="3" t="s">
        <v>81</v>
      </c>
      <c r="F99" s="3" t="s">
        <v>82</v>
      </c>
    </row>
    <row r="100" spans="2:6" x14ac:dyDescent="0.2">
      <c r="C100" s="4"/>
    </row>
    <row r="101" spans="2:6" ht="19.5" x14ac:dyDescent="0.35">
      <c r="B101" s="4" t="s">
        <v>83</v>
      </c>
      <c r="C101" s="4">
        <f>CFISHSS/(CWFD*VLWB)</f>
        <v>95370.977201015892</v>
      </c>
      <c r="D101" s="3" t="s">
        <v>84</v>
      </c>
      <c r="F101" s="3" t="s">
        <v>85</v>
      </c>
    </row>
  </sheetData>
  <pageMargins left="0.7" right="0.7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36</vt:i4>
      </vt:variant>
    </vt:vector>
  </HeadingPairs>
  <TitlesOfParts>
    <vt:vector size="37" baseType="lpstr">
      <vt:lpstr>Sheet1</vt:lpstr>
      <vt:lpstr>ADOC</vt:lpstr>
      <vt:lpstr>APOC</vt:lpstr>
      <vt:lpstr>BCFP</vt:lpstr>
      <vt:lpstr>BWGM</vt:lpstr>
      <vt:lpstr>BWGSNINE</vt:lpstr>
      <vt:lpstr>BWKGM</vt:lpstr>
      <vt:lpstr>CDOC</vt:lpstr>
      <vt:lpstr>CFISHSS</vt:lpstr>
      <vt:lpstr>CLH</vt:lpstr>
      <vt:lpstr>CLINVITROINT</vt:lpstr>
      <vt:lpstr>CLINVIVOINT</vt:lpstr>
      <vt:lpstr>CLINVIVOINTTEN</vt:lpstr>
      <vt:lpstr>CPOC</vt:lpstr>
      <vt:lpstr>CSNINE</vt:lpstr>
      <vt:lpstr>CWFD</vt:lpstr>
      <vt:lpstr>CWTOT</vt:lpstr>
      <vt:lpstr>FU</vt:lpstr>
      <vt:lpstr>FUONE</vt:lpstr>
      <vt:lpstr>KE</vt:lpstr>
      <vt:lpstr>KG</vt:lpstr>
      <vt:lpstr>KMET</vt:lpstr>
      <vt:lpstr>KONE</vt:lpstr>
      <vt:lpstr>KOW</vt:lpstr>
      <vt:lpstr>KTWO</vt:lpstr>
      <vt:lpstr>LFBW</vt:lpstr>
      <vt:lpstr>LOGKOW</vt:lpstr>
      <vt:lpstr>LSNINE</vt:lpstr>
      <vt:lpstr>PBW</vt:lpstr>
      <vt:lpstr>QC</vt:lpstr>
      <vt:lpstr>QH</vt:lpstr>
      <vt:lpstr>QHFRAC</vt:lpstr>
      <vt:lpstr>RATE</vt:lpstr>
      <vt:lpstr>T</vt:lpstr>
      <vt:lpstr>VDBL</vt:lpstr>
      <vt:lpstr>VLWB</vt:lpstr>
      <vt:lpstr>VWBL</vt:lpstr>
    </vt:vector>
  </TitlesOfParts>
  <Company>US-EPA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Nichols, John</dc:creator>
  <cp:lastModifiedBy>Nichols, John</cp:lastModifiedBy>
  <cp:lastPrinted>2013-06-28T19:46:45Z</cp:lastPrinted>
  <dcterms:created xsi:type="dcterms:W3CDTF">2012-06-15T16:23:58Z</dcterms:created>
  <dcterms:modified xsi:type="dcterms:W3CDTF">2018-01-18T15:28:46Z</dcterms:modified>
</cp:coreProperties>
</file>