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oecd-my.sharepoint.com/personal/adrian_zerbe_oecd_org/Documents/SDOM 2022/DCP Updates/Questionnaires/Sent via SDOM/"/>
    </mc:Choice>
  </mc:AlternateContent>
  <xr:revisionPtr revIDLastSave="2" documentId="13_ncr:1_{F6831880-B555-4B92-90A9-45174268316B}" xr6:coauthVersionLast="47" xr6:coauthVersionMax="47" xr10:uidLastSave="{28D5CC33-29B6-44E1-A89B-75D8EF53CC12}"/>
  <bookViews>
    <workbookView xWindow="-28920" yWindow="-120" windowWidth="29040" windowHeight="15990" tabRatio="920" xr2:uid="{00000000-000D-0000-FFFF-FFFF00000000}"/>
  </bookViews>
  <sheets>
    <sheet name="Cover" sheetId="27" r:id="rId1"/>
    <sheet name="Contact_Info" sheetId="28" r:id="rId2"/>
    <sheet name="Definitions" sheetId="32" r:id="rId3"/>
    <sheet name="Data_source_Info" sheetId="29" r:id="rId4"/>
    <sheet name="NEAC_to_ISCED_2011" sheetId="34" r:id="rId5"/>
    <sheet name="Flat_file" sheetId="35" r:id="rId6"/>
    <sheet name="Summary_Employed" sheetId="23" r:id="rId7"/>
    <sheet name="Summary_Unemployed" sheetId="24" r:id="rId8"/>
    <sheet name="Summary_Inactive" sheetId="25" r:id="rId9"/>
    <sheet name="Summary_Population" sheetId="19" r:id="rId10"/>
    <sheet name="Summary_Indicators" sheetId="44" r:id="rId11"/>
  </sheets>
  <definedNames>
    <definedName name="_xlnm._FilterDatabase" localSheetId="5" hidden="1">Flat_file!$A$1:$I$1</definedName>
    <definedName name="_xlnm.Print_Area" localSheetId="0">Cover!$B$1:$O$35</definedName>
    <definedName name="_xlnm.Print_Area" localSheetId="3">Data_source_Info!$A$3:$C$33</definedName>
    <definedName name="_xlnm.Print_Area" localSheetId="2">Definitions!$B$1:$E$29</definedName>
    <definedName name="_xlnm.Print_Area" localSheetId="5">Flat_file!$A$1:$I$1</definedName>
    <definedName name="_xlnm.Print_Area" localSheetId="4">NEAC_to_ISCED_2011!$A$1:$I$18</definedName>
    <definedName name="_xlnm.Print_Area" localSheetId="6">Summary_Employed!$A$1:$AB$44</definedName>
    <definedName name="_xlnm.Print_Area" localSheetId="8">Summary_Inactive!$A$1:$AB$44</definedName>
    <definedName name="_xlnm.Print_Area" localSheetId="10">Summary_Indicators!$A$5:$M$60</definedName>
    <definedName name="_xlnm.Print_Area" localSheetId="9">Summary_Population!$A$1:$AB$44</definedName>
    <definedName name="_xlnm.Print_Area" localSheetId="7">Summary_Unemployed!$A$1:$AB$44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44" l="1"/>
  <c r="B2" i="23"/>
  <c r="C6" i="23"/>
  <c r="D6" i="23"/>
  <c r="E6" i="23"/>
  <c r="F6" i="23"/>
  <c r="G6" i="23"/>
  <c r="S6" i="23"/>
  <c r="C54" i="44"/>
  <c r="D54" i="44"/>
  <c r="E54" i="44"/>
  <c r="F54" i="44"/>
  <c r="G54" i="44"/>
  <c r="H54" i="44"/>
  <c r="I54" i="44"/>
  <c r="J54" i="44"/>
  <c r="C42" i="44"/>
  <c r="D42" i="44"/>
  <c r="E42" i="44"/>
  <c r="F42" i="44"/>
  <c r="G42" i="44"/>
  <c r="H42" i="44"/>
  <c r="I42" i="44"/>
  <c r="J42" i="44"/>
  <c r="K42" i="44"/>
  <c r="L42" i="44"/>
  <c r="M42" i="44"/>
  <c r="N42" i="44"/>
  <c r="C31" i="44"/>
  <c r="D31" i="44"/>
  <c r="E31" i="44"/>
  <c r="F31" i="44"/>
  <c r="G31" i="44"/>
  <c r="H31" i="44"/>
  <c r="I31" i="44"/>
  <c r="J31" i="44"/>
  <c r="K31" i="44"/>
  <c r="L31" i="44"/>
  <c r="M31" i="44"/>
  <c r="N31" i="44"/>
  <c r="C9" i="44"/>
  <c r="D9" i="44"/>
  <c r="E9" i="44"/>
  <c r="F9" i="44"/>
  <c r="G9" i="44"/>
  <c r="H9" i="44"/>
  <c r="I9" i="44"/>
  <c r="J9" i="44"/>
  <c r="K9" i="44"/>
  <c r="L9" i="44"/>
  <c r="M9" i="44"/>
  <c r="N9" i="44"/>
  <c r="B2" i="19"/>
  <c r="B2" i="25"/>
  <c r="B2" i="24"/>
  <c r="P65" i="19"/>
  <c r="R65" i="19"/>
  <c r="V65" i="19"/>
  <c r="Y65" i="19"/>
  <c r="P64" i="19"/>
  <c r="R64" i="19"/>
  <c r="V64" i="19"/>
  <c r="Y64" i="19"/>
  <c r="P63" i="19"/>
  <c r="R63" i="19"/>
  <c r="V63" i="19"/>
  <c r="Y63" i="19"/>
  <c r="P58" i="19"/>
  <c r="R58" i="19"/>
  <c r="V58" i="19"/>
  <c r="Y58" i="19"/>
  <c r="P57" i="19"/>
  <c r="R57" i="19"/>
  <c r="V57" i="19"/>
  <c r="Y57" i="19"/>
  <c r="P56" i="19"/>
  <c r="R56" i="19"/>
  <c r="V56" i="19"/>
  <c r="Y56" i="19"/>
  <c r="P51" i="19"/>
  <c r="R51" i="19"/>
  <c r="V51" i="19"/>
  <c r="Y51" i="19"/>
  <c r="P50" i="19"/>
  <c r="R50" i="19"/>
  <c r="V50" i="19"/>
  <c r="Y50" i="19"/>
  <c r="P49" i="19"/>
  <c r="R49" i="19"/>
  <c r="V49" i="19"/>
  <c r="Y49" i="19"/>
  <c r="P65" i="25"/>
  <c r="R65" i="25"/>
  <c r="V65" i="25"/>
  <c r="Y65" i="25"/>
  <c r="P64" i="25"/>
  <c r="R64" i="25"/>
  <c r="V64" i="25"/>
  <c r="Y64" i="25"/>
  <c r="P63" i="25"/>
  <c r="R63" i="25"/>
  <c r="V63" i="25"/>
  <c r="Y63" i="25"/>
  <c r="P58" i="25"/>
  <c r="R58" i="25"/>
  <c r="V58" i="25"/>
  <c r="Y58" i="25"/>
  <c r="P57" i="25"/>
  <c r="R57" i="25"/>
  <c r="V57" i="25"/>
  <c r="Y57" i="25"/>
  <c r="P56" i="25"/>
  <c r="R56" i="25"/>
  <c r="V56" i="25"/>
  <c r="Y56" i="25"/>
  <c r="P49" i="25"/>
  <c r="R49" i="25"/>
  <c r="V49" i="25"/>
  <c r="Y49" i="25"/>
  <c r="V51" i="25"/>
  <c r="Y51" i="25"/>
  <c r="Y50" i="25"/>
  <c r="Y109" i="25"/>
  <c r="V109" i="25"/>
  <c r="R109" i="25"/>
  <c r="P109" i="25"/>
  <c r="Y108" i="25"/>
  <c r="V108" i="25"/>
  <c r="R108" i="25"/>
  <c r="P108" i="25"/>
  <c r="Y107" i="25"/>
  <c r="V107" i="25"/>
  <c r="R107" i="25"/>
  <c r="P107" i="25"/>
  <c r="Y44" i="25"/>
  <c r="V44" i="25"/>
  <c r="R44" i="25"/>
  <c r="R51" i="25"/>
  <c r="P44" i="25"/>
  <c r="P51" i="25"/>
  <c r="Y43" i="25"/>
  <c r="V43" i="25"/>
  <c r="R43" i="25"/>
  <c r="P43" i="25"/>
  <c r="Y42" i="25"/>
  <c r="V42" i="25"/>
  <c r="V50" i="25"/>
  <c r="R42" i="25"/>
  <c r="R50" i="25"/>
  <c r="P42" i="25"/>
  <c r="P50" i="25"/>
  <c r="P64" i="24"/>
  <c r="R64" i="24"/>
  <c r="V64" i="24"/>
  <c r="Y64" i="24"/>
  <c r="P63" i="24"/>
  <c r="R63" i="24"/>
  <c r="V63" i="24"/>
  <c r="Y63" i="24"/>
  <c r="P65" i="24"/>
  <c r="R65" i="24"/>
  <c r="V65" i="24"/>
  <c r="Y65" i="24"/>
  <c r="I57" i="24"/>
  <c r="P57" i="24"/>
  <c r="R57" i="24"/>
  <c r="V57" i="24"/>
  <c r="Y57" i="24"/>
  <c r="P56" i="24"/>
  <c r="R56" i="24"/>
  <c r="V56" i="24"/>
  <c r="Y56" i="24"/>
  <c r="I58" i="24"/>
  <c r="P58" i="24"/>
  <c r="R58" i="24"/>
  <c r="V58" i="24"/>
  <c r="Y58" i="24"/>
  <c r="P50" i="24"/>
  <c r="P49" i="24"/>
  <c r="R49" i="24"/>
  <c r="V49" i="24"/>
  <c r="Y49" i="24"/>
  <c r="P51" i="24"/>
  <c r="R51" i="24"/>
  <c r="Y109" i="24"/>
  <c r="V109" i="24"/>
  <c r="R109" i="24"/>
  <c r="P109" i="24"/>
  <c r="Y108" i="24"/>
  <c r="V108" i="24"/>
  <c r="R108" i="24"/>
  <c r="P108" i="24"/>
  <c r="Y107" i="24"/>
  <c r="V107" i="24"/>
  <c r="R107" i="24"/>
  <c r="P107" i="24"/>
  <c r="Y44" i="24"/>
  <c r="Y51" i="24"/>
  <c r="V44" i="24"/>
  <c r="V51" i="24"/>
  <c r="R44" i="24"/>
  <c r="P44" i="24"/>
  <c r="Y43" i="24"/>
  <c r="V43" i="24"/>
  <c r="R43" i="24"/>
  <c r="R50" i="24"/>
  <c r="P43" i="24"/>
  <c r="Y42" i="24"/>
  <c r="Y50" i="24"/>
  <c r="V42" i="24"/>
  <c r="V50" i="24"/>
  <c r="R42" i="24"/>
  <c r="P42" i="24"/>
  <c r="Y109" i="23"/>
  <c r="V109" i="23"/>
  <c r="R109" i="23"/>
  <c r="Y108" i="23"/>
  <c r="V108" i="23"/>
  <c r="R108" i="23"/>
  <c r="Y107" i="23"/>
  <c r="V107" i="23"/>
  <c r="R107" i="23"/>
  <c r="Y44" i="23"/>
  <c r="Y51" i="23"/>
  <c r="Y43" i="23"/>
  <c r="Y50" i="23"/>
  <c r="Y42" i="23"/>
  <c r="P65" i="23"/>
  <c r="R65" i="23"/>
  <c r="V65" i="23"/>
  <c r="Y65" i="23"/>
  <c r="P64" i="23"/>
  <c r="R64" i="23"/>
  <c r="V64" i="23"/>
  <c r="Y64" i="23"/>
  <c r="P63" i="23"/>
  <c r="R63" i="23"/>
  <c r="V63" i="23"/>
  <c r="Y63" i="23"/>
  <c r="P58" i="23"/>
  <c r="R58" i="23"/>
  <c r="V58" i="23"/>
  <c r="Y58" i="23"/>
  <c r="P57" i="23"/>
  <c r="R57" i="23"/>
  <c r="V57" i="23"/>
  <c r="Y57" i="23"/>
  <c r="P56" i="23"/>
  <c r="R56" i="23"/>
  <c r="V56" i="23"/>
  <c r="Y56" i="23"/>
  <c r="P51" i="23"/>
  <c r="R51" i="23"/>
  <c r="V51" i="23"/>
  <c r="P50" i="23"/>
  <c r="R50" i="23"/>
  <c r="V50" i="23"/>
  <c r="P49" i="23"/>
  <c r="R49" i="23"/>
  <c r="V49" i="23"/>
  <c r="Y49" i="23"/>
  <c r="Y62" i="19"/>
  <c r="V62" i="19"/>
  <c r="R62" i="19"/>
  <c r="P62" i="19"/>
  <c r="Y61" i="19"/>
  <c r="V61" i="19"/>
  <c r="R61" i="19"/>
  <c r="P61" i="19"/>
  <c r="Y60" i="19"/>
  <c r="V60" i="19"/>
  <c r="R60" i="19"/>
  <c r="P60" i="19"/>
  <c r="Y59" i="19"/>
  <c r="V59" i="19"/>
  <c r="R59" i="19"/>
  <c r="P59" i="19"/>
  <c r="Y55" i="19"/>
  <c r="V55" i="19"/>
  <c r="R55" i="19"/>
  <c r="P55" i="19"/>
  <c r="Y54" i="19"/>
  <c r="V54" i="19"/>
  <c r="R54" i="19"/>
  <c r="P54" i="19"/>
  <c r="Y53" i="19"/>
  <c r="V53" i="19"/>
  <c r="R53" i="19"/>
  <c r="P53" i="19"/>
  <c r="Y52" i="19"/>
  <c r="V52" i="19"/>
  <c r="R52" i="19"/>
  <c r="P52" i="19"/>
  <c r="Y48" i="19"/>
  <c r="V48" i="19"/>
  <c r="R48" i="19"/>
  <c r="P48" i="19"/>
  <c r="Y47" i="19"/>
  <c r="V47" i="19"/>
  <c r="R47" i="19"/>
  <c r="P47" i="19"/>
  <c r="Y46" i="19"/>
  <c r="V46" i="19"/>
  <c r="R46" i="19"/>
  <c r="P46" i="19"/>
  <c r="Y45" i="19"/>
  <c r="V45" i="19"/>
  <c r="R45" i="19"/>
  <c r="P45" i="19"/>
  <c r="Y62" i="25"/>
  <c r="V62" i="25"/>
  <c r="R62" i="25"/>
  <c r="P62" i="25"/>
  <c r="Y61" i="25"/>
  <c r="V61" i="25"/>
  <c r="R61" i="25"/>
  <c r="P61" i="25"/>
  <c r="Y60" i="25"/>
  <c r="V60" i="25"/>
  <c r="R60" i="25"/>
  <c r="P60" i="25"/>
  <c r="Y59" i="25"/>
  <c r="V59" i="25"/>
  <c r="R59" i="25"/>
  <c r="P59" i="25"/>
  <c r="Y55" i="25"/>
  <c r="V55" i="25"/>
  <c r="R55" i="25"/>
  <c r="P55" i="25"/>
  <c r="Y54" i="25"/>
  <c r="V54" i="25"/>
  <c r="R54" i="25"/>
  <c r="P54" i="25"/>
  <c r="Y53" i="25"/>
  <c r="V53" i="25"/>
  <c r="R53" i="25"/>
  <c r="P53" i="25"/>
  <c r="Y52" i="25"/>
  <c r="V52" i="25"/>
  <c r="R52" i="25"/>
  <c r="P52" i="25"/>
  <c r="Y48" i="25"/>
  <c r="V48" i="25"/>
  <c r="R48" i="25"/>
  <c r="P48" i="25"/>
  <c r="Y47" i="25"/>
  <c r="V47" i="25"/>
  <c r="R47" i="25"/>
  <c r="P47" i="25"/>
  <c r="Y46" i="25"/>
  <c r="V46" i="25"/>
  <c r="R46" i="25"/>
  <c r="P46" i="25"/>
  <c r="Y45" i="25"/>
  <c r="V45" i="25"/>
  <c r="R45" i="25"/>
  <c r="P45" i="25"/>
  <c r="Y62" i="24"/>
  <c r="V62" i="24"/>
  <c r="R62" i="24"/>
  <c r="P62" i="24"/>
  <c r="Y61" i="24"/>
  <c r="V61" i="24"/>
  <c r="R61" i="24"/>
  <c r="P61" i="24"/>
  <c r="Y60" i="24"/>
  <c r="V60" i="24"/>
  <c r="R60" i="24"/>
  <c r="P60" i="24"/>
  <c r="Y59" i="24"/>
  <c r="V59" i="24"/>
  <c r="R59" i="24"/>
  <c r="P59" i="24"/>
  <c r="Y55" i="24"/>
  <c r="V55" i="24"/>
  <c r="R55" i="24"/>
  <c r="P55" i="24"/>
  <c r="Y54" i="24"/>
  <c r="V54" i="24"/>
  <c r="R54" i="24"/>
  <c r="P54" i="24"/>
  <c r="Y53" i="24"/>
  <c r="V53" i="24"/>
  <c r="R53" i="24"/>
  <c r="P53" i="24"/>
  <c r="Y52" i="24"/>
  <c r="V52" i="24"/>
  <c r="R52" i="24"/>
  <c r="P52" i="24"/>
  <c r="Y48" i="24"/>
  <c r="V48" i="24"/>
  <c r="R48" i="24"/>
  <c r="P48" i="24"/>
  <c r="Y47" i="24"/>
  <c r="V47" i="24"/>
  <c r="R47" i="24"/>
  <c r="P47" i="24"/>
  <c r="Y46" i="24"/>
  <c r="V46" i="24"/>
  <c r="R46" i="24"/>
  <c r="P46" i="24"/>
  <c r="Y45" i="24"/>
  <c r="V45" i="24"/>
  <c r="R45" i="24"/>
  <c r="P45" i="24"/>
  <c r="Q70" i="24"/>
  <c r="S70" i="24"/>
  <c r="T70" i="24"/>
  <c r="U70" i="24"/>
  <c r="P61" i="23"/>
  <c r="R61" i="23"/>
  <c r="V61" i="23"/>
  <c r="Y61" i="23"/>
  <c r="P62" i="23"/>
  <c r="R62" i="23"/>
  <c r="V62" i="23"/>
  <c r="Y62" i="23"/>
  <c r="P54" i="23"/>
  <c r="R54" i="23"/>
  <c r="V54" i="23"/>
  <c r="Y54" i="23"/>
  <c r="P55" i="23"/>
  <c r="R55" i="23"/>
  <c r="V55" i="23"/>
  <c r="Y55" i="23"/>
  <c r="P47" i="23"/>
  <c r="R47" i="23"/>
  <c r="V47" i="23"/>
  <c r="Y47" i="23"/>
  <c r="P48" i="23"/>
  <c r="R48" i="23"/>
  <c r="V48" i="23"/>
  <c r="Y48" i="23"/>
  <c r="Y60" i="23"/>
  <c r="V60" i="23"/>
  <c r="R60" i="23"/>
  <c r="P60" i="23"/>
  <c r="Y59" i="23"/>
  <c r="V59" i="23"/>
  <c r="R59" i="23"/>
  <c r="P59" i="23"/>
  <c r="Y53" i="23"/>
  <c r="V53" i="23"/>
  <c r="R53" i="23"/>
  <c r="P53" i="23"/>
  <c r="Y52" i="23"/>
  <c r="V52" i="23"/>
  <c r="R52" i="23"/>
  <c r="P52" i="23"/>
  <c r="Y46" i="23"/>
  <c r="V46" i="23"/>
  <c r="R46" i="23"/>
  <c r="P46" i="23"/>
  <c r="Y45" i="23"/>
  <c r="V45" i="23"/>
  <c r="R45" i="23"/>
  <c r="P45" i="23"/>
  <c r="F22" i="29"/>
  <c r="E22" i="29"/>
  <c r="F21" i="29"/>
  <c r="E21" i="29"/>
  <c r="F20" i="29"/>
  <c r="E20" i="29"/>
  <c r="F19" i="29"/>
  <c r="E19" i="29"/>
  <c r="F18" i="29"/>
  <c r="E18" i="29"/>
  <c r="F17" i="29"/>
  <c r="E17" i="29"/>
  <c r="F16" i="29"/>
  <c r="E16" i="29"/>
  <c r="F15" i="29"/>
  <c r="E15" i="29"/>
  <c r="F14" i="29"/>
  <c r="E14" i="29"/>
  <c r="F13" i="29"/>
  <c r="E13" i="29"/>
  <c r="F12" i="29"/>
  <c r="E12" i="29"/>
  <c r="F11" i="29"/>
  <c r="E11" i="29"/>
  <c r="F10" i="29"/>
  <c r="E10" i="29"/>
  <c r="F9" i="29"/>
  <c r="E9" i="29"/>
  <c r="F8" i="29"/>
  <c r="E8" i="29"/>
  <c r="F7" i="29"/>
  <c r="E7" i="29"/>
  <c r="F6" i="29"/>
  <c r="E6" i="29"/>
  <c r="F5" i="29"/>
  <c r="E5" i="29"/>
  <c r="F4" i="29"/>
  <c r="E4" i="29"/>
  <c r="H22" i="29"/>
  <c r="H21" i="29"/>
  <c r="H20" i="29"/>
  <c r="H19" i="29"/>
  <c r="H18" i="29"/>
  <c r="H17" i="29"/>
  <c r="H16" i="29"/>
  <c r="H15" i="29"/>
  <c r="H14" i="29"/>
  <c r="H13" i="29"/>
  <c r="H12" i="29"/>
  <c r="H11" i="29"/>
  <c r="H10" i="29"/>
  <c r="H9" i="29"/>
  <c r="H8" i="29"/>
  <c r="H7" i="29"/>
  <c r="H6" i="29"/>
  <c r="H5" i="29"/>
  <c r="H4" i="29"/>
  <c r="Z6" i="23"/>
  <c r="H92" i="23"/>
  <c r="F86" i="23"/>
  <c r="C80" i="23"/>
  <c r="G73" i="23"/>
  <c r="E89" i="23"/>
  <c r="F76" i="23"/>
  <c r="F91" i="23"/>
  <c r="G78" i="23"/>
  <c r="E94" i="23"/>
  <c r="H87" i="23"/>
  <c r="F81" i="23"/>
  <c r="C75" i="23"/>
  <c r="E93" i="23"/>
  <c r="E81" i="23"/>
  <c r="G90" i="23"/>
  <c r="H77" i="23"/>
  <c r="X96" i="24"/>
  <c r="L96" i="24"/>
  <c r="H96" i="24"/>
  <c r="D96" i="24"/>
  <c r="Z83" i="24"/>
  <c r="M83" i="24"/>
  <c r="I83" i="24"/>
  <c r="E83" i="24"/>
  <c r="AA95" i="24"/>
  <c r="N95" i="24"/>
  <c r="J95" i="24"/>
  <c r="F95" i="24"/>
  <c r="AB82" i="24"/>
  <c r="W82" i="24"/>
  <c r="K82" i="24"/>
  <c r="G82" i="24"/>
  <c r="C82" i="24"/>
  <c r="X94" i="24"/>
  <c r="L94" i="24"/>
  <c r="H94" i="24"/>
  <c r="D94" i="24"/>
  <c r="Z81" i="24"/>
  <c r="M81" i="24"/>
  <c r="I81" i="24"/>
  <c r="E81" i="24"/>
  <c r="AA31" i="24"/>
  <c r="AA65" i="24"/>
  <c r="N31" i="24"/>
  <c r="N65" i="24"/>
  <c r="J31" i="24"/>
  <c r="F31" i="24"/>
  <c r="F65" i="24"/>
  <c r="AB30" i="24"/>
  <c r="W30" i="24"/>
  <c r="K30" i="24"/>
  <c r="G30" i="24"/>
  <c r="C30" i="24"/>
  <c r="X29" i="24"/>
  <c r="L29" i="24"/>
  <c r="H29" i="24"/>
  <c r="D29" i="24"/>
  <c r="Z18" i="24"/>
  <c r="M18" i="24"/>
  <c r="H18" i="24"/>
  <c r="D18" i="24"/>
  <c r="Z17" i="24"/>
  <c r="M17" i="24"/>
  <c r="H17" i="24"/>
  <c r="D17" i="24"/>
  <c r="Z16" i="24"/>
  <c r="M16" i="24"/>
  <c r="H16" i="24"/>
  <c r="D16" i="24"/>
  <c r="AB96" i="24"/>
  <c r="W96" i="24"/>
  <c r="K96" i="24"/>
  <c r="G96" i="24"/>
  <c r="C96" i="24"/>
  <c r="X83" i="24"/>
  <c r="X109" i="24"/>
  <c r="L83" i="24"/>
  <c r="H83" i="24"/>
  <c r="D83" i="24"/>
  <c r="Z95" i="24"/>
  <c r="M95" i="24"/>
  <c r="I95" i="24"/>
  <c r="E95" i="24"/>
  <c r="AA82" i="24"/>
  <c r="AA108" i="24"/>
  <c r="N82" i="24"/>
  <c r="J82" i="24"/>
  <c r="F82" i="24"/>
  <c r="AB94" i="24"/>
  <c r="W94" i="24"/>
  <c r="K94" i="24"/>
  <c r="G94" i="24"/>
  <c r="C94" i="24"/>
  <c r="X81" i="24"/>
  <c r="L81" i="24"/>
  <c r="H81" i="24"/>
  <c r="D81" i="24"/>
  <c r="D107" i="24"/>
  <c r="Z31" i="24"/>
  <c r="Z65" i="24"/>
  <c r="M31" i="24"/>
  <c r="M65" i="24"/>
  <c r="I31" i="24"/>
  <c r="E31" i="24"/>
  <c r="E65" i="24"/>
  <c r="AA30" i="24"/>
  <c r="N30" i="24"/>
  <c r="J30" i="24"/>
  <c r="F30" i="24"/>
  <c r="AB29" i="24"/>
  <c r="W29" i="24"/>
  <c r="K29" i="24"/>
  <c r="G29" i="24"/>
  <c r="G64" i="24"/>
  <c r="C29" i="24"/>
  <c r="X18" i="24"/>
  <c r="L18" i="24"/>
  <c r="G18" i="24"/>
  <c r="C18" i="24"/>
  <c r="X17" i="24"/>
  <c r="L17" i="24"/>
  <c r="G17" i="24"/>
  <c r="G43" i="24"/>
  <c r="C17" i="24"/>
  <c r="X16" i="24"/>
  <c r="L16" i="24"/>
  <c r="G16" i="24"/>
  <c r="C16" i="24"/>
  <c r="AA96" i="24"/>
  <c r="N96" i="24"/>
  <c r="J96" i="24"/>
  <c r="F96" i="24"/>
  <c r="AB83" i="24"/>
  <c r="W83" i="24"/>
  <c r="K83" i="24"/>
  <c r="G83" i="24"/>
  <c r="C83" i="24"/>
  <c r="X95" i="24"/>
  <c r="L95" i="24"/>
  <c r="H95" i="24"/>
  <c r="D95" i="24"/>
  <c r="Z82" i="24"/>
  <c r="M82" i="24"/>
  <c r="I82" i="24"/>
  <c r="E82" i="24"/>
  <c r="AA94" i="24"/>
  <c r="N94" i="24"/>
  <c r="J94" i="24"/>
  <c r="F94" i="24"/>
  <c r="AB81" i="24"/>
  <c r="W81" i="24"/>
  <c r="K81" i="24"/>
  <c r="G81" i="24"/>
  <c r="C81" i="24"/>
  <c r="X31" i="24"/>
  <c r="X65" i="24"/>
  <c r="L31" i="24"/>
  <c r="L65" i="24"/>
  <c r="H31" i="24"/>
  <c r="D31" i="24"/>
  <c r="D65" i="24"/>
  <c r="Z30" i="24"/>
  <c r="M30" i="24"/>
  <c r="I30" i="24"/>
  <c r="I43" i="24"/>
  <c r="M96" i="24"/>
  <c r="N83" i="24"/>
  <c r="W95" i="24"/>
  <c r="X82" i="24"/>
  <c r="Z94" i="24"/>
  <c r="AA81" i="24"/>
  <c r="AB31" i="24"/>
  <c r="AB65" i="24"/>
  <c r="C31" i="24"/>
  <c r="E30" i="24"/>
  <c r="N29" i="24"/>
  <c r="F29" i="24"/>
  <c r="W18" i="24"/>
  <c r="F18" i="24"/>
  <c r="W17" i="24"/>
  <c r="F17" i="24"/>
  <c r="W16" i="24"/>
  <c r="F16" i="24"/>
  <c r="I96" i="24"/>
  <c r="J83" i="24"/>
  <c r="K95" i="24"/>
  <c r="L82" i="24"/>
  <c r="M94" i="24"/>
  <c r="N81" i="24"/>
  <c r="W31" i="24"/>
  <c r="W65" i="24"/>
  <c r="X30" i="24"/>
  <c r="D30" i="24"/>
  <c r="M29" i="24"/>
  <c r="M64" i="24"/>
  <c r="E29" i="24"/>
  <c r="N18" i="24"/>
  <c r="E18" i="24"/>
  <c r="N17" i="24"/>
  <c r="E17" i="24"/>
  <c r="N16" i="24"/>
  <c r="E16" i="24"/>
  <c r="E96" i="24"/>
  <c r="F83" i="24"/>
  <c r="G95" i="24"/>
  <c r="H82" i="24"/>
  <c r="I94" i="24"/>
  <c r="J81" i="24"/>
  <c r="K31" i="24"/>
  <c r="K65" i="24"/>
  <c r="L30" i="24"/>
  <c r="AA29" i="24"/>
  <c r="AA64" i="24"/>
  <c r="J29" i="24"/>
  <c r="AB18" i="24"/>
  <c r="K18" i="24"/>
  <c r="AB17" i="24"/>
  <c r="K17" i="24"/>
  <c r="AB16" i="24"/>
  <c r="K16" i="24"/>
  <c r="Z96" i="24"/>
  <c r="D82" i="24"/>
  <c r="D108" i="24"/>
  <c r="H30" i="24"/>
  <c r="J18" i="24"/>
  <c r="J16" i="24"/>
  <c r="F81" i="24"/>
  <c r="G31" i="24"/>
  <c r="G65" i="24"/>
  <c r="AA83" i="24"/>
  <c r="E94" i="24"/>
  <c r="Z29" i="24"/>
  <c r="AA17" i="24"/>
  <c r="AB95" i="24"/>
  <c r="I29" i="24"/>
  <c r="J17" i="24"/>
  <c r="C95" i="24"/>
  <c r="AA18" i="24"/>
  <c r="AA16" i="24"/>
  <c r="AA96" i="23"/>
  <c r="N96" i="23"/>
  <c r="J96" i="23"/>
  <c r="AB95" i="23"/>
  <c r="W95" i="23"/>
  <c r="K95" i="23"/>
  <c r="Z96" i="23"/>
  <c r="M96" i="23"/>
  <c r="I96" i="23"/>
  <c r="AA95" i="23"/>
  <c r="N95" i="23"/>
  <c r="J95" i="23"/>
  <c r="X96" i="23"/>
  <c r="Z95" i="23"/>
  <c r="I95" i="23"/>
  <c r="AB94" i="23"/>
  <c r="W94" i="23"/>
  <c r="K94" i="23"/>
  <c r="X83" i="23"/>
  <c r="L83" i="23"/>
  <c r="D83" i="23"/>
  <c r="Z82" i="23"/>
  <c r="M82" i="23"/>
  <c r="I82" i="23"/>
  <c r="AA81" i="23"/>
  <c r="N81" i="23"/>
  <c r="J81" i="23"/>
  <c r="AA31" i="23"/>
  <c r="N31" i="23"/>
  <c r="J31" i="23"/>
  <c r="F31" i="23"/>
  <c r="AB30" i="23"/>
  <c r="W30" i="23"/>
  <c r="K30" i="23"/>
  <c r="G30" i="23"/>
  <c r="C30" i="23"/>
  <c r="X29" i="23"/>
  <c r="L29" i="23"/>
  <c r="H29" i="23"/>
  <c r="D29" i="23"/>
  <c r="Z18" i="23"/>
  <c r="M18" i="23"/>
  <c r="I18" i="23"/>
  <c r="E18" i="23"/>
  <c r="AA17" i="23"/>
  <c r="N17" i="23"/>
  <c r="J17" i="23"/>
  <c r="F17" i="23"/>
  <c r="AB16" i="23"/>
  <c r="W16" i="23"/>
  <c r="K16" i="23"/>
  <c r="G16" i="23"/>
  <c r="C16" i="23"/>
  <c r="X93" i="23"/>
  <c r="L93" i="23"/>
  <c r="D93" i="23"/>
  <c r="Z80" i="23"/>
  <c r="M80" i="23"/>
  <c r="I80" i="23"/>
  <c r="AA28" i="23"/>
  <c r="N28" i="23"/>
  <c r="J28" i="23"/>
  <c r="F28" i="23"/>
  <c r="AB15" i="23"/>
  <c r="W15" i="23"/>
  <c r="W96" i="23"/>
  <c r="X95" i="23"/>
  <c r="AA94" i="23"/>
  <c r="N94" i="23"/>
  <c r="J94" i="23"/>
  <c r="AB83" i="23"/>
  <c r="W83" i="23"/>
  <c r="K83" i="23"/>
  <c r="X82" i="23"/>
  <c r="L82" i="23"/>
  <c r="D82" i="23"/>
  <c r="Z81" i="23"/>
  <c r="M81" i="23"/>
  <c r="I81" i="23"/>
  <c r="Z31" i="23"/>
  <c r="M31" i="23"/>
  <c r="I31" i="23"/>
  <c r="E31" i="23"/>
  <c r="AA30" i="23"/>
  <c r="N30" i="23"/>
  <c r="J30" i="23"/>
  <c r="F30" i="23"/>
  <c r="AB29" i="23"/>
  <c r="W29" i="23"/>
  <c r="K29" i="23"/>
  <c r="G29" i="23"/>
  <c r="C29" i="23"/>
  <c r="X18" i="23"/>
  <c r="L18" i="23"/>
  <c r="H18" i="23"/>
  <c r="D18" i="23"/>
  <c r="Z17" i="23"/>
  <c r="M17" i="23"/>
  <c r="I17" i="23"/>
  <c r="E17" i="23"/>
  <c r="AA16" i="23"/>
  <c r="N16" i="23"/>
  <c r="J16" i="23"/>
  <c r="F16" i="23"/>
  <c r="AB93" i="23"/>
  <c r="W93" i="23"/>
  <c r="K93" i="23"/>
  <c r="K96" i="23"/>
  <c r="L95" i="23"/>
  <c r="X94" i="23"/>
  <c r="Z83" i="23"/>
  <c r="I83" i="23"/>
  <c r="AA82" i="23"/>
  <c r="J82" i="23"/>
  <c r="AB81" i="23"/>
  <c r="K81" i="23"/>
  <c r="AB31" i="23"/>
  <c r="K31" i="23"/>
  <c r="C31" i="23"/>
  <c r="L30" i="23"/>
  <c r="D30" i="23"/>
  <c r="M29" i="23"/>
  <c r="E29" i="23"/>
  <c r="N18" i="23"/>
  <c r="F18" i="23"/>
  <c r="W17" i="23"/>
  <c r="G17" i="23"/>
  <c r="X16" i="23"/>
  <c r="H16" i="23"/>
  <c r="Z93" i="23"/>
  <c r="I93" i="23"/>
  <c r="W80" i="23"/>
  <c r="J80" i="23"/>
  <c r="D80" i="23"/>
  <c r="X28" i="23"/>
  <c r="K28" i="23"/>
  <c r="E28" i="23"/>
  <c r="Z15" i="23"/>
  <c r="L15" i="23"/>
  <c r="H15" i="23"/>
  <c r="D15" i="23"/>
  <c r="L94" i="23"/>
  <c r="G31" i="23"/>
  <c r="I29" i="23"/>
  <c r="J18" i="23"/>
  <c r="K17" i="23"/>
  <c r="L16" i="23"/>
  <c r="M93" i="23"/>
  <c r="AA80" i="23"/>
  <c r="M28" i="23"/>
  <c r="N15" i="23"/>
  <c r="F15" i="23"/>
  <c r="L96" i="23"/>
  <c r="Z94" i="23"/>
  <c r="AA83" i="23"/>
  <c r="AB82" i="23"/>
  <c r="D81" i="23"/>
  <c r="D31" i="23"/>
  <c r="E30" i="23"/>
  <c r="F29" i="23"/>
  <c r="G18" i="23"/>
  <c r="H17" i="23"/>
  <c r="I16" i="23"/>
  <c r="J93" i="23"/>
  <c r="X80" i="23"/>
  <c r="L28" i="23"/>
  <c r="AA15" i="23"/>
  <c r="I15" i="23"/>
  <c r="D96" i="23"/>
  <c r="M94" i="23"/>
  <c r="N83" i="23"/>
  <c r="W82" i="23"/>
  <c r="X81" i="23"/>
  <c r="X31" i="23"/>
  <c r="H31" i="23"/>
  <c r="Z30" i="23"/>
  <c r="I30" i="23"/>
  <c r="AA29" i="23"/>
  <c r="J29" i="23"/>
  <c r="AB18" i="23"/>
  <c r="K18" i="23"/>
  <c r="C18" i="23"/>
  <c r="L17" i="23"/>
  <c r="D17" i="23"/>
  <c r="M16" i="23"/>
  <c r="E16" i="23"/>
  <c r="N93" i="23"/>
  <c r="AB80" i="23"/>
  <c r="N80" i="23"/>
  <c r="W28" i="23"/>
  <c r="I28" i="23"/>
  <c r="D28" i="23"/>
  <c r="X15" i="23"/>
  <c r="K15" i="23"/>
  <c r="G15" i="23"/>
  <c r="C15" i="23"/>
  <c r="AB96" i="23"/>
  <c r="D95" i="23"/>
  <c r="D94" i="23"/>
  <c r="M83" i="23"/>
  <c r="N82" i="23"/>
  <c r="W81" i="23"/>
  <c r="W31" i="23"/>
  <c r="X30" i="23"/>
  <c r="H30" i="23"/>
  <c r="Z29" i="23"/>
  <c r="AA18" i="23"/>
  <c r="AB17" i="23"/>
  <c r="C17" i="23"/>
  <c r="D16" i="23"/>
  <c r="L80" i="23"/>
  <c r="AB28" i="23"/>
  <c r="H28" i="23"/>
  <c r="C28" i="23"/>
  <c r="J15" i="23"/>
  <c r="M95" i="23"/>
  <c r="I94" i="23"/>
  <c r="J83" i="23"/>
  <c r="K82" i="23"/>
  <c r="L81" i="23"/>
  <c r="L31" i="23"/>
  <c r="M30" i="23"/>
  <c r="N29" i="23"/>
  <c r="W18" i="23"/>
  <c r="X17" i="23"/>
  <c r="Z16" i="23"/>
  <c r="AA93" i="23"/>
  <c r="K80" i="23"/>
  <c r="Z28" i="23"/>
  <c r="G28" i="23"/>
  <c r="M15" i="23"/>
  <c r="E15" i="23"/>
  <c r="AB96" i="25"/>
  <c r="W96" i="25"/>
  <c r="K96" i="25"/>
  <c r="G96" i="25"/>
  <c r="C96" i="25"/>
  <c r="X83" i="25"/>
  <c r="L83" i="25"/>
  <c r="H83" i="25"/>
  <c r="D83" i="25"/>
  <c r="Z95" i="25"/>
  <c r="M95" i="25"/>
  <c r="I95" i="25"/>
  <c r="E95" i="25"/>
  <c r="AA82" i="25"/>
  <c r="N82" i="25"/>
  <c r="J82" i="25"/>
  <c r="F82" i="25"/>
  <c r="AB94" i="25"/>
  <c r="W94" i="25"/>
  <c r="K94" i="25"/>
  <c r="G94" i="25"/>
  <c r="C94" i="25"/>
  <c r="X81" i="25"/>
  <c r="L81" i="25"/>
  <c r="H81" i="25"/>
  <c r="D81" i="25"/>
  <c r="AA96" i="25"/>
  <c r="N96" i="25"/>
  <c r="J96" i="25"/>
  <c r="F96" i="25"/>
  <c r="AB83" i="25"/>
  <c r="W83" i="25"/>
  <c r="K83" i="25"/>
  <c r="G83" i="25"/>
  <c r="C83" i="25"/>
  <c r="X95" i="25"/>
  <c r="L95" i="25"/>
  <c r="H95" i="25"/>
  <c r="D95" i="25"/>
  <c r="Z82" i="25"/>
  <c r="M82" i="25"/>
  <c r="I82" i="25"/>
  <c r="E82" i="25"/>
  <c r="AA94" i="25"/>
  <c r="N94" i="25"/>
  <c r="J94" i="25"/>
  <c r="F94" i="25"/>
  <c r="AB81" i="25"/>
  <c r="W81" i="25"/>
  <c r="K81" i="25"/>
  <c r="G81" i="25"/>
  <c r="C81" i="25"/>
  <c r="Z96" i="25"/>
  <c r="M96" i="25"/>
  <c r="I96" i="25"/>
  <c r="E96" i="25"/>
  <c r="AA83" i="25"/>
  <c r="N83" i="25"/>
  <c r="J83" i="25"/>
  <c r="F83" i="25"/>
  <c r="AB95" i="25"/>
  <c r="W95" i="25"/>
  <c r="K95" i="25"/>
  <c r="G95" i="25"/>
  <c r="C95" i="25"/>
  <c r="X82" i="25"/>
  <c r="L82" i="25"/>
  <c r="H82" i="25"/>
  <c r="D82" i="25"/>
  <c r="Z94" i="25"/>
  <c r="Z81" i="25"/>
  <c r="Z107" i="25"/>
  <c r="M94" i="25"/>
  <c r="I94" i="25"/>
  <c r="E94" i="25"/>
  <c r="AA81" i="25"/>
  <c r="N81" i="25"/>
  <c r="J81" i="25"/>
  <c r="F81" i="25"/>
  <c r="X96" i="25"/>
  <c r="Z83" i="25"/>
  <c r="AA95" i="25"/>
  <c r="AB82" i="25"/>
  <c r="AB108" i="25"/>
  <c r="C82" i="25"/>
  <c r="D94" i="25"/>
  <c r="E81" i="25"/>
  <c r="L96" i="25"/>
  <c r="M83" i="25"/>
  <c r="M109" i="25"/>
  <c r="N95" i="25"/>
  <c r="W82" i="25"/>
  <c r="X94" i="25"/>
  <c r="H96" i="25"/>
  <c r="I83" i="25"/>
  <c r="J95" i="25"/>
  <c r="K82" i="25"/>
  <c r="L94" i="25"/>
  <c r="M81" i="25"/>
  <c r="D96" i="25"/>
  <c r="H94" i="25"/>
  <c r="G82" i="25"/>
  <c r="E83" i="25"/>
  <c r="E109" i="25"/>
  <c r="I81" i="25"/>
  <c r="F95" i="25"/>
  <c r="AA31" i="25"/>
  <c r="AA65" i="25"/>
  <c r="N31" i="25"/>
  <c r="N65" i="25"/>
  <c r="J31" i="25"/>
  <c r="J65" i="25"/>
  <c r="F31" i="25"/>
  <c r="F65" i="25"/>
  <c r="AB18" i="25"/>
  <c r="AB58" i="25"/>
  <c r="W18" i="25"/>
  <c r="K18" i="25"/>
  <c r="K58" i="25"/>
  <c r="G18" i="25"/>
  <c r="G58" i="25"/>
  <c r="C18" i="25"/>
  <c r="C58" i="25"/>
  <c r="X30" i="25"/>
  <c r="L30" i="25"/>
  <c r="H30" i="25"/>
  <c r="D30" i="25"/>
  <c r="Z17" i="25"/>
  <c r="M17" i="25"/>
  <c r="I17" i="25"/>
  <c r="E17" i="25"/>
  <c r="AA29" i="25"/>
  <c r="N29" i="25"/>
  <c r="J29" i="25"/>
  <c r="F29" i="25"/>
  <c r="AB16" i="25"/>
  <c r="W16" i="25"/>
  <c r="K16" i="25"/>
  <c r="G16" i="25"/>
  <c r="C16" i="25"/>
  <c r="Z31" i="25"/>
  <c r="Z65" i="25"/>
  <c r="M31" i="25"/>
  <c r="M65" i="25"/>
  <c r="I31" i="25"/>
  <c r="I65" i="25"/>
  <c r="E31" i="25"/>
  <c r="E65" i="25"/>
  <c r="AA18" i="25"/>
  <c r="N18" i="25"/>
  <c r="N58" i="25"/>
  <c r="J18" i="25"/>
  <c r="F18" i="25"/>
  <c r="AB30" i="25"/>
  <c r="W30" i="25"/>
  <c r="K30" i="25"/>
  <c r="G30" i="25"/>
  <c r="C30" i="25"/>
  <c r="X17" i="25"/>
  <c r="L17" i="25"/>
  <c r="H17" i="25"/>
  <c r="D17" i="25"/>
  <c r="Z29" i="25"/>
  <c r="M29" i="25"/>
  <c r="I29" i="25"/>
  <c r="E29" i="25"/>
  <c r="AA16" i="25"/>
  <c r="N16" i="25"/>
  <c r="J16" i="25"/>
  <c r="F16" i="25"/>
  <c r="W31" i="25"/>
  <c r="W65" i="25"/>
  <c r="G31" i="25"/>
  <c r="G65" i="25"/>
  <c r="X18" i="25"/>
  <c r="X58" i="25"/>
  <c r="H18" i="25"/>
  <c r="H58" i="25"/>
  <c r="Z30" i="25"/>
  <c r="I30" i="25"/>
  <c r="AA17" i="25"/>
  <c r="J17" i="25"/>
  <c r="AB29" i="25"/>
  <c r="K29" i="25"/>
  <c r="K64" i="25"/>
  <c r="C29" i="25"/>
  <c r="L16" i="25"/>
  <c r="D16" i="25"/>
  <c r="L31" i="25"/>
  <c r="L65" i="25"/>
  <c r="D31" i="25"/>
  <c r="D65" i="25"/>
  <c r="M18" i="25"/>
  <c r="M58" i="25"/>
  <c r="E18" i="25"/>
  <c r="E58" i="25"/>
  <c r="N30" i="25"/>
  <c r="F30" i="25"/>
  <c r="W17" i="25"/>
  <c r="G17" i="25"/>
  <c r="X29" i="25"/>
  <c r="H29" i="25"/>
  <c r="Z16" i="25"/>
  <c r="I16" i="25"/>
  <c r="I57" i="25"/>
  <c r="AB31" i="25"/>
  <c r="AB65" i="25"/>
  <c r="K31" i="25"/>
  <c r="K65" i="25"/>
  <c r="C31" i="25"/>
  <c r="L18" i="25"/>
  <c r="D18" i="25"/>
  <c r="D58" i="25"/>
  <c r="M30" i="25"/>
  <c r="E30" i="25"/>
  <c r="N17" i="25"/>
  <c r="F17" i="25"/>
  <c r="W29" i="25"/>
  <c r="G29" i="25"/>
  <c r="X16" i="25"/>
  <c r="H16" i="25"/>
  <c r="X31" i="25"/>
  <c r="X65" i="25"/>
  <c r="H31" i="25"/>
  <c r="H65" i="25"/>
  <c r="Z18" i="25"/>
  <c r="I18" i="25"/>
  <c r="I58" i="25"/>
  <c r="AA30" i="25"/>
  <c r="J30" i="25"/>
  <c r="AB17" i="25"/>
  <c r="K17" i="25"/>
  <c r="C17" i="25"/>
  <c r="L29" i="25"/>
  <c r="L64" i="25"/>
  <c r="D29" i="25"/>
  <c r="M16" i="25"/>
  <c r="E16" i="25"/>
  <c r="AA93" i="25"/>
  <c r="M93" i="25"/>
  <c r="I93" i="25"/>
  <c r="E93" i="25"/>
  <c r="Z92" i="25"/>
  <c r="L92" i="25"/>
  <c r="H92" i="25"/>
  <c r="C92" i="25"/>
  <c r="X91" i="25"/>
  <c r="K91" i="25"/>
  <c r="G91" i="25"/>
  <c r="AB90" i="25"/>
  <c r="W90" i="25"/>
  <c r="J90" i="25"/>
  <c r="F90" i="25"/>
  <c r="AA89" i="25"/>
  <c r="M89" i="25"/>
  <c r="I89" i="25"/>
  <c r="E89" i="25"/>
  <c r="Z88" i="25"/>
  <c r="L88" i="25"/>
  <c r="H88" i="25"/>
  <c r="C88" i="25"/>
  <c r="X87" i="25"/>
  <c r="K87" i="25"/>
  <c r="G87" i="25"/>
  <c r="AB86" i="25"/>
  <c r="W86" i="25"/>
  <c r="J86" i="25"/>
  <c r="F86" i="25"/>
  <c r="AA85" i="25"/>
  <c r="M85" i="25"/>
  <c r="I85" i="25"/>
  <c r="E85" i="25"/>
  <c r="Z84" i="25"/>
  <c r="L84" i="25"/>
  <c r="H84" i="25"/>
  <c r="C84" i="25"/>
  <c r="AB80" i="25"/>
  <c r="W80" i="25"/>
  <c r="J80" i="25"/>
  <c r="F80" i="25"/>
  <c r="AA79" i="25"/>
  <c r="M79" i="25"/>
  <c r="I79" i="25"/>
  <c r="E79" i="25"/>
  <c r="Z78" i="25"/>
  <c r="L78" i="25"/>
  <c r="H78" i="25"/>
  <c r="C78" i="25"/>
  <c r="X77" i="25"/>
  <c r="K77" i="25"/>
  <c r="G77" i="25"/>
  <c r="AB76" i="25"/>
  <c r="W76" i="25"/>
  <c r="J76" i="25"/>
  <c r="F76" i="25"/>
  <c r="AA75" i="25"/>
  <c r="M75" i="25"/>
  <c r="I75" i="25"/>
  <c r="E75" i="25"/>
  <c r="Z74" i="25"/>
  <c r="L74" i="25"/>
  <c r="H74" i="25"/>
  <c r="C74" i="25"/>
  <c r="X73" i="25"/>
  <c r="K73" i="25"/>
  <c r="G73" i="25"/>
  <c r="AB72" i="25"/>
  <c r="W72" i="25"/>
  <c r="J72" i="25"/>
  <c r="F72" i="25"/>
  <c r="AA71" i="25"/>
  <c r="M71" i="25"/>
  <c r="I71" i="25"/>
  <c r="E71" i="25"/>
  <c r="X93" i="25"/>
  <c r="AB93" i="25"/>
  <c r="K93" i="25"/>
  <c r="F93" i="25"/>
  <c r="X92" i="25"/>
  <c r="J92" i="25"/>
  <c r="E92" i="25"/>
  <c r="W91" i="25"/>
  <c r="I91" i="25"/>
  <c r="C91" i="25"/>
  <c r="M90" i="25"/>
  <c r="H90" i="25"/>
  <c r="AB89" i="25"/>
  <c r="L89" i="25"/>
  <c r="G89" i="25"/>
  <c r="AA88" i="25"/>
  <c r="K88" i="25"/>
  <c r="F88" i="25"/>
  <c r="Z87" i="25"/>
  <c r="J87" i="25"/>
  <c r="E87" i="25"/>
  <c r="X86" i="25"/>
  <c r="I86" i="25"/>
  <c r="C86" i="25"/>
  <c r="W85" i="25"/>
  <c r="H85" i="25"/>
  <c r="AB84" i="25"/>
  <c r="M84" i="25"/>
  <c r="G84" i="25"/>
  <c r="Z80" i="25"/>
  <c r="K80" i="25"/>
  <c r="E80" i="25"/>
  <c r="X79" i="25"/>
  <c r="J79" i="25"/>
  <c r="C79" i="25"/>
  <c r="W78" i="25"/>
  <c r="I78" i="25"/>
  <c r="AB77" i="25"/>
  <c r="M77" i="25"/>
  <c r="H77" i="25"/>
  <c r="AA76" i="25"/>
  <c r="L76" i="25"/>
  <c r="G76" i="25"/>
  <c r="Z75" i="25"/>
  <c r="K75" i="25"/>
  <c r="F75" i="25"/>
  <c r="X74" i="25"/>
  <c r="J74" i="25"/>
  <c r="E74" i="25"/>
  <c r="W73" i="25"/>
  <c r="I73" i="25"/>
  <c r="C73" i="25"/>
  <c r="M72" i="25"/>
  <c r="H72" i="25"/>
  <c r="AB71" i="25"/>
  <c r="L71" i="25"/>
  <c r="G71" i="25"/>
  <c r="Z93" i="25"/>
  <c r="J93" i="25"/>
  <c r="C93" i="25"/>
  <c r="W92" i="25"/>
  <c r="I92" i="25"/>
  <c r="AB91" i="25"/>
  <c r="M91" i="25"/>
  <c r="H91" i="25"/>
  <c r="AA90" i="25"/>
  <c r="L90" i="25"/>
  <c r="G90" i="25"/>
  <c r="Z89" i="25"/>
  <c r="K89" i="25"/>
  <c r="F89" i="25"/>
  <c r="X88" i="25"/>
  <c r="J88" i="25"/>
  <c r="E88" i="25"/>
  <c r="W87" i="25"/>
  <c r="I87" i="25"/>
  <c r="C87" i="25"/>
  <c r="M86" i="25"/>
  <c r="H86" i="25"/>
  <c r="AB85" i="25"/>
  <c r="L85" i="25"/>
  <c r="G85" i="25"/>
  <c r="AA84" i="25"/>
  <c r="K84" i="25"/>
  <c r="F84" i="25"/>
  <c r="X80" i="25"/>
  <c r="I80" i="25"/>
  <c r="C80" i="25"/>
  <c r="W79" i="25"/>
  <c r="H79" i="25"/>
  <c r="AB78" i="25"/>
  <c r="M78" i="25"/>
  <c r="G78" i="25"/>
  <c r="AA77" i="25"/>
  <c r="L77" i="25"/>
  <c r="F77" i="25"/>
  <c r="Z76" i="25"/>
  <c r="K76" i="25"/>
  <c r="E76" i="25"/>
  <c r="X75" i="25"/>
  <c r="J75" i="25"/>
  <c r="C75" i="25"/>
  <c r="W74" i="25"/>
  <c r="I74" i="25"/>
  <c r="AB73" i="25"/>
  <c r="M73" i="25"/>
  <c r="H73" i="25"/>
  <c r="AA72" i="25"/>
  <c r="L72" i="25"/>
  <c r="G72" i="25"/>
  <c r="Z71" i="25"/>
  <c r="K71" i="25"/>
  <c r="F71" i="25"/>
  <c r="W93" i="25"/>
  <c r="AB92" i="25"/>
  <c r="M92" i="25"/>
  <c r="AA91" i="25"/>
  <c r="F91" i="25"/>
  <c r="Z90" i="25"/>
  <c r="E90" i="25"/>
  <c r="J89" i="25"/>
  <c r="C89" i="25"/>
  <c r="I88" i="25"/>
  <c r="M87" i="25"/>
  <c r="H87" i="25"/>
  <c r="L86" i="25"/>
  <c r="Z85" i="25"/>
  <c r="K85" i="25"/>
  <c r="X84" i="25"/>
  <c r="E84" i="25"/>
  <c r="H80" i="25"/>
  <c r="L79" i="25"/>
  <c r="G79" i="25"/>
  <c r="F78" i="25"/>
  <c r="Z77" i="25"/>
  <c r="E77" i="25"/>
  <c r="I76" i="25"/>
  <c r="C76" i="25"/>
  <c r="AB74" i="25"/>
  <c r="M74" i="25"/>
  <c r="AA73" i="25"/>
  <c r="F73" i="25"/>
  <c r="Z72" i="25"/>
  <c r="E72" i="25"/>
  <c r="J71" i="25"/>
  <c r="G93" i="25"/>
  <c r="K92" i="25"/>
  <c r="Z91" i="25"/>
  <c r="E91" i="25"/>
  <c r="I90" i="25"/>
  <c r="W89" i="25"/>
  <c r="AB88" i="25"/>
  <c r="G88" i="25"/>
  <c r="L87" i="25"/>
  <c r="Z86" i="25"/>
  <c r="E86" i="25"/>
  <c r="X85" i="25"/>
  <c r="C85" i="25"/>
  <c r="H93" i="25"/>
  <c r="G92" i="25"/>
  <c r="L91" i="25"/>
  <c r="K90" i="25"/>
  <c r="X89" i="25"/>
  <c r="W88" i="25"/>
  <c r="AB87" i="25"/>
  <c r="AA86" i="25"/>
  <c r="G86" i="25"/>
  <c r="F85" i="25"/>
  <c r="J84" i="25"/>
  <c r="M80" i="25"/>
  <c r="AB79" i="25"/>
  <c r="AA78" i="25"/>
  <c r="K78" i="25"/>
  <c r="J77" i="25"/>
  <c r="X76" i="25"/>
  <c r="W75" i="25"/>
  <c r="H75" i="25"/>
  <c r="G74" i="25"/>
  <c r="L73" i="25"/>
  <c r="K72" i="25"/>
  <c r="X71" i="25"/>
  <c r="C71" i="25"/>
  <c r="L93" i="25"/>
  <c r="AA92" i="25"/>
  <c r="F92" i="25"/>
  <c r="J91" i="25"/>
  <c r="X90" i="25"/>
  <c r="C90" i="25"/>
  <c r="H89" i="25"/>
  <c r="M88" i="25"/>
  <c r="AA87" i="25"/>
  <c r="F87" i="25"/>
  <c r="K86" i="25"/>
  <c r="J85" i="25"/>
  <c r="W84" i="25"/>
  <c r="I84" i="25"/>
  <c r="AA80" i="25"/>
  <c r="L80" i="25"/>
  <c r="F79" i="25"/>
  <c r="W77" i="25"/>
  <c r="H76" i="25"/>
  <c r="AA74" i="25"/>
  <c r="J73" i="25"/>
  <c r="C72" i="25"/>
  <c r="G80" i="25"/>
  <c r="X78" i="25"/>
  <c r="I77" i="25"/>
  <c r="AB75" i="25"/>
  <c r="K74" i="25"/>
  <c r="E73" i="25"/>
  <c r="W71" i="25"/>
  <c r="Z79" i="25"/>
  <c r="J78" i="25"/>
  <c r="C77" i="25"/>
  <c r="L75" i="25"/>
  <c r="F74" i="25"/>
  <c r="X72" i="25"/>
  <c r="H71" i="25"/>
  <c r="K79" i="25"/>
  <c r="E78" i="25"/>
  <c r="M76" i="25"/>
  <c r="G75" i="25"/>
  <c r="Z73" i="25"/>
  <c r="I72" i="25"/>
  <c r="AB93" i="24"/>
  <c r="W93" i="24"/>
  <c r="J93" i="24"/>
  <c r="F93" i="24"/>
  <c r="AA92" i="24"/>
  <c r="M92" i="24"/>
  <c r="I92" i="24"/>
  <c r="E92" i="24"/>
  <c r="Z91" i="24"/>
  <c r="L91" i="24"/>
  <c r="H91" i="24"/>
  <c r="C91" i="24"/>
  <c r="X90" i="24"/>
  <c r="K90" i="24"/>
  <c r="G90" i="24"/>
  <c r="AB89" i="24"/>
  <c r="W89" i="24"/>
  <c r="J89" i="24"/>
  <c r="F89" i="24"/>
  <c r="AA88" i="24"/>
  <c r="M88" i="24"/>
  <c r="I88" i="24"/>
  <c r="E88" i="24"/>
  <c r="Z87" i="24"/>
  <c r="L87" i="24"/>
  <c r="H87" i="24"/>
  <c r="C87" i="24"/>
  <c r="X86" i="24"/>
  <c r="K86" i="24"/>
  <c r="G86" i="24"/>
  <c r="AB85" i="24"/>
  <c r="W85" i="24"/>
  <c r="J85" i="24"/>
  <c r="F85" i="24"/>
  <c r="AA84" i="24"/>
  <c r="M84" i="24"/>
  <c r="I84" i="24"/>
  <c r="E84" i="24"/>
  <c r="X80" i="24"/>
  <c r="K80" i="24"/>
  <c r="G80" i="24"/>
  <c r="AB79" i="24"/>
  <c r="W79" i="24"/>
  <c r="J79" i="24"/>
  <c r="F79" i="24"/>
  <c r="AA78" i="24"/>
  <c r="M78" i="24"/>
  <c r="I78" i="24"/>
  <c r="E78" i="24"/>
  <c r="Z77" i="24"/>
  <c r="L77" i="24"/>
  <c r="H77" i="24"/>
  <c r="C77" i="24"/>
  <c r="X76" i="24"/>
  <c r="K76" i="24"/>
  <c r="G76" i="24"/>
  <c r="AB75" i="24"/>
  <c r="W75" i="24"/>
  <c r="J75" i="24"/>
  <c r="F75" i="24"/>
  <c r="AA74" i="24"/>
  <c r="M74" i="24"/>
  <c r="I74" i="24"/>
  <c r="E74" i="24"/>
  <c r="Z73" i="24"/>
  <c r="L73" i="24"/>
  <c r="H73" i="24"/>
  <c r="C73" i="24"/>
  <c r="X72" i="24"/>
  <c r="K72" i="24"/>
  <c r="G72" i="24"/>
  <c r="AB71" i="24"/>
  <c r="W71" i="24"/>
  <c r="J71" i="24"/>
  <c r="F71" i="24"/>
  <c r="I79" i="24"/>
  <c r="L78" i="24"/>
  <c r="C78" i="24"/>
  <c r="AA93" i="24"/>
  <c r="M93" i="24"/>
  <c r="I93" i="24"/>
  <c r="E93" i="24"/>
  <c r="Z92" i="24"/>
  <c r="L92" i="24"/>
  <c r="H92" i="24"/>
  <c r="C92" i="24"/>
  <c r="X91" i="24"/>
  <c r="K91" i="24"/>
  <c r="G91" i="24"/>
  <c r="AB90" i="24"/>
  <c r="W90" i="24"/>
  <c r="J90" i="24"/>
  <c r="F90" i="24"/>
  <c r="AA89" i="24"/>
  <c r="M89" i="24"/>
  <c r="I89" i="24"/>
  <c r="E89" i="24"/>
  <c r="Z88" i="24"/>
  <c r="L88" i="24"/>
  <c r="H88" i="24"/>
  <c r="C88" i="24"/>
  <c r="X87" i="24"/>
  <c r="K87" i="24"/>
  <c r="G87" i="24"/>
  <c r="AB86" i="24"/>
  <c r="W86" i="24"/>
  <c r="J86" i="24"/>
  <c r="F86" i="24"/>
  <c r="AA85" i="24"/>
  <c r="M85" i="24"/>
  <c r="I85" i="24"/>
  <c r="E85" i="24"/>
  <c r="Z84" i="24"/>
  <c r="L84" i="24"/>
  <c r="H84" i="24"/>
  <c r="C84" i="24"/>
  <c r="AB80" i="24"/>
  <c r="W80" i="24"/>
  <c r="J80" i="24"/>
  <c r="F80" i="24"/>
  <c r="AA79" i="24"/>
  <c r="M79" i="24"/>
  <c r="M105" i="24"/>
  <c r="E79" i="24"/>
  <c r="Z78" i="24"/>
  <c r="H78" i="24"/>
  <c r="Z93" i="24"/>
  <c r="L93" i="24"/>
  <c r="H93" i="24"/>
  <c r="C93" i="24"/>
  <c r="X92" i="24"/>
  <c r="K92" i="24"/>
  <c r="AB92" i="24"/>
  <c r="F92" i="24"/>
  <c r="M91" i="24"/>
  <c r="E91" i="24"/>
  <c r="L90" i="24"/>
  <c r="C90" i="24"/>
  <c r="K89" i="24"/>
  <c r="AB88" i="24"/>
  <c r="J88" i="24"/>
  <c r="AA87" i="24"/>
  <c r="I87" i="24"/>
  <c r="Z86" i="24"/>
  <c r="H86" i="24"/>
  <c r="X85" i="24"/>
  <c r="G85" i="24"/>
  <c r="W84" i="24"/>
  <c r="F84" i="24"/>
  <c r="L80" i="24"/>
  <c r="C80" i="24"/>
  <c r="K79" i="24"/>
  <c r="AB78" i="24"/>
  <c r="J78" i="24"/>
  <c r="AA77" i="24"/>
  <c r="K77" i="24"/>
  <c r="F77" i="24"/>
  <c r="Z76" i="24"/>
  <c r="J76" i="24"/>
  <c r="E76" i="24"/>
  <c r="X75" i="24"/>
  <c r="I75" i="24"/>
  <c r="C75" i="24"/>
  <c r="W74" i="24"/>
  <c r="H74" i="24"/>
  <c r="AB73" i="24"/>
  <c r="M73" i="24"/>
  <c r="G73" i="24"/>
  <c r="AA72" i="24"/>
  <c r="L72" i="24"/>
  <c r="F72" i="24"/>
  <c r="Z71" i="24"/>
  <c r="K71" i="24"/>
  <c r="E71" i="24"/>
  <c r="X93" i="24"/>
  <c r="AB91" i="24"/>
  <c r="J91" i="24"/>
  <c r="AA90" i="24"/>
  <c r="I90" i="24"/>
  <c r="Z89" i="24"/>
  <c r="H89" i="24"/>
  <c r="X88" i="24"/>
  <c r="G88" i="24"/>
  <c r="W87" i="24"/>
  <c r="F87" i="24"/>
  <c r="M86" i="24"/>
  <c r="E86" i="24"/>
  <c r="L85" i="24"/>
  <c r="C85" i="24"/>
  <c r="K84" i="24"/>
  <c r="I80" i="24"/>
  <c r="Z79" i="24"/>
  <c r="H79" i="24"/>
  <c r="X78" i="24"/>
  <c r="X77" i="24"/>
  <c r="J77" i="24"/>
  <c r="W76" i="24"/>
  <c r="I76" i="24"/>
  <c r="M75" i="24"/>
  <c r="AB74" i="24"/>
  <c r="L74" i="24"/>
  <c r="AA73" i="24"/>
  <c r="F73" i="24"/>
  <c r="Z72" i="24"/>
  <c r="E72" i="24"/>
  <c r="I71" i="24"/>
  <c r="C71" i="24"/>
  <c r="K93" i="24"/>
  <c r="J92" i="24"/>
  <c r="I91" i="24"/>
  <c r="H90" i="24"/>
  <c r="W88" i="24"/>
  <c r="M87" i="24"/>
  <c r="E87" i="24"/>
  <c r="C86" i="24"/>
  <c r="AB84" i="24"/>
  <c r="Z80" i="24"/>
  <c r="X79" i="24"/>
  <c r="G79" i="24"/>
  <c r="F78" i="24"/>
  <c r="I77" i="24"/>
  <c r="M76" i="24"/>
  <c r="AA75" i="24"/>
  <c r="G75" i="24"/>
  <c r="K74" i="24"/>
  <c r="F74" i="24"/>
  <c r="E73" i="24"/>
  <c r="I72" i="24"/>
  <c r="M71" i="24"/>
  <c r="G92" i="24"/>
  <c r="F91" i="24"/>
  <c r="E90" i="24"/>
  <c r="K88" i="24"/>
  <c r="AA86" i="24"/>
  <c r="Z85" i="24"/>
  <c r="G84" i="24"/>
  <c r="M80" i="24"/>
  <c r="C79" i="24"/>
  <c r="M77" i="24"/>
  <c r="L76" i="24"/>
  <c r="K75" i="24"/>
  <c r="X74" i="24"/>
  <c r="W73" i="24"/>
  <c r="M72" i="24"/>
  <c r="L71" i="24"/>
  <c r="W92" i="24"/>
  <c r="AA80" i="24"/>
  <c r="G78" i="24"/>
  <c r="E77" i="24"/>
  <c r="C76" i="24"/>
  <c r="H75" i="24"/>
  <c r="G74" i="24"/>
  <c r="K73" i="24"/>
  <c r="J72" i="24"/>
  <c r="X71" i="24"/>
  <c r="AA91" i="24"/>
  <c r="Z90" i="24"/>
  <c r="X89" i="24"/>
  <c r="F88" i="24"/>
  <c r="L86" i="24"/>
  <c r="K85" i="24"/>
  <c r="J84" i="24"/>
  <c r="H80" i="24"/>
  <c r="W78" i="24"/>
  <c r="W77" i="24"/>
  <c r="AB76" i="24"/>
  <c r="H76" i="24"/>
  <c r="L75" i="24"/>
  <c r="Z74" i="24"/>
  <c r="X73" i="24"/>
  <c r="W72" i="24"/>
  <c r="C72" i="24"/>
  <c r="H71" i="24"/>
  <c r="G93" i="24"/>
  <c r="M90" i="24"/>
  <c r="C89" i="24"/>
  <c r="J87" i="24"/>
  <c r="H85" i="24"/>
  <c r="E80" i="24"/>
  <c r="K78" i="24"/>
  <c r="G77" i="24"/>
  <c r="F76" i="24"/>
  <c r="E75" i="24"/>
  <c r="C74" i="24"/>
  <c r="AB72" i="24"/>
  <c r="AA71" i="24"/>
  <c r="G89" i="24"/>
  <c r="J73" i="24"/>
  <c r="W91" i="24"/>
  <c r="L89" i="24"/>
  <c r="AB87" i="24"/>
  <c r="I86" i="24"/>
  <c r="X84" i="24"/>
  <c r="L79" i="24"/>
  <c r="AB77" i="24"/>
  <c r="AA76" i="24"/>
  <c r="Z75" i="24"/>
  <c r="J74" i="24"/>
  <c r="I73" i="24"/>
  <c r="H72" i="24"/>
  <c r="G71" i="24"/>
  <c r="AB92" i="23"/>
  <c r="W92" i="23"/>
  <c r="J92" i="23"/>
  <c r="Z91" i="23"/>
  <c r="L91" i="23"/>
  <c r="AB90" i="23"/>
  <c r="W90" i="23"/>
  <c r="J90" i="23"/>
  <c r="Z89" i="23"/>
  <c r="L89" i="23"/>
  <c r="AB88" i="23"/>
  <c r="W88" i="23"/>
  <c r="J88" i="23"/>
  <c r="Z87" i="23"/>
  <c r="L87" i="23"/>
  <c r="AB86" i="23"/>
  <c r="W86" i="23"/>
  <c r="J86" i="23"/>
  <c r="Z85" i="23"/>
  <c r="L85" i="23"/>
  <c r="AB84" i="23"/>
  <c r="W84" i="23"/>
  <c r="J84" i="23"/>
  <c r="Z79" i="23"/>
  <c r="L79" i="23"/>
  <c r="AB78" i="23"/>
  <c r="W78" i="23"/>
  <c r="J78" i="23"/>
  <c r="Z77" i="23"/>
  <c r="L77" i="23"/>
  <c r="AB76" i="23"/>
  <c r="W76" i="23"/>
  <c r="J76" i="23"/>
  <c r="Z75" i="23"/>
  <c r="L75" i="23"/>
  <c r="AB74" i="23"/>
  <c r="W74" i="23"/>
  <c r="J74" i="23"/>
  <c r="Z73" i="23"/>
  <c r="L73" i="23"/>
  <c r="AB72" i="23"/>
  <c r="W72" i="23"/>
  <c r="J72" i="23"/>
  <c r="Z71" i="23"/>
  <c r="L71" i="23"/>
  <c r="I7" i="23"/>
  <c r="AA92" i="23"/>
  <c r="M92" i="23"/>
  <c r="X91" i="23"/>
  <c r="AA90" i="23"/>
  <c r="I90" i="23"/>
  <c r="K89" i="23"/>
  <c r="M88" i="23"/>
  <c r="X87" i="23"/>
  <c r="K87" i="23"/>
  <c r="M86" i="23"/>
  <c r="X85" i="23"/>
  <c r="AA84" i="23"/>
  <c r="M84" i="23"/>
  <c r="X79" i="23"/>
  <c r="AA78" i="23"/>
  <c r="I78" i="23"/>
  <c r="K77" i="23"/>
  <c r="M76" i="23"/>
  <c r="I76" i="23"/>
  <c r="K75" i="23"/>
  <c r="AA74" i="23"/>
  <c r="I74" i="23"/>
  <c r="K73" i="23"/>
  <c r="M72" i="23"/>
  <c r="I92" i="23"/>
  <c r="K91" i="23"/>
  <c r="M90" i="23"/>
  <c r="X89" i="23"/>
  <c r="AA88" i="23"/>
  <c r="I88" i="23"/>
  <c r="AA86" i="23"/>
  <c r="I86" i="23"/>
  <c r="K85" i="23"/>
  <c r="I84" i="23"/>
  <c r="K79" i="23"/>
  <c r="M78" i="23"/>
  <c r="X77" i="23"/>
  <c r="AA76" i="23"/>
  <c r="X75" i="23"/>
  <c r="M74" i="23"/>
  <c r="X73" i="23"/>
  <c r="AA72" i="23"/>
  <c r="I72" i="23"/>
  <c r="L92" i="23"/>
  <c r="W91" i="23"/>
  <c r="Z90" i="23"/>
  <c r="AB89" i="23"/>
  <c r="J89" i="23"/>
  <c r="L88" i="23"/>
  <c r="W87" i="23"/>
  <c r="Z86" i="23"/>
  <c r="AB85" i="23"/>
  <c r="J85" i="23"/>
  <c r="L84" i="23"/>
  <c r="AB79" i="23"/>
  <c r="J79" i="23"/>
  <c r="L78" i="23"/>
  <c r="W77" i="23"/>
  <c r="Z76" i="23"/>
  <c r="AB75" i="23"/>
  <c r="J75" i="23"/>
  <c r="L74" i="23"/>
  <c r="W73" i="23"/>
  <c r="Z72" i="23"/>
  <c r="AB71" i="23"/>
  <c r="M71" i="23"/>
  <c r="K92" i="23"/>
  <c r="M91" i="23"/>
  <c r="X90" i="23"/>
  <c r="AA89" i="23"/>
  <c r="I89" i="23"/>
  <c r="K88" i="23"/>
  <c r="M87" i="23"/>
  <c r="X86" i="23"/>
  <c r="AA85" i="23"/>
  <c r="I85" i="23"/>
  <c r="K84" i="23"/>
  <c r="AA79" i="23"/>
  <c r="I79" i="23"/>
  <c r="K78" i="23"/>
  <c r="M77" i="23"/>
  <c r="X76" i="23"/>
  <c r="AA75" i="23"/>
  <c r="I75" i="23"/>
  <c r="K74" i="23"/>
  <c r="M73" i="23"/>
  <c r="X72" i="23"/>
  <c r="AA71" i="23"/>
  <c r="K71" i="23"/>
  <c r="Z92" i="23"/>
  <c r="J91" i="23"/>
  <c r="L90" i="23"/>
  <c r="W89" i="23"/>
  <c r="Z88" i="23"/>
  <c r="J87" i="23"/>
  <c r="W85" i="23"/>
  <c r="W79" i="23"/>
  <c r="AB77" i="23"/>
  <c r="L76" i="23"/>
  <c r="Z74" i="23"/>
  <c r="J73" i="23"/>
  <c r="J71" i="23"/>
  <c r="AA91" i="23"/>
  <c r="I91" i="23"/>
  <c r="M89" i="23"/>
  <c r="I87" i="23"/>
  <c r="M85" i="23"/>
  <c r="X78" i="23"/>
  <c r="I77" i="23"/>
  <c r="M75" i="23"/>
  <c r="I73" i="23"/>
  <c r="K72" i="23"/>
  <c r="AB91" i="23"/>
  <c r="AB87" i="23"/>
  <c r="L86" i="23"/>
  <c r="Z84" i="23"/>
  <c r="Z78" i="23"/>
  <c r="J77" i="23"/>
  <c r="W75" i="23"/>
  <c r="AB73" i="23"/>
  <c r="L72" i="23"/>
  <c r="X71" i="23"/>
  <c r="X92" i="23"/>
  <c r="K90" i="23"/>
  <c r="X88" i="23"/>
  <c r="AA87" i="23"/>
  <c r="K86" i="23"/>
  <c r="X84" i="23"/>
  <c r="M79" i="23"/>
  <c r="AA77" i="23"/>
  <c r="K76" i="23"/>
  <c r="X74" i="23"/>
  <c r="AA73" i="23"/>
  <c r="W71" i="23"/>
  <c r="I71" i="23"/>
  <c r="D71" i="24"/>
  <c r="N72" i="24"/>
  <c r="N75" i="24"/>
  <c r="D76" i="24"/>
  <c r="N77" i="24"/>
  <c r="D80" i="24"/>
  <c r="N71" i="24"/>
  <c r="D74" i="24"/>
  <c r="N74" i="24"/>
  <c r="D77" i="24"/>
  <c r="N78" i="24"/>
  <c r="N80" i="24"/>
  <c r="D75" i="24"/>
  <c r="D73" i="24"/>
  <c r="N76" i="24"/>
  <c r="D79" i="24"/>
  <c r="N79" i="24"/>
  <c r="D72" i="24"/>
  <c r="D78" i="24"/>
  <c r="N73" i="24"/>
  <c r="H6" i="23"/>
  <c r="L6" i="23"/>
  <c r="E7" i="23"/>
  <c r="M7" i="23"/>
  <c r="W7" i="23"/>
  <c r="AB7" i="23"/>
  <c r="F8" i="23"/>
  <c r="J8" i="23"/>
  <c r="N8" i="23"/>
  <c r="Z8" i="23"/>
  <c r="D9" i="23"/>
  <c r="H9" i="23"/>
  <c r="L9" i="23"/>
  <c r="AA9" i="23"/>
  <c r="E10" i="23"/>
  <c r="I10" i="23"/>
  <c r="M10" i="23"/>
  <c r="X10" i="23"/>
  <c r="C11" i="23"/>
  <c r="G11" i="23"/>
  <c r="K11" i="23"/>
  <c r="Z11" i="23"/>
  <c r="D12" i="23"/>
  <c r="H12" i="23"/>
  <c r="L12" i="23"/>
  <c r="W12" i="23"/>
  <c r="AB12" i="23"/>
  <c r="F13" i="23"/>
  <c r="J13" i="23"/>
  <c r="N13" i="23"/>
  <c r="X13" i="23"/>
  <c r="C14" i="23"/>
  <c r="G14" i="23"/>
  <c r="K14" i="23"/>
  <c r="AA14" i="23"/>
  <c r="D19" i="23"/>
  <c r="H19" i="23"/>
  <c r="L19" i="23"/>
  <c r="AA19" i="23"/>
  <c r="E20" i="23"/>
  <c r="I20" i="23"/>
  <c r="M20" i="23"/>
  <c r="X20" i="23"/>
  <c r="C21" i="23"/>
  <c r="G21" i="23"/>
  <c r="K21" i="23"/>
  <c r="Z21" i="23"/>
  <c r="D22" i="23"/>
  <c r="H22" i="23"/>
  <c r="L22" i="23"/>
  <c r="W22" i="23"/>
  <c r="AB22" i="23"/>
  <c r="F23" i="23"/>
  <c r="J23" i="23"/>
  <c r="N23" i="23"/>
  <c r="Z23" i="23"/>
  <c r="D24" i="23"/>
  <c r="H24" i="23"/>
  <c r="L24" i="23"/>
  <c r="W24" i="23"/>
  <c r="AB24" i="23"/>
  <c r="F25" i="23"/>
  <c r="J25" i="23"/>
  <c r="N25" i="23"/>
  <c r="X25" i="23"/>
  <c r="C26" i="23"/>
  <c r="G26" i="23"/>
  <c r="K6" i="23"/>
  <c r="C7" i="23"/>
  <c r="H7" i="23"/>
  <c r="N7" i="23"/>
  <c r="I6" i="23"/>
  <c r="N6" i="23"/>
  <c r="F7" i="23"/>
  <c r="K7" i="23"/>
  <c r="C8" i="23"/>
  <c r="H8" i="23"/>
  <c r="M8" i="23"/>
  <c r="AA8" i="23"/>
  <c r="F9" i="23"/>
  <c r="K9" i="23"/>
  <c r="W9" i="23"/>
  <c r="C10" i="23"/>
  <c r="H10" i="23"/>
  <c r="N10" i="23"/>
  <c r="AA10" i="23"/>
  <c r="F11" i="23"/>
  <c r="L11" i="23"/>
  <c r="W11" i="23"/>
  <c r="C12" i="23"/>
  <c r="I12" i="23"/>
  <c r="N12" i="23"/>
  <c r="AA12" i="23"/>
  <c r="G13" i="23"/>
  <c r="L13" i="23"/>
  <c r="W13" i="23"/>
  <c r="D14" i="23"/>
  <c r="I14" i="23"/>
  <c r="I56" i="23"/>
  <c r="N14" i="23"/>
  <c r="AB14" i="23"/>
  <c r="AB56" i="23"/>
  <c r="G19" i="23"/>
  <c r="M19" i="23"/>
  <c r="X19" i="23"/>
  <c r="D20" i="23"/>
  <c r="J20" i="23"/>
  <c r="AB20" i="23"/>
  <c r="H21" i="23"/>
  <c r="M21" i="23"/>
  <c r="X21" i="23"/>
  <c r="E22" i="23"/>
  <c r="J22" i="23"/>
  <c r="C23" i="23"/>
  <c r="H23" i="23"/>
  <c r="M23" i="23"/>
  <c r="AA23" i="23"/>
  <c r="F24" i="23"/>
  <c r="K24" i="23"/>
  <c r="X24" i="23"/>
  <c r="D25" i="23"/>
  <c r="I25" i="23"/>
  <c r="AA25" i="23"/>
  <c r="F26" i="23"/>
  <c r="K26" i="23"/>
  <c r="W26" i="23"/>
  <c r="AB26" i="23"/>
  <c r="F27" i="23"/>
  <c r="J27" i="23"/>
  <c r="N27" i="23"/>
  <c r="Z27" i="23"/>
  <c r="G7" i="23"/>
  <c r="X7" i="23"/>
  <c r="E8" i="23"/>
  <c r="L8" i="23"/>
  <c r="AB8" i="23"/>
  <c r="I9" i="23"/>
  <c r="D10" i="23"/>
  <c r="K10" i="23"/>
  <c r="Z10" i="23"/>
  <c r="H11" i="23"/>
  <c r="N11" i="23"/>
  <c r="AB11" i="23"/>
  <c r="J12" i="23"/>
  <c r="X12" i="23"/>
  <c r="E13" i="23"/>
  <c r="M13" i="23"/>
  <c r="AA13" i="23"/>
  <c r="H14" i="23"/>
  <c r="W14" i="23"/>
  <c r="W56" i="23"/>
  <c r="C19" i="23"/>
  <c r="J19" i="23"/>
  <c r="W19" i="23"/>
  <c r="F20" i="23"/>
  <c r="L20" i="23"/>
  <c r="AA20" i="23"/>
  <c r="I21" i="23"/>
  <c r="C22" i="23"/>
  <c r="K22" i="23"/>
  <c r="Z22" i="23"/>
  <c r="G23" i="23"/>
  <c r="C24" i="23"/>
  <c r="J24" i="23"/>
  <c r="Z24" i="23"/>
  <c r="G25" i="23"/>
  <c r="M25" i="23"/>
  <c r="AB25" i="23"/>
  <c r="I26" i="23"/>
  <c r="N26" i="23"/>
  <c r="C27" i="23"/>
  <c r="H27" i="23"/>
  <c r="H63" i="23"/>
  <c r="M27" i="23"/>
  <c r="AA27" i="23"/>
  <c r="Z13" i="23"/>
  <c r="M22" i="23"/>
  <c r="L7" i="23"/>
  <c r="D8" i="23"/>
  <c r="E9" i="23"/>
  <c r="N9" i="23"/>
  <c r="F10" i="23"/>
  <c r="E11" i="23"/>
  <c r="F12" i="23"/>
  <c r="H13" i="23"/>
  <c r="F14" i="23"/>
  <c r="X14" i="23"/>
  <c r="I19" i="23"/>
  <c r="Z19" i="23"/>
  <c r="H20" i="23"/>
  <c r="Z20" i="23"/>
  <c r="J21" i="23"/>
  <c r="AA21" i="23"/>
  <c r="I22" i="23"/>
  <c r="AA22" i="23"/>
  <c r="K23" i="23"/>
  <c r="AB23" i="23"/>
  <c r="M24" i="23"/>
  <c r="C25" i="23"/>
  <c r="L25" i="23"/>
  <c r="D26" i="23"/>
  <c r="L26" i="23"/>
  <c r="AA26" i="23"/>
  <c r="I27" i="23"/>
  <c r="W27" i="23"/>
  <c r="G8" i="23"/>
  <c r="W8" i="23"/>
  <c r="G9" i="23"/>
  <c r="X9" i="23"/>
  <c r="G10" i="23"/>
  <c r="W10" i="23"/>
  <c r="I11" i="23"/>
  <c r="X11" i="23"/>
  <c r="G12" i="23"/>
  <c r="Z12" i="23"/>
  <c r="I13" i="23"/>
  <c r="J14" i="23"/>
  <c r="Z14" i="23"/>
  <c r="K19" i="23"/>
  <c r="AB19" i="23"/>
  <c r="K20" i="23"/>
  <c r="D21" i="23"/>
  <c r="L21" i="23"/>
  <c r="AB21" i="23"/>
  <c r="D23" i="23"/>
  <c r="L23" i="23"/>
  <c r="E24" i="23"/>
  <c r="E25" i="23"/>
  <c r="E26" i="23"/>
  <c r="M26" i="23"/>
  <c r="D27" i="23"/>
  <c r="K27" i="23"/>
  <c r="X27" i="23"/>
  <c r="X63" i="23"/>
  <c r="M6" i="23"/>
  <c r="AA7" i="23"/>
  <c r="C9" i="23"/>
  <c r="AB9" i="23"/>
  <c r="D11" i="23"/>
  <c r="E12" i="23"/>
  <c r="D13" i="23"/>
  <c r="E14" i="23"/>
  <c r="F19" i="23"/>
  <c r="G20" i="23"/>
  <c r="F21" i="23"/>
  <c r="G22" i="23"/>
  <c r="I23" i="23"/>
  <c r="I24" i="23"/>
  <c r="H25" i="23"/>
  <c r="H26" i="23"/>
  <c r="E27" i="23"/>
  <c r="E63" i="23"/>
  <c r="AB27" i="23"/>
  <c r="D7" i="23"/>
  <c r="I8" i="23"/>
  <c r="J9" i="23"/>
  <c r="J10" i="23"/>
  <c r="J11" i="23"/>
  <c r="K12" i="23"/>
  <c r="K13" i="23"/>
  <c r="L14" i="23"/>
  <c r="L56" i="23"/>
  <c r="N19" i="23"/>
  <c r="N20" i="23"/>
  <c r="N21" i="23"/>
  <c r="N22" i="23"/>
  <c r="W23" i="23"/>
  <c r="N24" i="23"/>
  <c r="K25" i="23"/>
  <c r="J26" i="23"/>
  <c r="G27" i="23"/>
  <c r="G63" i="23"/>
  <c r="J7" i="23"/>
  <c r="K8" i="23"/>
  <c r="M9" i="23"/>
  <c r="L10" i="23"/>
  <c r="M11" i="23"/>
  <c r="M12" i="23"/>
  <c r="M14" i="23"/>
  <c r="M56" i="23"/>
  <c r="W20" i="23"/>
  <c r="W21" i="23"/>
  <c r="X22" i="23"/>
  <c r="X23" i="23"/>
  <c r="W25" i="23"/>
  <c r="X26" i="23"/>
  <c r="L27" i="23"/>
  <c r="L63" i="23"/>
  <c r="J6" i="23"/>
  <c r="Z7" i="23"/>
  <c r="X8" i="23"/>
  <c r="Z9" i="23"/>
  <c r="AB10" i="23"/>
  <c r="AA11" i="23"/>
  <c r="C13" i="23"/>
  <c r="AB13" i="23"/>
  <c r="E19" i="23"/>
  <c r="C20" i="23"/>
  <c r="E21" i="23"/>
  <c r="F22" i="23"/>
  <c r="E23" i="23"/>
  <c r="G24" i="23"/>
  <c r="AA24" i="23"/>
  <c r="Z25" i="23"/>
  <c r="Z26" i="23"/>
  <c r="C6" i="25"/>
  <c r="N6" i="24"/>
  <c r="I7" i="24"/>
  <c r="D8" i="24"/>
  <c r="C9" i="24"/>
  <c r="Z9" i="24"/>
  <c r="N10" i="24"/>
  <c r="M11" i="24"/>
  <c r="H12" i="24"/>
  <c r="E13" i="24"/>
  <c r="L14" i="24"/>
  <c r="N19" i="24"/>
  <c r="L21" i="24"/>
  <c r="F23" i="24"/>
  <c r="Z24" i="24"/>
  <c r="W26" i="24"/>
  <c r="E28" i="24"/>
  <c r="D6" i="24"/>
  <c r="W6" i="24"/>
  <c r="K7" i="24"/>
  <c r="J8" i="24"/>
  <c r="G9" i="24"/>
  <c r="AA10" i="24"/>
  <c r="W11" i="24"/>
  <c r="L12" i="24"/>
  <c r="K13" i="24"/>
  <c r="X14" i="24"/>
  <c r="I20" i="24"/>
  <c r="C22" i="24"/>
  <c r="J23" i="24"/>
  <c r="H25" i="24"/>
  <c r="AB26" i="24"/>
  <c r="M28" i="24"/>
  <c r="F6" i="24"/>
  <c r="AB6" i="24"/>
  <c r="Z7" i="24"/>
  <c r="L8" i="24"/>
  <c r="I9" i="24"/>
  <c r="H10" i="24"/>
  <c r="E11" i="24"/>
  <c r="Z11" i="24"/>
  <c r="X12" i="24"/>
  <c r="M13" i="24"/>
  <c r="G15" i="24"/>
  <c r="F19" i="24"/>
  <c r="M20" i="24"/>
  <c r="G22" i="24"/>
  <c r="E24" i="24"/>
  <c r="X25" i="24"/>
  <c r="F27" i="24"/>
  <c r="AB9" i="24"/>
  <c r="C6" i="24"/>
  <c r="H6" i="24"/>
  <c r="E7" i="24"/>
  <c r="AB7" i="24"/>
  <c r="X8" i="24"/>
  <c r="W9" i="24"/>
  <c r="J10" i="24"/>
  <c r="G11" i="24"/>
  <c r="F12" i="24"/>
  <c r="C13" i="24"/>
  <c r="Z13" i="24"/>
  <c r="W15" i="24"/>
  <c r="J19" i="24"/>
  <c r="D21" i="24"/>
  <c r="AB22" i="24"/>
  <c r="I24" i="24"/>
  <c r="C26" i="24"/>
  <c r="AA27" i="24"/>
  <c r="N91" i="23"/>
  <c r="N8" i="25"/>
  <c r="D72" i="23"/>
  <c r="L6" i="24"/>
  <c r="C7" i="24"/>
  <c r="M7" i="24"/>
  <c r="H8" i="24"/>
  <c r="AA8" i="24"/>
  <c r="K9" i="24"/>
  <c r="F10" i="24"/>
  <c r="X10" i="24"/>
  <c r="I11" i="24"/>
  <c r="D12" i="24"/>
  <c r="N12" i="24"/>
  <c r="G13" i="24"/>
  <c r="H14" i="24"/>
  <c r="K15" i="24"/>
  <c r="E20" i="24"/>
  <c r="H21" i="24"/>
  <c r="K22" i="24"/>
  <c r="AA23" i="24"/>
  <c r="D25" i="24"/>
  <c r="G26" i="24"/>
  <c r="N27" i="24"/>
  <c r="Z28" i="24"/>
  <c r="D86" i="24"/>
  <c r="W9" i="25"/>
  <c r="J6" i="24"/>
  <c r="Z6" i="24"/>
  <c r="G7" i="24"/>
  <c r="W7" i="24"/>
  <c r="F8" i="24"/>
  <c r="N8" i="24"/>
  <c r="E9" i="24"/>
  <c r="M9" i="24"/>
  <c r="D10" i="24"/>
  <c r="L10" i="24"/>
  <c r="C11" i="24"/>
  <c r="K11" i="24"/>
  <c r="AB11" i="24"/>
  <c r="J12" i="24"/>
  <c r="AA12" i="24"/>
  <c r="I13" i="24"/>
  <c r="D14" i="24"/>
  <c r="C15" i="24"/>
  <c r="AB15" i="24"/>
  <c r="AA19" i="24"/>
  <c r="Z20" i="24"/>
  <c r="X21" i="24"/>
  <c r="W22" i="24"/>
  <c r="N23" i="24"/>
  <c r="M24" i="24"/>
  <c r="L25" i="24"/>
  <c r="K26" i="24"/>
  <c r="J27" i="24"/>
  <c r="I28" i="24"/>
  <c r="F15" i="25"/>
  <c r="K20" i="25"/>
  <c r="E6" i="24"/>
  <c r="I6" i="24"/>
  <c r="M6" i="24"/>
  <c r="X6" i="24"/>
  <c r="D7" i="24"/>
  <c r="H7" i="24"/>
  <c r="L7" i="24"/>
  <c r="X7" i="24"/>
  <c r="C8" i="24"/>
  <c r="G8" i="24"/>
  <c r="K8" i="24"/>
  <c r="W8" i="24"/>
  <c r="AB8" i="24"/>
  <c r="F9" i="24"/>
  <c r="J9" i="24"/>
  <c r="N9" i="24"/>
  <c r="AA9" i="24"/>
  <c r="E10" i="24"/>
  <c r="I10" i="24"/>
  <c r="M10" i="24"/>
  <c r="Z10" i="24"/>
  <c r="D11" i="24"/>
  <c r="H11" i="24"/>
  <c r="L11" i="24"/>
  <c r="X11" i="24"/>
  <c r="C12" i="24"/>
  <c r="G12" i="24"/>
  <c r="K12" i="24"/>
  <c r="W12" i="24"/>
  <c r="AB12" i="24"/>
  <c r="F13" i="24"/>
  <c r="J13" i="24"/>
  <c r="N13" i="24"/>
  <c r="AA13" i="24"/>
  <c r="E14" i="24"/>
  <c r="I14" i="24"/>
  <c r="M14" i="24"/>
  <c r="Z14" i="24"/>
  <c r="D15" i="24"/>
  <c r="H15" i="24"/>
  <c r="L15" i="24"/>
  <c r="X15" i="24"/>
  <c r="C19" i="24"/>
  <c r="G19" i="24"/>
  <c r="K19" i="24"/>
  <c r="W19" i="24"/>
  <c r="AB19" i="24"/>
  <c r="F20" i="24"/>
  <c r="J20" i="24"/>
  <c r="N20" i="24"/>
  <c r="AA20" i="24"/>
  <c r="E21" i="24"/>
  <c r="I21" i="24"/>
  <c r="M21" i="24"/>
  <c r="Z21" i="24"/>
  <c r="D22" i="24"/>
  <c r="H22" i="24"/>
  <c r="L22" i="24"/>
  <c r="X22" i="24"/>
  <c r="C23" i="24"/>
  <c r="G23" i="24"/>
  <c r="K23" i="24"/>
  <c r="W23" i="24"/>
  <c r="AB23" i="24"/>
  <c r="F24" i="24"/>
  <c r="J24" i="24"/>
  <c r="N24" i="24"/>
  <c r="AA24" i="24"/>
  <c r="E25" i="24"/>
  <c r="I25" i="24"/>
  <c r="M25" i="24"/>
  <c r="Z25" i="24"/>
  <c r="D26" i="24"/>
  <c r="H26" i="24"/>
  <c r="L26" i="24"/>
  <c r="X26" i="24"/>
  <c r="C27" i="24"/>
  <c r="G27" i="24"/>
  <c r="K27" i="24"/>
  <c r="W27" i="24"/>
  <c r="AB27" i="24"/>
  <c r="F28" i="24"/>
  <c r="J28" i="24"/>
  <c r="N28" i="24"/>
  <c r="AA28" i="24"/>
  <c r="N88" i="24"/>
  <c r="D92" i="24"/>
  <c r="D91" i="23"/>
  <c r="N89" i="23"/>
  <c r="D87" i="23"/>
  <c r="N85" i="23"/>
  <c r="N79" i="23"/>
  <c r="D77" i="23"/>
  <c r="N75" i="23"/>
  <c r="D73" i="23"/>
  <c r="N71" i="23"/>
  <c r="N88" i="23"/>
  <c r="D88" i="23"/>
  <c r="N76" i="23"/>
  <c r="D75" i="23"/>
  <c r="D89" i="23"/>
  <c r="D86" i="23"/>
  <c r="D84" i="23"/>
  <c r="D79" i="23"/>
  <c r="N78" i="23"/>
  <c r="D74" i="23"/>
  <c r="N73" i="23"/>
  <c r="N92" i="23"/>
  <c r="N90" i="23"/>
  <c r="N87" i="23"/>
  <c r="D76" i="23"/>
  <c r="D71" i="23"/>
  <c r="N84" i="23"/>
  <c r="N77" i="23"/>
  <c r="N72" i="23"/>
  <c r="D92" i="23"/>
  <c r="D90" i="23"/>
  <c r="D85" i="23"/>
  <c r="D78" i="23"/>
  <c r="N74" i="23"/>
  <c r="N86" i="23"/>
  <c r="W13" i="24"/>
  <c r="AB13" i="24"/>
  <c r="F14" i="24"/>
  <c r="J14" i="24"/>
  <c r="N14" i="24"/>
  <c r="AA14" i="24"/>
  <c r="E15" i="24"/>
  <c r="I15" i="24"/>
  <c r="M15" i="24"/>
  <c r="Z15" i="24"/>
  <c r="D19" i="24"/>
  <c r="H19" i="24"/>
  <c r="L19" i="24"/>
  <c r="X19" i="24"/>
  <c r="C20" i="24"/>
  <c r="G20" i="24"/>
  <c r="K20" i="24"/>
  <c r="W20" i="24"/>
  <c r="AB20" i="24"/>
  <c r="F21" i="24"/>
  <c r="J21" i="24"/>
  <c r="N21" i="24"/>
  <c r="AA21" i="24"/>
  <c r="E22" i="24"/>
  <c r="I22" i="24"/>
  <c r="M22" i="24"/>
  <c r="Z22" i="24"/>
  <c r="D23" i="24"/>
  <c r="H23" i="24"/>
  <c r="L23" i="24"/>
  <c r="X23" i="24"/>
  <c r="C24" i="24"/>
  <c r="G24" i="24"/>
  <c r="K24" i="24"/>
  <c r="W24" i="24"/>
  <c r="AB24" i="24"/>
  <c r="F25" i="24"/>
  <c r="J25" i="24"/>
  <c r="N25" i="24"/>
  <c r="AA25" i="24"/>
  <c r="E26" i="24"/>
  <c r="I26" i="24"/>
  <c r="M26" i="24"/>
  <c r="Z26" i="24"/>
  <c r="D27" i="24"/>
  <c r="H27" i="24"/>
  <c r="L27" i="24"/>
  <c r="X27" i="24"/>
  <c r="C28" i="24"/>
  <c r="G28" i="24"/>
  <c r="K28" i="24"/>
  <c r="W28" i="24"/>
  <c r="AB28" i="24"/>
  <c r="N90" i="24"/>
  <c r="N93" i="24"/>
  <c r="D91" i="24"/>
  <c r="N89" i="24"/>
  <c r="D87" i="24"/>
  <c r="N85" i="24"/>
  <c r="N91" i="24"/>
  <c r="J103" i="24"/>
  <c r="D90" i="24"/>
  <c r="N86" i="24"/>
  <c r="D85" i="24"/>
  <c r="D93" i="24"/>
  <c r="N92" i="24"/>
  <c r="D88" i="24"/>
  <c r="N87" i="24"/>
  <c r="N84" i="24"/>
  <c r="G6" i="24"/>
  <c r="K6" i="24"/>
  <c r="AA6" i="24"/>
  <c r="F7" i="24"/>
  <c r="J7" i="24"/>
  <c r="N7" i="24"/>
  <c r="AA7" i="24"/>
  <c r="E8" i="24"/>
  <c r="I8" i="24"/>
  <c r="M8" i="24"/>
  <c r="Z8" i="24"/>
  <c r="D9" i="24"/>
  <c r="H9" i="24"/>
  <c r="L9" i="24"/>
  <c r="X9" i="24"/>
  <c r="C10" i="24"/>
  <c r="G10" i="24"/>
  <c r="K10" i="24"/>
  <c r="W10" i="24"/>
  <c r="AB10" i="24"/>
  <c r="F11" i="24"/>
  <c r="J11" i="24"/>
  <c r="N11" i="24"/>
  <c r="AA11" i="24"/>
  <c r="E12" i="24"/>
  <c r="I12" i="24"/>
  <c r="M12" i="24"/>
  <c r="Z12" i="24"/>
  <c r="D13" i="24"/>
  <c r="H13" i="24"/>
  <c r="L13" i="24"/>
  <c r="X13" i="24"/>
  <c r="C14" i="24"/>
  <c r="C56" i="24"/>
  <c r="G14" i="24"/>
  <c r="K14" i="24"/>
  <c r="W14" i="24"/>
  <c r="AB14" i="24"/>
  <c r="F15" i="24"/>
  <c r="J15" i="24"/>
  <c r="N15" i="24"/>
  <c r="AA15" i="24"/>
  <c r="E19" i="24"/>
  <c r="I19" i="24"/>
  <c r="M19" i="24"/>
  <c r="Z19" i="24"/>
  <c r="D20" i="24"/>
  <c r="H20" i="24"/>
  <c r="L20" i="24"/>
  <c r="X20" i="24"/>
  <c r="C21" i="24"/>
  <c r="G21" i="24"/>
  <c r="K21" i="24"/>
  <c r="W21" i="24"/>
  <c r="AB21" i="24"/>
  <c r="F22" i="24"/>
  <c r="J22" i="24"/>
  <c r="N22" i="24"/>
  <c r="AA22" i="24"/>
  <c r="E23" i="24"/>
  <c r="I23" i="24"/>
  <c r="M23" i="24"/>
  <c r="Z23" i="24"/>
  <c r="D24" i="24"/>
  <c r="H24" i="24"/>
  <c r="L24" i="24"/>
  <c r="X24" i="24"/>
  <c r="C25" i="24"/>
  <c r="G25" i="24"/>
  <c r="K25" i="24"/>
  <c r="W25" i="24"/>
  <c r="AB25" i="24"/>
  <c r="F26" i="24"/>
  <c r="J26" i="24"/>
  <c r="N26" i="24"/>
  <c r="AA26" i="24"/>
  <c r="E27" i="24"/>
  <c r="I27" i="24"/>
  <c r="M27" i="24"/>
  <c r="Z27" i="24"/>
  <c r="D28" i="24"/>
  <c r="H28" i="24"/>
  <c r="L28" i="24"/>
  <c r="X28" i="24"/>
  <c r="D84" i="24"/>
  <c r="D89" i="24"/>
  <c r="N93" i="25"/>
  <c r="D91" i="25"/>
  <c r="N89" i="25"/>
  <c r="D87" i="25"/>
  <c r="N85" i="25"/>
  <c r="N79" i="25"/>
  <c r="D77" i="25"/>
  <c r="N90" i="25"/>
  <c r="D89" i="25"/>
  <c r="N84" i="25"/>
  <c r="D84" i="25"/>
  <c r="N77" i="25"/>
  <c r="D74" i="25"/>
  <c r="N72" i="25"/>
  <c r="Z28" i="25"/>
  <c r="M28" i="25"/>
  <c r="I28" i="25"/>
  <c r="E28" i="25"/>
  <c r="E27" i="25"/>
  <c r="E63" i="25"/>
  <c r="AA27" i="25"/>
  <c r="N27" i="25"/>
  <c r="J27" i="25"/>
  <c r="F27" i="25"/>
  <c r="AB26" i="25"/>
  <c r="W26" i="25"/>
  <c r="K26" i="25"/>
  <c r="G26" i="25"/>
  <c r="C26" i="25"/>
  <c r="X25" i="25"/>
  <c r="L25" i="25"/>
  <c r="H25" i="25"/>
  <c r="D25" i="25"/>
  <c r="Z24" i="25"/>
  <c r="M24" i="25"/>
  <c r="I24" i="25"/>
  <c r="E24" i="25"/>
  <c r="AA23" i="25"/>
  <c r="N23" i="25"/>
  <c r="J23" i="25"/>
  <c r="F23" i="25"/>
  <c r="AB22" i="25"/>
  <c r="W22" i="25"/>
  <c r="K22" i="25"/>
  <c r="G22" i="25"/>
  <c r="C22" i="25"/>
  <c r="X21" i="25"/>
  <c r="L21" i="25"/>
  <c r="H21" i="25"/>
  <c r="D21" i="25"/>
  <c r="Z20" i="25"/>
  <c r="M20" i="25"/>
  <c r="I20" i="25"/>
  <c r="E20" i="25"/>
  <c r="AA19" i="25"/>
  <c r="N19" i="25"/>
  <c r="J19" i="25"/>
  <c r="F19" i="25"/>
  <c r="X15" i="25"/>
  <c r="L15" i="25"/>
  <c r="H15" i="25"/>
  <c r="D15" i="25"/>
  <c r="Z14" i="25"/>
  <c r="M14" i="25"/>
  <c r="I14" i="25"/>
  <c r="E14" i="25"/>
  <c r="AA13" i="25"/>
  <c r="N13" i="25"/>
  <c r="J13" i="25"/>
  <c r="F13" i="25"/>
  <c r="AB12" i="25"/>
  <c r="W12" i="25"/>
  <c r="K12" i="25"/>
  <c r="G12" i="25"/>
  <c r="C12" i="25"/>
  <c r="X11" i="25"/>
  <c r="L11" i="25"/>
  <c r="H11" i="25"/>
  <c r="D11" i="25"/>
  <c r="Z10" i="25"/>
  <c r="M10" i="25"/>
  <c r="I10" i="25"/>
  <c r="E10" i="25"/>
  <c r="AA9" i="25"/>
  <c r="N9" i="25"/>
  <c r="J9" i="25"/>
  <c r="F9" i="25"/>
  <c r="AB8" i="25"/>
  <c r="W8" i="25"/>
  <c r="K8" i="25"/>
  <c r="G8" i="25"/>
  <c r="D92" i="25"/>
  <c r="N91" i="25"/>
  <c r="N88" i="25"/>
  <c r="N86" i="25"/>
  <c r="N76" i="25"/>
  <c r="N75" i="25"/>
  <c r="D75" i="25"/>
  <c r="W28" i="25"/>
  <c r="J28" i="25"/>
  <c r="D28" i="25"/>
  <c r="X27" i="25"/>
  <c r="K27" i="25"/>
  <c r="Z26" i="25"/>
  <c r="L26" i="25"/>
  <c r="F26" i="25"/>
  <c r="AA25" i="25"/>
  <c r="M25" i="25"/>
  <c r="G25" i="25"/>
  <c r="AB24" i="25"/>
  <c r="N24" i="25"/>
  <c r="H24" i="25"/>
  <c r="C24" i="25"/>
  <c r="W23" i="25"/>
  <c r="I23" i="25"/>
  <c r="D23" i="25"/>
  <c r="X22" i="25"/>
  <c r="J22" i="25"/>
  <c r="E22" i="25"/>
  <c r="Z21" i="25"/>
  <c r="K21" i="25"/>
  <c r="F21" i="25"/>
  <c r="AA20" i="25"/>
  <c r="L20" i="25"/>
  <c r="G20" i="25"/>
  <c r="AB19" i="25"/>
  <c r="M19" i="25"/>
  <c r="H19" i="25"/>
  <c r="C19" i="25"/>
  <c r="W15" i="25"/>
  <c r="J15" i="25"/>
  <c r="E15" i="25"/>
  <c r="E56" i="25"/>
  <c r="X14" i="25"/>
  <c r="K14" i="25"/>
  <c r="F14" i="25"/>
  <c r="Z13" i="25"/>
  <c r="L13" i="25"/>
  <c r="G13" i="25"/>
  <c r="AA12" i="25"/>
  <c r="M12" i="25"/>
  <c r="H12" i="25"/>
  <c r="AB11" i="25"/>
  <c r="N11" i="25"/>
  <c r="I11" i="25"/>
  <c r="C11" i="25"/>
  <c r="W10" i="25"/>
  <c r="J10" i="25"/>
  <c r="D10" i="25"/>
  <c r="X9" i="25"/>
  <c r="K9" i="25"/>
  <c r="E9" i="25"/>
  <c r="Z8" i="25"/>
  <c r="L8" i="25"/>
  <c r="F8" i="25"/>
  <c r="AB7" i="25"/>
  <c r="W7" i="25"/>
  <c r="K7" i="25"/>
  <c r="G7" i="25"/>
  <c r="C7" i="25"/>
  <c r="X6" i="25"/>
  <c r="L6" i="25"/>
  <c r="H6" i="25"/>
  <c r="D6" i="25"/>
  <c r="N78" i="25"/>
  <c r="D76" i="25"/>
  <c r="D73" i="25"/>
  <c r="D71" i="25"/>
  <c r="X28" i="25"/>
  <c r="H28" i="25"/>
  <c r="AB27" i="25"/>
  <c r="AB21" i="25"/>
  <c r="AB23" i="25"/>
  <c r="AB25" i="25"/>
  <c r="AB28" i="25"/>
  <c r="AB59" i="25"/>
  <c r="L27" i="25"/>
  <c r="D27" i="25"/>
  <c r="D63" i="25"/>
  <c r="N26" i="25"/>
  <c r="H26" i="25"/>
  <c r="Z25" i="25"/>
  <c r="J25" i="25"/>
  <c r="C25" i="25"/>
  <c r="L24" i="25"/>
  <c r="F24" i="25"/>
  <c r="F61" i="25"/>
  <c r="X23" i="25"/>
  <c r="H23" i="25"/>
  <c r="AA22" i="25"/>
  <c r="L22" i="25"/>
  <c r="D22" i="25"/>
  <c r="N21" i="25"/>
  <c r="G21" i="25"/>
  <c r="X20" i="25"/>
  <c r="J20" i="25"/>
  <c r="C20" i="25"/>
  <c r="L19" i="25"/>
  <c r="E19" i="25"/>
  <c r="AA15" i="25"/>
  <c r="K15" i="25"/>
  <c r="K56" i="25"/>
  <c r="C15" i="25"/>
  <c r="N14" i="25"/>
  <c r="N15" i="25"/>
  <c r="N56" i="25"/>
  <c r="G14" i="25"/>
  <c r="X13" i="25"/>
  <c r="I13" i="25"/>
  <c r="C13" i="25"/>
  <c r="L12" i="25"/>
  <c r="E12" i="25"/>
  <c r="E12" i="19"/>
  <c r="W11" i="25"/>
  <c r="G11" i="25"/>
  <c r="AA10" i="25"/>
  <c r="K10" i="25"/>
  <c r="D90" i="25"/>
  <c r="D86" i="25"/>
  <c r="D85" i="25"/>
  <c r="D79" i="25"/>
  <c r="D78" i="25"/>
  <c r="N74" i="25"/>
  <c r="N28" i="25"/>
  <c r="G28" i="25"/>
  <c r="Z27" i="25"/>
  <c r="Z63" i="25"/>
  <c r="I27" i="25"/>
  <c r="C27" i="25"/>
  <c r="M26" i="25"/>
  <c r="E26" i="25"/>
  <c r="W25" i="25"/>
  <c r="W62" i="25"/>
  <c r="I25" i="25"/>
  <c r="AA24" i="25"/>
  <c r="K24" i="25"/>
  <c r="K23" i="25"/>
  <c r="K25" i="25"/>
  <c r="K28" i="25"/>
  <c r="K59" i="25"/>
  <c r="D24" i="25"/>
  <c r="M23" i="25"/>
  <c r="G23" i="25"/>
  <c r="G24" i="25"/>
  <c r="G27" i="25"/>
  <c r="G59" i="25"/>
  <c r="Z22" i="25"/>
  <c r="I22" i="25"/>
  <c r="I21" i="25"/>
  <c r="I60" i="25"/>
  <c r="M21" i="25"/>
  <c r="E21" i="25"/>
  <c r="W20" i="25"/>
  <c r="H20" i="25"/>
  <c r="Z19" i="25"/>
  <c r="K19" i="25"/>
  <c r="D19" i="25"/>
  <c r="Z15" i="25"/>
  <c r="I15" i="25"/>
  <c r="AB14" i="25"/>
  <c r="L14" i="25"/>
  <c r="D14" i="25"/>
  <c r="N92" i="25"/>
  <c r="N87" i="25"/>
  <c r="N80" i="25"/>
  <c r="D80" i="25"/>
  <c r="D72" i="25"/>
  <c r="N71" i="25"/>
  <c r="L28" i="25"/>
  <c r="F28" i="25"/>
  <c r="W27" i="25"/>
  <c r="W63" i="25"/>
  <c r="H27" i="25"/>
  <c r="AA26" i="25"/>
  <c r="J26" i="25"/>
  <c r="D26" i="25"/>
  <c r="N25" i="25"/>
  <c r="F25" i="25"/>
  <c r="X24" i="25"/>
  <c r="J24" i="25"/>
  <c r="L23" i="25"/>
  <c r="L59" i="25"/>
  <c r="E23" i="25"/>
  <c r="N22" i="25"/>
  <c r="H22" i="25"/>
  <c r="AA21" i="25"/>
  <c r="J21" i="25"/>
  <c r="C21" i="25"/>
  <c r="N20" i="25"/>
  <c r="F20" i="25"/>
  <c r="X19" i="25"/>
  <c r="I19" i="25"/>
  <c r="G15" i="25"/>
  <c r="AA14" i="25"/>
  <c r="J14" i="25"/>
  <c r="C14" i="25"/>
  <c r="M13" i="25"/>
  <c r="E13" i="25"/>
  <c r="X12" i="25"/>
  <c r="I12" i="25"/>
  <c r="AA11" i="25"/>
  <c r="K11" i="25"/>
  <c r="E11" i="25"/>
  <c r="N10" i="25"/>
  <c r="G10" i="25"/>
  <c r="G54" i="25"/>
  <c r="Z9" i="25"/>
  <c r="I9" i="25"/>
  <c r="C9" i="25"/>
  <c r="M8" i="25"/>
  <c r="E8" i="25"/>
  <c r="Z7" i="25"/>
  <c r="L7" i="25"/>
  <c r="F7" i="25"/>
  <c r="AA6" i="25"/>
  <c r="M6" i="25"/>
  <c r="G6" i="25"/>
  <c r="X26" i="25"/>
  <c r="E25" i="25"/>
  <c r="W21" i="25"/>
  <c r="D20" i="25"/>
  <c r="W14" i="25"/>
  <c r="W56" i="25"/>
  <c r="K13" i="25"/>
  <c r="N12" i="25"/>
  <c r="N12" i="19"/>
  <c r="Z11" i="25"/>
  <c r="AB10" i="25"/>
  <c r="F10" i="25"/>
  <c r="F11" i="25"/>
  <c r="F54" i="25"/>
  <c r="M9" i="25"/>
  <c r="D9" i="25"/>
  <c r="J8" i="25"/>
  <c r="J53" i="25"/>
  <c r="C8" i="25"/>
  <c r="M7" i="25"/>
  <c r="E7" i="25"/>
  <c r="W6" i="25"/>
  <c r="I6" i="25"/>
  <c r="D93" i="25"/>
  <c r="C28" i="25"/>
  <c r="I26" i="25"/>
  <c r="W24" i="25"/>
  <c r="C23" i="25"/>
  <c r="W19" i="25"/>
  <c r="AB15" i="25"/>
  <c r="AB9" i="25"/>
  <c r="AB13" i="25"/>
  <c r="AB52" i="25"/>
  <c r="H14" i="25"/>
  <c r="H56" i="25"/>
  <c r="H13" i="25"/>
  <c r="J12" i="25"/>
  <c r="M11" i="25"/>
  <c r="X10" i="25"/>
  <c r="C10" i="25"/>
  <c r="L9" i="25"/>
  <c r="L53" i="25"/>
  <c r="AA8" i="25"/>
  <c r="I8" i="25"/>
  <c r="AA7" i="25"/>
  <c r="J7" i="25"/>
  <c r="D7" i="25"/>
  <c r="N6" i="25"/>
  <c r="F6" i="25"/>
  <c r="D88" i="25"/>
  <c r="D88" i="19"/>
  <c r="N73" i="25"/>
  <c r="N99" i="25"/>
  <c r="AB62" i="25"/>
  <c r="M22" i="25"/>
  <c r="G19" i="25"/>
  <c r="F12" i="25"/>
  <c r="F55" i="25"/>
  <c r="L10" i="25"/>
  <c r="L52" i="25"/>
  <c r="H9" i="25"/>
  <c r="H35" i="25"/>
  <c r="H8" i="25"/>
  <c r="I7" i="25"/>
  <c r="H7" i="25"/>
  <c r="T7" i="25"/>
  <c r="K6" i="25"/>
  <c r="AA28" i="25"/>
  <c r="AA63" i="25"/>
  <c r="F22" i="25"/>
  <c r="F59" i="25"/>
  <c r="W13" i="25"/>
  <c r="D12" i="25"/>
  <c r="D12" i="19"/>
  <c r="H10" i="25"/>
  <c r="G9" i="25"/>
  <c r="G35" i="25"/>
  <c r="D8" i="25"/>
  <c r="J6" i="25"/>
  <c r="M27" i="25"/>
  <c r="M63" i="25"/>
  <c r="G24" i="19"/>
  <c r="AB20" i="25"/>
  <c r="M15" i="25"/>
  <c r="M15" i="19"/>
  <c r="D13" i="25"/>
  <c r="D13" i="19"/>
  <c r="J11" i="25"/>
  <c r="X8" i="25"/>
  <c r="X7" i="25"/>
  <c r="X33" i="25"/>
  <c r="AB6" i="25"/>
  <c r="AB32" i="25"/>
  <c r="E6" i="25"/>
  <c r="Z6" i="25"/>
  <c r="Z23" i="25"/>
  <c r="N7" i="25"/>
  <c r="Z12" i="25"/>
  <c r="Z55" i="25"/>
  <c r="D63" i="23"/>
  <c r="Z56" i="23"/>
  <c r="E56" i="23"/>
  <c r="J55" i="23"/>
  <c r="X107" i="24"/>
  <c r="N108" i="24"/>
  <c r="L109" i="24"/>
  <c r="W43" i="24"/>
  <c r="AA109" i="24"/>
  <c r="N64" i="24"/>
  <c r="AB43" i="24"/>
  <c r="N43" i="24"/>
  <c r="K107" i="24"/>
  <c r="I108" i="24"/>
  <c r="AB64" i="24"/>
  <c r="M63" i="24"/>
  <c r="W56" i="24"/>
  <c r="C103" i="24"/>
  <c r="X17" i="19"/>
  <c r="L65" i="23"/>
  <c r="L31" i="19"/>
  <c r="L65" i="19"/>
  <c r="I94" i="19"/>
  <c r="C17" i="19"/>
  <c r="C16" i="19"/>
  <c r="C57" i="19"/>
  <c r="H30" i="19"/>
  <c r="N108" i="23"/>
  <c r="N82" i="19"/>
  <c r="AB96" i="19"/>
  <c r="M16" i="19"/>
  <c r="K18" i="19"/>
  <c r="K58" i="19"/>
  <c r="I30" i="19"/>
  <c r="I29" i="19"/>
  <c r="I64" i="19"/>
  <c r="X81" i="19"/>
  <c r="M94" i="19"/>
  <c r="H17" i="19"/>
  <c r="D65" i="23"/>
  <c r="D31" i="19"/>
  <c r="D65" i="19"/>
  <c r="Z94" i="19"/>
  <c r="K43" i="23"/>
  <c r="K17" i="19"/>
  <c r="K16" i="19"/>
  <c r="K57" i="19"/>
  <c r="G17" i="19"/>
  <c r="E29" i="19"/>
  <c r="C31" i="19"/>
  <c r="C65" i="19"/>
  <c r="AB81" i="19"/>
  <c r="Z83" i="19"/>
  <c r="J16" i="19"/>
  <c r="I17" i="19"/>
  <c r="I16" i="19"/>
  <c r="I57" i="19"/>
  <c r="H18" i="19"/>
  <c r="H58" i="19"/>
  <c r="G29" i="19"/>
  <c r="F30" i="19"/>
  <c r="E65" i="23"/>
  <c r="E31" i="19"/>
  <c r="E65" i="19"/>
  <c r="I81" i="19"/>
  <c r="L82" i="19"/>
  <c r="AB83" i="19"/>
  <c r="X95" i="19"/>
  <c r="J17" i="19"/>
  <c r="I18" i="19"/>
  <c r="I58" i="19"/>
  <c r="H29" i="19"/>
  <c r="H64" i="19"/>
  <c r="G30" i="19"/>
  <c r="F65" i="23"/>
  <c r="F31" i="19"/>
  <c r="F65" i="19"/>
  <c r="J81" i="19"/>
  <c r="M82" i="19"/>
  <c r="X83" i="19"/>
  <c r="I95" i="19"/>
  <c r="N95" i="19"/>
  <c r="Z96" i="19"/>
  <c r="J96" i="19"/>
  <c r="W18" i="19"/>
  <c r="W58" i="19"/>
  <c r="L81" i="19"/>
  <c r="M95" i="19"/>
  <c r="AB17" i="19"/>
  <c r="X30" i="19"/>
  <c r="M83" i="19"/>
  <c r="D43" i="23"/>
  <c r="D17" i="19"/>
  <c r="AB18" i="19"/>
  <c r="AB58" i="19"/>
  <c r="Z30" i="19"/>
  <c r="W82" i="19"/>
  <c r="D96" i="19"/>
  <c r="G18" i="19"/>
  <c r="G58" i="19"/>
  <c r="D81" i="19"/>
  <c r="L96" i="19"/>
  <c r="J18" i="19"/>
  <c r="J58" i="19"/>
  <c r="L94" i="19"/>
  <c r="W43" i="23"/>
  <c r="W17" i="19"/>
  <c r="M29" i="19"/>
  <c r="K65" i="23"/>
  <c r="K31" i="19"/>
  <c r="K65" i="19"/>
  <c r="J82" i="19"/>
  <c r="X94" i="19"/>
  <c r="N16" i="19"/>
  <c r="M17" i="19"/>
  <c r="L18" i="19"/>
  <c r="L58" i="19"/>
  <c r="K29" i="19"/>
  <c r="J30" i="19"/>
  <c r="I65" i="23"/>
  <c r="I31" i="19"/>
  <c r="I65" i="19"/>
  <c r="M81" i="19"/>
  <c r="X82" i="19"/>
  <c r="J94" i="19"/>
  <c r="W96" i="19"/>
  <c r="W16" i="19"/>
  <c r="N17" i="19"/>
  <c r="M18" i="19"/>
  <c r="M58" i="19"/>
  <c r="L29" i="19"/>
  <c r="L30" i="19"/>
  <c r="L64" i="19"/>
  <c r="K30" i="19"/>
  <c r="J31" i="19"/>
  <c r="J65" i="19"/>
  <c r="N81" i="19"/>
  <c r="Z82" i="19"/>
  <c r="K94" i="19"/>
  <c r="Z95" i="19"/>
  <c r="AA95" i="19"/>
  <c r="K95" i="19"/>
  <c r="N96" i="19"/>
  <c r="N64" i="23"/>
  <c r="N29" i="19"/>
  <c r="K108" i="23"/>
  <c r="K82" i="19"/>
  <c r="AA18" i="19"/>
  <c r="AA58" i="19"/>
  <c r="W65" i="23"/>
  <c r="W31" i="19"/>
  <c r="W65" i="19"/>
  <c r="D94" i="19"/>
  <c r="L43" i="23"/>
  <c r="L17" i="19"/>
  <c r="J29" i="19"/>
  <c r="J64" i="19"/>
  <c r="H31" i="19"/>
  <c r="H65" i="19"/>
  <c r="F29" i="19"/>
  <c r="AB82" i="19"/>
  <c r="H16" i="19"/>
  <c r="F18" i="19"/>
  <c r="F58" i="19"/>
  <c r="D30" i="19"/>
  <c r="AB65" i="23"/>
  <c r="AB31" i="19"/>
  <c r="AB65" i="19"/>
  <c r="AA108" i="23"/>
  <c r="AA108" i="25"/>
  <c r="AA108" i="19"/>
  <c r="AA82" i="19"/>
  <c r="L95" i="19"/>
  <c r="AA16" i="19"/>
  <c r="Z17" i="19"/>
  <c r="X18" i="19"/>
  <c r="X58" i="19"/>
  <c r="W29" i="19"/>
  <c r="N30" i="19"/>
  <c r="M65" i="23"/>
  <c r="M31" i="19"/>
  <c r="M65" i="19"/>
  <c r="Z81" i="19"/>
  <c r="K83" i="19"/>
  <c r="N94" i="19"/>
  <c r="AB16" i="19"/>
  <c r="AB57" i="19"/>
  <c r="AA17" i="19"/>
  <c r="Z18" i="19"/>
  <c r="Z58" i="19"/>
  <c r="X29" i="19"/>
  <c r="X64" i="19"/>
  <c r="W30" i="19"/>
  <c r="N65" i="23"/>
  <c r="N31" i="19"/>
  <c r="N65" i="19"/>
  <c r="AA81" i="19"/>
  <c r="D83" i="19"/>
  <c r="W94" i="19"/>
  <c r="X96" i="19"/>
  <c r="I96" i="19"/>
  <c r="W95" i="19"/>
  <c r="AA96" i="19"/>
  <c r="F107" i="24"/>
  <c r="F81" i="19"/>
  <c r="Z16" i="19"/>
  <c r="M30" i="19"/>
  <c r="J83" i="19"/>
  <c r="D16" i="19"/>
  <c r="Z29" i="19"/>
  <c r="W81" i="19"/>
  <c r="D95" i="19"/>
  <c r="E16" i="19"/>
  <c r="C18" i="19"/>
  <c r="C58" i="19"/>
  <c r="AA29" i="19"/>
  <c r="X65" i="23"/>
  <c r="X31" i="19"/>
  <c r="X65" i="19"/>
  <c r="N83" i="19"/>
  <c r="E30" i="19"/>
  <c r="AA83" i="19"/>
  <c r="L16" i="19"/>
  <c r="G65" i="23"/>
  <c r="G31" i="19"/>
  <c r="G65" i="19"/>
  <c r="X16" i="19"/>
  <c r="N18" i="19"/>
  <c r="N58" i="19"/>
  <c r="K81" i="19"/>
  <c r="I83" i="19"/>
  <c r="K96" i="19"/>
  <c r="F16" i="19"/>
  <c r="E17" i="19"/>
  <c r="D18" i="19"/>
  <c r="D58" i="19"/>
  <c r="C29" i="19"/>
  <c r="AB29" i="19"/>
  <c r="AA30" i="19"/>
  <c r="Z65" i="23"/>
  <c r="Z31" i="19"/>
  <c r="Z65" i="19"/>
  <c r="D82" i="19"/>
  <c r="W83" i="19"/>
  <c r="AA94" i="19"/>
  <c r="G16" i="19"/>
  <c r="F17" i="19"/>
  <c r="E18" i="19"/>
  <c r="E58" i="19"/>
  <c r="D29" i="19"/>
  <c r="D64" i="19"/>
  <c r="C30" i="19"/>
  <c r="AB30" i="19"/>
  <c r="AB64" i="19"/>
  <c r="AA65" i="23"/>
  <c r="AA31" i="19"/>
  <c r="AA65" i="19"/>
  <c r="I108" i="23"/>
  <c r="I82" i="19"/>
  <c r="L83" i="19"/>
  <c r="AB94" i="19"/>
  <c r="J95" i="19"/>
  <c r="M96" i="19"/>
  <c r="AB95" i="19"/>
  <c r="E94" i="19"/>
  <c r="G109" i="24"/>
  <c r="E81" i="19"/>
  <c r="C108" i="24"/>
  <c r="AA43" i="24"/>
  <c r="K107" i="23"/>
  <c r="I109" i="23"/>
  <c r="F109" i="24"/>
  <c r="D103" i="24"/>
  <c r="AA64" i="23"/>
  <c r="AA109" i="23"/>
  <c r="G107" i="24"/>
  <c r="E108" i="24"/>
  <c r="AB109" i="24"/>
  <c r="W64" i="24"/>
  <c r="L107" i="24"/>
  <c r="W107" i="23"/>
  <c r="W107" i="24"/>
  <c r="W107" i="25"/>
  <c r="W107" i="19"/>
  <c r="W64" i="23"/>
  <c r="N109" i="23"/>
  <c r="W108" i="23"/>
  <c r="G43" i="23"/>
  <c r="L107" i="23"/>
  <c r="X107" i="23"/>
  <c r="G64" i="23"/>
  <c r="E43" i="24"/>
  <c r="AB43" i="23"/>
  <c r="M109" i="23"/>
  <c r="K43" i="24"/>
  <c r="E64" i="24"/>
  <c r="X108" i="24"/>
  <c r="F56" i="25"/>
  <c r="Z108" i="24"/>
  <c r="W109" i="24"/>
  <c r="F64" i="23"/>
  <c r="I64" i="23"/>
  <c r="Z108" i="23"/>
  <c r="Z109" i="25"/>
  <c r="N107" i="25"/>
  <c r="L108" i="25"/>
  <c r="J109" i="25"/>
  <c r="G107" i="25"/>
  <c r="E108" i="25"/>
  <c r="C109" i="25"/>
  <c r="AB109" i="25"/>
  <c r="X109" i="23"/>
  <c r="M108" i="24"/>
  <c r="K109" i="24"/>
  <c r="K64" i="23"/>
  <c r="E57" i="25"/>
  <c r="W108" i="25"/>
  <c r="E107" i="25"/>
  <c r="J107" i="25"/>
  <c r="H108" i="25"/>
  <c r="F109" i="25"/>
  <c r="C107" i="25"/>
  <c r="AB107" i="25"/>
  <c r="Z108" i="25"/>
  <c r="W109" i="25"/>
  <c r="X43" i="23"/>
  <c r="H57" i="25"/>
  <c r="X64" i="25"/>
  <c r="G108" i="25"/>
  <c r="X107" i="25"/>
  <c r="L109" i="25"/>
  <c r="AA107" i="24"/>
  <c r="N109" i="24"/>
  <c r="U96" i="24"/>
  <c r="G43" i="25"/>
  <c r="AA107" i="25"/>
  <c r="X108" i="25"/>
  <c r="N109" i="25"/>
  <c r="K107" i="25"/>
  <c r="K107" i="19"/>
  <c r="I108" i="25"/>
  <c r="G109" i="25"/>
  <c r="K64" i="24"/>
  <c r="F108" i="24"/>
  <c r="D109" i="24"/>
  <c r="G64" i="25"/>
  <c r="I107" i="25"/>
  <c r="AB108" i="23"/>
  <c r="AB107" i="23"/>
  <c r="Z109" i="23"/>
  <c r="T96" i="25"/>
  <c r="Q96" i="25"/>
  <c r="N108" i="25"/>
  <c r="W58" i="23"/>
  <c r="W44" i="23"/>
  <c r="S17" i="23"/>
  <c r="C43" i="23"/>
  <c r="O17" i="23"/>
  <c r="T30" i="23"/>
  <c r="Q30" i="23"/>
  <c r="AB58" i="23"/>
  <c r="AB44" i="23"/>
  <c r="T17" i="23"/>
  <c r="H43" i="23"/>
  <c r="Q17" i="23"/>
  <c r="H57" i="23"/>
  <c r="Q16" i="23"/>
  <c r="T16" i="23"/>
  <c r="H42" i="23"/>
  <c r="F58" i="23"/>
  <c r="F44" i="23"/>
  <c r="U82" i="23"/>
  <c r="J108" i="23"/>
  <c r="J42" i="23"/>
  <c r="U16" i="23"/>
  <c r="J57" i="23"/>
  <c r="I43" i="23"/>
  <c r="H44" i="23"/>
  <c r="T18" i="23"/>
  <c r="Q18" i="23"/>
  <c r="H58" i="23"/>
  <c r="E107" i="23"/>
  <c r="D108" i="23"/>
  <c r="AB109" i="23"/>
  <c r="G57" i="23"/>
  <c r="G42" i="23"/>
  <c r="G42" i="24"/>
  <c r="G42" i="25"/>
  <c r="G42" i="19"/>
  <c r="F43" i="23"/>
  <c r="E58" i="23"/>
  <c r="E44" i="23"/>
  <c r="D64" i="23"/>
  <c r="O30" i="23"/>
  <c r="S30" i="23"/>
  <c r="AA107" i="23"/>
  <c r="U96" i="23"/>
  <c r="AA58" i="24"/>
  <c r="AA44" i="24"/>
  <c r="AA51" i="24"/>
  <c r="J58" i="24"/>
  <c r="J44" i="24"/>
  <c r="J51" i="24"/>
  <c r="U18" i="24"/>
  <c r="K42" i="24"/>
  <c r="K50" i="24"/>
  <c r="K57" i="24"/>
  <c r="K58" i="24"/>
  <c r="K44" i="24"/>
  <c r="K51" i="24"/>
  <c r="T82" i="24"/>
  <c r="Q82" i="24"/>
  <c r="H108" i="24"/>
  <c r="E42" i="24"/>
  <c r="E57" i="24"/>
  <c r="E44" i="24"/>
  <c r="E51" i="24"/>
  <c r="E58" i="24"/>
  <c r="G50" i="24"/>
  <c r="G57" i="24"/>
  <c r="G58" i="24"/>
  <c r="G44" i="24"/>
  <c r="G51" i="24"/>
  <c r="S94" i="24"/>
  <c r="O94" i="24"/>
  <c r="M42" i="24"/>
  <c r="M57" i="24"/>
  <c r="M43" i="24"/>
  <c r="M58" i="24"/>
  <c r="M44" i="24"/>
  <c r="L64" i="24"/>
  <c r="J65" i="24"/>
  <c r="U31" i="24"/>
  <c r="U65" i="24"/>
  <c r="I107" i="24"/>
  <c r="Q94" i="24"/>
  <c r="T94" i="24"/>
  <c r="G108" i="24"/>
  <c r="E109" i="24"/>
  <c r="D64" i="25"/>
  <c r="N43" i="25"/>
  <c r="Q94" i="25"/>
  <c r="T94" i="25"/>
  <c r="K108" i="25"/>
  <c r="C108" i="25"/>
  <c r="U94" i="25"/>
  <c r="T95" i="25"/>
  <c r="Q95" i="25"/>
  <c r="D107" i="25"/>
  <c r="S94" i="25"/>
  <c r="X109" i="25"/>
  <c r="J64" i="23"/>
  <c r="U29" i="23"/>
  <c r="H65" i="23"/>
  <c r="T31" i="23"/>
  <c r="Q31" i="23"/>
  <c r="G58" i="23"/>
  <c r="G44" i="23"/>
  <c r="D107" i="23"/>
  <c r="L42" i="23"/>
  <c r="L57" i="23"/>
  <c r="X42" i="23"/>
  <c r="X57" i="23"/>
  <c r="N58" i="23"/>
  <c r="N44" i="23"/>
  <c r="N42" i="23"/>
  <c r="N57" i="23"/>
  <c r="M43" i="23"/>
  <c r="L58" i="23"/>
  <c r="L44" i="23"/>
  <c r="U30" i="23"/>
  <c r="I107" i="23"/>
  <c r="K57" i="23"/>
  <c r="K42" i="23"/>
  <c r="J43" i="23"/>
  <c r="U17" i="23"/>
  <c r="I58" i="23"/>
  <c r="I44" i="23"/>
  <c r="T29" i="23"/>
  <c r="Q29" i="23"/>
  <c r="H64" i="23"/>
  <c r="D109" i="23"/>
  <c r="D109" i="25"/>
  <c r="D109" i="19"/>
  <c r="O95" i="24"/>
  <c r="S95" i="24"/>
  <c r="Q30" i="24"/>
  <c r="T30" i="24"/>
  <c r="AB42" i="24"/>
  <c r="AB57" i="24"/>
  <c r="AB44" i="24"/>
  <c r="AB51" i="24"/>
  <c r="AB58" i="24"/>
  <c r="N42" i="24"/>
  <c r="N57" i="24"/>
  <c r="N58" i="24"/>
  <c r="N44" i="24"/>
  <c r="N51" i="24"/>
  <c r="L108" i="24"/>
  <c r="F42" i="24"/>
  <c r="F57" i="24"/>
  <c r="F44" i="24"/>
  <c r="F51" i="24"/>
  <c r="F58" i="24"/>
  <c r="S81" i="24"/>
  <c r="O81" i="24"/>
  <c r="C107" i="24"/>
  <c r="AB107" i="24"/>
  <c r="L57" i="24"/>
  <c r="L42" i="24"/>
  <c r="L43" i="24"/>
  <c r="L58" i="24"/>
  <c r="L44" i="24"/>
  <c r="L51" i="24"/>
  <c r="U30" i="24"/>
  <c r="I44" i="24"/>
  <c r="I65" i="24"/>
  <c r="H107" i="24"/>
  <c r="Q81" i="24"/>
  <c r="T81" i="24"/>
  <c r="O96" i="24"/>
  <c r="S96" i="24"/>
  <c r="Z57" i="24"/>
  <c r="Z42" i="24"/>
  <c r="Z43" i="24"/>
  <c r="Z58" i="24"/>
  <c r="Z44" i="24"/>
  <c r="Z51" i="24"/>
  <c r="X64" i="24"/>
  <c r="M107" i="24"/>
  <c r="K108" i="24"/>
  <c r="U95" i="24"/>
  <c r="U95" i="23"/>
  <c r="U95" i="25"/>
  <c r="U95" i="19"/>
  <c r="I109" i="24"/>
  <c r="T96" i="24"/>
  <c r="Q96" i="24"/>
  <c r="L57" i="25"/>
  <c r="D43" i="25"/>
  <c r="F107" i="25"/>
  <c r="D108" i="25"/>
  <c r="S95" i="25"/>
  <c r="AA109" i="25"/>
  <c r="M108" i="25"/>
  <c r="K109" i="25"/>
  <c r="U96" i="25"/>
  <c r="H107" i="25"/>
  <c r="F108" i="25"/>
  <c r="S96" i="25"/>
  <c r="Z42" i="23"/>
  <c r="Z57" i="23"/>
  <c r="J109" i="23"/>
  <c r="U83" i="23"/>
  <c r="AA58" i="23"/>
  <c r="AA44" i="23"/>
  <c r="E42" i="23"/>
  <c r="E57" i="23"/>
  <c r="C58" i="23"/>
  <c r="O18" i="23"/>
  <c r="C44" i="23"/>
  <c r="S18" i="23"/>
  <c r="E64" i="23"/>
  <c r="O31" i="23"/>
  <c r="S31" i="23"/>
  <c r="C65" i="23"/>
  <c r="AA42" i="23"/>
  <c r="AA57" i="23"/>
  <c r="Z43" i="23"/>
  <c r="Z50" i="23"/>
  <c r="X58" i="23"/>
  <c r="X44" i="23"/>
  <c r="M107" i="23"/>
  <c r="L108" i="23"/>
  <c r="K109" i="23"/>
  <c r="U94" i="23"/>
  <c r="W57" i="23"/>
  <c r="W42" i="23"/>
  <c r="N43" i="23"/>
  <c r="M58" i="23"/>
  <c r="M44" i="23"/>
  <c r="L64" i="23"/>
  <c r="J65" i="23"/>
  <c r="U31" i="23"/>
  <c r="U81" i="23"/>
  <c r="J107" i="23"/>
  <c r="U17" i="24"/>
  <c r="U43" i="24"/>
  <c r="J43" i="24"/>
  <c r="Z64" i="24"/>
  <c r="J64" i="24"/>
  <c r="U29" i="24"/>
  <c r="U64" i="24"/>
  <c r="U81" i="24"/>
  <c r="J107" i="24"/>
  <c r="W57" i="24"/>
  <c r="W42" i="24"/>
  <c r="W50" i="24"/>
  <c r="W58" i="24"/>
  <c r="W44" i="24"/>
  <c r="W51" i="24"/>
  <c r="O31" i="24"/>
  <c r="O65" i="24"/>
  <c r="C65" i="24"/>
  <c r="S31" i="24"/>
  <c r="S65" i="24"/>
  <c r="Q31" i="24"/>
  <c r="Q65" i="24"/>
  <c r="T31" i="24"/>
  <c r="T65" i="24"/>
  <c r="H65" i="24"/>
  <c r="C109" i="24"/>
  <c r="O83" i="24"/>
  <c r="S83" i="24"/>
  <c r="X57" i="24"/>
  <c r="X42" i="24"/>
  <c r="X43" i="24"/>
  <c r="X58" i="24"/>
  <c r="X44" i="24"/>
  <c r="X51" i="24"/>
  <c r="J108" i="24"/>
  <c r="U82" i="24"/>
  <c r="T83" i="24"/>
  <c r="H109" i="24"/>
  <c r="Q83" i="24"/>
  <c r="D42" i="24"/>
  <c r="D57" i="24"/>
  <c r="D43" i="24"/>
  <c r="D58" i="24"/>
  <c r="D44" i="24"/>
  <c r="D51" i="24"/>
  <c r="D64" i="24"/>
  <c r="O30" i="24"/>
  <c r="S30" i="24"/>
  <c r="Z107" i="24"/>
  <c r="W108" i="24"/>
  <c r="M109" i="24"/>
  <c r="M107" i="25"/>
  <c r="I109" i="25"/>
  <c r="L107" i="25"/>
  <c r="J108" i="25"/>
  <c r="H109" i="25"/>
  <c r="D42" i="23"/>
  <c r="D50" i="23"/>
  <c r="D57" i="23"/>
  <c r="Z64" i="23"/>
  <c r="M42" i="23"/>
  <c r="M57" i="23"/>
  <c r="K58" i="23"/>
  <c r="K44" i="23"/>
  <c r="I42" i="23"/>
  <c r="I57" i="23"/>
  <c r="J58" i="23"/>
  <c r="J44" i="23"/>
  <c r="U18" i="23"/>
  <c r="D41" i="23"/>
  <c r="M64" i="23"/>
  <c r="F57" i="23"/>
  <c r="F42" i="23"/>
  <c r="E43" i="23"/>
  <c r="D58" i="23"/>
  <c r="D44" i="23"/>
  <c r="C64" i="23"/>
  <c r="O29" i="23"/>
  <c r="S29" i="23"/>
  <c r="S16" i="23"/>
  <c r="S42" i="23"/>
  <c r="AB64" i="23"/>
  <c r="Z107" i="23"/>
  <c r="X108" i="23"/>
  <c r="W109" i="23"/>
  <c r="O16" i="23"/>
  <c r="C42" i="23"/>
  <c r="C57" i="23"/>
  <c r="AB42" i="23"/>
  <c r="AB57" i="23"/>
  <c r="AA43" i="23"/>
  <c r="Z58" i="23"/>
  <c r="Z44" i="23"/>
  <c r="X64" i="23"/>
  <c r="N107" i="23"/>
  <c r="M108" i="23"/>
  <c r="M108" i="19"/>
  <c r="L109" i="23"/>
  <c r="AA42" i="24"/>
  <c r="AA57" i="24"/>
  <c r="I42" i="24"/>
  <c r="I50" i="24"/>
  <c r="I64" i="24"/>
  <c r="J57" i="24"/>
  <c r="J42" i="24"/>
  <c r="U16" i="24"/>
  <c r="N107" i="24"/>
  <c r="U83" i="24"/>
  <c r="J109" i="24"/>
  <c r="F43" i="24"/>
  <c r="F64" i="24"/>
  <c r="U94" i="24"/>
  <c r="U107" i="24"/>
  <c r="T95" i="24"/>
  <c r="Q95" i="24"/>
  <c r="O16" i="24"/>
  <c r="C42" i="24"/>
  <c r="C57" i="24"/>
  <c r="S16" i="24"/>
  <c r="C43" i="24"/>
  <c r="S17" i="24"/>
  <c r="S43" i="24"/>
  <c r="O17" i="24"/>
  <c r="C58" i="24"/>
  <c r="C44" i="24"/>
  <c r="C51" i="24"/>
  <c r="S18" i="24"/>
  <c r="O18" i="24"/>
  <c r="O29" i="24"/>
  <c r="C64" i="24"/>
  <c r="S29" i="24"/>
  <c r="T16" i="24"/>
  <c r="Q16" i="24"/>
  <c r="H42" i="24"/>
  <c r="H57" i="24"/>
  <c r="T17" i="24"/>
  <c r="H43" i="24"/>
  <c r="Q17" i="24"/>
  <c r="Q57" i="24"/>
  <c r="T18" i="24"/>
  <c r="H58" i="24"/>
  <c r="Q18" i="24"/>
  <c r="H44" i="24"/>
  <c r="H51" i="24"/>
  <c r="T29" i="24"/>
  <c r="H64" i="24"/>
  <c r="Q29" i="24"/>
  <c r="E107" i="24"/>
  <c r="E107" i="19"/>
  <c r="S82" i="24"/>
  <c r="O82" i="24"/>
  <c r="AB108" i="24"/>
  <c r="Z109" i="24"/>
  <c r="H101" i="25"/>
  <c r="G63" i="25"/>
  <c r="AB43" i="25"/>
  <c r="D57" i="25"/>
  <c r="AB64" i="25"/>
  <c r="C64" i="25"/>
  <c r="N99" i="24"/>
  <c r="M57" i="25"/>
  <c r="L43" i="25"/>
  <c r="E63" i="24"/>
  <c r="H104" i="24"/>
  <c r="W64" i="25"/>
  <c r="H64" i="25"/>
  <c r="I63" i="24"/>
  <c r="Z63" i="24"/>
  <c r="K56" i="24"/>
  <c r="W43" i="25"/>
  <c r="AB105" i="24"/>
  <c r="G56" i="24"/>
  <c r="F43" i="25"/>
  <c r="Z55" i="24"/>
  <c r="D37" i="23"/>
  <c r="J56" i="25"/>
  <c r="AB63" i="25"/>
  <c r="D33" i="23"/>
  <c r="D39" i="23"/>
  <c r="C54" i="23"/>
  <c r="T78" i="24"/>
  <c r="AB98" i="24"/>
  <c r="AB56" i="24"/>
  <c r="AB56" i="25"/>
  <c r="Z56" i="25"/>
  <c r="J63" i="25"/>
  <c r="AA63" i="24"/>
  <c r="D56" i="25"/>
  <c r="H63" i="25"/>
  <c r="K63" i="25"/>
  <c r="C63" i="25"/>
  <c r="G56" i="25"/>
  <c r="I56" i="25"/>
  <c r="D63" i="24"/>
  <c r="N56" i="24"/>
  <c r="AB63" i="24"/>
  <c r="C63" i="24"/>
  <c r="M56" i="24"/>
  <c r="D56" i="24"/>
  <c r="X56" i="24"/>
  <c r="L56" i="24"/>
  <c r="D40" i="23"/>
  <c r="Z44" i="25"/>
  <c r="Z51" i="25"/>
  <c r="Z58" i="25"/>
  <c r="X42" i="25"/>
  <c r="X57" i="25"/>
  <c r="L44" i="25"/>
  <c r="L51" i="25"/>
  <c r="L58" i="25"/>
  <c r="AA57" i="25"/>
  <c r="Z64" i="25"/>
  <c r="K57" i="25"/>
  <c r="J64" i="25"/>
  <c r="C56" i="25"/>
  <c r="I63" i="25"/>
  <c r="L63" i="25"/>
  <c r="M56" i="25"/>
  <c r="F63" i="25"/>
  <c r="X63" i="24"/>
  <c r="J56" i="24"/>
  <c r="W63" i="24"/>
  <c r="I56" i="24"/>
  <c r="J63" i="24"/>
  <c r="N63" i="24"/>
  <c r="H56" i="24"/>
  <c r="F63" i="24"/>
  <c r="D34" i="23"/>
  <c r="D36" i="23"/>
  <c r="D38" i="23"/>
  <c r="D35" i="23"/>
  <c r="S31" i="25"/>
  <c r="S65" i="25"/>
  <c r="C65" i="25"/>
  <c r="Z42" i="25"/>
  <c r="Z42" i="19"/>
  <c r="Z57" i="25"/>
  <c r="F42" i="25"/>
  <c r="F57" i="25"/>
  <c r="E64" i="25"/>
  <c r="AA44" i="25"/>
  <c r="AA51" i="25"/>
  <c r="AA58" i="25"/>
  <c r="W57" i="25"/>
  <c r="N64" i="25"/>
  <c r="L63" i="24"/>
  <c r="F56" i="24"/>
  <c r="K63" i="24"/>
  <c r="E56" i="24"/>
  <c r="J57" i="25"/>
  <c r="I64" i="25"/>
  <c r="F44" i="25"/>
  <c r="F51" i="25"/>
  <c r="F58" i="25"/>
  <c r="C57" i="25"/>
  <c r="AB42" i="25"/>
  <c r="AB57" i="25"/>
  <c r="AA64" i="25"/>
  <c r="Z43" i="25"/>
  <c r="W44" i="25"/>
  <c r="W51" i="25"/>
  <c r="W58" i="25"/>
  <c r="X56" i="25"/>
  <c r="X63" i="25"/>
  <c r="N63" i="25"/>
  <c r="H63" i="24"/>
  <c r="AA56" i="24"/>
  <c r="G63" i="24"/>
  <c r="Z56" i="24"/>
  <c r="N42" i="25"/>
  <c r="N42" i="19"/>
  <c r="N57" i="25"/>
  <c r="M64" i="25"/>
  <c r="J44" i="25"/>
  <c r="J51" i="25"/>
  <c r="J58" i="25"/>
  <c r="G57" i="25"/>
  <c r="F64" i="25"/>
  <c r="T83" i="25"/>
  <c r="Q83" i="25"/>
  <c r="O16" i="25"/>
  <c r="E42" i="25"/>
  <c r="C43" i="25"/>
  <c r="O17" i="25"/>
  <c r="Q16" i="25"/>
  <c r="I42" i="25"/>
  <c r="O18" i="25"/>
  <c r="O58" i="25"/>
  <c r="E44" i="25"/>
  <c r="E51" i="25"/>
  <c r="S83" i="25"/>
  <c r="O83" i="25"/>
  <c r="U83" i="25"/>
  <c r="O95" i="25"/>
  <c r="C42" i="25"/>
  <c r="C42" i="19"/>
  <c r="S16" i="25"/>
  <c r="M42" i="25"/>
  <c r="K43" i="25"/>
  <c r="K42" i="25"/>
  <c r="K50" i="25"/>
  <c r="T18" i="25"/>
  <c r="T58" i="25"/>
  <c r="I44" i="25"/>
  <c r="I51" i="25"/>
  <c r="U18" i="25"/>
  <c r="M44" i="25"/>
  <c r="M51" i="25"/>
  <c r="D42" i="25"/>
  <c r="AA42" i="25"/>
  <c r="AA43" i="25"/>
  <c r="AA50" i="25"/>
  <c r="X43" i="25"/>
  <c r="N44" i="25"/>
  <c r="N51" i="25"/>
  <c r="S17" i="25"/>
  <c r="E43" i="25"/>
  <c r="S30" i="25"/>
  <c r="C44" i="25"/>
  <c r="C51" i="25"/>
  <c r="AB44" i="25"/>
  <c r="AB51" i="25"/>
  <c r="S29" i="25"/>
  <c r="H42" i="25"/>
  <c r="T16" i="25"/>
  <c r="S18" i="25"/>
  <c r="S58" i="25"/>
  <c r="D44" i="25"/>
  <c r="T29" i="25"/>
  <c r="Q29" i="25"/>
  <c r="O31" i="25"/>
  <c r="O65" i="25"/>
  <c r="L42" i="25"/>
  <c r="U17" i="25"/>
  <c r="J43" i="25"/>
  <c r="Q18" i="25"/>
  <c r="Q58" i="25"/>
  <c r="H44" i="25"/>
  <c r="H51" i="25"/>
  <c r="O30" i="25"/>
  <c r="Q81" i="25"/>
  <c r="T81" i="25"/>
  <c r="T17" i="25"/>
  <c r="I43" i="25"/>
  <c r="T30" i="25"/>
  <c r="Q30" i="25"/>
  <c r="G44" i="25"/>
  <c r="G51" i="25"/>
  <c r="O81" i="25"/>
  <c r="S81" i="25"/>
  <c r="Q82" i="25"/>
  <c r="T82" i="25"/>
  <c r="S82" i="25"/>
  <c r="O82" i="25"/>
  <c r="U29" i="25"/>
  <c r="U30" i="25"/>
  <c r="T31" i="25"/>
  <c r="T31" i="19"/>
  <c r="Q31" i="25"/>
  <c r="Q65" i="25"/>
  <c r="U31" i="25"/>
  <c r="U65" i="25"/>
  <c r="O29" i="25"/>
  <c r="O64" i="25"/>
  <c r="X44" i="25"/>
  <c r="X51" i="25"/>
  <c r="U81" i="25"/>
  <c r="U16" i="25"/>
  <c r="U16" i="19"/>
  <c r="J42" i="25"/>
  <c r="J50" i="25"/>
  <c r="H43" i="25"/>
  <c r="Q17" i="25"/>
  <c r="Q43" i="25"/>
  <c r="U82" i="25"/>
  <c r="U108" i="25"/>
  <c r="O94" i="25"/>
  <c r="W42" i="25"/>
  <c r="M43" i="25"/>
  <c r="K44" i="25"/>
  <c r="K51" i="25"/>
  <c r="O96" i="25"/>
  <c r="X101" i="25"/>
  <c r="M98" i="25"/>
  <c r="AA102" i="25"/>
  <c r="L33" i="25"/>
  <c r="T79" i="24"/>
  <c r="AB54" i="24"/>
  <c r="Z61" i="24"/>
  <c r="G54" i="24"/>
  <c r="C55" i="24"/>
  <c r="I63" i="23"/>
  <c r="N63" i="23"/>
  <c r="N56" i="23"/>
  <c r="AA56" i="23"/>
  <c r="K63" i="23"/>
  <c r="C63" i="23"/>
  <c r="H56" i="23"/>
  <c r="J63" i="23"/>
  <c r="K56" i="23"/>
  <c r="J56" i="23"/>
  <c r="X56" i="23"/>
  <c r="AA63" i="23"/>
  <c r="F63" i="23"/>
  <c r="D56" i="23"/>
  <c r="G56" i="23"/>
  <c r="AB63" i="23"/>
  <c r="W63" i="23"/>
  <c r="F56" i="23"/>
  <c r="M63" i="23"/>
  <c r="Z63" i="23"/>
  <c r="C56" i="23"/>
  <c r="Z101" i="23"/>
  <c r="X102" i="23"/>
  <c r="I104" i="23"/>
  <c r="G54" i="23"/>
  <c r="L54" i="23"/>
  <c r="K62" i="23"/>
  <c r="D61" i="23"/>
  <c r="H61" i="23"/>
  <c r="AB54" i="25"/>
  <c r="G62" i="24"/>
  <c r="I61" i="24"/>
  <c r="C54" i="24"/>
  <c r="W39" i="25"/>
  <c r="C62" i="24"/>
  <c r="E61" i="24"/>
  <c r="E54" i="24"/>
  <c r="K62" i="25"/>
  <c r="M55" i="24"/>
  <c r="W54" i="24"/>
  <c r="E55" i="24"/>
  <c r="X61" i="23"/>
  <c r="L61" i="23"/>
  <c r="F55" i="23"/>
  <c r="G62" i="23"/>
  <c r="W61" i="23"/>
  <c r="AB54" i="23"/>
  <c r="M55" i="23"/>
  <c r="W54" i="23"/>
  <c r="K54" i="23"/>
  <c r="K54" i="24"/>
  <c r="I55" i="24"/>
  <c r="K62" i="24"/>
  <c r="K55" i="24"/>
  <c r="T13" i="25"/>
  <c r="AB61" i="25"/>
  <c r="L62" i="23"/>
  <c r="L61" i="25"/>
  <c r="T73" i="24"/>
  <c r="T20" i="24"/>
  <c r="M61" i="25"/>
  <c r="W62" i="24"/>
  <c r="M61" i="24"/>
  <c r="I55" i="25"/>
  <c r="C54" i="25"/>
  <c r="L55" i="25"/>
  <c r="AA55" i="25"/>
  <c r="Z54" i="23"/>
  <c r="K61" i="25"/>
  <c r="X55" i="25"/>
  <c r="AB61" i="23"/>
  <c r="F62" i="25"/>
  <c r="AB62" i="24"/>
  <c r="W62" i="23"/>
  <c r="N55" i="23"/>
  <c r="AA105" i="25"/>
  <c r="Q75" i="24"/>
  <c r="E55" i="23"/>
  <c r="C62" i="23"/>
  <c r="T20" i="25"/>
  <c r="C62" i="25"/>
  <c r="H106" i="25"/>
  <c r="X55" i="23"/>
  <c r="J55" i="25"/>
  <c r="N62" i="25"/>
  <c r="Z61" i="25"/>
  <c r="H54" i="25"/>
  <c r="L54" i="25"/>
  <c r="N54" i="25"/>
  <c r="F54" i="23"/>
  <c r="E61" i="25"/>
  <c r="L99" i="25"/>
  <c r="N97" i="25"/>
  <c r="Z54" i="24"/>
  <c r="X54" i="25"/>
  <c r="M54" i="24"/>
  <c r="Z55" i="23"/>
  <c r="G55" i="23"/>
  <c r="H61" i="25"/>
  <c r="Z62" i="23"/>
  <c r="I61" i="23"/>
  <c r="AB62" i="23"/>
  <c r="D54" i="25"/>
  <c r="E62" i="25"/>
  <c r="I103" i="25"/>
  <c r="G55" i="24"/>
  <c r="I54" i="24"/>
  <c r="E61" i="23"/>
  <c r="G62" i="25"/>
  <c r="T92" i="23"/>
  <c r="K61" i="23"/>
  <c r="J37" i="25"/>
  <c r="Z62" i="25"/>
  <c r="I61" i="25"/>
  <c r="J100" i="25"/>
  <c r="H62" i="23"/>
  <c r="D53" i="25"/>
  <c r="D52" i="25"/>
  <c r="H53" i="25"/>
  <c r="AA53" i="25"/>
  <c r="AA59" i="25"/>
  <c r="AA60" i="25"/>
  <c r="M60" i="25"/>
  <c r="M59" i="25"/>
  <c r="G61" i="25"/>
  <c r="AA36" i="25"/>
  <c r="AA54" i="25"/>
  <c r="G60" i="25"/>
  <c r="J54" i="25"/>
  <c r="W61" i="25"/>
  <c r="W53" i="25"/>
  <c r="W52" i="25"/>
  <c r="M54" i="25"/>
  <c r="K55" i="25"/>
  <c r="D60" i="25"/>
  <c r="D59" i="25"/>
  <c r="AA61" i="25"/>
  <c r="K59" i="24"/>
  <c r="K60" i="24"/>
  <c r="E53" i="24"/>
  <c r="E52" i="24"/>
  <c r="AA62" i="24"/>
  <c r="D61" i="24"/>
  <c r="F59" i="24"/>
  <c r="F60" i="24"/>
  <c r="I62" i="24"/>
  <c r="K61" i="24"/>
  <c r="M60" i="24"/>
  <c r="M59" i="24"/>
  <c r="K53" i="24"/>
  <c r="K52" i="24"/>
  <c r="J55" i="24"/>
  <c r="L54" i="24"/>
  <c r="N53" i="24"/>
  <c r="N52" i="24"/>
  <c r="D62" i="24"/>
  <c r="X54" i="24"/>
  <c r="H52" i="24"/>
  <c r="H52" i="23"/>
  <c r="G45" i="44"/>
  <c r="H53" i="24"/>
  <c r="J54" i="24"/>
  <c r="X55" i="24"/>
  <c r="L55" i="24"/>
  <c r="J53" i="24"/>
  <c r="J52" i="24"/>
  <c r="H55" i="24"/>
  <c r="K55" i="23"/>
  <c r="G61" i="23"/>
  <c r="D54" i="23"/>
  <c r="AA62" i="23"/>
  <c r="I55" i="23"/>
  <c r="F62" i="23"/>
  <c r="J61" i="23"/>
  <c r="AB55" i="23"/>
  <c r="D55" i="23"/>
  <c r="E54" i="23"/>
  <c r="M52" i="25"/>
  <c r="M53" i="25"/>
  <c r="AB60" i="25"/>
  <c r="I62" i="25"/>
  <c r="N60" i="25"/>
  <c r="F53" i="25"/>
  <c r="F52" i="25"/>
  <c r="W54" i="25"/>
  <c r="K60" i="25"/>
  <c r="AB53" i="25"/>
  <c r="Z54" i="25"/>
  <c r="W55" i="25"/>
  <c r="H59" i="25"/>
  <c r="H60" i="25"/>
  <c r="D62" i="25"/>
  <c r="G60" i="24"/>
  <c r="G59" i="24"/>
  <c r="Z53" i="24"/>
  <c r="Z52" i="24"/>
  <c r="N62" i="24"/>
  <c r="X61" i="24"/>
  <c r="AA60" i="24"/>
  <c r="AA59" i="24"/>
  <c r="E62" i="24"/>
  <c r="G61" i="24"/>
  <c r="I60" i="24"/>
  <c r="I59" i="24"/>
  <c r="AB55" i="24"/>
  <c r="G53" i="24"/>
  <c r="G52" i="24"/>
  <c r="N61" i="24"/>
  <c r="D54" i="24"/>
  <c r="F53" i="24"/>
  <c r="F52" i="24"/>
  <c r="F52" i="23"/>
  <c r="E45" i="44"/>
  <c r="AA61" i="24"/>
  <c r="N55" i="24"/>
  <c r="F54" i="24"/>
  <c r="D60" i="24"/>
  <c r="D59" i="24"/>
  <c r="D59" i="23"/>
  <c r="C46" i="44"/>
  <c r="X62" i="24"/>
  <c r="L52" i="24"/>
  <c r="L53" i="24"/>
  <c r="H62" i="24"/>
  <c r="D52" i="24"/>
  <c r="D53" i="24"/>
  <c r="I62" i="23"/>
  <c r="C61" i="23"/>
  <c r="C55" i="23"/>
  <c r="AA54" i="23"/>
  <c r="X62" i="23"/>
  <c r="F61" i="23"/>
  <c r="W55" i="23"/>
  <c r="X54" i="23"/>
  <c r="I59" i="25"/>
  <c r="C53" i="25"/>
  <c r="C52" i="25"/>
  <c r="W59" i="25"/>
  <c r="W60" i="25"/>
  <c r="C60" i="25"/>
  <c r="J62" i="25"/>
  <c r="H55" i="25"/>
  <c r="Z59" i="25"/>
  <c r="Z60" i="25"/>
  <c r="D61" i="25"/>
  <c r="M62" i="25"/>
  <c r="E54" i="25"/>
  <c r="C55" i="25"/>
  <c r="AB55" i="25"/>
  <c r="L60" i="25"/>
  <c r="J61" i="25"/>
  <c r="H62" i="25"/>
  <c r="AB60" i="24"/>
  <c r="AB59" i="24"/>
  <c r="C60" i="24"/>
  <c r="C59" i="24"/>
  <c r="M52" i="24"/>
  <c r="M52" i="23"/>
  <c r="L45" i="44"/>
  <c r="M53" i="24"/>
  <c r="J62" i="24"/>
  <c r="L61" i="24"/>
  <c r="N59" i="24"/>
  <c r="N60" i="24"/>
  <c r="X99" i="23"/>
  <c r="Z62" i="24"/>
  <c r="AB61" i="24"/>
  <c r="C61" i="24"/>
  <c r="E59" i="24"/>
  <c r="E59" i="23"/>
  <c r="D46" i="44"/>
  <c r="E60" i="24"/>
  <c r="W55" i="24"/>
  <c r="AB52" i="24"/>
  <c r="AB53" i="24"/>
  <c r="C53" i="24"/>
  <c r="C52" i="24"/>
  <c r="C52" i="23"/>
  <c r="B45" i="44"/>
  <c r="D55" i="24"/>
  <c r="N53" i="25"/>
  <c r="F55" i="24"/>
  <c r="X52" i="24"/>
  <c r="X52" i="23"/>
  <c r="E57" i="44"/>
  <c r="X53" i="24"/>
  <c r="J61" i="24"/>
  <c r="AA54" i="24"/>
  <c r="F61" i="24"/>
  <c r="N54" i="24"/>
  <c r="J54" i="23"/>
  <c r="E62" i="23"/>
  <c r="D62" i="23"/>
  <c r="AA61" i="23"/>
  <c r="AA55" i="23"/>
  <c r="N54" i="23"/>
  <c r="N62" i="23"/>
  <c r="Z61" i="23"/>
  <c r="L55" i="23"/>
  <c r="M54" i="23"/>
  <c r="D55" i="25"/>
  <c r="I52" i="25"/>
  <c r="I53" i="25"/>
  <c r="J52" i="25"/>
  <c r="J40" i="25"/>
  <c r="E60" i="25"/>
  <c r="E59" i="25"/>
  <c r="E55" i="25"/>
  <c r="Z53" i="25"/>
  <c r="M55" i="25"/>
  <c r="AA62" i="25"/>
  <c r="K53" i="25"/>
  <c r="I54" i="25"/>
  <c r="G55" i="25"/>
  <c r="X60" i="25"/>
  <c r="N61" i="25"/>
  <c r="L62" i="25"/>
  <c r="W60" i="24"/>
  <c r="W59" i="24"/>
  <c r="I53" i="24"/>
  <c r="I52" i="24"/>
  <c r="F62" i="24"/>
  <c r="H61" i="24"/>
  <c r="J59" i="24"/>
  <c r="J60" i="24"/>
  <c r="M62" i="24"/>
  <c r="W61" i="24"/>
  <c r="Z59" i="24"/>
  <c r="Z60" i="24"/>
  <c r="W53" i="24"/>
  <c r="W52" i="24"/>
  <c r="W52" i="23"/>
  <c r="F57" i="44"/>
  <c r="L62" i="24"/>
  <c r="X60" i="24"/>
  <c r="X59" i="24"/>
  <c r="X59" i="23"/>
  <c r="E58" i="44"/>
  <c r="AA55" i="24"/>
  <c r="H60" i="24"/>
  <c r="H59" i="24"/>
  <c r="H59" i="23"/>
  <c r="G46" i="44"/>
  <c r="AA53" i="24"/>
  <c r="AA52" i="24"/>
  <c r="H54" i="24"/>
  <c r="L60" i="24"/>
  <c r="L59" i="24"/>
  <c r="M62" i="23"/>
  <c r="M61" i="23"/>
  <c r="H54" i="23"/>
  <c r="J62" i="23"/>
  <c r="N61" i="23"/>
  <c r="H55" i="23"/>
  <c r="I54" i="23"/>
  <c r="T72" i="24"/>
  <c r="F36" i="24"/>
  <c r="S75" i="24"/>
  <c r="U78" i="24"/>
  <c r="J36" i="24"/>
  <c r="O75" i="24"/>
  <c r="Q72" i="24"/>
  <c r="U80" i="24"/>
  <c r="U76" i="24"/>
  <c r="O72" i="24"/>
  <c r="U74" i="24"/>
  <c r="S72" i="24"/>
  <c r="S80" i="24"/>
  <c r="O76" i="24"/>
  <c r="T75" i="24"/>
  <c r="Q73" i="24"/>
  <c r="U72" i="24"/>
  <c r="U71" i="24"/>
  <c r="Q79" i="24"/>
  <c r="Q77" i="24"/>
  <c r="Q71" i="24"/>
  <c r="S74" i="24"/>
  <c r="O73" i="24"/>
  <c r="T71" i="24"/>
  <c r="S76" i="24"/>
  <c r="S73" i="24"/>
  <c r="T77" i="24"/>
  <c r="S71" i="24"/>
  <c r="T80" i="24"/>
  <c r="Q80" i="24"/>
  <c r="Q78" i="24"/>
  <c r="U77" i="24"/>
  <c r="O71" i="24"/>
  <c r="U79" i="24"/>
  <c r="S77" i="24"/>
  <c r="O77" i="24"/>
  <c r="T74" i="24"/>
  <c r="Q74" i="24"/>
  <c r="S78" i="24"/>
  <c r="U75" i="24"/>
  <c r="O80" i="24"/>
  <c r="S79" i="24"/>
  <c r="O79" i="24"/>
  <c r="O78" i="24"/>
  <c r="T76" i="24"/>
  <c r="Q76" i="24"/>
  <c r="O74" i="24"/>
  <c r="U73" i="24"/>
  <c r="AA104" i="23"/>
  <c r="AB97" i="23"/>
  <c r="K105" i="23"/>
  <c r="Z26" i="19"/>
  <c r="E23" i="19"/>
  <c r="E19" i="19"/>
  <c r="C13" i="19"/>
  <c r="I41" i="23"/>
  <c r="I28" i="19"/>
  <c r="X23" i="19"/>
  <c r="L36" i="23"/>
  <c r="U26" i="23"/>
  <c r="J26" i="19"/>
  <c r="N22" i="19"/>
  <c r="K12" i="19"/>
  <c r="I8" i="19"/>
  <c r="AB59" i="23"/>
  <c r="AB27" i="19"/>
  <c r="I24" i="19"/>
  <c r="G20" i="19"/>
  <c r="E14" i="19"/>
  <c r="AB35" i="23"/>
  <c r="AB9" i="19"/>
  <c r="G28" i="19"/>
  <c r="M39" i="23"/>
  <c r="D60" i="23"/>
  <c r="D21" i="19"/>
  <c r="Z40" i="23"/>
  <c r="Z14" i="19"/>
  <c r="G12" i="19"/>
  <c r="G10" i="19"/>
  <c r="G8" i="19"/>
  <c r="D26" i="19"/>
  <c r="AB23" i="19"/>
  <c r="AA21" i="19"/>
  <c r="Z19" i="19"/>
  <c r="H15" i="19"/>
  <c r="F38" i="23"/>
  <c r="F12" i="19"/>
  <c r="E35" i="23"/>
  <c r="E9" i="19"/>
  <c r="M22" i="19"/>
  <c r="AA40" i="23"/>
  <c r="AA27" i="19"/>
  <c r="N26" i="19"/>
  <c r="G25" i="19"/>
  <c r="I21" i="19"/>
  <c r="W19" i="19"/>
  <c r="W14" i="19"/>
  <c r="E13" i="19"/>
  <c r="N11" i="19"/>
  <c r="D10" i="19"/>
  <c r="X41" i="23"/>
  <c r="X28" i="19"/>
  <c r="Z27" i="19"/>
  <c r="AB26" i="19"/>
  <c r="AA38" i="23"/>
  <c r="AA25" i="19"/>
  <c r="K24" i="19"/>
  <c r="H23" i="19"/>
  <c r="X21" i="19"/>
  <c r="J20" i="19"/>
  <c r="G19" i="19"/>
  <c r="X15" i="19"/>
  <c r="N14" i="19"/>
  <c r="L13" i="19"/>
  <c r="I12" i="19"/>
  <c r="F11" i="19"/>
  <c r="C10" i="19"/>
  <c r="K7" i="19"/>
  <c r="C26" i="19"/>
  <c r="F25" i="19"/>
  <c r="H24" i="19"/>
  <c r="H21" i="19"/>
  <c r="H22" i="19"/>
  <c r="H25" i="19"/>
  <c r="H26" i="19"/>
  <c r="H27" i="19"/>
  <c r="H28" i="19"/>
  <c r="H59" i="19"/>
  <c r="J23" i="19"/>
  <c r="L22" i="19"/>
  <c r="K21" i="19"/>
  <c r="M20" i="19"/>
  <c r="L19" i="19"/>
  <c r="W15" i="19"/>
  <c r="X13" i="19"/>
  <c r="X12" i="19"/>
  <c r="X55" i="19"/>
  <c r="AB12" i="19"/>
  <c r="C11" i="19"/>
  <c r="E10" i="19"/>
  <c r="D9" i="19"/>
  <c r="F8" i="19"/>
  <c r="I7" i="19"/>
  <c r="H6" i="19"/>
  <c r="Z25" i="19"/>
  <c r="Z21" i="19"/>
  <c r="Z22" i="19"/>
  <c r="Z23" i="19"/>
  <c r="Z24" i="19"/>
  <c r="Z28" i="19"/>
  <c r="Z59" i="19"/>
  <c r="AA37" i="23"/>
  <c r="AA11" i="19"/>
  <c r="Z33" i="23"/>
  <c r="Z7" i="19"/>
  <c r="L59" i="23"/>
  <c r="L27" i="19"/>
  <c r="X35" i="23"/>
  <c r="X22" i="19"/>
  <c r="M40" i="23"/>
  <c r="M14" i="19"/>
  <c r="M9" i="19"/>
  <c r="AA28" i="19"/>
  <c r="K38" i="23"/>
  <c r="K25" i="19"/>
  <c r="N60" i="23"/>
  <c r="N41" i="23"/>
  <c r="N15" i="19"/>
  <c r="J11" i="19"/>
  <c r="D7" i="19"/>
  <c r="E27" i="19"/>
  <c r="I23" i="19"/>
  <c r="F19" i="19"/>
  <c r="C9" i="19"/>
  <c r="X27" i="19"/>
  <c r="E39" i="23"/>
  <c r="E26" i="19"/>
  <c r="D23" i="19"/>
  <c r="K20" i="19"/>
  <c r="J14" i="19"/>
  <c r="X11" i="19"/>
  <c r="X9" i="19"/>
  <c r="AB28" i="19"/>
  <c r="I27" i="19"/>
  <c r="L25" i="19"/>
  <c r="K23" i="19"/>
  <c r="I19" i="19"/>
  <c r="X14" i="19"/>
  <c r="E11" i="19"/>
  <c r="D8" i="19"/>
  <c r="Z13" i="19"/>
  <c r="M27" i="19"/>
  <c r="I26" i="19"/>
  <c r="AA20" i="19"/>
  <c r="J19" i="19"/>
  <c r="Z15" i="19"/>
  <c r="H14" i="19"/>
  <c r="H56" i="19"/>
  <c r="X38" i="23"/>
  <c r="H11" i="19"/>
  <c r="I9" i="19"/>
  <c r="X33" i="23"/>
  <c r="X7" i="19"/>
  <c r="L41" i="23"/>
  <c r="L28" i="19"/>
  <c r="N27" i="19"/>
  <c r="W26" i="19"/>
  <c r="I25" i="19"/>
  <c r="F24" i="19"/>
  <c r="M21" i="19"/>
  <c r="D20" i="19"/>
  <c r="L15" i="19"/>
  <c r="I14" i="19"/>
  <c r="G39" i="23"/>
  <c r="G13" i="19"/>
  <c r="C12" i="19"/>
  <c r="AA10" i="19"/>
  <c r="W35" i="23"/>
  <c r="W9" i="19"/>
  <c r="W8" i="19"/>
  <c r="W53" i="19"/>
  <c r="M8" i="19"/>
  <c r="F7" i="19"/>
  <c r="N7" i="19"/>
  <c r="K6" i="19"/>
  <c r="X25" i="19"/>
  <c r="AB24" i="19"/>
  <c r="D24" i="19"/>
  <c r="F23" i="19"/>
  <c r="F61" i="19"/>
  <c r="G21" i="19"/>
  <c r="I20" i="19"/>
  <c r="H19" i="19"/>
  <c r="K14" i="19"/>
  <c r="N13" i="19"/>
  <c r="W12" i="19"/>
  <c r="Z11" i="19"/>
  <c r="X10" i="19"/>
  <c r="AA9" i="19"/>
  <c r="Z8" i="19"/>
  <c r="AB7" i="19"/>
  <c r="E7" i="19"/>
  <c r="D6" i="19"/>
  <c r="AA24" i="19"/>
  <c r="E21" i="19"/>
  <c r="C15" i="19"/>
  <c r="C14" i="19"/>
  <c r="C56" i="19"/>
  <c r="AB36" i="23"/>
  <c r="AB10" i="19"/>
  <c r="X39" i="23"/>
  <c r="W60" i="23"/>
  <c r="W21" i="19"/>
  <c r="M38" i="23"/>
  <c r="M12" i="19"/>
  <c r="K8" i="19"/>
  <c r="C28" i="19"/>
  <c r="N24" i="19"/>
  <c r="N20" i="19"/>
  <c r="L14" i="19"/>
  <c r="J10" i="19"/>
  <c r="G22" i="19"/>
  <c r="E38" i="23"/>
  <c r="AA33" i="23"/>
  <c r="AA7" i="19"/>
  <c r="K40" i="23"/>
  <c r="K27" i="19"/>
  <c r="K28" i="19"/>
  <c r="K63" i="19"/>
  <c r="E25" i="19"/>
  <c r="AB60" i="23"/>
  <c r="AB21" i="19"/>
  <c r="AB22" i="19"/>
  <c r="AB25" i="19"/>
  <c r="AB59" i="19"/>
  <c r="AB19" i="19"/>
  <c r="AA15" i="19"/>
  <c r="I39" i="23"/>
  <c r="I13" i="19"/>
  <c r="I11" i="19"/>
  <c r="G9" i="19"/>
  <c r="M41" i="23"/>
  <c r="M28" i="19"/>
  <c r="AA26" i="19"/>
  <c r="C25" i="19"/>
  <c r="AA22" i="19"/>
  <c r="Z20" i="19"/>
  <c r="F40" i="23"/>
  <c r="F14" i="19"/>
  <c r="F36" i="23"/>
  <c r="L33" i="23"/>
  <c r="L7" i="19"/>
  <c r="J24" i="19"/>
  <c r="K22" i="19"/>
  <c r="L20" i="19"/>
  <c r="C19" i="19"/>
  <c r="K15" i="19"/>
  <c r="K56" i="19"/>
  <c r="AA13" i="19"/>
  <c r="J12" i="19"/>
  <c r="Z36" i="23"/>
  <c r="Z10" i="19"/>
  <c r="AB8" i="19"/>
  <c r="G7" i="19"/>
  <c r="J27" i="19"/>
  <c r="K26" i="19"/>
  <c r="D25" i="19"/>
  <c r="AA36" i="23"/>
  <c r="AA23" i="19"/>
  <c r="J22" i="19"/>
  <c r="X19" i="19"/>
  <c r="G15" i="19"/>
  <c r="G14" i="19"/>
  <c r="G56" i="19"/>
  <c r="D14" i="19"/>
  <c r="AA12" i="19"/>
  <c r="W37" i="23"/>
  <c r="W11" i="19"/>
  <c r="N36" i="23"/>
  <c r="N10" i="19"/>
  <c r="K9" i="19"/>
  <c r="H8" i="19"/>
  <c r="Z6" i="19"/>
  <c r="H7" i="19"/>
  <c r="E6" i="19"/>
  <c r="N25" i="19"/>
  <c r="W24" i="19"/>
  <c r="D22" i="19"/>
  <c r="C21" i="19"/>
  <c r="E20" i="19"/>
  <c r="D19" i="19"/>
  <c r="I15" i="19"/>
  <c r="J13" i="19"/>
  <c r="L12" i="19"/>
  <c r="M10" i="19"/>
  <c r="L9" i="19"/>
  <c r="N8" i="19"/>
  <c r="W7" i="19"/>
  <c r="G6" i="19"/>
  <c r="U28" i="23"/>
  <c r="J28" i="19"/>
  <c r="S20" i="23"/>
  <c r="C20" i="19"/>
  <c r="AB39" i="23"/>
  <c r="AB13" i="19"/>
  <c r="Z35" i="23"/>
  <c r="Z9" i="19"/>
  <c r="W25" i="19"/>
  <c r="W20" i="19"/>
  <c r="M11" i="19"/>
  <c r="J7" i="19"/>
  <c r="G40" i="23"/>
  <c r="G27" i="19"/>
  <c r="G63" i="19"/>
  <c r="W23" i="19"/>
  <c r="N19" i="19"/>
  <c r="K13" i="19"/>
  <c r="K55" i="19"/>
  <c r="J9" i="19"/>
  <c r="W41" i="23"/>
  <c r="W28" i="19"/>
  <c r="F21" i="19"/>
  <c r="F41" i="23"/>
  <c r="F15" i="19"/>
  <c r="D11" i="19"/>
  <c r="M32" i="23"/>
  <c r="M6" i="19"/>
  <c r="N28" i="19"/>
  <c r="D27" i="19"/>
  <c r="E37" i="23"/>
  <c r="E24" i="19"/>
  <c r="L60" i="23"/>
  <c r="L21" i="19"/>
  <c r="Q19" i="23"/>
  <c r="K19" i="19"/>
  <c r="J15" i="19"/>
  <c r="W10" i="19"/>
  <c r="E41" i="23"/>
  <c r="E28" i="19"/>
  <c r="L26" i="19"/>
  <c r="L62" i="19"/>
  <c r="M24" i="19"/>
  <c r="Q22" i="23"/>
  <c r="T20" i="23"/>
  <c r="H20" i="19"/>
  <c r="H13" i="19"/>
  <c r="N9" i="19"/>
  <c r="F28" i="19"/>
  <c r="C27" i="19"/>
  <c r="M25" i="19"/>
  <c r="C24" i="19"/>
  <c r="C22" i="19"/>
  <c r="F20" i="19"/>
  <c r="D15" i="19"/>
  <c r="M13" i="19"/>
  <c r="AB37" i="23"/>
  <c r="AB11" i="19"/>
  <c r="K10" i="19"/>
  <c r="L8" i="19"/>
  <c r="D28" i="19"/>
  <c r="F27" i="19"/>
  <c r="F26" i="19"/>
  <c r="M23" i="19"/>
  <c r="E22" i="19"/>
  <c r="AB20" i="19"/>
  <c r="M19" i="19"/>
  <c r="AB14" i="19"/>
  <c r="W13" i="19"/>
  <c r="N38" i="23"/>
  <c r="L37" i="23"/>
  <c r="L11" i="19"/>
  <c r="H10" i="19"/>
  <c r="F9" i="19"/>
  <c r="C8" i="19"/>
  <c r="N6" i="19"/>
  <c r="C7" i="19"/>
  <c r="G26" i="19"/>
  <c r="G62" i="19"/>
  <c r="J25" i="19"/>
  <c r="L24" i="19"/>
  <c r="N23" i="19"/>
  <c r="W22" i="19"/>
  <c r="X20" i="19"/>
  <c r="AA19" i="19"/>
  <c r="AB15" i="19"/>
  <c r="E15" i="19"/>
  <c r="F13" i="19"/>
  <c r="H12" i="19"/>
  <c r="G11" i="19"/>
  <c r="I10" i="19"/>
  <c r="H9" i="19"/>
  <c r="J8" i="19"/>
  <c r="L6" i="19"/>
  <c r="C6" i="19"/>
  <c r="C34" i="25"/>
  <c r="S13" i="23"/>
  <c r="C39" i="23"/>
  <c r="O13" i="23"/>
  <c r="X34" i="23"/>
  <c r="X53" i="23"/>
  <c r="Q8" i="23"/>
  <c r="I34" i="23"/>
  <c r="I53" i="23"/>
  <c r="I52" i="23"/>
  <c r="E40" i="23"/>
  <c r="G53" i="23"/>
  <c r="G34" i="23"/>
  <c r="G52" i="23"/>
  <c r="W59" i="23"/>
  <c r="AA60" i="23"/>
  <c r="AA59" i="23"/>
  <c r="T15" i="23"/>
  <c r="H41" i="23"/>
  <c r="M35" i="23"/>
  <c r="G38" i="23"/>
  <c r="G36" i="23"/>
  <c r="I60" i="23"/>
  <c r="I59" i="23"/>
  <c r="W40" i="23"/>
  <c r="N37" i="23"/>
  <c r="O8" i="23"/>
  <c r="E34" i="23"/>
  <c r="E52" i="23"/>
  <c r="E53" i="23"/>
  <c r="T23" i="23"/>
  <c r="Q23" i="23"/>
  <c r="X60" i="23"/>
  <c r="U20" i="23"/>
  <c r="N40" i="23"/>
  <c r="L39" i="23"/>
  <c r="Q12" i="23"/>
  <c r="I38" i="23"/>
  <c r="F37" i="23"/>
  <c r="S10" i="23"/>
  <c r="C36" i="23"/>
  <c r="AA34" i="23"/>
  <c r="AA52" i="23"/>
  <c r="AA53" i="23"/>
  <c r="Q7" i="23"/>
  <c r="K33" i="23"/>
  <c r="Q6" i="23"/>
  <c r="I32" i="23"/>
  <c r="O26" i="23"/>
  <c r="S26" i="23"/>
  <c r="T24" i="23"/>
  <c r="Q24" i="23"/>
  <c r="Q21" i="23"/>
  <c r="K59" i="23"/>
  <c r="K60" i="23"/>
  <c r="AB38" i="23"/>
  <c r="O12" i="23"/>
  <c r="S11" i="23"/>
  <c r="O11" i="23"/>
  <c r="C37" i="23"/>
  <c r="O10" i="23"/>
  <c r="E36" i="23"/>
  <c r="F34" i="23"/>
  <c r="F53" i="23"/>
  <c r="I33" i="23"/>
  <c r="T6" i="23"/>
  <c r="H32" i="23"/>
  <c r="U11" i="23"/>
  <c r="J37" i="23"/>
  <c r="S9" i="23"/>
  <c r="O9" i="23"/>
  <c r="C35" i="23"/>
  <c r="U14" i="23"/>
  <c r="J40" i="23"/>
  <c r="U23" i="23"/>
  <c r="U21" i="23"/>
  <c r="J60" i="23"/>
  <c r="J59" i="23"/>
  <c r="X40" i="23"/>
  <c r="X49" i="23"/>
  <c r="D52" i="23"/>
  <c r="D53" i="23"/>
  <c r="Z39" i="23"/>
  <c r="U19" i="23"/>
  <c r="Z41" i="23"/>
  <c r="T14" i="23"/>
  <c r="H40" i="23"/>
  <c r="T11" i="23"/>
  <c r="H37" i="23"/>
  <c r="I35" i="23"/>
  <c r="O23" i="23"/>
  <c r="S23" i="23"/>
  <c r="M60" i="23"/>
  <c r="M59" i="23"/>
  <c r="O20" i="23"/>
  <c r="Q14" i="23"/>
  <c r="I40" i="23"/>
  <c r="S12" i="23"/>
  <c r="C38" i="23"/>
  <c r="M53" i="23"/>
  <c r="M34" i="23"/>
  <c r="F33" i="23"/>
  <c r="N33" i="23"/>
  <c r="K32" i="23"/>
  <c r="O24" i="23"/>
  <c r="T22" i="23"/>
  <c r="G60" i="23"/>
  <c r="G59" i="23"/>
  <c r="Q20" i="23"/>
  <c r="T19" i="23"/>
  <c r="N39" i="23"/>
  <c r="W38" i="23"/>
  <c r="Z37" i="23"/>
  <c r="X36" i="23"/>
  <c r="AA35" i="23"/>
  <c r="Z52" i="23"/>
  <c r="Z34" i="23"/>
  <c r="Z53" i="23"/>
  <c r="AB33" i="23"/>
  <c r="E33" i="23"/>
  <c r="D32" i="23"/>
  <c r="E60" i="23"/>
  <c r="S15" i="23"/>
  <c r="C41" i="23"/>
  <c r="O15" i="23"/>
  <c r="U6" i="23"/>
  <c r="J32" i="23"/>
  <c r="K53" i="23"/>
  <c r="K34" i="23"/>
  <c r="K52" i="23"/>
  <c r="O28" i="23"/>
  <c r="L40" i="23"/>
  <c r="U10" i="23"/>
  <c r="J36" i="23"/>
  <c r="Q26" i="23"/>
  <c r="T26" i="23"/>
  <c r="AA41" i="23"/>
  <c r="I37" i="23"/>
  <c r="G35" i="23"/>
  <c r="O25" i="23"/>
  <c r="S25" i="23"/>
  <c r="T27" i="23"/>
  <c r="Q27" i="23"/>
  <c r="U24" i="23"/>
  <c r="S19" i="23"/>
  <c r="O19" i="23"/>
  <c r="Q15" i="23"/>
  <c r="K41" i="23"/>
  <c r="AA39" i="23"/>
  <c r="U12" i="23"/>
  <c r="J38" i="23"/>
  <c r="AB53" i="23"/>
  <c r="AB34" i="23"/>
  <c r="AB52" i="23"/>
  <c r="G33" i="23"/>
  <c r="T28" i="23"/>
  <c r="Q28" i="23"/>
  <c r="U27" i="23"/>
  <c r="U22" i="23"/>
  <c r="T21" i="23"/>
  <c r="H60" i="23"/>
  <c r="G41" i="23"/>
  <c r="O14" i="23"/>
  <c r="O56" i="23"/>
  <c r="Q9" i="23"/>
  <c r="K35" i="23"/>
  <c r="H34" i="23"/>
  <c r="H53" i="23"/>
  <c r="T8" i="23"/>
  <c r="Z32" i="23"/>
  <c r="T7" i="23"/>
  <c r="H33" i="23"/>
  <c r="E32" i="23"/>
  <c r="O22" i="23"/>
  <c r="S21" i="23"/>
  <c r="O21" i="23"/>
  <c r="C60" i="23"/>
  <c r="C59" i="23"/>
  <c r="U13" i="23"/>
  <c r="J39" i="23"/>
  <c r="L38" i="23"/>
  <c r="Q11" i="23"/>
  <c r="K37" i="23"/>
  <c r="M36" i="23"/>
  <c r="L35" i="23"/>
  <c r="N34" i="23"/>
  <c r="N53" i="23"/>
  <c r="N52" i="23"/>
  <c r="W33" i="23"/>
  <c r="G32" i="23"/>
  <c r="U7" i="23"/>
  <c r="J33" i="23"/>
  <c r="Q13" i="23"/>
  <c r="K39" i="23"/>
  <c r="U9" i="23"/>
  <c r="J35" i="23"/>
  <c r="T25" i="23"/>
  <c r="Q25" i="23"/>
  <c r="F60" i="23"/>
  <c r="F59" i="23"/>
  <c r="N59" i="23"/>
  <c r="U15" i="23"/>
  <c r="J41" i="23"/>
  <c r="Z38" i="23"/>
  <c r="W36" i="23"/>
  <c r="W34" i="23"/>
  <c r="W53" i="23"/>
  <c r="M37" i="23"/>
  <c r="T13" i="23"/>
  <c r="H39" i="23"/>
  <c r="N35" i="23"/>
  <c r="S28" i="23"/>
  <c r="O27" i="23"/>
  <c r="S27" i="23"/>
  <c r="S24" i="23"/>
  <c r="S22" i="23"/>
  <c r="K36" i="23"/>
  <c r="L52" i="23"/>
  <c r="L34" i="23"/>
  <c r="L53" i="23"/>
  <c r="X37" i="23"/>
  <c r="AB40" i="23"/>
  <c r="W39" i="23"/>
  <c r="H36" i="23"/>
  <c r="T10" i="23"/>
  <c r="F35" i="23"/>
  <c r="S8" i="23"/>
  <c r="C53" i="23"/>
  <c r="C34" i="23"/>
  <c r="N32" i="23"/>
  <c r="S7" i="23"/>
  <c r="O7" i="23"/>
  <c r="C33" i="23"/>
  <c r="U25" i="23"/>
  <c r="Z60" i="23"/>
  <c r="Z59" i="23"/>
  <c r="AB41" i="23"/>
  <c r="S14" i="23"/>
  <c r="C40" i="23"/>
  <c r="F39" i="23"/>
  <c r="H38" i="23"/>
  <c r="T12" i="23"/>
  <c r="G37" i="23"/>
  <c r="Q10" i="23"/>
  <c r="I36" i="23"/>
  <c r="T9" i="23"/>
  <c r="H35" i="23"/>
  <c r="U8" i="23"/>
  <c r="J34" i="23"/>
  <c r="J52" i="23"/>
  <c r="J53" i="23"/>
  <c r="M33" i="23"/>
  <c r="L32" i="23"/>
  <c r="C32" i="23"/>
  <c r="M37" i="24"/>
  <c r="Z33" i="24"/>
  <c r="N34" i="25"/>
  <c r="M33" i="24"/>
  <c r="I33" i="24"/>
  <c r="K35" i="24"/>
  <c r="E104" i="24"/>
  <c r="K41" i="24"/>
  <c r="L40" i="24"/>
  <c r="W37" i="24"/>
  <c r="Z35" i="24"/>
  <c r="AB33" i="24"/>
  <c r="E41" i="24"/>
  <c r="F40" i="24"/>
  <c r="M97" i="24"/>
  <c r="F105" i="24"/>
  <c r="AA100" i="24"/>
  <c r="I39" i="24"/>
  <c r="K37" i="24"/>
  <c r="M35" i="24"/>
  <c r="W33" i="24"/>
  <c r="Z41" i="24"/>
  <c r="AB39" i="24"/>
  <c r="AB32" i="24"/>
  <c r="T84" i="24"/>
  <c r="E39" i="24"/>
  <c r="F38" i="24"/>
  <c r="G37" i="24"/>
  <c r="H36" i="24"/>
  <c r="I35" i="24"/>
  <c r="N40" i="24"/>
  <c r="T25" i="24"/>
  <c r="I37" i="24"/>
  <c r="AB35" i="24"/>
  <c r="X38" i="24"/>
  <c r="F32" i="24"/>
  <c r="L34" i="24"/>
  <c r="N32" i="24"/>
  <c r="H38" i="24"/>
  <c r="AA100" i="25"/>
  <c r="T9" i="24"/>
  <c r="C99" i="24"/>
  <c r="N102" i="24"/>
  <c r="W41" i="24"/>
  <c r="AA74" i="19"/>
  <c r="N36" i="24"/>
  <c r="J32" i="24"/>
  <c r="D38" i="24"/>
  <c r="T10" i="24"/>
  <c r="L38" i="24"/>
  <c r="X34" i="24"/>
  <c r="AA36" i="24"/>
  <c r="X102" i="25"/>
  <c r="W100" i="24"/>
  <c r="M39" i="24"/>
  <c r="N38" i="24"/>
  <c r="H103" i="24"/>
  <c r="C39" i="24"/>
  <c r="K39" i="24"/>
  <c r="G35" i="24"/>
  <c r="D34" i="24"/>
  <c r="G39" i="24"/>
  <c r="H34" i="24"/>
  <c r="E33" i="24"/>
  <c r="Z37" i="24"/>
  <c r="C35" i="24"/>
  <c r="X36" i="24"/>
  <c r="D32" i="24"/>
  <c r="D72" i="19"/>
  <c r="L98" i="24"/>
  <c r="E97" i="24"/>
  <c r="G41" i="24"/>
  <c r="AA40" i="24"/>
  <c r="AA99" i="24"/>
  <c r="N106" i="23"/>
  <c r="D100" i="23"/>
  <c r="E37" i="24"/>
  <c r="D99" i="24"/>
  <c r="W32" i="24"/>
  <c r="K100" i="23"/>
  <c r="U71" i="23"/>
  <c r="T21" i="24"/>
  <c r="D102" i="24"/>
  <c r="X105" i="24"/>
  <c r="L104" i="24"/>
  <c r="M41" i="24"/>
  <c r="M40" i="24"/>
  <c r="M49" i="24"/>
  <c r="W39" i="24"/>
  <c r="X104" i="23"/>
  <c r="J100" i="24"/>
  <c r="D98" i="24"/>
  <c r="I102" i="24"/>
  <c r="X40" i="24"/>
  <c r="Z39" i="24"/>
  <c r="H32" i="24"/>
  <c r="X103" i="23"/>
  <c r="W35" i="24"/>
  <c r="AA34" i="24"/>
  <c r="J105" i="23"/>
  <c r="Z105" i="24"/>
  <c r="F41" i="25"/>
  <c r="G103" i="24"/>
  <c r="AB99" i="24"/>
  <c r="H40" i="24"/>
  <c r="T14" i="24"/>
  <c r="T15" i="24"/>
  <c r="T56" i="24"/>
  <c r="L32" i="24"/>
  <c r="L78" i="19"/>
  <c r="N41" i="24"/>
  <c r="W40" i="24"/>
  <c r="X39" i="24"/>
  <c r="Z38" i="24"/>
  <c r="AA37" i="24"/>
  <c r="AB36" i="24"/>
  <c r="D35" i="24"/>
  <c r="F33" i="24"/>
  <c r="T23" i="24"/>
  <c r="AB37" i="24"/>
  <c r="D36" i="24"/>
  <c r="F34" i="24"/>
  <c r="J40" i="24"/>
  <c r="J41" i="24"/>
  <c r="J49" i="24"/>
  <c r="J97" i="23"/>
  <c r="AA32" i="24"/>
  <c r="C32" i="25"/>
  <c r="K99" i="24"/>
  <c r="D40" i="24"/>
  <c r="J80" i="19"/>
  <c r="G40" i="24"/>
  <c r="G49" i="24"/>
  <c r="K36" i="24"/>
  <c r="L35" i="24"/>
  <c r="N33" i="24"/>
  <c r="Z100" i="24"/>
  <c r="Z32" i="24"/>
  <c r="L36" i="24"/>
  <c r="N34" i="24"/>
  <c r="E102" i="24"/>
  <c r="W35" i="25"/>
  <c r="L102" i="24"/>
  <c r="AB103" i="24"/>
  <c r="W105" i="23"/>
  <c r="AB41" i="25"/>
  <c r="S20" i="25"/>
  <c r="T15" i="25"/>
  <c r="Z79" i="19"/>
  <c r="I98" i="23"/>
  <c r="L97" i="24"/>
  <c r="AA104" i="24"/>
  <c r="AB41" i="24"/>
  <c r="AA105" i="23"/>
  <c r="AA38" i="24"/>
  <c r="C37" i="24"/>
  <c r="E35" i="24"/>
  <c r="G33" i="24"/>
  <c r="U20" i="25"/>
  <c r="K33" i="25"/>
  <c r="X35" i="25"/>
  <c r="C38" i="25"/>
  <c r="K35" i="25"/>
  <c r="M100" i="24"/>
  <c r="N75" i="19"/>
  <c r="I104" i="24"/>
  <c r="U76" i="23"/>
  <c r="K104" i="23"/>
  <c r="U75" i="23"/>
  <c r="I102" i="23"/>
  <c r="I102" i="25"/>
  <c r="I102" i="19"/>
  <c r="C100" i="24"/>
  <c r="AA97" i="23"/>
  <c r="AA104" i="25"/>
  <c r="AA103" i="24"/>
  <c r="Z103" i="23"/>
  <c r="M102" i="23"/>
  <c r="I106" i="23"/>
  <c r="D99" i="23"/>
  <c r="X86" i="19"/>
  <c r="H106" i="24"/>
  <c r="S90" i="24"/>
  <c r="U19" i="24"/>
  <c r="Q10" i="24"/>
  <c r="Z105" i="23"/>
  <c r="D103" i="25"/>
  <c r="S91" i="24"/>
  <c r="X97" i="24"/>
  <c r="AA106" i="23"/>
  <c r="T27" i="24"/>
  <c r="W32" i="25"/>
  <c r="C41" i="25"/>
  <c r="F35" i="25"/>
  <c r="X41" i="25"/>
  <c r="C102" i="24"/>
  <c r="T92" i="24"/>
  <c r="N80" i="19"/>
  <c r="G40" i="25"/>
  <c r="W34" i="25"/>
  <c r="N35" i="25"/>
  <c r="W37" i="25"/>
  <c r="F40" i="25"/>
  <c r="F49" i="25"/>
  <c r="I40" i="25"/>
  <c r="D98" i="25"/>
  <c r="T74" i="25"/>
  <c r="T6" i="25"/>
  <c r="N91" i="19"/>
  <c r="N98" i="25"/>
  <c r="U76" i="25"/>
  <c r="J101" i="25"/>
  <c r="T77" i="25"/>
  <c r="K87" i="19"/>
  <c r="K98" i="24"/>
  <c r="I80" i="19"/>
  <c r="D105" i="24"/>
  <c r="C106" i="24"/>
  <c r="T86" i="24"/>
  <c r="D100" i="24"/>
  <c r="C101" i="24"/>
  <c r="Q22" i="24"/>
  <c r="O19" i="24"/>
  <c r="U25" i="25"/>
  <c r="W104" i="25"/>
  <c r="J98" i="24"/>
  <c r="T93" i="24"/>
  <c r="M104" i="24"/>
  <c r="K106" i="24"/>
  <c r="U84" i="24"/>
  <c r="K102" i="24"/>
  <c r="G106" i="24"/>
  <c r="T91" i="24"/>
  <c r="C105" i="24"/>
  <c r="C98" i="24"/>
  <c r="I41" i="24"/>
  <c r="Q15" i="24"/>
  <c r="O21" i="24"/>
  <c r="M34" i="24"/>
  <c r="T89" i="24"/>
  <c r="Q89" i="24"/>
  <c r="T19" i="24"/>
  <c r="Q84" i="24"/>
  <c r="T90" i="24"/>
  <c r="O22" i="24"/>
  <c r="J100" i="23"/>
  <c r="Q77" i="23"/>
  <c r="T77" i="23"/>
  <c r="O20" i="24"/>
  <c r="N105" i="24"/>
  <c r="U72" i="23"/>
  <c r="U73" i="23"/>
  <c r="U86" i="23"/>
  <c r="U12" i="24"/>
  <c r="I76" i="19"/>
  <c r="X73" i="19"/>
  <c r="N39" i="25"/>
  <c r="U79" i="23"/>
  <c r="T23" i="25"/>
  <c r="G37" i="25"/>
  <c r="T21" i="25"/>
  <c r="G32" i="25"/>
  <c r="C40" i="25"/>
  <c r="C49" i="25"/>
  <c r="T27" i="25"/>
  <c r="W87" i="19"/>
  <c r="C37" i="25"/>
  <c r="T19" i="25"/>
  <c r="H37" i="25"/>
  <c r="D37" i="25"/>
  <c r="T25" i="25"/>
  <c r="M39" i="25"/>
  <c r="S6" i="25"/>
  <c r="C33" i="25"/>
  <c r="AB33" i="25"/>
  <c r="W36" i="25"/>
  <c r="K40" i="25"/>
  <c r="U13" i="25"/>
  <c r="H41" i="25"/>
  <c r="G102" i="24"/>
  <c r="U74" i="23"/>
  <c r="AA101" i="23"/>
  <c r="T87" i="23"/>
  <c r="J106" i="25"/>
  <c r="Q80" i="25"/>
  <c r="H97" i="25"/>
  <c r="M105" i="25"/>
  <c r="K100" i="24"/>
  <c r="L76" i="19"/>
  <c r="Z72" i="19"/>
  <c r="Q93" i="24"/>
  <c r="O89" i="24"/>
  <c r="I72" i="19"/>
  <c r="X72" i="19"/>
  <c r="AB98" i="25"/>
  <c r="S76" i="25"/>
  <c r="U78" i="25"/>
  <c r="H102" i="25"/>
  <c r="Z93" i="19"/>
  <c r="U84" i="25"/>
  <c r="AB99" i="25"/>
  <c r="W100" i="25"/>
  <c r="L84" i="19"/>
  <c r="U71" i="25"/>
  <c r="D77" i="19"/>
  <c r="Q91" i="24"/>
  <c r="T88" i="24"/>
  <c r="W103" i="24"/>
  <c r="F101" i="24"/>
  <c r="N98" i="24"/>
  <c r="X101" i="24"/>
  <c r="O92" i="24"/>
  <c r="H97" i="24"/>
  <c r="X78" i="19"/>
  <c r="O93" i="24"/>
  <c r="S86" i="24"/>
  <c r="O91" i="24"/>
  <c r="Q92" i="24"/>
  <c r="L106" i="24"/>
  <c r="M103" i="24"/>
  <c r="Q87" i="24"/>
  <c r="O84" i="24"/>
  <c r="U92" i="23"/>
  <c r="Q79" i="25"/>
  <c r="M97" i="25"/>
  <c r="Z99" i="25"/>
  <c r="W104" i="23"/>
  <c r="C104" i="24"/>
  <c r="T87" i="24"/>
  <c r="O86" i="24"/>
  <c r="C97" i="24"/>
  <c r="Q92" i="23"/>
  <c r="U86" i="25"/>
  <c r="X97" i="25"/>
  <c r="D90" i="19"/>
  <c r="K106" i="23"/>
  <c r="Q86" i="24"/>
  <c r="I100" i="23"/>
  <c r="L104" i="25"/>
  <c r="X99" i="25"/>
  <c r="D106" i="25"/>
  <c r="D99" i="25"/>
  <c r="N101" i="25"/>
  <c r="N105" i="25"/>
  <c r="N101" i="24"/>
  <c r="G104" i="24"/>
  <c r="G98" i="25"/>
  <c r="C102" i="25"/>
  <c r="J102" i="25"/>
  <c r="T91" i="25"/>
  <c r="O93" i="25"/>
  <c r="E105" i="25"/>
  <c r="Q22" i="25"/>
  <c r="M102" i="25"/>
  <c r="T85" i="24"/>
  <c r="H98" i="24"/>
  <c r="U19" i="25"/>
  <c r="H36" i="25"/>
  <c r="Q13" i="25"/>
  <c r="E101" i="25"/>
  <c r="J97" i="25"/>
  <c r="Q76" i="25"/>
  <c r="T12" i="25"/>
  <c r="F76" i="19"/>
  <c r="M106" i="23"/>
  <c r="U80" i="23"/>
  <c r="U84" i="23"/>
  <c r="I100" i="24"/>
  <c r="Q87" i="23"/>
  <c r="T89" i="25"/>
  <c r="Q89" i="25"/>
  <c r="T10" i="25"/>
  <c r="M36" i="25"/>
  <c r="K103" i="23"/>
  <c r="U77" i="23"/>
  <c r="J75" i="19"/>
  <c r="T24" i="25"/>
  <c r="C100" i="25"/>
  <c r="Q71" i="25"/>
  <c r="Z104" i="25"/>
  <c r="AB35" i="25"/>
  <c r="T75" i="25"/>
  <c r="K100" i="25"/>
  <c r="T22" i="25"/>
  <c r="X76" i="19"/>
  <c r="Z89" i="19"/>
  <c r="I38" i="25"/>
  <c r="I71" i="19"/>
  <c r="W106" i="25"/>
  <c r="I100" i="25"/>
  <c r="T80" i="25"/>
  <c r="G39" i="25"/>
  <c r="L39" i="25"/>
  <c r="J76" i="19"/>
  <c r="O27" i="24"/>
  <c r="O28" i="24"/>
  <c r="O63" i="24"/>
  <c r="O25" i="24"/>
  <c r="O24" i="24"/>
  <c r="O23" i="24"/>
  <c r="AA41" i="24"/>
  <c r="AB40" i="24"/>
  <c r="C40" i="24"/>
  <c r="G36" i="24"/>
  <c r="O85" i="24"/>
  <c r="Q90" i="24"/>
  <c r="W106" i="24"/>
  <c r="S23" i="24"/>
  <c r="K40" i="24"/>
  <c r="L39" i="24"/>
  <c r="M38" i="24"/>
  <c r="N37" i="24"/>
  <c r="W36" i="24"/>
  <c r="X35" i="24"/>
  <c r="Z34" i="24"/>
  <c r="AA33" i="24"/>
  <c r="H77" i="19"/>
  <c r="G104" i="25"/>
  <c r="S21" i="24"/>
  <c r="Q6" i="24"/>
  <c r="AA100" i="23"/>
  <c r="AB105" i="23"/>
  <c r="M97" i="23"/>
  <c r="S13" i="25"/>
  <c r="O12" i="25"/>
  <c r="I33" i="25"/>
  <c r="N32" i="25"/>
  <c r="W103" i="25"/>
  <c r="U8" i="25"/>
  <c r="F104" i="25"/>
  <c r="O89" i="25"/>
  <c r="K98" i="25"/>
  <c r="F100" i="25"/>
  <c r="Z75" i="19"/>
  <c r="T84" i="25"/>
  <c r="Z41" i="25"/>
  <c r="Z40" i="25"/>
  <c r="E98" i="25"/>
  <c r="AA99" i="25"/>
  <c r="U75" i="25"/>
  <c r="J103" i="25"/>
  <c r="AB102" i="25"/>
  <c r="AB87" i="19"/>
  <c r="W33" i="25"/>
  <c r="Z34" i="25"/>
  <c r="M38" i="25"/>
  <c r="Z39" i="25"/>
  <c r="E41" i="25"/>
  <c r="X104" i="25"/>
  <c r="U92" i="25"/>
  <c r="K39" i="25"/>
  <c r="AB101" i="25"/>
  <c r="T78" i="25"/>
  <c r="L105" i="25"/>
  <c r="X80" i="19"/>
  <c r="L86" i="19"/>
  <c r="H103" i="25"/>
  <c r="Z105" i="25"/>
  <c r="Z102" i="25"/>
  <c r="K84" i="19"/>
  <c r="T87" i="25"/>
  <c r="G101" i="25"/>
  <c r="F102" i="25"/>
  <c r="C105" i="25"/>
  <c r="U22" i="24"/>
  <c r="AB97" i="24"/>
  <c r="X100" i="24"/>
  <c r="AA101" i="24"/>
  <c r="J104" i="24"/>
  <c r="AA106" i="24"/>
  <c r="J99" i="24"/>
  <c r="M102" i="24"/>
  <c r="AB106" i="24"/>
  <c r="S88" i="24"/>
  <c r="AB100" i="23"/>
  <c r="T28" i="24"/>
  <c r="Q28" i="24"/>
  <c r="M106" i="24"/>
  <c r="S87" i="24"/>
  <c r="O87" i="24"/>
  <c r="H102" i="24"/>
  <c r="D106" i="24"/>
  <c r="AB36" i="25"/>
  <c r="O71" i="25"/>
  <c r="H105" i="25"/>
  <c r="T79" i="25"/>
  <c r="E40" i="25"/>
  <c r="C101" i="25"/>
  <c r="S75" i="25"/>
  <c r="G38" i="25"/>
  <c r="S78" i="25"/>
  <c r="C103" i="25"/>
  <c r="U79" i="25"/>
  <c r="H40" i="25"/>
  <c r="X106" i="25"/>
  <c r="Q8" i="25"/>
  <c r="Q72" i="25"/>
  <c r="U88" i="25"/>
  <c r="J41" i="25"/>
  <c r="S21" i="25"/>
  <c r="Q88" i="24"/>
  <c r="D39" i="24"/>
  <c r="S13" i="24"/>
  <c r="F37" i="24"/>
  <c r="S11" i="24"/>
  <c r="I34" i="24"/>
  <c r="Q8" i="24"/>
  <c r="T8" i="24"/>
  <c r="M99" i="24"/>
  <c r="M101" i="24"/>
  <c r="D104" i="24"/>
  <c r="D101" i="24"/>
  <c r="G98" i="24"/>
  <c r="O88" i="24"/>
  <c r="H33" i="25"/>
  <c r="I35" i="25"/>
  <c r="J39" i="25"/>
  <c r="K32" i="25"/>
  <c r="Q19" i="25"/>
  <c r="L90" i="19"/>
  <c r="L103" i="25"/>
  <c r="K36" i="25"/>
  <c r="K41" i="25"/>
  <c r="O19" i="25"/>
  <c r="Z71" i="19"/>
  <c r="Z97" i="25"/>
  <c r="I105" i="25"/>
  <c r="Q92" i="25"/>
  <c r="D36" i="25"/>
  <c r="K34" i="25"/>
  <c r="D41" i="25"/>
  <c r="O15" i="25"/>
  <c r="S15" i="25"/>
  <c r="G97" i="25"/>
  <c r="E99" i="25"/>
  <c r="T85" i="25"/>
  <c r="O85" i="25"/>
  <c r="O90" i="25"/>
  <c r="O80" i="25"/>
  <c r="E97" i="25"/>
  <c r="S14" i="24"/>
  <c r="Q85" i="24"/>
  <c r="O90" i="24"/>
  <c r="E100" i="24"/>
  <c r="S77" i="25"/>
  <c r="U80" i="25"/>
  <c r="S73" i="25"/>
  <c r="Q27" i="25"/>
  <c r="U26" i="24"/>
  <c r="U25" i="24"/>
  <c r="U62" i="24"/>
  <c r="O26" i="24"/>
  <c r="E38" i="24"/>
  <c r="Z102" i="24"/>
  <c r="Z76" i="19"/>
  <c r="F99" i="24"/>
  <c r="L103" i="24"/>
  <c r="Z85" i="19"/>
  <c r="Z98" i="25"/>
  <c r="AB38" i="25"/>
  <c r="M32" i="25"/>
  <c r="D40" i="25"/>
  <c r="Q88" i="25"/>
  <c r="X32" i="25"/>
  <c r="E103" i="25"/>
  <c r="T11" i="25"/>
  <c r="F98" i="25"/>
  <c r="X103" i="25"/>
  <c r="X77" i="19"/>
  <c r="O92" i="25"/>
  <c r="O88" i="25"/>
  <c r="O25" i="25"/>
  <c r="AA32" i="25"/>
  <c r="L36" i="25"/>
  <c r="G106" i="25"/>
  <c r="L38" i="25"/>
  <c r="K85" i="19"/>
  <c r="D97" i="25"/>
  <c r="W98" i="25"/>
  <c r="D102" i="25"/>
  <c r="G33" i="25"/>
  <c r="L72" i="19"/>
  <c r="L98" i="25"/>
  <c r="N72" i="19"/>
  <c r="AA78" i="19"/>
  <c r="F106" i="25"/>
  <c r="J88" i="19"/>
  <c r="E106" i="25"/>
  <c r="O72" i="25"/>
  <c r="Q87" i="25"/>
  <c r="M37" i="25"/>
  <c r="E39" i="25"/>
  <c r="Q28" i="25"/>
  <c r="D104" i="25"/>
  <c r="X105" i="25"/>
  <c r="AA38" i="25"/>
  <c r="U22" i="25"/>
  <c r="F39" i="25"/>
  <c r="K103" i="25"/>
  <c r="K77" i="19"/>
  <c r="E32" i="25"/>
  <c r="G73" i="19"/>
  <c r="G99" i="25"/>
  <c r="L35" i="25"/>
  <c r="M106" i="25"/>
  <c r="N33" i="25"/>
  <c r="N33" i="19"/>
  <c r="S72" i="25"/>
  <c r="O78" i="25"/>
  <c r="Q20" i="25"/>
  <c r="S88" i="25"/>
  <c r="W74" i="19"/>
  <c r="Z35" i="25"/>
  <c r="M75" i="19"/>
  <c r="K97" i="25"/>
  <c r="J98" i="25"/>
  <c r="I99" i="25"/>
  <c r="H100" i="25"/>
  <c r="M104" i="25"/>
  <c r="X90" i="19"/>
  <c r="O10" i="24"/>
  <c r="Z99" i="24"/>
  <c r="Z73" i="19"/>
  <c r="I101" i="24"/>
  <c r="E105" i="24"/>
  <c r="I106" i="24"/>
  <c r="S85" i="24"/>
  <c r="H101" i="24"/>
  <c r="AB101" i="24"/>
  <c r="X104" i="24"/>
  <c r="F103" i="25"/>
  <c r="AA33" i="25"/>
  <c r="F36" i="25"/>
  <c r="D73" i="19"/>
  <c r="M71" i="19"/>
  <c r="N88" i="19"/>
  <c r="K78" i="19"/>
  <c r="S25" i="24"/>
  <c r="K103" i="24"/>
  <c r="U89" i="24"/>
  <c r="W98" i="24"/>
  <c r="F104" i="24"/>
  <c r="J105" i="24"/>
  <c r="L101" i="24"/>
  <c r="H105" i="24"/>
  <c r="H100" i="24"/>
  <c r="J102" i="23"/>
  <c r="U88" i="23"/>
  <c r="Z97" i="23"/>
  <c r="N103" i="24"/>
  <c r="I103" i="24"/>
  <c r="X106" i="24"/>
  <c r="W101" i="24"/>
  <c r="W99" i="24"/>
  <c r="Z97" i="24"/>
  <c r="L106" i="23"/>
  <c r="N98" i="23"/>
  <c r="M101" i="23"/>
  <c r="U27" i="24"/>
  <c r="L100" i="23"/>
  <c r="D33" i="25"/>
  <c r="D35" i="25"/>
  <c r="L106" i="25"/>
  <c r="L80" i="19"/>
  <c r="O87" i="25"/>
  <c r="O74" i="25"/>
  <c r="T26" i="25"/>
  <c r="H39" i="25"/>
  <c r="D32" i="25"/>
  <c r="U10" i="25"/>
  <c r="U15" i="25"/>
  <c r="U14" i="25"/>
  <c r="U56" i="25"/>
  <c r="N37" i="25"/>
  <c r="O20" i="25"/>
  <c r="U12" i="25"/>
  <c r="S9" i="25"/>
  <c r="Q78" i="25"/>
  <c r="H99" i="25"/>
  <c r="J104" i="25"/>
  <c r="U28" i="25"/>
  <c r="U27" i="25"/>
  <c r="U63" i="25"/>
  <c r="S87" i="25"/>
  <c r="I34" i="25"/>
  <c r="X98" i="25"/>
  <c r="Q75" i="25"/>
  <c r="S74" i="25"/>
  <c r="M34" i="25"/>
  <c r="O27" i="25"/>
  <c r="T8" i="25"/>
  <c r="H34" i="25"/>
  <c r="AA34" i="25"/>
  <c r="AB79" i="19"/>
  <c r="AB105" i="25"/>
  <c r="Z37" i="25"/>
  <c r="M100" i="25"/>
  <c r="U91" i="25"/>
  <c r="K104" i="25"/>
  <c r="AA75" i="19"/>
  <c r="AA101" i="25"/>
  <c r="O84" i="25"/>
  <c r="Q84" i="25"/>
  <c r="Q93" i="25"/>
  <c r="T93" i="25"/>
  <c r="AA41" i="25"/>
  <c r="G34" i="25"/>
  <c r="G46" i="25"/>
  <c r="Q24" i="25"/>
  <c r="H98" i="25"/>
  <c r="T72" i="25"/>
  <c r="M103" i="25"/>
  <c r="Q77" i="25"/>
  <c r="O77" i="25"/>
  <c r="Q86" i="25"/>
  <c r="T86" i="25"/>
  <c r="Q14" i="25"/>
  <c r="Q15" i="25"/>
  <c r="O10" i="25"/>
  <c r="F33" i="25"/>
  <c r="O86" i="25"/>
  <c r="S71" i="25"/>
  <c r="O75" i="25"/>
  <c r="U77" i="25"/>
  <c r="T14" i="25"/>
  <c r="N106" i="25"/>
  <c r="Q12" i="25"/>
  <c r="J35" i="25"/>
  <c r="O14" i="25"/>
  <c r="S11" i="25"/>
  <c r="K38" i="25"/>
  <c r="C98" i="25"/>
  <c r="J36" i="25"/>
  <c r="M101" i="25"/>
  <c r="X36" i="25"/>
  <c r="I106" i="25"/>
  <c r="L32" i="25"/>
  <c r="W41" i="25"/>
  <c r="F37" i="25"/>
  <c r="D39" i="25"/>
  <c r="O13" i="25"/>
  <c r="D38" i="25"/>
  <c r="S12" i="25"/>
  <c r="S55" i="25"/>
  <c r="F38" i="25"/>
  <c r="U23" i="25"/>
  <c r="Q23" i="25"/>
  <c r="Z32" i="25"/>
  <c r="E33" i="25"/>
  <c r="G102" i="25"/>
  <c r="O76" i="25"/>
  <c r="S7" i="25"/>
  <c r="E35" i="25"/>
  <c r="K73" i="19"/>
  <c r="K99" i="25"/>
  <c r="U73" i="25"/>
  <c r="Z77" i="19"/>
  <c r="Z103" i="25"/>
  <c r="S91" i="25"/>
  <c r="L101" i="25"/>
  <c r="W79" i="19"/>
  <c r="W105" i="25"/>
  <c r="S86" i="25"/>
  <c r="E38" i="25"/>
  <c r="E48" i="25"/>
  <c r="L40" i="25"/>
  <c r="AA71" i="19"/>
  <c r="AA97" i="25"/>
  <c r="F99" i="25"/>
  <c r="S89" i="25"/>
  <c r="I36" i="25"/>
  <c r="Z33" i="25"/>
  <c r="N36" i="25"/>
  <c r="I41" i="25"/>
  <c r="D74" i="19"/>
  <c r="D100" i="25"/>
  <c r="H104" i="25"/>
  <c r="D84" i="19"/>
  <c r="T90" i="25"/>
  <c r="S92" i="25"/>
  <c r="H99" i="24"/>
  <c r="Q9" i="24"/>
  <c r="H35" i="24"/>
  <c r="U7" i="24"/>
  <c r="J33" i="24"/>
  <c r="G32" i="24"/>
  <c r="O6" i="24"/>
  <c r="I105" i="24"/>
  <c r="U86" i="24"/>
  <c r="AB102" i="24"/>
  <c r="Z104" i="24"/>
  <c r="G100" i="24"/>
  <c r="AA98" i="24"/>
  <c r="U93" i="24"/>
  <c r="Q20" i="24"/>
  <c r="S93" i="24"/>
  <c r="F100" i="24"/>
  <c r="S20" i="24"/>
  <c r="U10" i="24"/>
  <c r="AB72" i="19"/>
  <c r="AB98" i="23"/>
  <c r="W73" i="19"/>
  <c r="W99" i="23"/>
  <c r="E89" i="19"/>
  <c r="M74" i="19"/>
  <c r="M100" i="23"/>
  <c r="L101" i="23"/>
  <c r="L75" i="19"/>
  <c r="M87" i="19"/>
  <c r="AB90" i="19"/>
  <c r="I73" i="19"/>
  <c r="I99" i="23"/>
  <c r="W102" i="23"/>
  <c r="W76" i="19"/>
  <c r="C80" i="19"/>
  <c r="I85" i="19"/>
  <c r="X88" i="19"/>
  <c r="D92" i="19"/>
  <c r="N77" i="19"/>
  <c r="N103" i="23"/>
  <c r="AB106" i="23"/>
  <c r="AB80" i="19"/>
  <c r="W89" i="19"/>
  <c r="K71" i="19"/>
  <c r="K97" i="23"/>
  <c r="Z100" i="23"/>
  <c r="Z74" i="19"/>
  <c r="K76" i="19"/>
  <c r="K102" i="23"/>
  <c r="AA86" i="19"/>
  <c r="L88" i="19"/>
  <c r="AA91" i="19"/>
  <c r="L93" i="19"/>
  <c r="L97" i="23"/>
  <c r="L71" i="19"/>
  <c r="L102" i="23"/>
  <c r="AB86" i="19"/>
  <c r="M88" i="19"/>
  <c r="Q25" i="24"/>
  <c r="U23" i="24"/>
  <c r="U8" i="24"/>
  <c r="AA80" i="19"/>
  <c r="AA106" i="25"/>
  <c r="L37" i="25"/>
  <c r="D34" i="25"/>
  <c r="C35" i="25"/>
  <c r="S22" i="25"/>
  <c r="X38" i="25"/>
  <c r="M41" i="25"/>
  <c r="U85" i="25"/>
  <c r="S93" i="25"/>
  <c r="AB104" i="25"/>
  <c r="Z106" i="25"/>
  <c r="Q91" i="25"/>
  <c r="T24" i="24"/>
  <c r="Q24" i="24"/>
  <c r="S10" i="24"/>
  <c r="C36" i="24"/>
  <c r="E34" i="24"/>
  <c r="E46" i="24"/>
  <c r="O8" i="24"/>
  <c r="Z98" i="24"/>
  <c r="U87" i="24"/>
  <c r="U88" i="24"/>
  <c r="J101" i="24"/>
  <c r="F103" i="24"/>
  <c r="Z103" i="24"/>
  <c r="S89" i="24"/>
  <c r="Q27" i="24"/>
  <c r="J38" i="24"/>
  <c r="O9" i="24"/>
  <c r="U24" i="24"/>
  <c r="L92" i="19"/>
  <c r="AB77" i="19"/>
  <c r="AB103" i="23"/>
  <c r="D85" i="19"/>
  <c r="D98" i="23"/>
  <c r="W91" i="19"/>
  <c r="L89" i="19"/>
  <c r="AA92" i="19"/>
  <c r="X97" i="23"/>
  <c r="X71" i="19"/>
  <c r="J78" i="19"/>
  <c r="J104" i="23"/>
  <c r="U78" i="23"/>
  <c r="K90" i="19"/>
  <c r="M73" i="19"/>
  <c r="M99" i="23"/>
  <c r="AA76" i="19"/>
  <c r="AA102" i="23"/>
  <c r="M78" i="19"/>
  <c r="M104" i="23"/>
  <c r="M85" i="19"/>
  <c r="AA88" i="19"/>
  <c r="N90" i="19"/>
  <c r="H92" i="19"/>
  <c r="AB93" i="19"/>
  <c r="N99" i="23"/>
  <c r="N78" i="19"/>
  <c r="N104" i="23"/>
  <c r="W85" i="19"/>
  <c r="I87" i="19"/>
  <c r="D89" i="19"/>
  <c r="W90" i="19"/>
  <c r="I92" i="19"/>
  <c r="J74" i="19"/>
  <c r="W101" i="23"/>
  <c r="W75" i="19"/>
  <c r="AB76" i="19"/>
  <c r="AB102" i="23"/>
  <c r="W106" i="23"/>
  <c r="W80" i="19"/>
  <c r="K86" i="19"/>
  <c r="G90" i="19"/>
  <c r="K91" i="19"/>
  <c r="X92" i="19"/>
  <c r="N71" i="19"/>
  <c r="N97" i="23"/>
  <c r="M72" i="19"/>
  <c r="M98" i="23"/>
  <c r="L73" i="19"/>
  <c r="K74" i="19"/>
  <c r="J101" i="23"/>
  <c r="G78" i="19"/>
  <c r="AB84" i="19"/>
  <c r="AA85" i="19"/>
  <c r="Z86" i="19"/>
  <c r="X87" i="19"/>
  <c r="W88" i="19"/>
  <c r="N89" i="19"/>
  <c r="M90" i="19"/>
  <c r="L91" i="19"/>
  <c r="K92" i="19"/>
  <c r="J93" i="19"/>
  <c r="U93" i="23"/>
  <c r="Q21" i="24"/>
  <c r="U20" i="24"/>
  <c r="O11" i="24"/>
  <c r="F97" i="25"/>
  <c r="AA37" i="25"/>
  <c r="G41" i="25"/>
  <c r="Q73" i="25"/>
  <c r="AB74" i="19"/>
  <c r="AB100" i="25"/>
  <c r="S79" i="25"/>
  <c r="G100" i="25"/>
  <c r="N40" i="25"/>
  <c r="S25" i="25"/>
  <c r="T28" i="25"/>
  <c r="E104" i="25"/>
  <c r="H32" i="25"/>
  <c r="F34" i="25"/>
  <c r="AB37" i="25"/>
  <c r="S19" i="25"/>
  <c r="S24" i="25"/>
  <c r="D101" i="25"/>
  <c r="T76" i="25"/>
  <c r="AA103" i="25"/>
  <c r="M79" i="19"/>
  <c r="T88" i="25"/>
  <c r="AA35" i="25"/>
  <c r="Z36" i="25"/>
  <c r="Z47" i="25"/>
  <c r="M40" i="25"/>
  <c r="L41" i="25"/>
  <c r="E37" i="25"/>
  <c r="C39" i="25"/>
  <c r="S26" i="25"/>
  <c r="AB39" i="25"/>
  <c r="W97" i="25"/>
  <c r="M99" i="25"/>
  <c r="L74" i="19"/>
  <c r="L100" i="25"/>
  <c r="K101" i="25"/>
  <c r="N103" i="25"/>
  <c r="F105" i="25"/>
  <c r="S84" i="25"/>
  <c r="J102" i="24"/>
  <c r="G97" i="24"/>
  <c r="F98" i="24"/>
  <c r="E99" i="24"/>
  <c r="AA102" i="24"/>
  <c r="N106" i="24"/>
  <c r="U90" i="24"/>
  <c r="I98" i="24"/>
  <c r="U85" i="24"/>
  <c r="F102" i="24"/>
  <c r="E103" i="24"/>
  <c r="S92" i="24"/>
  <c r="J106" i="24"/>
  <c r="U91" i="24"/>
  <c r="E106" i="24"/>
  <c r="E101" i="24"/>
  <c r="G99" i="24"/>
  <c r="I97" i="24"/>
  <c r="C41" i="24"/>
  <c r="S28" i="24"/>
  <c r="Q23" i="24"/>
  <c r="U21" i="24"/>
  <c r="J34" i="24"/>
  <c r="J35" i="24"/>
  <c r="J37" i="24"/>
  <c r="J39" i="24"/>
  <c r="J45" i="24"/>
  <c r="J45" i="23"/>
  <c r="I44" i="44"/>
  <c r="K33" i="24"/>
  <c r="S8" i="24"/>
  <c r="S27" i="24"/>
  <c r="S63" i="24"/>
  <c r="K80" i="19"/>
  <c r="AA73" i="19"/>
  <c r="AA99" i="23"/>
  <c r="AB85" i="19"/>
  <c r="M92" i="19"/>
  <c r="W71" i="19"/>
  <c r="W97" i="23"/>
  <c r="C75" i="19"/>
  <c r="I78" i="19"/>
  <c r="J90" i="19"/>
  <c r="U90" i="23"/>
  <c r="X93" i="19"/>
  <c r="AB75" i="19"/>
  <c r="AB101" i="23"/>
  <c r="N84" i="19"/>
  <c r="I91" i="19"/>
  <c r="AB73" i="19"/>
  <c r="AB99" i="23"/>
  <c r="I77" i="19"/>
  <c r="I103" i="23"/>
  <c r="I84" i="19"/>
  <c r="N87" i="19"/>
  <c r="I89" i="19"/>
  <c r="N92" i="19"/>
  <c r="J72" i="19"/>
  <c r="J98" i="23"/>
  <c r="X101" i="23"/>
  <c r="X75" i="19"/>
  <c r="J77" i="19"/>
  <c r="J103" i="23"/>
  <c r="D105" i="23"/>
  <c r="X106" i="23"/>
  <c r="J84" i="19"/>
  <c r="Z87" i="19"/>
  <c r="S7" i="24"/>
  <c r="J38" i="25"/>
  <c r="J48" i="25"/>
  <c r="C99" i="25"/>
  <c r="N100" i="25"/>
  <c r="Q25" i="25"/>
  <c r="AB34" i="25"/>
  <c r="Q9" i="25"/>
  <c r="J33" i="25"/>
  <c r="S14" i="25"/>
  <c r="S56" i="25"/>
  <c r="G36" i="25"/>
  <c r="G47" i="25"/>
  <c r="O26" i="25"/>
  <c r="U9" i="25"/>
  <c r="Q74" i="25"/>
  <c r="Q85" i="25"/>
  <c r="U72" i="25"/>
  <c r="T73" i="25"/>
  <c r="O91" i="25"/>
  <c r="U74" i="25"/>
  <c r="I97" i="25"/>
  <c r="T71" i="25"/>
  <c r="O79" i="25"/>
  <c r="Q90" i="25"/>
  <c r="O73" i="25"/>
  <c r="C104" i="25"/>
  <c r="D86" i="19"/>
  <c r="Z101" i="25"/>
  <c r="U93" i="25"/>
  <c r="E36" i="25"/>
  <c r="U24" i="25"/>
  <c r="M35" i="25"/>
  <c r="L102" i="25"/>
  <c r="F32" i="25"/>
  <c r="S28" i="25"/>
  <c r="O28" i="25"/>
  <c r="E102" i="25"/>
  <c r="N41" i="25"/>
  <c r="W99" i="25"/>
  <c r="G103" i="25"/>
  <c r="K79" i="19"/>
  <c r="K105" i="25"/>
  <c r="F101" i="25"/>
  <c r="J99" i="25"/>
  <c r="S90" i="25"/>
  <c r="T92" i="25"/>
  <c r="I39" i="25"/>
  <c r="S27" i="25"/>
  <c r="Z100" i="25"/>
  <c r="K102" i="25"/>
  <c r="N104" i="25"/>
  <c r="AB106" i="25"/>
  <c r="S85" i="25"/>
  <c r="U89" i="25"/>
  <c r="X40" i="25"/>
  <c r="E100" i="25"/>
  <c r="I101" i="25"/>
  <c r="N102" i="25"/>
  <c r="I104" i="25"/>
  <c r="C106" i="25"/>
  <c r="S80" i="25"/>
  <c r="I98" i="25"/>
  <c r="U90" i="25"/>
  <c r="AA39" i="25"/>
  <c r="L34" i="25"/>
  <c r="I37" i="25"/>
  <c r="H38" i="25"/>
  <c r="H48" i="25"/>
  <c r="C97" i="25"/>
  <c r="AB71" i="19"/>
  <c r="AB97" i="25"/>
  <c r="AA98" i="25"/>
  <c r="X100" i="25"/>
  <c r="W101" i="25"/>
  <c r="W102" i="25"/>
  <c r="AB103" i="25"/>
  <c r="G105" i="25"/>
  <c r="K106" i="25"/>
  <c r="U87" i="25"/>
  <c r="M76" i="19"/>
  <c r="L77" i="19"/>
  <c r="J105" i="25"/>
  <c r="U92" i="24"/>
  <c r="Z106" i="24"/>
  <c r="Z101" i="24"/>
  <c r="X99" i="24"/>
  <c r="AA97" i="24"/>
  <c r="F41" i="24"/>
  <c r="Q13" i="24"/>
  <c r="H39" i="24"/>
  <c r="T13" i="24"/>
  <c r="I38" i="24"/>
  <c r="T12" i="24"/>
  <c r="Q12" i="24"/>
  <c r="Q55" i="24"/>
  <c r="U11" i="24"/>
  <c r="K32" i="24"/>
  <c r="U6" i="24"/>
  <c r="K97" i="24"/>
  <c r="I99" i="24"/>
  <c r="G101" i="24"/>
  <c r="X103" i="24"/>
  <c r="W104" i="24"/>
  <c r="D97" i="24"/>
  <c r="K104" i="24"/>
  <c r="W105" i="24"/>
  <c r="W102" i="24"/>
  <c r="L105" i="24"/>
  <c r="J97" i="24"/>
  <c r="AB104" i="24"/>
  <c r="W97" i="24"/>
  <c r="L100" i="24"/>
  <c r="F106" i="24"/>
  <c r="L97" i="25"/>
  <c r="K75" i="19"/>
  <c r="S84" i="24"/>
  <c r="K105" i="24"/>
  <c r="N100" i="24"/>
  <c r="X98" i="24"/>
  <c r="C33" i="24"/>
  <c r="S24" i="24"/>
  <c r="Q19" i="24"/>
  <c r="S26" i="24"/>
  <c r="S22" i="24"/>
  <c r="M105" i="23"/>
  <c r="X85" i="19"/>
  <c r="N86" i="19"/>
  <c r="AB91" i="19"/>
  <c r="M93" i="19"/>
  <c r="AA72" i="19"/>
  <c r="AA98" i="23"/>
  <c r="I101" i="23"/>
  <c r="I75" i="19"/>
  <c r="N102" i="23"/>
  <c r="N76" i="19"/>
  <c r="AA77" i="19"/>
  <c r="AA103" i="23"/>
  <c r="J106" i="23"/>
  <c r="AA84" i="19"/>
  <c r="F86" i="19"/>
  <c r="J87" i="19"/>
  <c r="U87" i="23"/>
  <c r="AB89" i="19"/>
  <c r="F91" i="19"/>
  <c r="J92" i="19"/>
  <c r="W93" i="19"/>
  <c r="J71" i="19"/>
  <c r="D103" i="23"/>
  <c r="AB78" i="19"/>
  <c r="AB104" i="23"/>
  <c r="AA79" i="19"/>
  <c r="Z80" i="19"/>
  <c r="Z106" i="23"/>
  <c r="W84" i="19"/>
  <c r="N85" i="19"/>
  <c r="M86" i="19"/>
  <c r="L87" i="19"/>
  <c r="K88" i="19"/>
  <c r="J89" i="19"/>
  <c r="U89" i="23"/>
  <c r="I90" i="19"/>
  <c r="AA105" i="24"/>
  <c r="AB100" i="24"/>
  <c r="F97" i="24"/>
  <c r="T26" i="24"/>
  <c r="O15" i="24"/>
  <c r="H41" i="24"/>
  <c r="Q14" i="24"/>
  <c r="I40" i="24"/>
  <c r="U13" i="24"/>
  <c r="K38" i="24"/>
  <c r="L37" i="24"/>
  <c r="M36" i="24"/>
  <c r="N35" i="24"/>
  <c r="W34" i="24"/>
  <c r="X33" i="24"/>
  <c r="M32" i="24"/>
  <c r="G105" i="24"/>
  <c r="X102" i="24"/>
  <c r="M98" i="24"/>
  <c r="T22" i="24"/>
  <c r="S15" i="24"/>
  <c r="S56" i="24"/>
  <c r="D41" i="24"/>
  <c r="O14" i="24"/>
  <c r="O56" i="24"/>
  <c r="E40" i="24"/>
  <c r="E49" i="24"/>
  <c r="O13" i="24"/>
  <c r="F39" i="24"/>
  <c r="G38" i="24"/>
  <c r="Q11" i="24"/>
  <c r="H37" i="24"/>
  <c r="T11" i="24"/>
  <c r="I36" i="24"/>
  <c r="I47" i="24"/>
  <c r="U9" i="24"/>
  <c r="K34" i="24"/>
  <c r="L33" i="24"/>
  <c r="I32" i="24"/>
  <c r="K89" i="19"/>
  <c r="Z92" i="19"/>
  <c r="K99" i="23"/>
  <c r="X100" i="23"/>
  <c r="X74" i="19"/>
  <c r="L104" i="23"/>
  <c r="X105" i="23"/>
  <c r="X79" i="19"/>
  <c r="L85" i="19"/>
  <c r="Z91" i="19"/>
  <c r="D93" i="19"/>
  <c r="W100" i="23"/>
  <c r="N101" i="23"/>
  <c r="L103" i="23"/>
  <c r="J79" i="19"/>
  <c r="D87" i="19"/>
  <c r="AB88" i="19"/>
  <c r="AA89" i="19"/>
  <c r="Z90" i="19"/>
  <c r="X91" i="19"/>
  <c r="W92" i="19"/>
  <c r="N93" i="19"/>
  <c r="N104" i="24"/>
  <c r="E98" i="24"/>
  <c r="X41" i="24"/>
  <c r="X41" i="19"/>
  <c r="Z40" i="24"/>
  <c r="AA39" i="24"/>
  <c r="AB38" i="24"/>
  <c r="O12" i="24"/>
  <c r="C38" i="24"/>
  <c r="D37" i="24"/>
  <c r="E36" i="24"/>
  <c r="S9" i="24"/>
  <c r="S53" i="24"/>
  <c r="F35" i="24"/>
  <c r="F35" i="19"/>
  <c r="F34" i="19"/>
  <c r="F46" i="19"/>
  <c r="G34" i="24"/>
  <c r="Q7" i="24"/>
  <c r="T7" i="24"/>
  <c r="H33" i="24"/>
  <c r="X32" i="24"/>
  <c r="E32" i="24"/>
  <c r="S12" i="24"/>
  <c r="S12" i="19"/>
  <c r="K101" i="23"/>
  <c r="I97" i="23"/>
  <c r="N74" i="19"/>
  <c r="N100" i="23"/>
  <c r="D78" i="19"/>
  <c r="D104" i="23"/>
  <c r="W86" i="19"/>
  <c r="K93" i="19"/>
  <c r="K98" i="23"/>
  <c r="K72" i="19"/>
  <c r="AA87" i="19"/>
  <c r="J73" i="19"/>
  <c r="J99" i="23"/>
  <c r="Z88" i="19"/>
  <c r="D71" i="19"/>
  <c r="D97" i="23"/>
  <c r="W72" i="19"/>
  <c r="W98" i="23"/>
  <c r="I74" i="19"/>
  <c r="D76" i="19"/>
  <c r="D102" i="23"/>
  <c r="W77" i="19"/>
  <c r="W103" i="23"/>
  <c r="I105" i="23"/>
  <c r="I79" i="19"/>
  <c r="X84" i="19"/>
  <c r="J86" i="19"/>
  <c r="X89" i="19"/>
  <c r="J91" i="19"/>
  <c r="U91" i="23"/>
  <c r="E93" i="19"/>
  <c r="X98" i="23"/>
  <c r="L79" i="19"/>
  <c r="L105" i="23"/>
  <c r="Z84" i="19"/>
  <c r="L99" i="23"/>
  <c r="M91" i="19"/>
  <c r="L98" i="23"/>
  <c r="Z99" i="23"/>
  <c r="D75" i="19"/>
  <c r="D101" i="23"/>
  <c r="M103" i="23"/>
  <c r="M77" i="19"/>
  <c r="Z78" i="19"/>
  <c r="Z104" i="23"/>
  <c r="D106" i="23"/>
  <c r="D80" i="19"/>
  <c r="M84" i="19"/>
  <c r="Z98" i="23"/>
  <c r="I88" i="19"/>
  <c r="M89" i="19"/>
  <c r="AA90" i="19"/>
  <c r="I93" i="19"/>
  <c r="Z102" i="23"/>
  <c r="Z102" i="19"/>
  <c r="W78" i="19"/>
  <c r="N105" i="23"/>
  <c r="N79" i="19"/>
  <c r="M80" i="19"/>
  <c r="J85" i="19"/>
  <c r="U85" i="23"/>
  <c r="I86" i="19"/>
  <c r="H87" i="19"/>
  <c r="D91" i="19"/>
  <c r="AB92" i="19"/>
  <c r="AA93" i="19"/>
  <c r="K101" i="24"/>
  <c r="L99" i="24"/>
  <c r="N97" i="24"/>
  <c r="U28" i="24"/>
  <c r="S19" i="24"/>
  <c r="S19" i="19"/>
  <c r="C32" i="24"/>
  <c r="U15" i="24"/>
  <c r="L41" i="24"/>
  <c r="L41" i="19"/>
  <c r="U14" i="24"/>
  <c r="N39" i="24"/>
  <c r="W38" i="24"/>
  <c r="X37" i="24"/>
  <c r="Z36" i="24"/>
  <c r="AA35" i="24"/>
  <c r="AB34" i="24"/>
  <c r="AB34" i="19"/>
  <c r="C34" i="24"/>
  <c r="O7" i="24"/>
  <c r="D33" i="24"/>
  <c r="S6" i="24"/>
  <c r="Q26" i="24"/>
  <c r="Q59" i="24"/>
  <c r="T6" i="24"/>
  <c r="X57" i="19"/>
  <c r="C46" i="23"/>
  <c r="AB50" i="24"/>
  <c r="G57" i="19"/>
  <c r="X63" i="19"/>
  <c r="W57" i="19"/>
  <c r="Z64" i="19"/>
  <c r="Z57" i="19"/>
  <c r="I56" i="19"/>
  <c r="M63" i="19"/>
  <c r="M56" i="19"/>
  <c r="L63" i="19"/>
  <c r="W56" i="19"/>
  <c r="AA64" i="19"/>
  <c r="E63" i="19"/>
  <c r="N64" i="19"/>
  <c r="E56" i="19"/>
  <c r="F57" i="19"/>
  <c r="W64" i="19"/>
  <c r="K64" i="19"/>
  <c r="M64" i="19"/>
  <c r="H63" i="19"/>
  <c r="X56" i="19"/>
  <c r="Z63" i="19"/>
  <c r="U109" i="24"/>
  <c r="AA50" i="24"/>
  <c r="C64" i="19"/>
  <c r="D56" i="19"/>
  <c r="L56" i="19"/>
  <c r="I63" i="19"/>
  <c r="AA63" i="19"/>
  <c r="E57" i="19"/>
  <c r="D57" i="19"/>
  <c r="J57" i="19"/>
  <c r="E64" i="19"/>
  <c r="M57" i="19"/>
  <c r="N63" i="19"/>
  <c r="F63" i="19"/>
  <c r="C63" i="19"/>
  <c r="D63" i="19"/>
  <c r="J63" i="19"/>
  <c r="F56" i="19"/>
  <c r="J56" i="19"/>
  <c r="N56" i="19"/>
  <c r="AB63" i="19"/>
  <c r="AA57" i="19"/>
  <c r="H57" i="19"/>
  <c r="N57" i="19"/>
  <c r="G64" i="19"/>
  <c r="N50" i="24"/>
  <c r="H49" i="25"/>
  <c r="Q64" i="24"/>
  <c r="AA107" i="19"/>
  <c r="O56" i="25"/>
  <c r="S107" i="25"/>
  <c r="X108" i="19"/>
  <c r="W109" i="19"/>
  <c r="L108" i="19"/>
  <c r="Z108" i="19"/>
  <c r="N43" i="19"/>
  <c r="X109" i="19"/>
  <c r="N107" i="19"/>
  <c r="I107" i="19"/>
  <c r="D107" i="19"/>
  <c r="AB109" i="19"/>
  <c r="Z51" i="23"/>
  <c r="Z44" i="19"/>
  <c r="Z51" i="19"/>
  <c r="AB50" i="23"/>
  <c r="AB42" i="19"/>
  <c r="S16" i="19"/>
  <c r="D51" i="23"/>
  <c r="J51" i="23"/>
  <c r="J44" i="19"/>
  <c r="J51" i="19"/>
  <c r="Q29" i="19"/>
  <c r="L51" i="23"/>
  <c r="L44" i="19"/>
  <c r="L51" i="19"/>
  <c r="N51" i="23"/>
  <c r="N44" i="19"/>
  <c r="N51" i="19"/>
  <c r="U29" i="19"/>
  <c r="G50" i="23"/>
  <c r="I43" i="19"/>
  <c r="F51" i="23"/>
  <c r="F44" i="19"/>
  <c r="F51" i="19"/>
  <c r="Q16" i="19"/>
  <c r="T30" i="19"/>
  <c r="W51" i="23"/>
  <c r="W44" i="19"/>
  <c r="W51" i="19"/>
  <c r="AB108" i="19"/>
  <c r="G43" i="19"/>
  <c r="K43" i="19"/>
  <c r="N108" i="19"/>
  <c r="S29" i="19"/>
  <c r="D42" i="19"/>
  <c r="J107" i="19"/>
  <c r="W50" i="23"/>
  <c r="W42" i="19"/>
  <c r="Z43" i="19"/>
  <c r="S65" i="23"/>
  <c r="S31" i="19"/>
  <c r="S65" i="19"/>
  <c r="S18" i="19"/>
  <c r="S58" i="19"/>
  <c r="U83" i="19"/>
  <c r="T29" i="19"/>
  <c r="L50" i="23"/>
  <c r="L42" i="19"/>
  <c r="Q65" i="23"/>
  <c r="Q31" i="19"/>
  <c r="Q65" i="19"/>
  <c r="E51" i="23"/>
  <c r="E44" i="19"/>
  <c r="E51" i="19"/>
  <c r="Q18" i="19"/>
  <c r="Q58" i="19"/>
  <c r="AB51" i="23"/>
  <c r="AB44" i="19"/>
  <c r="AB51" i="19"/>
  <c r="O17" i="19"/>
  <c r="Z109" i="19"/>
  <c r="X43" i="19"/>
  <c r="W108" i="19"/>
  <c r="AA43" i="19"/>
  <c r="O29" i="19"/>
  <c r="E43" i="19"/>
  <c r="M42" i="19"/>
  <c r="U81" i="19"/>
  <c r="M51" i="23"/>
  <c r="M107" i="19"/>
  <c r="O65" i="23"/>
  <c r="O31" i="19"/>
  <c r="O65" i="19"/>
  <c r="C51" i="23"/>
  <c r="E42" i="19"/>
  <c r="E50" i="19"/>
  <c r="J109" i="19"/>
  <c r="I51" i="23"/>
  <c r="K50" i="23"/>
  <c r="K42" i="19"/>
  <c r="K50" i="19"/>
  <c r="M43" i="19"/>
  <c r="T65" i="23"/>
  <c r="T65" i="19"/>
  <c r="U96" i="19"/>
  <c r="S30" i="19"/>
  <c r="D108" i="19"/>
  <c r="T18" i="19"/>
  <c r="T58" i="19"/>
  <c r="J108" i="19"/>
  <c r="H42" i="19"/>
  <c r="Q17" i="19"/>
  <c r="C43" i="19"/>
  <c r="AB107" i="19"/>
  <c r="M109" i="19"/>
  <c r="X107" i="19"/>
  <c r="I108" i="19"/>
  <c r="K108" i="19"/>
  <c r="O16" i="19"/>
  <c r="Z107" i="19"/>
  <c r="F42" i="19"/>
  <c r="I42" i="19"/>
  <c r="K51" i="23"/>
  <c r="K44" i="19"/>
  <c r="K51" i="19"/>
  <c r="U65" i="23"/>
  <c r="U31" i="19"/>
  <c r="U65" i="19"/>
  <c r="U94" i="19"/>
  <c r="X51" i="23"/>
  <c r="X44" i="19"/>
  <c r="X51" i="19"/>
  <c r="AA42" i="19"/>
  <c r="O18" i="19"/>
  <c r="O58" i="19"/>
  <c r="AA51" i="23"/>
  <c r="AA44" i="19"/>
  <c r="AA51" i="19"/>
  <c r="U30" i="19"/>
  <c r="G51" i="23"/>
  <c r="G44" i="19"/>
  <c r="G51" i="19"/>
  <c r="O30" i="19"/>
  <c r="F43" i="19"/>
  <c r="H51" i="23"/>
  <c r="H44" i="19"/>
  <c r="H51" i="19"/>
  <c r="J42" i="19"/>
  <c r="U82" i="19"/>
  <c r="T16" i="19"/>
  <c r="H43" i="19"/>
  <c r="Q30" i="19"/>
  <c r="S17" i="19"/>
  <c r="AB43" i="19"/>
  <c r="L107" i="19"/>
  <c r="AA109" i="19"/>
  <c r="I109" i="19"/>
  <c r="D43" i="19"/>
  <c r="C52" i="19"/>
  <c r="O64" i="23"/>
  <c r="U109" i="25"/>
  <c r="T107" i="25"/>
  <c r="Q64" i="23"/>
  <c r="T108" i="25"/>
  <c r="Q109" i="25"/>
  <c r="N50" i="25"/>
  <c r="I50" i="23"/>
  <c r="U107" i="25"/>
  <c r="Q108" i="25"/>
  <c r="T109" i="25"/>
  <c r="S109" i="24"/>
  <c r="S108" i="25"/>
  <c r="Q107" i="25"/>
  <c r="G50" i="25"/>
  <c r="D50" i="25"/>
  <c r="S108" i="24"/>
  <c r="C50" i="23"/>
  <c r="T64" i="23"/>
  <c r="E50" i="24"/>
  <c r="S64" i="23"/>
  <c r="U109" i="23"/>
  <c r="O107" i="24"/>
  <c r="O64" i="24"/>
  <c r="Q109" i="24"/>
  <c r="O43" i="23"/>
  <c r="X50" i="23"/>
  <c r="Q43" i="24"/>
  <c r="H50" i="24"/>
  <c r="F50" i="23"/>
  <c r="D50" i="24"/>
  <c r="U107" i="23"/>
  <c r="E50" i="23"/>
  <c r="H50" i="23"/>
  <c r="Q43" i="23"/>
  <c r="AA50" i="23"/>
  <c r="O42" i="24"/>
  <c r="O57" i="24"/>
  <c r="O57" i="23"/>
  <c r="O42" i="23"/>
  <c r="U44" i="23"/>
  <c r="U58" i="23"/>
  <c r="S44" i="23"/>
  <c r="S58" i="23"/>
  <c r="U58" i="24"/>
  <c r="U44" i="24"/>
  <c r="U51" i="24"/>
  <c r="Q58" i="23"/>
  <c r="Q44" i="23"/>
  <c r="Q58" i="24"/>
  <c r="Q44" i="24"/>
  <c r="Q51" i="24"/>
  <c r="Q42" i="24"/>
  <c r="S57" i="24"/>
  <c r="S42" i="24"/>
  <c r="U57" i="24"/>
  <c r="U42" i="24"/>
  <c r="U50" i="24"/>
  <c r="S57" i="23"/>
  <c r="Z50" i="24"/>
  <c r="T107" i="24"/>
  <c r="T43" i="24"/>
  <c r="T58" i="23"/>
  <c r="T44" i="23"/>
  <c r="U42" i="23"/>
  <c r="O108" i="24"/>
  <c r="T57" i="24"/>
  <c r="O44" i="24"/>
  <c r="O51" i="24"/>
  <c r="O58" i="24"/>
  <c r="O43" i="24"/>
  <c r="J50" i="24"/>
  <c r="T109" i="24"/>
  <c r="O58" i="23"/>
  <c r="O44" i="23"/>
  <c r="Q107" i="24"/>
  <c r="L50" i="24"/>
  <c r="M50" i="24"/>
  <c r="Q108" i="24"/>
  <c r="J50" i="23"/>
  <c r="U108" i="23"/>
  <c r="T42" i="23"/>
  <c r="T57" i="23"/>
  <c r="S43" i="23"/>
  <c r="S109" i="25"/>
  <c r="T42" i="24"/>
  <c r="T64" i="24"/>
  <c r="T58" i="24"/>
  <c r="T44" i="24"/>
  <c r="T51" i="24"/>
  <c r="S64" i="24"/>
  <c r="S58" i="24"/>
  <c r="S44" i="24"/>
  <c r="S51" i="24"/>
  <c r="C50" i="24"/>
  <c r="M50" i="23"/>
  <c r="U108" i="24"/>
  <c r="O109" i="24"/>
  <c r="S107" i="24"/>
  <c r="F50" i="24"/>
  <c r="U43" i="23"/>
  <c r="N50" i="23"/>
  <c r="U64" i="23"/>
  <c r="T108" i="24"/>
  <c r="Q57" i="23"/>
  <c r="Q42" i="23"/>
  <c r="AB50" i="25"/>
  <c r="Q63" i="24"/>
  <c r="E49" i="25"/>
  <c r="AB49" i="24"/>
  <c r="I49" i="24"/>
  <c r="N99" i="19"/>
  <c r="AB48" i="23"/>
  <c r="F50" i="25"/>
  <c r="H49" i="23"/>
  <c r="M49" i="25"/>
  <c r="K49" i="24"/>
  <c r="L49" i="23"/>
  <c r="G48" i="23"/>
  <c r="Z50" i="25"/>
  <c r="O109" i="25"/>
  <c r="I50" i="25"/>
  <c r="U56" i="24"/>
  <c r="Z49" i="24"/>
  <c r="S63" i="25"/>
  <c r="C49" i="24"/>
  <c r="X49" i="24"/>
  <c r="AA49" i="24"/>
  <c r="S63" i="23"/>
  <c r="T64" i="25"/>
  <c r="H50" i="25"/>
  <c r="X50" i="25"/>
  <c r="X49" i="25"/>
  <c r="D49" i="25"/>
  <c r="Q56" i="24"/>
  <c r="S32" i="24"/>
  <c r="G49" i="25"/>
  <c r="H49" i="24"/>
  <c r="N49" i="24"/>
  <c r="H47" i="23"/>
  <c r="O63" i="23"/>
  <c r="U64" i="25"/>
  <c r="S64" i="25"/>
  <c r="M50" i="25"/>
  <c r="U42" i="25"/>
  <c r="U57" i="25"/>
  <c r="N49" i="25"/>
  <c r="L49" i="25"/>
  <c r="Q56" i="25"/>
  <c r="J49" i="25"/>
  <c r="O108" i="25"/>
  <c r="S44" i="25"/>
  <c r="S51" i="25"/>
  <c r="S43" i="25"/>
  <c r="S42" i="25"/>
  <c r="S57" i="25"/>
  <c r="E50" i="25"/>
  <c r="T63" i="25"/>
  <c r="T56" i="25"/>
  <c r="U63" i="24"/>
  <c r="Q63" i="25"/>
  <c r="K49" i="25"/>
  <c r="I49" i="25"/>
  <c r="T63" i="24"/>
  <c r="D49" i="24"/>
  <c r="W49" i="24"/>
  <c r="F49" i="24"/>
  <c r="O107" i="25"/>
  <c r="Q64" i="25"/>
  <c r="T42" i="25"/>
  <c r="T57" i="25"/>
  <c r="C50" i="25"/>
  <c r="Q57" i="25"/>
  <c r="O42" i="25"/>
  <c r="O57" i="25"/>
  <c r="Q44" i="25"/>
  <c r="Q51" i="25"/>
  <c r="T44" i="25"/>
  <c r="T51" i="25"/>
  <c r="Q42" i="25"/>
  <c r="Q50" i="25"/>
  <c r="T43" i="25"/>
  <c r="U43" i="25"/>
  <c r="O43" i="25"/>
  <c r="U44" i="25"/>
  <c r="U51" i="25"/>
  <c r="O44" i="25"/>
  <c r="O51" i="25"/>
  <c r="H47" i="25"/>
  <c r="T33" i="25"/>
  <c r="M48" i="24"/>
  <c r="G48" i="24"/>
  <c r="I48" i="24"/>
  <c r="C47" i="24"/>
  <c r="AB48" i="24"/>
  <c r="K48" i="24"/>
  <c r="C48" i="24"/>
  <c r="G47" i="24"/>
  <c r="C49" i="23"/>
  <c r="U63" i="23"/>
  <c r="I49" i="23"/>
  <c r="E49" i="23"/>
  <c r="T56" i="23"/>
  <c r="W49" i="23"/>
  <c r="T63" i="23"/>
  <c r="J49" i="23"/>
  <c r="D49" i="23"/>
  <c r="S56" i="23"/>
  <c r="Q56" i="23"/>
  <c r="U56" i="23"/>
  <c r="K49" i="23"/>
  <c r="AA49" i="23"/>
  <c r="AB49" i="23"/>
  <c r="F49" i="23"/>
  <c r="M49" i="23"/>
  <c r="Z49" i="23"/>
  <c r="G49" i="23"/>
  <c r="M48" i="23"/>
  <c r="I47" i="23"/>
  <c r="I54" i="19"/>
  <c r="I48" i="23"/>
  <c r="I61" i="19"/>
  <c r="J62" i="19"/>
  <c r="N62" i="19"/>
  <c r="T39" i="25"/>
  <c r="W48" i="24"/>
  <c r="T33" i="24"/>
  <c r="J47" i="25"/>
  <c r="W47" i="23"/>
  <c r="E47" i="25"/>
  <c r="D47" i="23"/>
  <c r="C47" i="23"/>
  <c r="W47" i="24"/>
  <c r="U62" i="23"/>
  <c r="K47" i="23"/>
  <c r="T20" i="19"/>
  <c r="E62" i="19"/>
  <c r="E47" i="23"/>
  <c r="Q54" i="23"/>
  <c r="X47" i="23"/>
  <c r="E54" i="19"/>
  <c r="O55" i="24"/>
  <c r="T61" i="23"/>
  <c r="S54" i="24"/>
  <c r="L48" i="23"/>
  <c r="E48" i="23"/>
  <c r="M61" i="19"/>
  <c r="Z61" i="19"/>
  <c r="K48" i="25"/>
  <c r="N47" i="25"/>
  <c r="O54" i="23"/>
  <c r="Q61" i="23"/>
  <c r="AB54" i="19"/>
  <c r="AA48" i="23"/>
  <c r="G48" i="25"/>
  <c r="Q102" i="24"/>
  <c r="T55" i="23"/>
  <c r="AA55" i="19"/>
  <c r="Z54" i="19"/>
  <c r="C55" i="19"/>
  <c r="H54" i="19"/>
  <c r="D62" i="19"/>
  <c r="AB62" i="19"/>
  <c r="O62" i="23"/>
  <c r="U54" i="23"/>
  <c r="E55" i="19"/>
  <c r="X54" i="19"/>
  <c r="K61" i="19"/>
  <c r="M47" i="25"/>
  <c r="F47" i="24"/>
  <c r="H55" i="19"/>
  <c r="C62" i="19"/>
  <c r="AA54" i="19"/>
  <c r="S62" i="25"/>
  <c r="W47" i="25"/>
  <c r="AA47" i="24"/>
  <c r="U55" i="23"/>
  <c r="C48" i="23"/>
  <c r="M54" i="19"/>
  <c r="D55" i="19"/>
  <c r="M48" i="25"/>
  <c r="N61" i="19"/>
  <c r="W61" i="19"/>
  <c r="J54" i="19"/>
  <c r="U54" i="24"/>
  <c r="D48" i="25"/>
  <c r="L47" i="25"/>
  <c r="U55" i="24"/>
  <c r="Z48" i="24"/>
  <c r="T62" i="23"/>
  <c r="D48" i="23"/>
  <c r="L55" i="19"/>
  <c r="J55" i="19"/>
  <c r="I62" i="19"/>
  <c r="K48" i="23"/>
  <c r="J61" i="19"/>
  <c r="C54" i="19"/>
  <c r="AB61" i="19"/>
  <c r="J47" i="24"/>
  <c r="T55" i="24"/>
  <c r="E48" i="24"/>
  <c r="T54" i="23"/>
  <c r="O55" i="23"/>
  <c r="H62" i="19"/>
  <c r="AA48" i="25"/>
  <c r="W46" i="25"/>
  <c r="T62" i="24"/>
  <c r="AB45" i="24"/>
  <c r="S55" i="24"/>
  <c r="AB46" i="25"/>
  <c r="D45" i="25"/>
  <c r="D46" i="25"/>
  <c r="I47" i="25"/>
  <c r="Q61" i="25"/>
  <c r="AA46" i="25"/>
  <c r="U55" i="25"/>
  <c r="L48" i="25"/>
  <c r="I46" i="24"/>
  <c r="S60" i="24"/>
  <c r="Z45" i="24"/>
  <c r="Z46" i="24"/>
  <c r="S61" i="24"/>
  <c r="O61" i="24"/>
  <c r="T54" i="25"/>
  <c r="O59" i="24"/>
  <c r="O60" i="24"/>
  <c r="AA48" i="24"/>
  <c r="K47" i="24"/>
  <c r="D47" i="24"/>
  <c r="D46" i="24"/>
  <c r="D45" i="24"/>
  <c r="T54" i="24"/>
  <c r="N47" i="24"/>
  <c r="H48" i="24"/>
  <c r="X48" i="24"/>
  <c r="F48" i="24"/>
  <c r="Z48" i="23"/>
  <c r="J48" i="23"/>
  <c r="C46" i="25"/>
  <c r="Z60" i="19"/>
  <c r="C53" i="19"/>
  <c r="L53" i="19"/>
  <c r="AA61" i="19"/>
  <c r="AB53" i="19"/>
  <c r="AB47" i="23"/>
  <c r="G60" i="19"/>
  <c r="M60" i="19"/>
  <c r="D61" i="19"/>
  <c r="H61" i="19"/>
  <c r="G54" i="19"/>
  <c r="I53" i="19"/>
  <c r="I52" i="19"/>
  <c r="AA47" i="25"/>
  <c r="C45" i="24"/>
  <c r="C45" i="23"/>
  <c r="B44" i="44"/>
  <c r="C46" i="24"/>
  <c r="W46" i="24"/>
  <c r="W45" i="24"/>
  <c r="W45" i="23"/>
  <c r="F56" i="44"/>
  <c r="Q60" i="24"/>
  <c r="S62" i="24"/>
  <c r="S60" i="25"/>
  <c r="K53" i="19"/>
  <c r="E47" i="24"/>
  <c r="M47" i="24"/>
  <c r="L46" i="25"/>
  <c r="L45" i="25"/>
  <c r="F46" i="25"/>
  <c r="F45" i="25"/>
  <c r="O52" i="24"/>
  <c r="O53" i="24"/>
  <c r="U52" i="24"/>
  <c r="U53" i="24"/>
  <c r="U61" i="25"/>
  <c r="Q55" i="25"/>
  <c r="H45" i="25"/>
  <c r="H46" i="25"/>
  <c r="M46" i="25"/>
  <c r="M45" i="25"/>
  <c r="I46" i="25"/>
  <c r="I45" i="25"/>
  <c r="O62" i="25"/>
  <c r="AB48" i="25"/>
  <c r="K46" i="25"/>
  <c r="AB47" i="25"/>
  <c r="U53" i="25"/>
  <c r="I48" i="25"/>
  <c r="T60" i="25"/>
  <c r="T61" i="25"/>
  <c r="N45" i="24"/>
  <c r="N46" i="24"/>
  <c r="AB47" i="24"/>
  <c r="H46" i="24"/>
  <c r="H45" i="24"/>
  <c r="N48" i="24"/>
  <c r="N46" i="25"/>
  <c r="M47" i="23"/>
  <c r="W48" i="23"/>
  <c r="S61" i="23"/>
  <c r="Q55" i="23"/>
  <c r="W52" i="19"/>
  <c r="N54" i="19"/>
  <c r="AA47" i="23"/>
  <c r="F47" i="23"/>
  <c r="Z53" i="19"/>
  <c r="W55" i="19"/>
  <c r="M53" i="19"/>
  <c r="D53" i="19"/>
  <c r="F53" i="19"/>
  <c r="K59" i="19"/>
  <c r="K60" i="19"/>
  <c r="F62" i="19"/>
  <c r="I55" i="19"/>
  <c r="G55" i="19"/>
  <c r="D60" i="19"/>
  <c r="D59" i="19"/>
  <c r="L47" i="23"/>
  <c r="Q52" i="24"/>
  <c r="Q53" i="24"/>
  <c r="Q53" i="25"/>
  <c r="M45" i="24"/>
  <c r="M46" i="24"/>
  <c r="AA45" i="24"/>
  <c r="AA46" i="24"/>
  <c r="T60" i="24"/>
  <c r="T59" i="24"/>
  <c r="T59" i="23"/>
  <c r="G58" i="44"/>
  <c r="K46" i="24"/>
  <c r="K45" i="24"/>
  <c r="Z47" i="24"/>
  <c r="G45" i="24"/>
  <c r="G46" i="24"/>
  <c r="S52" i="24"/>
  <c r="Q61" i="24"/>
  <c r="J48" i="24"/>
  <c r="E45" i="24"/>
  <c r="U61" i="24"/>
  <c r="F48" i="25"/>
  <c r="F47" i="25"/>
  <c r="O54" i="24"/>
  <c r="D47" i="25"/>
  <c r="T52" i="24"/>
  <c r="T53" i="24"/>
  <c r="O62" i="24"/>
  <c r="Q54" i="24"/>
  <c r="C48" i="25"/>
  <c r="L47" i="24"/>
  <c r="T61" i="24"/>
  <c r="X46" i="24"/>
  <c r="D48" i="24"/>
  <c r="L46" i="24"/>
  <c r="L45" i="24"/>
  <c r="H47" i="24"/>
  <c r="H48" i="23"/>
  <c r="Q62" i="23"/>
  <c r="S62" i="23"/>
  <c r="J47" i="23"/>
  <c r="S55" i="23"/>
  <c r="O61" i="23"/>
  <c r="S54" i="23"/>
  <c r="G47" i="23"/>
  <c r="N48" i="23"/>
  <c r="W54" i="19"/>
  <c r="C60" i="19"/>
  <c r="N47" i="23"/>
  <c r="H60" i="19"/>
  <c r="Z47" i="23"/>
  <c r="W60" i="19"/>
  <c r="X48" i="23"/>
  <c r="K62" i="19"/>
  <c r="Z62" i="19"/>
  <c r="AB55" i="19"/>
  <c r="AA62" i="19"/>
  <c r="F55" i="19"/>
  <c r="AA59" i="19"/>
  <c r="AA60" i="19"/>
  <c r="E61" i="19"/>
  <c r="Z46" i="25"/>
  <c r="U61" i="23"/>
  <c r="L60" i="19"/>
  <c r="N53" i="19"/>
  <c r="H53" i="19"/>
  <c r="H52" i="19"/>
  <c r="AB60" i="19"/>
  <c r="X60" i="19"/>
  <c r="F48" i="23"/>
  <c r="G52" i="19"/>
  <c r="G53" i="19"/>
  <c r="Q35" i="23"/>
  <c r="U105" i="23"/>
  <c r="T33" i="23"/>
  <c r="X45" i="23"/>
  <c r="L32" i="19"/>
  <c r="J46" i="23"/>
  <c r="H38" i="19"/>
  <c r="AB41" i="19"/>
  <c r="U25" i="19"/>
  <c r="N32" i="19"/>
  <c r="W39" i="19"/>
  <c r="O27" i="19"/>
  <c r="N35" i="19"/>
  <c r="J35" i="19"/>
  <c r="J33" i="19"/>
  <c r="W33" i="19"/>
  <c r="L35" i="19"/>
  <c r="L38" i="19"/>
  <c r="E32" i="19"/>
  <c r="Z32" i="19"/>
  <c r="O14" i="19"/>
  <c r="U40" i="23"/>
  <c r="U41" i="23"/>
  <c r="U49" i="23"/>
  <c r="U27" i="19"/>
  <c r="G33" i="19"/>
  <c r="J38" i="19"/>
  <c r="Q15" i="19"/>
  <c r="Q40" i="23"/>
  <c r="Q27" i="19"/>
  <c r="T26" i="19"/>
  <c r="T25" i="19"/>
  <c r="T62" i="19"/>
  <c r="L40" i="19"/>
  <c r="C41" i="19"/>
  <c r="D32" i="19"/>
  <c r="Z34" i="19"/>
  <c r="Z37" i="19"/>
  <c r="Q14" i="19"/>
  <c r="I35" i="19"/>
  <c r="T40" i="23"/>
  <c r="T14" i="19"/>
  <c r="C35" i="19"/>
  <c r="T6" i="19"/>
  <c r="C37" i="19"/>
  <c r="O26" i="19"/>
  <c r="K33" i="19"/>
  <c r="AA34" i="19"/>
  <c r="I38" i="19"/>
  <c r="U20" i="19"/>
  <c r="T23" i="19"/>
  <c r="M35" i="19"/>
  <c r="I34" i="19"/>
  <c r="X46" i="23"/>
  <c r="L37" i="19"/>
  <c r="D37" i="19"/>
  <c r="G40" i="19"/>
  <c r="Z35" i="19"/>
  <c r="S20" i="19"/>
  <c r="N36" i="19"/>
  <c r="Z36" i="19"/>
  <c r="AA33" i="19"/>
  <c r="D33" i="19"/>
  <c r="AB35" i="19"/>
  <c r="I41" i="19"/>
  <c r="U8" i="19"/>
  <c r="F39" i="19"/>
  <c r="C33" i="19"/>
  <c r="C34" i="19"/>
  <c r="F45" i="23"/>
  <c r="L34" i="19"/>
  <c r="S22" i="19"/>
  <c r="S28" i="19"/>
  <c r="H39" i="19"/>
  <c r="J41" i="19"/>
  <c r="U9" i="19"/>
  <c r="U33" i="23"/>
  <c r="M36" i="19"/>
  <c r="M37" i="19"/>
  <c r="M47" i="19"/>
  <c r="J39" i="19"/>
  <c r="T8" i="19"/>
  <c r="K35" i="19"/>
  <c r="G41" i="19"/>
  <c r="Q28" i="19"/>
  <c r="U12" i="19"/>
  <c r="O19" i="19"/>
  <c r="T27" i="19"/>
  <c r="G35" i="19"/>
  <c r="O28" i="19"/>
  <c r="S15" i="19"/>
  <c r="E33" i="19"/>
  <c r="T19" i="19"/>
  <c r="T22" i="19"/>
  <c r="T21" i="19"/>
  <c r="T60" i="19"/>
  <c r="F33" i="19"/>
  <c r="C38" i="19"/>
  <c r="H37" i="19"/>
  <c r="Z41" i="19"/>
  <c r="J40" i="19"/>
  <c r="I33" i="19"/>
  <c r="D35" i="19"/>
  <c r="AB38" i="19"/>
  <c r="Q24" i="19"/>
  <c r="Q12" i="19"/>
  <c r="D36" i="19"/>
  <c r="H41" i="19"/>
  <c r="E40" i="19"/>
  <c r="Q8" i="19"/>
  <c r="O39" i="23"/>
  <c r="O13" i="19"/>
  <c r="L33" i="19"/>
  <c r="F40" i="19"/>
  <c r="M41" i="19"/>
  <c r="K40" i="19"/>
  <c r="X35" i="19"/>
  <c r="Z33" i="19"/>
  <c r="AA38" i="19"/>
  <c r="F38" i="19"/>
  <c r="Z40" i="19"/>
  <c r="C32" i="19"/>
  <c r="H35" i="19"/>
  <c r="G37" i="19"/>
  <c r="C40" i="19"/>
  <c r="O33" i="23"/>
  <c r="T36" i="23"/>
  <c r="T10" i="19"/>
  <c r="T11" i="19"/>
  <c r="T54" i="19"/>
  <c r="S24" i="19"/>
  <c r="T13" i="19"/>
  <c r="W46" i="23"/>
  <c r="W34" i="19"/>
  <c r="U15" i="19"/>
  <c r="Q25" i="19"/>
  <c r="K39" i="19"/>
  <c r="K38" i="19"/>
  <c r="K48" i="19"/>
  <c r="G32" i="19"/>
  <c r="U39" i="23"/>
  <c r="U13" i="19"/>
  <c r="S21" i="19"/>
  <c r="H33" i="19"/>
  <c r="Q9" i="19"/>
  <c r="T41" i="23"/>
  <c r="T41" i="24"/>
  <c r="T41" i="25"/>
  <c r="T41" i="19"/>
  <c r="T40" i="24"/>
  <c r="T40" i="25"/>
  <c r="T40" i="19"/>
  <c r="T49" i="19"/>
  <c r="T28" i="19"/>
  <c r="AA39" i="19"/>
  <c r="S38" i="23"/>
  <c r="I37" i="19"/>
  <c r="J36" i="19"/>
  <c r="U32" i="23"/>
  <c r="AB33" i="19"/>
  <c r="AA46" i="23"/>
  <c r="AA35" i="19"/>
  <c r="N39" i="19"/>
  <c r="Q20" i="19"/>
  <c r="O37" i="23"/>
  <c r="O20" i="19"/>
  <c r="T37" i="23"/>
  <c r="U19" i="19"/>
  <c r="D34" i="19"/>
  <c r="U14" i="19"/>
  <c r="S9" i="19"/>
  <c r="E36" i="19"/>
  <c r="S11" i="19"/>
  <c r="T24" i="19"/>
  <c r="S36" i="23"/>
  <c r="S37" i="23"/>
  <c r="S47" i="23"/>
  <c r="N37" i="19"/>
  <c r="G36" i="19"/>
  <c r="T15" i="19"/>
  <c r="C39" i="19"/>
  <c r="D41" i="19"/>
  <c r="Q19" i="19"/>
  <c r="E37" i="19"/>
  <c r="M32" i="19"/>
  <c r="F41" i="19"/>
  <c r="W41" i="19"/>
  <c r="AB39" i="19"/>
  <c r="W37" i="19"/>
  <c r="I39" i="19"/>
  <c r="E38" i="19"/>
  <c r="AB36" i="19"/>
  <c r="X33" i="19"/>
  <c r="X38" i="19"/>
  <c r="E39" i="19"/>
  <c r="T35" i="23"/>
  <c r="S14" i="19"/>
  <c r="S56" i="19"/>
  <c r="S33" i="23"/>
  <c r="S7" i="19"/>
  <c r="H36" i="19"/>
  <c r="K36" i="19"/>
  <c r="S27" i="19"/>
  <c r="W36" i="19"/>
  <c r="Q13" i="19"/>
  <c r="N34" i="19"/>
  <c r="N46" i="19"/>
  <c r="O60" i="23"/>
  <c r="T7" i="19"/>
  <c r="H34" i="19"/>
  <c r="D40" i="19"/>
  <c r="D49" i="19"/>
  <c r="U22" i="19"/>
  <c r="K41" i="19"/>
  <c r="U37" i="23"/>
  <c r="U24" i="19"/>
  <c r="O25" i="19"/>
  <c r="AA41" i="19"/>
  <c r="U36" i="23"/>
  <c r="U10" i="19"/>
  <c r="K46" i="23"/>
  <c r="K34" i="19"/>
  <c r="O15" i="19"/>
  <c r="X36" i="19"/>
  <c r="K32" i="19"/>
  <c r="M34" i="19"/>
  <c r="I40" i="19"/>
  <c r="H40" i="19"/>
  <c r="Z39" i="19"/>
  <c r="X40" i="19"/>
  <c r="U23" i="19"/>
  <c r="J37" i="19"/>
  <c r="H32" i="19"/>
  <c r="O10" i="19"/>
  <c r="D38" i="19"/>
  <c r="S39" i="23"/>
  <c r="S26" i="19"/>
  <c r="Q32" i="23"/>
  <c r="F37" i="19"/>
  <c r="N40" i="19"/>
  <c r="Q23" i="19"/>
  <c r="G38" i="19"/>
  <c r="G34" i="19"/>
  <c r="S13" i="19"/>
  <c r="AB37" i="19"/>
  <c r="Q22" i="19"/>
  <c r="E41" i="19"/>
  <c r="U28" i="19"/>
  <c r="AA36" i="19"/>
  <c r="F36" i="19"/>
  <c r="M38" i="19"/>
  <c r="W35" i="19"/>
  <c r="G39" i="19"/>
  <c r="D39" i="19"/>
  <c r="D48" i="19"/>
  <c r="M40" i="19"/>
  <c r="AA37" i="19"/>
  <c r="E35" i="19"/>
  <c r="M39" i="19"/>
  <c r="L36" i="19"/>
  <c r="Q105" i="24"/>
  <c r="S53" i="23"/>
  <c r="S34" i="23"/>
  <c r="S52" i="23"/>
  <c r="S60" i="23"/>
  <c r="S59" i="23"/>
  <c r="T60" i="23"/>
  <c r="AB46" i="23"/>
  <c r="AB45" i="23"/>
  <c r="I45" i="23"/>
  <c r="D45" i="23"/>
  <c r="D46" i="23"/>
  <c r="U60" i="23"/>
  <c r="U59" i="23"/>
  <c r="S35" i="23"/>
  <c r="Q37" i="23"/>
  <c r="Q34" i="23"/>
  <c r="Q36" i="23"/>
  <c r="Q38" i="23"/>
  <c r="Q39" i="23"/>
  <c r="Q41" i="23"/>
  <c r="Q45" i="23"/>
  <c r="Q33" i="23"/>
  <c r="Q53" i="23"/>
  <c r="Q52" i="23"/>
  <c r="U34" i="23"/>
  <c r="U52" i="23"/>
  <c r="U53" i="23"/>
  <c r="L45" i="23"/>
  <c r="L46" i="23"/>
  <c r="N46" i="23"/>
  <c r="H46" i="23"/>
  <c r="M45" i="23"/>
  <c r="M46" i="23"/>
  <c r="H45" i="23"/>
  <c r="H45" i="19"/>
  <c r="G33" i="44"/>
  <c r="O40" i="23"/>
  <c r="T39" i="23"/>
  <c r="Z46" i="23"/>
  <c r="Z45" i="23"/>
  <c r="O36" i="23"/>
  <c r="E45" i="23"/>
  <c r="E46" i="23"/>
  <c r="G46" i="23"/>
  <c r="G45" i="23"/>
  <c r="T38" i="23"/>
  <c r="K45" i="23"/>
  <c r="S40" i="23"/>
  <c r="U35" i="23"/>
  <c r="O59" i="23"/>
  <c r="T53" i="23"/>
  <c r="T52" i="23"/>
  <c r="T34" i="23"/>
  <c r="U38" i="23"/>
  <c r="O41" i="23"/>
  <c r="S41" i="23"/>
  <c r="O35" i="23"/>
  <c r="T32" i="23"/>
  <c r="F46" i="23"/>
  <c r="O38" i="23"/>
  <c r="Q60" i="23"/>
  <c r="Q59" i="23"/>
  <c r="AA45" i="23"/>
  <c r="O34" i="23"/>
  <c r="O53" i="23"/>
  <c r="O52" i="23"/>
  <c r="I46" i="23"/>
  <c r="T38" i="24"/>
  <c r="J100" i="19"/>
  <c r="AA100" i="19"/>
  <c r="T103" i="24"/>
  <c r="X102" i="19"/>
  <c r="T97" i="24"/>
  <c r="T105" i="24"/>
  <c r="T32" i="25"/>
  <c r="T36" i="24"/>
  <c r="Q40" i="25"/>
  <c r="U101" i="23"/>
  <c r="O104" i="24"/>
  <c r="S33" i="25"/>
  <c r="U71" i="19"/>
  <c r="AA104" i="19"/>
  <c r="S39" i="25"/>
  <c r="U32" i="24"/>
  <c r="Q36" i="24"/>
  <c r="T105" i="25"/>
  <c r="AA105" i="19"/>
  <c r="U98" i="23"/>
  <c r="S39" i="24"/>
  <c r="U98" i="24"/>
  <c r="U106" i="23"/>
  <c r="D100" i="19"/>
  <c r="I104" i="19"/>
  <c r="Q35" i="25"/>
  <c r="U38" i="25"/>
  <c r="O37" i="24"/>
  <c r="T98" i="24"/>
  <c r="D99" i="19"/>
  <c r="U35" i="24"/>
  <c r="Z105" i="19"/>
  <c r="O101" i="24"/>
  <c r="T106" i="24"/>
  <c r="U75" i="19"/>
  <c r="X103" i="19"/>
  <c r="U78" i="19"/>
  <c r="S102" i="24"/>
  <c r="S102" i="25"/>
  <c r="Z104" i="19"/>
  <c r="S41" i="24"/>
  <c r="O34" i="24"/>
  <c r="U101" i="24"/>
  <c r="S103" i="24"/>
  <c r="Q77" i="19"/>
  <c r="U79" i="19"/>
  <c r="O39" i="24"/>
  <c r="U98" i="25"/>
  <c r="S105" i="24"/>
  <c r="T103" i="25"/>
  <c r="T34" i="25"/>
  <c r="Q41" i="24"/>
  <c r="K100" i="19"/>
  <c r="T101" i="24"/>
  <c r="U106" i="24"/>
  <c r="L104" i="19"/>
  <c r="U89" i="19"/>
  <c r="O33" i="24"/>
  <c r="D103" i="19"/>
  <c r="Z100" i="19"/>
  <c r="Q98" i="24"/>
  <c r="T37" i="25"/>
  <c r="T36" i="25"/>
  <c r="T47" i="25"/>
  <c r="Q102" i="25"/>
  <c r="O105" i="24"/>
  <c r="U99" i="23"/>
  <c r="S36" i="24"/>
  <c r="Q35" i="24"/>
  <c r="T77" i="19"/>
  <c r="Q33" i="24"/>
  <c r="X99" i="19"/>
  <c r="U103" i="23"/>
  <c r="S34" i="24"/>
  <c r="T102" i="24"/>
  <c r="O98" i="24"/>
  <c r="O106" i="24"/>
  <c r="S99" i="24"/>
  <c r="T99" i="24"/>
  <c r="T37" i="24"/>
  <c r="T37" i="19"/>
  <c r="T36" i="19"/>
  <c r="T47" i="19"/>
  <c r="M105" i="19"/>
  <c r="U105" i="24"/>
  <c r="T99" i="25"/>
  <c r="D98" i="19"/>
  <c r="N98" i="19"/>
  <c r="O36" i="24"/>
  <c r="U101" i="25"/>
  <c r="U101" i="19"/>
  <c r="Q104" i="24"/>
  <c r="O40" i="24"/>
  <c r="T34" i="24"/>
  <c r="O32" i="24"/>
  <c r="T104" i="24"/>
  <c r="K99" i="19"/>
  <c r="Q32" i="24"/>
  <c r="T100" i="25"/>
  <c r="X105" i="19"/>
  <c r="K106" i="19"/>
  <c r="S105" i="25"/>
  <c r="Q101" i="25"/>
  <c r="X104" i="19"/>
  <c r="Q103" i="24"/>
  <c r="U77" i="19"/>
  <c r="T87" i="19"/>
  <c r="U102" i="25"/>
  <c r="AB99" i="19"/>
  <c r="Q97" i="24"/>
  <c r="U102" i="24"/>
  <c r="S32" i="25"/>
  <c r="O35" i="24"/>
  <c r="O97" i="24"/>
  <c r="U104" i="24"/>
  <c r="U38" i="24"/>
  <c r="T32" i="24"/>
  <c r="W100" i="19"/>
  <c r="U87" i="19"/>
  <c r="I101" i="19"/>
  <c r="T100" i="24"/>
  <c r="J105" i="19"/>
  <c r="X97" i="19"/>
  <c r="U100" i="24"/>
  <c r="Q41" i="25"/>
  <c r="Q106" i="25"/>
  <c r="L106" i="19"/>
  <c r="O98" i="25"/>
  <c r="O103" i="24"/>
  <c r="U84" i="19"/>
  <c r="M97" i="19"/>
  <c r="N101" i="19"/>
  <c r="Z106" i="19"/>
  <c r="J106" i="19"/>
  <c r="Q100" i="25"/>
  <c r="J102" i="19"/>
  <c r="Q34" i="24"/>
  <c r="Q38" i="25"/>
  <c r="U99" i="25"/>
  <c r="Q99" i="24"/>
  <c r="U74" i="19"/>
  <c r="T98" i="25"/>
  <c r="J103" i="19"/>
  <c r="AB98" i="19"/>
  <c r="N105" i="19"/>
  <c r="D106" i="19"/>
  <c r="M103" i="19"/>
  <c r="Z99" i="19"/>
  <c r="X100" i="19"/>
  <c r="AA103" i="19"/>
  <c r="T102" i="25"/>
  <c r="U104" i="25"/>
  <c r="AB105" i="19"/>
  <c r="O103" i="25"/>
  <c r="O97" i="25"/>
  <c r="O100" i="24"/>
  <c r="M102" i="19"/>
  <c r="O99" i="24"/>
  <c r="U97" i="25"/>
  <c r="I100" i="19"/>
  <c r="U97" i="24"/>
  <c r="U91" i="19"/>
  <c r="W103" i="19"/>
  <c r="W104" i="19"/>
  <c r="T97" i="25"/>
  <c r="X101" i="19"/>
  <c r="AA99" i="19"/>
  <c r="U103" i="24"/>
  <c r="W106" i="19"/>
  <c r="I106" i="19"/>
  <c r="Q106" i="24"/>
  <c r="Z98" i="19"/>
  <c r="O100" i="25"/>
  <c r="D102" i="19"/>
  <c r="AB101" i="19"/>
  <c r="M100" i="19"/>
  <c r="T104" i="25"/>
  <c r="O102" i="25"/>
  <c r="U97" i="23"/>
  <c r="U72" i="19"/>
  <c r="U102" i="23"/>
  <c r="L98" i="19"/>
  <c r="J97" i="19"/>
  <c r="I98" i="19"/>
  <c r="S106" i="24"/>
  <c r="U86" i="19"/>
  <c r="M101" i="19"/>
  <c r="O101" i="25"/>
  <c r="Q92" i="19"/>
  <c r="O104" i="25"/>
  <c r="O105" i="25"/>
  <c r="D104" i="19"/>
  <c r="L103" i="19"/>
  <c r="AB97" i="19"/>
  <c r="S106" i="25"/>
  <c r="S103" i="25"/>
  <c r="AA106" i="19"/>
  <c r="Q100" i="24"/>
  <c r="M106" i="19"/>
  <c r="O106" i="25"/>
  <c r="O102" i="24"/>
  <c r="W105" i="19"/>
  <c r="J98" i="19"/>
  <c r="O39" i="25"/>
  <c r="Q87" i="19"/>
  <c r="K103" i="19"/>
  <c r="U73" i="19"/>
  <c r="Q101" i="24"/>
  <c r="U76" i="19"/>
  <c r="U40" i="24"/>
  <c r="K98" i="19"/>
  <c r="O38" i="24"/>
  <c r="O41" i="24"/>
  <c r="O41" i="25"/>
  <c r="O41" i="19"/>
  <c r="O40" i="25"/>
  <c r="O40" i="19"/>
  <c r="O49" i="19"/>
  <c r="AB100" i="19"/>
  <c r="S101" i="25"/>
  <c r="X106" i="19"/>
  <c r="S104" i="25"/>
  <c r="U36" i="25"/>
  <c r="U36" i="24"/>
  <c r="U36" i="19"/>
  <c r="T106" i="25"/>
  <c r="AA101" i="19"/>
  <c r="L100" i="19"/>
  <c r="S101" i="24"/>
  <c r="AB106" i="19"/>
  <c r="Z103" i="19"/>
  <c r="U88" i="19"/>
  <c r="Q97" i="25"/>
  <c r="U41" i="24"/>
  <c r="M98" i="19"/>
  <c r="S100" i="24"/>
  <c r="S104" i="24"/>
  <c r="Q103" i="25"/>
  <c r="U100" i="23"/>
  <c r="S97" i="24"/>
  <c r="S98" i="24"/>
  <c r="Q105" i="25"/>
  <c r="U105" i="25"/>
  <c r="Q98" i="25"/>
  <c r="U80" i="19"/>
  <c r="U85" i="19"/>
  <c r="D101" i="19"/>
  <c r="L99" i="19"/>
  <c r="L105" i="19"/>
  <c r="I105" i="19"/>
  <c r="D97" i="19"/>
  <c r="J99" i="19"/>
  <c r="N100" i="19"/>
  <c r="S38" i="24"/>
  <c r="S35" i="24"/>
  <c r="S46" i="24"/>
  <c r="U39" i="24"/>
  <c r="AA98" i="19"/>
  <c r="K104" i="19"/>
  <c r="Q38" i="24"/>
  <c r="AA97" i="19"/>
  <c r="U106" i="25"/>
  <c r="I103" i="19"/>
  <c r="Q99" i="25"/>
  <c r="U99" i="24"/>
  <c r="S100" i="25"/>
  <c r="W98" i="19"/>
  <c r="Q37" i="24"/>
  <c r="Q40" i="24"/>
  <c r="K105" i="19"/>
  <c r="U37" i="24"/>
  <c r="U35" i="25"/>
  <c r="S33" i="24"/>
  <c r="J101" i="19"/>
  <c r="AB102" i="19"/>
  <c r="M104" i="19"/>
  <c r="Z97" i="19"/>
  <c r="I97" i="19"/>
  <c r="S37" i="24"/>
  <c r="N104" i="19"/>
  <c r="M99" i="19"/>
  <c r="W99" i="19"/>
  <c r="T35" i="24"/>
  <c r="T101" i="25"/>
  <c r="S41" i="25"/>
  <c r="T92" i="19"/>
  <c r="S99" i="25"/>
  <c r="K101" i="19"/>
  <c r="T39" i="24"/>
  <c r="U100" i="25"/>
  <c r="S40" i="25"/>
  <c r="S49" i="25"/>
  <c r="U90" i="19"/>
  <c r="N97" i="19"/>
  <c r="N103" i="19"/>
  <c r="U33" i="24"/>
  <c r="U92" i="19"/>
  <c r="U40" i="25"/>
  <c r="S98" i="25"/>
  <c r="X98" i="19"/>
  <c r="Q104" i="25"/>
  <c r="AA102" i="19"/>
  <c r="U104" i="23"/>
  <c r="L97" i="19"/>
  <c r="W102" i="19"/>
  <c r="S97" i="25"/>
  <c r="S35" i="25"/>
  <c r="U41" i="25"/>
  <c r="Q39" i="24"/>
  <c r="N102" i="19"/>
  <c r="Z101" i="19"/>
  <c r="W97" i="19"/>
  <c r="U93" i="19"/>
  <c r="W101" i="19"/>
  <c r="AB103" i="19"/>
  <c r="AB104" i="19"/>
  <c r="U34" i="24"/>
  <c r="L102" i="19"/>
  <c r="K102" i="19"/>
  <c r="K97" i="19"/>
  <c r="I99" i="19"/>
  <c r="L101" i="19"/>
  <c r="S40" i="24"/>
  <c r="S49" i="24"/>
  <c r="S38" i="25"/>
  <c r="S37" i="25"/>
  <c r="N106" i="19"/>
  <c r="U103" i="25"/>
  <c r="O99" i="25"/>
  <c r="J104" i="19"/>
  <c r="I50" i="19"/>
  <c r="J49" i="19"/>
  <c r="Q56" i="19"/>
  <c r="T64" i="19"/>
  <c r="H49" i="19"/>
  <c r="S63" i="19"/>
  <c r="C49" i="19"/>
  <c r="M49" i="19"/>
  <c r="X49" i="19"/>
  <c r="U56" i="19"/>
  <c r="O57" i="19"/>
  <c r="T63" i="19"/>
  <c r="O56" i="19"/>
  <c r="D50" i="19"/>
  <c r="S64" i="19"/>
  <c r="G50" i="19"/>
  <c r="Q64" i="19"/>
  <c r="U63" i="19"/>
  <c r="O63" i="19"/>
  <c r="E49" i="19"/>
  <c r="K49" i="19"/>
  <c r="T56" i="19"/>
  <c r="Q63" i="19"/>
  <c r="F50" i="19"/>
  <c r="Z50" i="19"/>
  <c r="S57" i="19"/>
  <c r="G49" i="19"/>
  <c r="L49" i="19"/>
  <c r="AA50" i="19"/>
  <c r="H50" i="19"/>
  <c r="O64" i="19"/>
  <c r="Q57" i="19"/>
  <c r="N50" i="19"/>
  <c r="AB50" i="19"/>
  <c r="I49" i="19"/>
  <c r="Z49" i="19"/>
  <c r="F49" i="19"/>
  <c r="M50" i="19"/>
  <c r="C50" i="19"/>
  <c r="U64" i="19"/>
  <c r="Q43" i="19"/>
  <c r="U107" i="19"/>
  <c r="Q42" i="19"/>
  <c r="Q50" i="19"/>
  <c r="U108" i="19"/>
  <c r="O51" i="23"/>
  <c r="O44" i="19"/>
  <c r="O51" i="19"/>
  <c r="O50" i="23"/>
  <c r="O42" i="19"/>
  <c r="O43" i="19"/>
  <c r="S43" i="19"/>
  <c r="S51" i="23"/>
  <c r="S44" i="19"/>
  <c r="S51" i="19"/>
  <c r="U43" i="19"/>
  <c r="U42" i="19"/>
  <c r="S42" i="19"/>
  <c r="S50" i="19"/>
  <c r="T51" i="23"/>
  <c r="T44" i="19"/>
  <c r="T51" i="19"/>
  <c r="Q51" i="23"/>
  <c r="Q44" i="19"/>
  <c r="Q51" i="19"/>
  <c r="U51" i="23"/>
  <c r="U44" i="19"/>
  <c r="U51" i="19"/>
  <c r="U109" i="19"/>
  <c r="C48" i="19"/>
  <c r="C46" i="19"/>
  <c r="Q50" i="23"/>
  <c r="Q50" i="24"/>
  <c r="S50" i="24"/>
  <c r="U50" i="23"/>
  <c r="S50" i="23"/>
  <c r="T50" i="24"/>
  <c r="O50" i="24"/>
  <c r="S50" i="25"/>
  <c r="S48" i="25"/>
  <c r="O50" i="25"/>
  <c r="U49" i="24"/>
  <c r="T50" i="25"/>
  <c r="Q49" i="24"/>
  <c r="T49" i="24"/>
  <c r="T49" i="25"/>
  <c r="U49" i="25"/>
  <c r="O49" i="25"/>
  <c r="Q49" i="25"/>
  <c r="U50" i="25"/>
  <c r="O49" i="23"/>
  <c r="Q49" i="23"/>
  <c r="S49" i="23"/>
  <c r="O47" i="24"/>
  <c r="G47" i="19"/>
  <c r="T33" i="19"/>
  <c r="U47" i="23"/>
  <c r="T48" i="23"/>
  <c r="G48" i="19"/>
  <c r="W47" i="19"/>
  <c r="AB48" i="19"/>
  <c r="U48" i="23"/>
  <c r="O47" i="23"/>
  <c r="L47" i="19"/>
  <c r="O62" i="19"/>
  <c r="O48" i="24"/>
  <c r="H47" i="19"/>
  <c r="U47" i="24"/>
  <c r="O48" i="23"/>
  <c r="F48" i="19"/>
  <c r="S48" i="24"/>
  <c r="Q35" i="19"/>
  <c r="AA47" i="19"/>
  <c r="Q61" i="19"/>
  <c r="U46" i="24"/>
  <c r="U45" i="24"/>
  <c r="T48" i="24"/>
  <c r="F47" i="19"/>
  <c r="E48" i="19"/>
  <c r="S60" i="19"/>
  <c r="U55" i="19"/>
  <c r="U53" i="19"/>
  <c r="N47" i="19"/>
  <c r="T61" i="19"/>
  <c r="Q45" i="24"/>
  <c r="Q46" i="24"/>
  <c r="U48" i="24"/>
  <c r="S47" i="24"/>
  <c r="O46" i="24"/>
  <c r="Q47" i="24"/>
  <c r="M45" i="19"/>
  <c r="M46" i="19"/>
  <c r="S55" i="19"/>
  <c r="AB46" i="19"/>
  <c r="W46" i="19"/>
  <c r="I46" i="19"/>
  <c r="Z46" i="19"/>
  <c r="Q48" i="24"/>
  <c r="Q48" i="23"/>
  <c r="M48" i="19"/>
  <c r="K46" i="19"/>
  <c r="E47" i="19"/>
  <c r="S48" i="23"/>
  <c r="T47" i="23"/>
  <c r="AA48" i="19"/>
  <c r="D47" i="19"/>
  <c r="L46" i="19"/>
  <c r="I48" i="19"/>
  <c r="J48" i="19"/>
  <c r="H48" i="19"/>
  <c r="T46" i="24"/>
  <c r="G46" i="19"/>
  <c r="G45" i="19"/>
  <c r="U61" i="19"/>
  <c r="H46" i="19"/>
  <c r="AB47" i="19"/>
  <c r="D46" i="19"/>
  <c r="D45" i="19"/>
  <c r="J47" i="19"/>
  <c r="Q53" i="19"/>
  <c r="Q55" i="19"/>
  <c r="Z47" i="19"/>
  <c r="AA46" i="19"/>
  <c r="S41" i="19"/>
  <c r="Q41" i="19"/>
  <c r="S38" i="19"/>
  <c r="O39" i="19"/>
  <c r="T32" i="19"/>
  <c r="T34" i="19"/>
  <c r="U35" i="19"/>
  <c r="S37" i="19"/>
  <c r="Q40" i="19"/>
  <c r="Q49" i="19"/>
  <c r="Q38" i="19"/>
  <c r="S33" i="19"/>
  <c r="U41" i="19"/>
  <c r="U38" i="19"/>
  <c r="T39" i="19"/>
  <c r="Q46" i="23"/>
  <c r="S39" i="19"/>
  <c r="O46" i="23"/>
  <c r="O45" i="23"/>
  <c r="T46" i="23"/>
  <c r="U46" i="23"/>
  <c r="S46" i="23"/>
  <c r="U98" i="19"/>
  <c r="U105" i="19"/>
  <c r="U106" i="19"/>
  <c r="U100" i="19"/>
  <c r="U103" i="19"/>
  <c r="U99" i="19"/>
  <c r="U102" i="19"/>
  <c r="U97" i="19"/>
  <c r="U104" i="19"/>
  <c r="U50" i="19"/>
  <c r="O50" i="19"/>
  <c r="S48" i="19"/>
  <c r="S70" i="19"/>
  <c r="S5" i="19"/>
  <c r="S70" i="25"/>
  <c r="S5" i="25"/>
  <c r="S5" i="24"/>
  <c r="S70" i="23"/>
  <c r="S5" i="23"/>
  <c r="U70" i="19"/>
  <c r="T70" i="19"/>
  <c r="Q70" i="19"/>
  <c r="U5" i="19"/>
  <c r="T5" i="19"/>
  <c r="Q5" i="19"/>
  <c r="U70" i="25"/>
  <c r="T70" i="25"/>
  <c r="Q70" i="25"/>
  <c r="U5" i="25"/>
  <c r="T5" i="25"/>
  <c r="Q5" i="25"/>
  <c r="U5" i="24"/>
  <c r="T5" i="24"/>
  <c r="Q5" i="24"/>
  <c r="U70" i="23"/>
  <c r="T70" i="23"/>
  <c r="Q70" i="23"/>
  <c r="U5" i="23"/>
  <c r="T5" i="23"/>
  <c r="Q5" i="23"/>
  <c r="N52" i="19"/>
  <c r="N55" i="19"/>
  <c r="J6" i="19"/>
  <c r="J32" i="25"/>
  <c r="J32" i="19"/>
  <c r="Q6" i="25"/>
  <c r="O6" i="25"/>
  <c r="O32" i="25"/>
  <c r="U6" i="25"/>
  <c r="K37" i="25"/>
  <c r="K52" i="25"/>
  <c r="K11" i="19"/>
  <c r="K54" i="25"/>
  <c r="U11" i="25"/>
  <c r="O11" i="25"/>
  <c r="AA56" i="25"/>
  <c r="AA40" i="25"/>
  <c r="AA14" i="19"/>
  <c r="AA56" i="19"/>
  <c r="Q21" i="25"/>
  <c r="U21" i="25"/>
  <c r="J60" i="25"/>
  <c r="J59" i="25"/>
  <c r="J21" i="19"/>
  <c r="J34" i="25"/>
  <c r="X59" i="25"/>
  <c r="X61" i="25"/>
  <c r="X37" i="25"/>
  <c r="X47" i="25"/>
  <c r="E53" i="25"/>
  <c r="O8" i="25"/>
  <c r="E52" i="25"/>
  <c r="E34" i="25"/>
  <c r="E8" i="19"/>
  <c r="S8" i="25"/>
  <c r="S35" i="19"/>
  <c r="F45" i="19"/>
  <c r="E33" i="44"/>
  <c r="T47" i="24"/>
  <c r="N49" i="23"/>
  <c r="N41" i="19"/>
  <c r="N49" i="19"/>
  <c r="N45" i="23"/>
  <c r="O23" i="25"/>
  <c r="C61" i="25"/>
  <c r="C23" i="19"/>
  <c r="C59" i="25"/>
  <c r="C36" i="25"/>
  <c r="S23" i="25"/>
  <c r="T45" i="23"/>
  <c r="S45" i="23"/>
  <c r="S45" i="24"/>
  <c r="L33" i="44"/>
  <c r="N45" i="44"/>
  <c r="Q11" i="25"/>
  <c r="E60" i="19"/>
  <c r="E59" i="19"/>
  <c r="Z12" i="19"/>
  <c r="Z52" i="19"/>
  <c r="X26" i="19"/>
  <c r="X62" i="19"/>
  <c r="X62" i="25"/>
  <c r="X39" i="25"/>
  <c r="Q47" i="23"/>
  <c r="T49" i="23"/>
  <c r="S59" i="24"/>
  <c r="S25" i="19"/>
  <c r="S62" i="19"/>
  <c r="O21" i="25"/>
  <c r="Z55" i="19"/>
  <c r="Z38" i="25"/>
  <c r="Z52" i="25"/>
  <c r="U40" i="19"/>
  <c r="U49" i="19"/>
  <c r="S40" i="19"/>
  <c r="S49" i="19"/>
  <c r="T45" i="24"/>
  <c r="G56" i="44"/>
  <c r="O45" i="24"/>
  <c r="N44" i="44"/>
  <c r="O49" i="24"/>
  <c r="T42" i="19"/>
  <c r="T43" i="23"/>
  <c r="T43" i="19"/>
  <c r="T50" i="19"/>
  <c r="K44" i="44"/>
  <c r="D54" i="19"/>
  <c r="D52" i="19"/>
  <c r="W62" i="19"/>
  <c r="W27" i="19"/>
  <c r="W59" i="19"/>
  <c r="M51" i="24"/>
  <c r="M44" i="19"/>
  <c r="M51" i="19"/>
  <c r="X52" i="25"/>
  <c r="X8" i="19"/>
  <c r="X53" i="25"/>
  <c r="X34" i="25"/>
  <c r="F33" i="44"/>
  <c r="J53" i="19"/>
  <c r="J52" i="19"/>
  <c r="AB56" i="19"/>
  <c r="AB52" i="19"/>
  <c r="X24" i="19"/>
  <c r="M52" i="19"/>
  <c r="M55" i="19"/>
  <c r="U57" i="23"/>
  <c r="U17" i="19"/>
  <c r="U57" i="19"/>
  <c r="M7" i="19"/>
  <c r="M33" i="25"/>
  <c r="M33" i="19"/>
  <c r="O7" i="25"/>
  <c r="U7" i="25"/>
  <c r="Q7" i="25"/>
  <c r="T59" i="19"/>
  <c r="D58" i="44"/>
  <c r="L44" i="44"/>
  <c r="T59" i="25"/>
  <c r="T62" i="25"/>
  <c r="D44" i="44"/>
  <c r="X37" i="19"/>
  <c r="X47" i="19"/>
  <c r="O12" i="19"/>
  <c r="O55" i="19"/>
  <c r="O55" i="25"/>
  <c r="N55" i="25"/>
  <c r="N52" i="25"/>
  <c r="U45" i="23"/>
  <c r="O38" i="25"/>
  <c r="G44" i="44"/>
  <c r="U59" i="24"/>
  <c r="M46" i="44"/>
  <c r="U60" i="24"/>
  <c r="L39" i="19"/>
  <c r="L48" i="24"/>
  <c r="T55" i="25"/>
  <c r="T12" i="19"/>
  <c r="T55" i="19"/>
  <c r="T38" i="25"/>
  <c r="N38" i="25"/>
  <c r="W43" i="19"/>
  <c r="W50" i="19"/>
  <c r="W50" i="25"/>
  <c r="L50" i="25"/>
  <c r="L43" i="19"/>
  <c r="L50" i="19"/>
  <c r="X47" i="24"/>
  <c r="Q62" i="24"/>
  <c r="AB46" i="24"/>
  <c r="D51" i="25"/>
  <c r="D44" i="19"/>
  <c r="D51" i="19"/>
  <c r="K109" i="19"/>
  <c r="J43" i="19"/>
  <c r="J50" i="19"/>
  <c r="X45" i="24"/>
  <c r="E56" i="44"/>
  <c r="F46" i="24"/>
  <c r="J46" i="24"/>
  <c r="L49" i="24"/>
  <c r="Q63" i="23"/>
  <c r="C34" i="44"/>
  <c r="N109" i="19"/>
  <c r="I36" i="19"/>
  <c r="F44" i="44"/>
  <c r="F45" i="24"/>
  <c r="E44" i="44"/>
  <c r="N46" i="44"/>
  <c r="Z49" i="25"/>
  <c r="H34" i="44"/>
  <c r="H46" i="44"/>
  <c r="I51" i="24"/>
  <c r="I44" i="19"/>
  <c r="I51" i="19"/>
  <c r="U58" i="25"/>
  <c r="U18" i="19"/>
  <c r="U58" i="19"/>
  <c r="L109" i="19"/>
  <c r="X42" i="19"/>
  <c r="X50" i="19"/>
  <c r="X50" i="24"/>
  <c r="C33" i="44"/>
  <c r="G45" i="25"/>
  <c r="J44" i="44"/>
  <c r="M45" i="44"/>
  <c r="C44" i="44"/>
  <c r="I45" i="24"/>
  <c r="H44" i="44"/>
  <c r="O63" i="25"/>
  <c r="J35" i="44"/>
  <c r="Z56" i="19"/>
  <c r="T17" i="19"/>
  <c r="T57" i="19"/>
  <c r="G57" i="44"/>
  <c r="C57" i="44"/>
  <c r="H45" i="44"/>
  <c r="T65" i="25"/>
  <c r="C44" i="19"/>
  <c r="C51" i="19"/>
  <c r="Q26" i="25"/>
  <c r="U26" i="25"/>
  <c r="D79" i="19"/>
  <c r="D105" i="25"/>
  <c r="D105" i="19"/>
  <c r="N21" i="19"/>
  <c r="N59" i="25"/>
  <c r="N73" i="19"/>
  <c r="O24" i="25"/>
  <c r="O24" i="19"/>
  <c r="M26" i="19"/>
  <c r="F58" i="44"/>
  <c r="E46" i="44"/>
  <c r="F60" i="25"/>
  <c r="L57" i="19"/>
  <c r="O9" i="25"/>
  <c r="C35" i="44"/>
  <c r="G35" i="44"/>
  <c r="D35" i="44"/>
  <c r="K46" i="44"/>
  <c r="J45" i="44"/>
  <c r="F64" i="19"/>
  <c r="T9" i="25"/>
  <c r="I34" i="44"/>
  <c r="G23" i="19"/>
  <c r="B46" i="44"/>
  <c r="AA52" i="25"/>
  <c r="AA8" i="19"/>
  <c r="I32" i="25"/>
  <c r="I32" i="19"/>
  <c r="I6" i="19"/>
  <c r="S10" i="25"/>
  <c r="F10" i="19"/>
  <c r="L10" i="19"/>
  <c r="Q10" i="25"/>
  <c r="C45" i="44"/>
  <c r="I57" i="44"/>
  <c r="H52" i="25"/>
  <c r="F22" i="19"/>
  <c r="O22" i="25"/>
  <c r="O22" i="19"/>
  <c r="W38" i="25"/>
  <c r="B34" i="44"/>
  <c r="L34" i="44"/>
  <c r="G52" i="25"/>
  <c r="K45" i="44"/>
  <c r="F46" i="44"/>
  <c r="L46" i="44"/>
  <c r="D45" i="44"/>
  <c r="I46" i="44"/>
  <c r="G53" i="25"/>
  <c r="I45" i="44"/>
  <c r="L56" i="25"/>
  <c r="W40" i="25"/>
  <c r="AB40" i="25"/>
  <c r="G34" i="44"/>
  <c r="F34" i="44"/>
  <c r="I22" i="19"/>
  <c r="W63" i="19"/>
  <c r="L23" i="19"/>
  <c r="L61" i="19"/>
  <c r="F45" i="44"/>
  <c r="J46" i="44"/>
  <c r="F79" i="23"/>
  <c r="C93" i="23"/>
  <c r="H82" i="23"/>
  <c r="H94" i="23"/>
  <c r="H75" i="23"/>
  <c r="E82" i="23"/>
  <c r="G88" i="23"/>
  <c r="G88" i="19"/>
  <c r="C95" i="23"/>
  <c r="E80" i="23"/>
  <c r="E92" i="23"/>
  <c r="E92" i="19"/>
  <c r="C78" i="23"/>
  <c r="H90" i="23"/>
  <c r="F74" i="23"/>
  <c r="H80" i="23"/>
  <c r="E87" i="23"/>
  <c r="E87" i="19"/>
  <c r="G93" i="23"/>
  <c r="G93" i="19"/>
  <c r="H81" i="23"/>
  <c r="G94" i="23"/>
  <c r="G94" i="19"/>
  <c r="G83" i="23"/>
  <c r="G95" i="23"/>
  <c r="G95" i="19"/>
  <c r="G76" i="23"/>
  <c r="C83" i="23"/>
  <c r="F89" i="23"/>
  <c r="H95" i="23"/>
  <c r="C81" i="23"/>
  <c r="H93" i="23"/>
  <c r="H78" i="23"/>
  <c r="F92" i="23"/>
  <c r="F92" i="19"/>
  <c r="E75" i="23"/>
  <c r="G81" i="23"/>
  <c r="C88" i="23"/>
  <c r="F94" i="23"/>
  <c r="AB6" i="23"/>
  <c r="G82" i="23"/>
  <c r="F72" i="23"/>
  <c r="E85" i="23"/>
  <c r="E85" i="19"/>
  <c r="C71" i="23"/>
  <c r="F77" i="23"/>
  <c r="H83" i="23"/>
  <c r="E90" i="23"/>
  <c r="E90" i="19"/>
  <c r="G96" i="23"/>
  <c r="G96" i="19"/>
  <c r="F83" i="23"/>
  <c r="F95" i="23"/>
  <c r="F95" i="19"/>
  <c r="F80" i="23"/>
  <c r="C94" i="23"/>
  <c r="C76" i="23"/>
  <c r="F82" i="23"/>
  <c r="H88" i="23"/>
  <c r="E95" i="23"/>
  <c r="E95" i="19"/>
  <c r="W6" i="23"/>
  <c r="F71" i="23"/>
  <c r="C85" i="23"/>
  <c r="C74" i="23"/>
  <c r="H86" i="23"/>
  <c r="H71" i="23"/>
  <c r="E78" i="23"/>
  <c r="G84" i="23"/>
  <c r="G84" i="19"/>
  <c r="C91" i="23"/>
  <c r="E72" i="23"/>
  <c r="E84" i="23"/>
  <c r="E84" i="19"/>
  <c r="E96" i="23"/>
  <c r="E96" i="19"/>
  <c r="C82" i="23"/>
  <c r="F96" i="23"/>
  <c r="F96" i="19"/>
  <c r="H76" i="23"/>
  <c r="E83" i="23"/>
  <c r="G89" i="23"/>
  <c r="G89" i="19"/>
  <c r="C96" i="23"/>
  <c r="AA6" i="23"/>
  <c r="C73" i="23"/>
  <c r="G86" i="23"/>
  <c r="G75" i="23"/>
  <c r="F88" i="23"/>
  <c r="F88" i="19"/>
  <c r="G72" i="23"/>
  <c r="C79" i="23"/>
  <c r="F85" i="23"/>
  <c r="F85" i="19"/>
  <c r="H91" i="23"/>
  <c r="H73" i="23"/>
  <c r="H85" i="23"/>
  <c r="G71" i="23"/>
  <c r="F84" i="23"/>
  <c r="F84" i="19"/>
  <c r="E71" i="23"/>
  <c r="G77" i="23"/>
  <c r="C84" i="23"/>
  <c r="F90" i="23"/>
  <c r="F90" i="19"/>
  <c r="H96" i="23"/>
  <c r="G74" i="23"/>
  <c r="E88" i="23"/>
  <c r="E88" i="19"/>
  <c r="E77" i="23"/>
  <c r="C90" i="23"/>
  <c r="F73" i="23"/>
  <c r="H79" i="23"/>
  <c r="E86" i="23"/>
  <c r="E86" i="19"/>
  <c r="G92" i="23"/>
  <c r="G92" i="19"/>
  <c r="F75" i="23"/>
  <c r="F87" i="23"/>
  <c r="F87" i="19"/>
  <c r="E73" i="23"/>
  <c r="C86" i="23"/>
  <c r="C72" i="23"/>
  <c r="F78" i="23"/>
  <c r="H84" i="23"/>
  <c r="E91" i="23"/>
  <c r="E91" i="19"/>
  <c r="X6" i="23"/>
  <c r="E76" i="23"/>
  <c r="H89" i="23"/>
  <c r="G79" i="23"/>
  <c r="G91" i="23"/>
  <c r="E74" i="23"/>
  <c r="G80" i="23"/>
  <c r="C87" i="23"/>
  <c r="F93" i="23"/>
  <c r="F93" i="19"/>
  <c r="C77" i="23"/>
  <c r="C89" i="23"/>
  <c r="H74" i="23"/>
  <c r="G87" i="23"/>
  <c r="G87" i="19"/>
  <c r="H72" i="23"/>
  <c r="E79" i="23"/>
  <c r="G85" i="23"/>
  <c r="G85" i="19"/>
  <c r="C92" i="23"/>
  <c r="G72" i="19"/>
  <c r="G98" i="23"/>
  <c r="G98" i="19"/>
  <c r="C81" i="19"/>
  <c r="C107" i="23"/>
  <c r="C107" i="19"/>
  <c r="O81" i="23"/>
  <c r="S81" i="23"/>
  <c r="E100" i="23"/>
  <c r="E100" i="19"/>
  <c r="E74" i="19"/>
  <c r="G91" i="19"/>
  <c r="G104" i="23"/>
  <c r="G104" i="19"/>
  <c r="S72" i="23"/>
  <c r="O72" i="23"/>
  <c r="C72" i="19"/>
  <c r="C98" i="23"/>
  <c r="C98" i="19"/>
  <c r="F73" i="19"/>
  <c r="F99" i="23"/>
  <c r="F99" i="19"/>
  <c r="G103" i="23"/>
  <c r="G103" i="19"/>
  <c r="G77" i="19"/>
  <c r="O79" i="23"/>
  <c r="S79" i="23"/>
  <c r="C79" i="19"/>
  <c r="C105" i="23"/>
  <c r="C105" i="19"/>
  <c r="O91" i="23"/>
  <c r="O91" i="19"/>
  <c r="S91" i="23"/>
  <c r="S91" i="19"/>
  <c r="C91" i="19"/>
  <c r="W6" i="19"/>
  <c r="W32" i="23"/>
  <c r="W32" i="19"/>
  <c r="F109" i="23"/>
  <c r="F109" i="19"/>
  <c r="F83" i="19"/>
  <c r="G82" i="19"/>
  <c r="G108" i="23"/>
  <c r="G108" i="19"/>
  <c r="Q93" i="23"/>
  <c r="Q93" i="19"/>
  <c r="T93" i="23"/>
  <c r="T93" i="19"/>
  <c r="H93" i="19"/>
  <c r="C104" i="23"/>
  <c r="C104" i="19"/>
  <c r="S78" i="23"/>
  <c r="O78" i="23"/>
  <c r="C78" i="19"/>
  <c r="Q82" i="23"/>
  <c r="H82" i="19"/>
  <c r="H108" i="23"/>
  <c r="H108" i="19"/>
  <c r="T82" i="23"/>
  <c r="Q10" i="19"/>
  <c r="Q54" i="25"/>
  <c r="Q36" i="25"/>
  <c r="N59" i="19"/>
  <c r="N60" i="19"/>
  <c r="Q52" i="25"/>
  <c r="C59" i="19"/>
  <c r="C61" i="19"/>
  <c r="E83" i="19"/>
  <c r="E109" i="23"/>
  <c r="E109" i="19"/>
  <c r="H89" i="19"/>
  <c r="T89" i="23"/>
  <c r="T89" i="19"/>
  <c r="Q89" i="23"/>
  <c r="Q89" i="19"/>
  <c r="T76" i="23"/>
  <c r="H76" i="19"/>
  <c r="Q76" i="23"/>
  <c r="H102" i="23"/>
  <c r="H102" i="19"/>
  <c r="E78" i="19"/>
  <c r="E104" i="23"/>
  <c r="E104" i="19"/>
  <c r="T88" i="23"/>
  <c r="T88" i="19"/>
  <c r="H88" i="19"/>
  <c r="Q88" i="23"/>
  <c r="Q88" i="19"/>
  <c r="F107" i="23"/>
  <c r="F107" i="19"/>
  <c r="F94" i="19"/>
  <c r="H95" i="19"/>
  <c r="T95" i="23"/>
  <c r="T95" i="19"/>
  <c r="Q95" i="23"/>
  <c r="Q95" i="19"/>
  <c r="F6" i="19"/>
  <c r="F32" i="23"/>
  <c r="F32" i="19"/>
  <c r="O6" i="23"/>
  <c r="S80" i="23"/>
  <c r="E106" i="23"/>
  <c r="E106" i="19"/>
  <c r="O80" i="23"/>
  <c r="E80" i="19"/>
  <c r="F105" i="23"/>
  <c r="F105" i="19"/>
  <c r="F79" i="19"/>
  <c r="W48" i="25"/>
  <c r="W45" i="25"/>
  <c r="W38" i="19"/>
  <c r="F52" i="19"/>
  <c r="F54" i="19"/>
  <c r="M62" i="19"/>
  <c r="M59" i="19"/>
  <c r="Q7" i="19"/>
  <c r="Q33" i="25"/>
  <c r="Q33" i="19"/>
  <c r="O23" i="19"/>
  <c r="O61" i="19"/>
  <c r="O61" i="25"/>
  <c r="O36" i="25"/>
  <c r="Q21" i="19"/>
  <c r="Q60" i="25"/>
  <c r="Q34" i="25"/>
  <c r="Q59" i="25"/>
  <c r="E97" i="23"/>
  <c r="E97" i="19"/>
  <c r="E71" i="19"/>
  <c r="AB32" i="23"/>
  <c r="AB32" i="19"/>
  <c r="AB6" i="19"/>
  <c r="O89" i="23"/>
  <c r="O89" i="19"/>
  <c r="C89" i="19"/>
  <c r="S89" i="23"/>
  <c r="S89" i="19"/>
  <c r="C103" i="23"/>
  <c r="C103" i="19"/>
  <c r="O77" i="23"/>
  <c r="S77" i="23"/>
  <c r="C77" i="19"/>
  <c r="E76" i="19"/>
  <c r="E102" i="23"/>
  <c r="E102" i="19"/>
  <c r="G97" i="23"/>
  <c r="G97" i="19"/>
  <c r="G71" i="19"/>
  <c r="G75" i="19"/>
  <c r="G101" i="23"/>
  <c r="G101" i="19"/>
  <c r="Q71" i="23"/>
  <c r="H97" i="23"/>
  <c r="H97" i="19"/>
  <c r="H71" i="19"/>
  <c r="T71" i="23"/>
  <c r="F108" i="23"/>
  <c r="F108" i="19"/>
  <c r="F82" i="19"/>
  <c r="H109" i="23"/>
  <c r="H109" i="19"/>
  <c r="H83" i="19"/>
  <c r="Q83" i="23"/>
  <c r="T83" i="23"/>
  <c r="S88" i="23"/>
  <c r="S88" i="19"/>
  <c r="O88" i="23"/>
  <c r="O88" i="19"/>
  <c r="C101" i="23"/>
  <c r="C101" i="19"/>
  <c r="C88" i="19"/>
  <c r="F89" i="19"/>
  <c r="F102" i="23"/>
  <c r="F102" i="19"/>
  <c r="S95" i="23"/>
  <c r="S95" i="19"/>
  <c r="O95" i="23"/>
  <c r="O95" i="19"/>
  <c r="C95" i="19"/>
  <c r="AB49" i="25"/>
  <c r="AB45" i="25"/>
  <c r="AB40" i="19"/>
  <c r="S10" i="19"/>
  <c r="S54" i="19"/>
  <c r="S36" i="25"/>
  <c r="S54" i="25"/>
  <c r="C58" i="44"/>
  <c r="U39" i="25"/>
  <c r="U62" i="25"/>
  <c r="U26" i="19"/>
  <c r="U62" i="19"/>
  <c r="L48" i="19"/>
  <c r="L45" i="19"/>
  <c r="U7" i="19"/>
  <c r="U33" i="25"/>
  <c r="U33" i="19"/>
  <c r="M44" i="44"/>
  <c r="S8" i="19"/>
  <c r="S53" i="25"/>
  <c r="S34" i="25"/>
  <c r="S52" i="25"/>
  <c r="K37" i="19"/>
  <c r="K47" i="25"/>
  <c r="K45" i="25"/>
  <c r="O90" i="23"/>
  <c r="O90" i="19"/>
  <c r="C90" i="19"/>
  <c r="S90" i="23"/>
  <c r="S90" i="19"/>
  <c r="G61" i="19"/>
  <c r="G59" i="19"/>
  <c r="O48" i="25"/>
  <c r="O38" i="19"/>
  <c r="O48" i="19"/>
  <c r="E103" i="23"/>
  <c r="E103" i="19"/>
  <c r="E77" i="19"/>
  <c r="S92" i="23"/>
  <c r="S92" i="19"/>
  <c r="C92" i="19"/>
  <c r="O92" i="23"/>
  <c r="O92" i="19"/>
  <c r="X32" i="23"/>
  <c r="X32" i="19"/>
  <c r="X6" i="19"/>
  <c r="F101" i="23"/>
  <c r="F101" i="19"/>
  <c r="F75" i="19"/>
  <c r="G100" i="23"/>
  <c r="G100" i="19"/>
  <c r="G74" i="19"/>
  <c r="T85" i="23"/>
  <c r="T85" i="19"/>
  <c r="H85" i="19"/>
  <c r="Q85" i="23"/>
  <c r="Q85" i="19"/>
  <c r="G99" i="23"/>
  <c r="G99" i="19"/>
  <c r="G86" i="19"/>
  <c r="C82" i="19"/>
  <c r="C108" i="23"/>
  <c r="C108" i="19"/>
  <c r="S82" i="23"/>
  <c r="O82" i="23"/>
  <c r="Q86" i="23"/>
  <c r="Q86" i="19"/>
  <c r="T86" i="23"/>
  <c r="T86" i="19"/>
  <c r="H86" i="19"/>
  <c r="C76" i="19"/>
  <c r="C102" i="23"/>
  <c r="C102" i="19"/>
  <c r="S76" i="23"/>
  <c r="O76" i="23"/>
  <c r="F77" i="19"/>
  <c r="F103" i="23"/>
  <c r="F103" i="19"/>
  <c r="G107" i="23"/>
  <c r="G107" i="19"/>
  <c r="G81" i="19"/>
  <c r="O83" i="23"/>
  <c r="C83" i="19"/>
  <c r="S83" i="23"/>
  <c r="C109" i="23"/>
  <c r="C109" i="19"/>
  <c r="W49" i="25"/>
  <c r="W40" i="19"/>
  <c r="W49" i="19"/>
  <c r="F59" i="19"/>
  <c r="F60" i="19"/>
  <c r="T9" i="19"/>
  <c r="T52" i="25"/>
  <c r="T35" i="25"/>
  <c r="Q39" i="25"/>
  <c r="Q62" i="25"/>
  <c r="Q26" i="19"/>
  <c r="Q62" i="19"/>
  <c r="J58" i="44"/>
  <c r="O7" i="19"/>
  <c r="O33" i="25"/>
  <c r="O33" i="19"/>
  <c r="X61" i="19"/>
  <c r="X59" i="19"/>
  <c r="X46" i="25"/>
  <c r="X34" i="19"/>
  <c r="X45" i="25"/>
  <c r="O21" i="19"/>
  <c r="O59" i="25"/>
  <c r="O60" i="25"/>
  <c r="Q11" i="19"/>
  <c r="Q37" i="25"/>
  <c r="Q37" i="19"/>
  <c r="E53" i="19"/>
  <c r="E52" i="19"/>
  <c r="H58" i="44"/>
  <c r="AA40" i="19"/>
  <c r="AA45" i="25"/>
  <c r="AA49" i="25"/>
  <c r="U6" i="19"/>
  <c r="U32" i="25"/>
  <c r="U32" i="19"/>
  <c r="G79" i="19"/>
  <c r="G105" i="23"/>
  <c r="G105" i="19"/>
  <c r="T81" i="23"/>
  <c r="Q81" i="23"/>
  <c r="H107" i="23"/>
  <c r="H107" i="19"/>
  <c r="H81" i="19"/>
  <c r="L52" i="19"/>
  <c r="L54" i="19"/>
  <c r="Z48" i="25"/>
  <c r="Z38" i="19"/>
  <c r="U59" i="25"/>
  <c r="U34" i="25"/>
  <c r="U60" i="25"/>
  <c r="K52" i="19"/>
  <c r="K54" i="19"/>
  <c r="E99" i="23"/>
  <c r="E99" i="19"/>
  <c r="E73" i="19"/>
  <c r="S87" i="23"/>
  <c r="S87" i="19"/>
  <c r="O87" i="23"/>
  <c r="O87" i="19"/>
  <c r="C87" i="19"/>
  <c r="T96" i="23"/>
  <c r="T96" i="19"/>
  <c r="H96" i="19"/>
  <c r="Q96" i="23"/>
  <c r="Q96" i="19"/>
  <c r="Q73" i="23"/>
  <c r="H73" i="19"/>
  <c r="T73" i="23"/>
  <c r="H99" i="23"/>
  <c r="H99" i="19"/>
  <c r="O73" i="23"/>
  <c r="S73" i="23"/>
  <c r="C73" i="19"/>
  <c r="C99" i="23"/>
  <c r="C99" i="19"/>
  <c r="O74" i="23"/>
  <c r="S74" i="23"/>
  <c r="C100" i="23"/>
  <c r="C100" i="19"/>
  <c r="C74" i="19"/>
  <c r="C94" i="19"/>
  <c r="S94" i="23"/>
  <c r="S94" i="19"/>
  <c r="O94" i="23"/>
  <c r="O94" i="19"/>
  <c r="C97" i="23"/>
  <c r="C97" i="19"/>
  <c r="O71" i="23"/>
  <c r="C71" i="19"/>
  <c r="S71" i="23"/>
  <c r="E101" i="23"/>
  <c r="E101" i="19"/>
  <c r="E75" i="19"/>
  <c r="O75" i="23"/>
  <c r="S75" i="23"/>
  <c r="G102" i="23"/>
  <c r="G102" i="19"/>
  <c r="G76" i="19"/>
  <c r="T80" i="23"/>
  <c r="Q80" i="23"/>
  <c r="H80" i="19"/>
  <c r="H106" i="23"/>
  <c r="H106" i="19"/>
  <c r="E82" i="19"/>
  <c r="E108" i="23"/>
  <c r="E108" i="19"/>
  <c r="O9" i="19"/>
  <c r="O35" i="25"/>
  <c r="O35" i="19"/>
  <c r="X48" i="25"/>
  <c r="X39" i="19"/>
  <c r="X48" i="19"/>
  <c r="T53" i="25"/>
  <c r="S23" i="19"/>
  <c r="S61" i="25"/>
  <c r="S59" i="25"/>
  <c r="E46" i="25"/>
  <c r="E34" i="19"/>
  <c r="E45" i="25"/>
  <c r="J45" i="25"/>
  <c r="J46" i="25"/>
  <c r="J34" i="19"/>
  <c r="T50" i="23"/>
  <c r="H74" i="19"/>
  <c r="H100" i="23"/>
  <c r="H100" i="19"/>
  <c r="T74" i="23"/>
  <c r="Q74" i="23"/>
  <c r="O93" i="23"/>
  <c r="O93" i="19"/>
  <c r="C106" i="23"/>
  <c r="C106" i="19"/>
  <c r="C93" i="19"/>
  <c r="S93" i="23"/>
  <c r="S93" i="19"/>
  <c r="E79" i="19"/>
  <c r="E105" i="23"/>
  <c r="E105" i="19"/>
  <c r="G80" i="19"/>
  <c r="G106" i="23"/>
  <c r="G106" i="19"/>
  <c r="Q84" i="23"/>
  <c r="Q84" i="19"/>
  <c r="H84" i="19"/>
  <c r="T84" i="23"/>
  <c r="T84" i="19"/>
  <c r="Q91" i="23"/>
  <c r="Q91" i="19"/>
  <c r="T91" i="23"/>
  <c r="T91" i="19"/>
  <c r="H91" i="19"/>
  <c r="AA32" i="23"/>
  <c r="AA32" i="19"/>
  <c r="AA6" i="19"/>
  <c r="O85" i="23"/>
  <c r="O85" i="19"/>
  <c r="C85" i="19"/>
  <c r="S85" i="23"/>
  <c r="S85" i="19"/>
  <c r="F80" i="19"/>
  <c r="F106" i="23"/>
  <c r="F106" i="19"/>
  <c r="F100" i="23"/>
  <c r="F100" i="19"/>
  <c r="F74" i="19"/>
  <c r="T75" i="23"/>
  <c r="Q75" i="23"/>
  <c r="H75" i="19"/>
  <c r="H101" i="23"/>
  <c r="H101" i="19"/>
  <c r="AA52" i="19"/>
  <c r="AA53" i="19"/>
  <c r="N45" i="25"/>
  <c r="N48" i="25"/>
  <c r="N38" i="19"/>
  <c r="U21" i="19"/>
  <c r="X52" i="19"/>
  <c r="X53" i="19"/>
  <c r="L59" i="19"/>
  <c r="C47" i="25"/>
  <c r="C36" i="19"/>
  <c r="C45" i="25"/>
  <c r="J59" i="19"/>
  <c r="J60" i="19"/>
  <c r="O11" i="19"/>
  <c r="O54" i="19"/>
  <c r="O54" i="25"/>
  <c r="O37" i="25"/>
  <c r="O37" i="19"/>
  <c r="Q6" i="19"/>
  <c r="Q32" i="25"/>
  <c r="Q32" i="19"/>
  <c r="O86" i="23"/>
  <c r="O86" i="19"/>
  <c r="S86" i="23"/>
  <c r="S86" i="19"/>
  <c r="C86" i="19"/>
  <c r="T72" i="23"/>
  <c r="H98" i="23"/>
  <c r="H98" i="19"/>
  <c r="Q72" i="23"/>
  <c r="H72" i="19"/>
  <c r="F78" i="19"/>
  <c r="F104" i="23"/>
  <c r="F104" i="19"/>
  <c r="T79" i="23"/>
  <c r="Q79" i="23"/>
  <c r="H79" i="19"/>
  <c r="H105" i="23"/>
  <c r="H105" i="19"/>
  <c r="O84" i="23"/>
  <c r="O84" i="19"/>
  <c r="S84" i="23"/>
  <c r="S84" i="19"/>
  <c r="C84" i="19"/>
  <c r="O96" i="23"/>
  <c r="O96" i="19"/>
  <c r="S96" i="23"/>
  <c r="S96" i="19"/>
  <c r="C96" i="19"/>
  <c r="E98" i="23"/>
  <c r="E98" i="19"/>
  <c r="E72" i="19"/>
  <c r="F71" i="19"/>
  <c r="F97" i="23"/>
  <c r="F97" i="19"/>
  <c r="F98" i="23"/>
  <c r="F98" i="19"/>
  <c r="F72" i="19"/>
  <c r="H78" i="19"/>
  <c r="H104" i="23"/>
  <c r="H104" i="19"/>
  <c r="T78" i="23"/>
  <c r="Q78" i="23"/>
  <c r="G83" i="19"/>
  <c r="G109" i="23"/>
  <c r="G109" i="19"/>
  <c r="T90" i="23"/>
  <c r="H90" i="19"/>
  <c r="H103" i="23"/>
  <c r="H103" i="19"/>
  <c r="Q90" i="23"/>
  <c r="Q94" i="23"/>
  <c r="Q94" i="19"/>
  <c r="H94" i="19"/>
  <c r="T94" i="23"/>
  <c r="T94" i="19"/>
  <c r="I59" i="19"/>
  <c r="I60" i="19"/>
  <c r="I58" i="44"/>
  <c r="I47" i="19"/>
  <c r="I45" i="19"/>
  <c r="Z45" i="25"/>
  <c r="T48" i="25"/>
  <c r="T38" i="19"/>
  <c r="T48" i="19"/>
  <c r="H57" i="44"/>
  <c r="O8" i="19"/>
  <c r="O53" i="25"/>
  <c r="O34" i="25"/>
  <c r="O52" i="25"/>
  <c r="U54" i="25"/>
  <c r="U52" i="25"/>
  <c r="U11" i="19"/>
  <c r="U37" i="25"/>
  <c r="Q72" i="19"/>
  <c r="Q98" i="23"/>
  <c r="Q98" i="19"/>
  <c r="K35" i="44"/>
  <c r="O101" i="23"/>
  <c r="O101" i="19"/>
  <c r="O75" i="19"/>
  <c r="S99" i="23"/>
  <c r="S99" i="19"/>
  <c r="S73" i="19"/>
  <c r="B58" i="44"/>
  <c r="T46" i="25"/>
  <c r="T45" i="25"/>
  <c r="T35" i="19"/>
  <c r="S83" i="19"/>
  <c r="S109" i="23"/>
  <c r="S109" i="19"/>
  <c r="S102" i="23"/>
  <c r="S102" i="19"/>
  <c r="S76" i="19"/>
  <c r="S52" i="19"/>
  <c r="S53" i="19"/>
  <c r="Q108" i="23"/>
  <c r="Q108" i="19"/>
  <c r="Q82" i="19"/>
  <c r="U52" i="19"/>
  <c r="U54" i="19"/>
  <c r="Q39" i="19"/>
  <c r="Q48" i="19"/>
  <c r="Q48" i="25"/>
  <c r="AB49" i="19"/>
  <c r="AB45" i="19"/>
  <c r="Q104" i="23"/>
  <c r="Q104" i="19"/>
  <c r="Q78" i="19"/>
  <c r="J45" i="19"/>
  <c r="J46" i="19"/>
  <c r="S61" i="19"/>
  <c r="S59" i="19"/>
  <c r="O99" i="23"/>
  <c r="O99" i="19"/>
  <c r="O73" i="19"/>
  <c r="U46" i="25"/>
  <c r="U45" i="25"/>
  <c r="U34" i="19"/>
  <c r="T97" i="23"/>
  <c r="T97" i="19"/>
  <c r="T71" i="19"/>
  <c r="Q60" i="19"/>
  <c r="Q59" i="19"/>
  <c r="O59" i="19"/>
  <c r="L13" i="44"/>
  <c r="L35" i="44"/>
  <c r="S81" i="19"/>
  <c r="S107" i="23"/>
  <c r="S107" i="19"/>
  <c r="H13" i="44"/>
  <c r="H35" i="44"/>
  <c r="J34" i="44"/>
  <c r="T102" i="23"/>
  <c r="T102" i="19"/>
  <c r="T76" i="19"/>
  <c r="T72" i="19"/>
  <c r="T98" i="23"/>
  <c r="T98" i="19"/>
  <c r="O52" i="19"/>
  <c r="B23" i="44"/>
  <c r="B57" i="44"/>
  <c r="Q81" i="19"/>
  <c r="Q107" i="23"/>
  <c r="Q107" i="19"/>
  <c r="AA49" i="19"/>
  <c r="AA45" i="19"/>
  <c r="T53" i="19"/>
  <c r="T52" i="19"/>
  <c r="O83" i="19"/>
  <c r="O109" i="23"/>
  <c r="O109" i="19"/>
  <c r="U39" i="19"/>
  <c r="U48" i="19"/>
  <c r="U48" i="25"/>
  <c r="O36" i="19"/>
  <c r="O47" i="19"/>
  <c r="O47" i="25"/>
  <c r="Q47" i="25"/>
  <c r="Q36" i="19"/>
  <c r="Q47" i="19"/>
  <c r="O104" i="23"/>
  <c r="O104" i="19"/>
  <c r="O78" i="19"/>
  <c r="O107" i="23"/>
  <c r="O107" i="19"/>
  <c r="O81" i="19"/>
  <c r="S82" i="19"/>
  <c r="S108" i="23"/>
  <c r="S108" i="19"/>
  <c r="U59" i="19"/>
  <c r="U60" i="19"/>
  <c r="Q75" i="19"/>
  <c r="Q101" i="23"/>
  <c r="Q101" i="19"/>
  <c r="Q106" i="23"/>
  <c r="Q106" i="19"/>
  <c r="Q80" i="19"/>
  <c r="S97" i="23"/>
  <c r="S97" i="19"/>
  <c r="S71" i="19"/>
  <c r="T73" i="19"/>
  <c r="T99" i="23"/>
  <c r="T99" i="19"/>
  <c r="T81" i="19"/>
  <c r="T107" i="23"/>
  <c r="T107" i="19"/>
  <c r="K13" i="44"/>
  <c r="O60" i="19"/>
  <c r="T83" i="19"/>
  <c r="T109" i="23"/>
  <c r="T109" i="19"/>
  <c r="O106" i="23"/>
  <c r="O106" i="19"/>
  <c r="O80" i="19"/>
  <c r="S104" i="23"/>
  <c r="S104" i="19"/>
  <c r="S78" i="19"/>
  <c r="S105" i="23"/>
  <c r="S105" i="19"/>
  <c r="S79" i="19"/>
  <c r="O98" i="23"/>
  <c r="O98" i="19"/>
  <c r="O72" i="19"/>
  <c r="K34" i="44"/>
  <c r="S6" i="19"/>
  <c r="S32" i="23"/>
  <c r="S32" i="19"/>
  <c r="O34" i="19"/>
  <c r="O46" i="25"/>
  <c r="O45" i="25"/>
  <c r="N48" i="19"/>
  <c r="N45" i="19"/>
  <c r="T75" i="19"/>
  <c r="T101" i="23"/>
  <c r="T101" i="19"/>
  <c r="Q74" i="19"/>
  <c r="Q100" i="23"/>
  <c r="Q100" i="19"/>
  <c r="T106" i="23"/>
  <c r="T106" i="19"/>
  <c r="T80" i="19"/>
  <c r="S100" i="23"/>
  <c r="S100" i="19"/>
  <c r="S74" i="19"/>
  <c r="Z45" i="19"/>
  <c r="Z48" i="19"/>
  <c r="D34" i="44"/>
  <c r="E13" i="44"/>
  <c r="E35" i="44"/>
  <c r="K47" i="19"/>
  <c r="K45" i="19"/>
  <c r="Q109" i="23"/>
  <c r="Q109" i="19"/>
  <c r="Q83" i="19"/>
  <c r="Q97" i="23"/>
  <c r="Q97" i="19"/>
  <c r="Q71" i="19"/>
  <c r="S103" i="23"/>
  <c r="S103" i="19"/>
  <c r="S77" i="19"/>
  <c r="E12" i="44"/>
  <c r="E34" i="44"/>
  <c r="Q54" i="19"/>
  <c r="Q52" i="19"/>
  <c r="O105" i="23"/>
  <c r="O105" i="19"/>
  <c r="O79" i="19"/>
  <c r="S98" i="23"/>
  <c r="S98" i="19"/>
  <c r="S72" i="19"/>
  <c r="O102" i="23"/>
  <c r="O102" i="19"/>
  <c r="O76" i="19"/>
  <c r="H33" i="44"/>
  <c r="Q103" i="23"/>
  <c r="Q103" i="19"/>
  <c r="Q90" i="19"/>
  <c r="Q105" i="23"/>
  <c r="Q105" i="19"/>
  <c r="Q79" i="19"/>
  <c r="T79" i="19"/>
  <c r="T105" i="23"/>
  <c r="T105" i="19"/>
  <c r="I13" i="44"/>
  <c r="I35" i="44"/>
  <c r="J12" i="44"/>
  <c r="O53" i="19"/>
  <c r="T100" i="23"/>
  <c r="T100" i="19"/>
  <c r="T74" i="19"/>
  <c r="E45" i="19"/>
  <c r="E46" i="19"/>
  <c r="O97" i="23"/>
  <c r="O97" i="19"/>
  <c r="O71" i="19"/>
  <c r="O100" i="23"/>
  <c r="O100" i="19"/>
  <c r="O74" i="19"/>
  <c r="Q99" i="23"/>
  <c r="Q99" i="19"/>
  <c r="Q73" i="19"/>
  <c r="X45" i="19"/>
  <c r="H56" i="44"/>
  <c r="F13" i="44"/>
  <c r="F35" i="44"/>
  <c r="S36" i="19"/>
  <c r="S47" i="19"/>
  <c r="S47" i="25"/>
  <c r="O103" i="23"/>
  <c r="O103" i="19"/>
  <c r="O77" i="19"/>
  <c r="W48" i="19"/>
  <c r="W45" i="19"/>
  <c r="I56" i="44"/>
  <c r="S106" i="23"/>
  <c r="S106" i="19"/>
  <c r="S80" i="19"/>
  <c r="Q76" i="19"/>
  <c r="Q102" i="23"/>
  <c r="Q102" i="19"/>
  <c r="T108" i="23"/>
  <c r="T108" i="19"/>
  <c r="T82" i="19"/>
  <c r="S101" i="23"/>
  <c r="S101" i="19"/>
  <c r="S75" i="19"/>
  <c r="Q46" i="25"/>
  <c r="Q45" i="25"/>
  <c r="Q34" i="19"/>
  <c r="T104" i="23"/>
  <c r="T104" i="19"/>
  <c r="T78" i="19"/>
  <c r="U37" i="19"/>
  <c r="U47" i="19"/>
  <c r="U47" i="25"/>
  <c r="T103" i="23"/>
  <c r="T103" i="19"/>
  <c r="T90" i="19"/>
  <c r="C45" i="19"/>
  <c r="C47" i="19"/>
  <c r="X46" i="19"/>
  <c r="O82" i="19"/>
  <c r="O108" i="23"/>
  <c r="O108" i="19"/>
  <c r="S45" i="25"/>
  <c r="S46" i="25"/>
  <c r="S34" i="19"/>
  <c r="K33" i="44"/>
  <c r="O32" i="23"/>
  <c r="O32" i="19"/>
  <c r="O6" i="19"/>
  <c r="B13" i="44"/>
  <c r="B35" i="44"/>
  <c r="Q45" i="19"/>
  <c r="Q46" i="19"/>
  <c r="S46" i="19"/>
  <c r="S45" i="19"/>
  <c r="O45" i="19"/>
  <c r="B11" i="44"/>
  <c r="B33" i="44"/>
  <c r="D23" i="44"/>
  <c r="D57" i="44"/>
  <c r="J57" i="44"/>
  <c r="J33" i="44"/>
  <c r="K12" i="44"/>
  <c r="M13" i="44"/>
  <c r="M35" i="44"/>
  <c r="U45" i="19"/>
  <c r="U46" i="19"/>
  <c r="I33" i="44"/>
  <c r="M12" i="44"/>
  <c r="M34" i="44"/>
  <c r="T45" i="19"/>
  <c r="J56" i="44"/>
  <c r="T46" i="19"/>
  <c r="D11" i="44"/>
  <c r="D33" i="44"/>
  <c r="O46" i="19"/>
  <c r="N13" i="44"/>
  <c r="N35" i="44"/>
  <c r="C13" i="44"/>
  <c r="G13" i="44"/>
  <c r="J13" i="44"/>
  <c r="C24" i="44"/>
  <c r="D13" i="44"/>
  <c r="D24" i="44"/>
  <c r="C22" i="44"/>
  <c r="C56" i="44"/>
  <c r="B56" i="44"/>
  <c r="N12" i="44"/>
  <c r="B12" i="44"/>
  <c r="F12" i="44"/>
  <c r="G12" i="44"/>
  <c r="N34" i="44"/>
  <c r="C23" i="44"/>
  <c r="H12" i="44"/>
  <c r="I12" i="44"/>
  <c r="C12" i="44"/>
  <c r="L12" i="44"/>
  <c r="D12" i="44"/>
  <c r="B24" i="44"/>
  <c r="D22" i="44"/>
  <c r="D56" i="44"/>
  <c r="M11" i="44"/>
  <c r="M33" i="44"/>
  <c r="N11" i="44"/>
  <c r="C11" i="44"/>
  <c r="N33" i="44"/>
  <c r="G11" i="44"/>
  <c r="F11" i="44"/>
  <c r="L11" i="44"/>
  <c r="E11" i="44"/>
  <c r="K11" i="44"/>
  <c r="H11" i="44"/>
  <c r="J11" i="44"/>
  <c r="I1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NORMANDEAU Simon</author>
  </authors>
  <commentList>
    <comment ref="B32" authorId="0" shapeId="0" xr:uid="{00000000-0006-0000-0300-000001000000}">
      <text>
        <r>
          <rPr>
            <b/>
            <sz val="9"/>
            <color indexed="81"/>
            <rFont val="Tahoma"/>
            <family val="2"/>
          </rPr>
          <t>(*) Example: M. born in March 1914, is 99 year old on 1st January 2014.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NORMANDEAU Simon</author>
  </authors>
  <commentList>
    <comment ref="A1" authorId="0" shapeId="0" xr:uid="{00000000-0006-0000-0500-000001000000}">
      <text>
        <r>
          <rPr>
            <b/>
            <sz val="9"/>
            <color indexed="81"/>
            <rFont val="Tahoma"/>
            <family val="2"/>
          </rPr>
          <t>Please enter the country ISO code (3 letters)</t>
        </r>
        <r>
          <rPr>
            <sz val="9"/>
            <color indexed="81"/>
            <rFont val="Tahoma"/>
            <family val="2"/>
          </rPr>
          <t xml:space="preserve">
For example AUS for Australia.</t>
        </r>
      </text>
    </comment>
    <comment ref="B1" authorId="0" shapeId="0" xr:uid="{00000000-0006-0000-0500-000002000000}">
      <text>
        <r>
          <rPr>
            <b/>
            <sz val="9"/>
            <color indexed="81"/>
            <rFont val="Tahoma"/>
            <family val="2"/>
          </rPr>
          <t>Please enter the year following this format: 
- YYYY</t>
        </r>
        <r>
          <rPr>
            <sz val="9"/>
            <color indexed="81"/>
            <rFont val="Tahoma"/>
            <family val="2"/>
          </rPr>
          <t xml:space="preserve">
for example </t>
        </r>
        <r>
          <rPr>
            <b/>
            <sz val="9"/>
            <color indexed="81"/>
            <rFont val="Tahoma"/>
            <family val="2"/>
          </rPr>
          <t xml:space="preserve">1999 </t>
        </r>
        <r>
          <rPr>
            <sz val="9"/>
            <color indexed="81"/>
            <rFont val="Tahoma"/>
            <family val="2"/>
          </rPr>
          <t xml:space="preserve">instead of </t>
        </r>
        <r>
          <rPr>
            <b/>
            <sz val="9"/>
            <color indexed="81"/>
            <rFont val="Tahoma"/>
            <family val="2"/>
          </rPr>
          <t>99</t>
        </r>
      </text>
    </comment>
    <comment ref="C1" authorId="0" shapeId="0" xr:uid="{00000000-0006-0000-0500-000003000000}">
      <text>
        <r>
          <rPr>
            <b/>
            <sz val="9"/>
            <color indexed="81"/>
            <rFont val="Tahoma"/>
            <family val="2"/>
          </rPr>
          <t xml:space="preserve">Please enter gender according to the following two categories:
- Men
- Women  </t>
        </r>
      </text>
    </comment>
    <comment ref="D1" authorId="0" shapeId="0" xr:uid="{00000000-0006-0000-0500-000004000000}">
      <text>
        <r>
          <rPr>
            <b/>
            <sz val="9"/>
            <color indexed="81"/>
            <rFont val="Tahoma"/>
            <family val="2"/>
          </rPr>
          <t>Please enter age groups according to 5 years groups: 
- 15-19
- 20-24
- 25-29
...
If you do not have the information by 5 years groups please provide by 10 years groups: 
- 15-24
- 25-34
- 35-44
...</t>
        </r>
      </text>
    </comment>
    <comment ref="E1" authorId="0" shapeId="0" xr:uid="{00000000-0006-0000-0500-000005000000}">
      <text>
        <r>
          <rPr>
            <b/>
            <sz val="9"/>
            <color indexed="81"/>
            <rFont val="Tahoma"/>
            <family val="2"/>
          </rPr>
          <t>Please enter the educational attainment level coding based on ISCED-2011: 
- For example "740" = Master or equivalent (academic)</t>
        </r>
      </text>
    </comment>
    <comment ref="F1" authorId="0" shapeId="0" xr:uid="{00000000-0006-0000-0500-000006000000}">
      <text>
        <r>
          <rPr>
            <b/>
            <sz val="9"/>
            <color indexed="81"/>
            <rFont val="Tahoma"/>
            <family val="2"/>
          </rPr>
          <t xml:space="preserve">Please enter the labour force status according to the following three categories: 
E = employed
U = unemployed
I = inactive
</t>
        </r>
      </text>
    </comment>
    <comment ref="G1" authorId="0" shapeId="0" xr:uid="{00000000-0006-0000-0500-000007000000}">
      <text>
        <r>
          <rPr>
            <b/>
            <sz val="9"/>
            <color indexed="81"/>
            <rFont val="Tahoma"/>
            <family val="2"/>
          </rPr>
          <t xml:space="preserve">Weighted number of persons in thousands
</t>
        </r>
      </text>
    </comment>
    <comment ref="H1" authorId="0" shapeId="0" xr:uid="{00000000-0006-0000-0500-000008000000}">
      <text>
        <r>
          <rPr>
            <b/>
            <sz val="9"/>
            <color indexed="81"/>
            <rFont val="Tahoma"/>
            <family val="2"/>
          </rPr>
          <t xml:space="preserve">True number of interviews (i.e. non-weighted number of persons)
</t>
        </r>
      </text>
    </comment>
    <comment ref="I1" authorId="0" shapeId="0" xr:uid="{00000000-0006-0000-0500-000009000000}">
      <text>
        <r>
          <rPr>
            <b/>
            <sz val="9"/>
            <color indexed="81"/>
            <rFont val="Tahoma"/>
            <family val="2"/>
          </rPr>
          <t>Please provide any additional information you think may help to understand the data.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NORMANDEAU Simon</author>
  </authors>
  <commentList>
    <comment ref="C3" authorId="0" shapeId="0" xr:uid="{00000000-0006-0000-0600-000001000000}">
      <text>
        <r>
          <rPr>
            <b/>
            <sz val="9"/>
            <color indexed="81"/>
            <rFont val="Tahoma"/>
            <family val="2"/>
          </rPr>
          <t>Weighted number of persons in thousands</t>
        </r>
      </text>
    </comment>
    <comment ref="C67" authorId="0" shapeId="0" xr:uid="{00000000-0006-0000-0600-000002000000}">
      <text>
        <r>
          <rPr>
            <b/>
            <sz val="9"/>
            <color indexed="81"/>
            <rFont val="Tahoma"/>
            <family val="2"/>
          </rPr>
          <t>True number of interviews (i.e. non-weighted number of persons)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NORMANDEAU Simon</author>
  </authors>
  <commentList>
    <comment ref="C3" authorId="0" shapeId="0" xr:uid="{00000000-0006-0000-0700-000001000000}">
      <text>
        <r>
          <rPr>
            <b/>
            <sz val="9"/>
            <color indexed="81"/>
            <rFont val="Tahoma"/>
            <family val="2"/>
          </rPr>
          <t>Weighted number of persons in thousands</t>
        </r>
      </text>
    </comment>
    <comment ref="C67" authorId="0" shapeId="0" xr:uid="{00000000-0006-0000-0700-000002000000}">
      <text>
        <r>
          <rPr>
            <b/>
            <sz val="9"/>
            <color indexed="81"/>
            <rFont val="Tahoma"/>
            <family val="2"/>
          </rPr>
          <t>True number of interviews (i.e. non-weighted number of persons)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NORMANDEAU Simon</author>
  </authors>
  <commentList>
    <comment ref="C3" authorId="0" shapeId="0" xr:uid="{00000000-0006-0000-0800-000001000000}">
      <text>
        <r>
          <rPr>
            <b/>
            <sz val="9"/>
            <color indexed="81"/>
            <rFont val="Tahoma"/>
            <family val="2"/>
          </rPr>
          <t>Weighted number of persons in thousands</t>
        </r>
      </text>
    </comment>
    <comment ref="C67" authorId="0" shapeId="0" xr:uid="{00000000-0006-0000-0800-000002000000}">
      <text>
        <r>
          <rPr>
            <b/>
            <sz val="9"/>
            <color indexed="81"/>
            <rFont val="Tahoma"/>
            <family val="2"/>
          </rPr>
          <t>True number of interviews (i.e. non-weighted number of persons)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NORMANDEAU Simon</author>
  </authors>
  <commentList>
    <comment ref="C3" authorId="0" shapeId="0" xr:uid="{00000000-0006-0000-0900-000001000000}">
      <text>
        <r>
          <rPr>
            <b/>
            <sz val="9"/>
            <color indexed="81"/>
            <rFont val="Tahoma"/>
            <family val="2"/>
          </rPr>
          <t>Weighted number of persons in thousands</t>
        </r>
      </text>
    </comment>
    <comment ref="C67" authorId="0" shapeId="0" xr:uid="{00000000-0006-0000-0900-000002000000}">
      <text>
        <r>
          <rPr>
            <b/>
            <sz val="9"/>
            <color indexed="81"/>
            <rFont val="Tahoma"/>
            <family val="2"/>
          </rPr>
          <t>True number of interviews (i.e. non-weighted number of persons)</t>
        </r>
      </text>
    </comment>
  </commentList>
</comments>
</file>

<file path=xl/sharedStrings.xml><?xml version="1.0" encoding="utf-8"?>
<sst xmlns="http://schemas.openxmlformats.org/spreadsheetml/2006/main" count="1145" uniqueCount="307">
  <si>
    <t>Lower secondary education</t>
  </si>
  <si>
    <t>Upper secondary education</t>
  </si>
  <si>
    <t>Post-secondary non-tertiary education</t>
  </si>
  <si>
    <t>Tertiary education</t>
  </si>
  <si>
    <t>All levels of education</t>
  </si>
  <si>
    <t>Men</t>
  </si>
  <si>
    <t>Women</t>
  </si>
  <si>
    <t>At least upper secondary education</t>
  </si>
  <si>
    <t>Tertiary</t>
  </si>
  <si>
    <t>General</t>
  </si>
  <si>
    <t>Vocational</t>
  </si>
  <si>
    <t>Age</t>
  </si>
  <si>
    <t>PERSONS IN THOUSANDS</t>
  </si>
  <si>
    <t xml:space="preserve">Reference year : </t>
  </si>
  <si>
    <t xml:space="preserve">Country: </t>
  </si>
  <si>
    <t>Please select</t>
  </si>
  <si>
    <t>1. Please provide information on the person(s) responsible for completing this questionnaire.</t>
  </si>
  <si>
    <t>Contact 1: Person in charge of completing the questionnaire:</t>
  </si>
  <si>
    <t>First name:</t>
  </si>
  <si>
    <t>Last name:</t>
  </si>
  <si>
    <t>Function:</t>
  </si>
  <si>
    <t>Phone number:</t>
  </si>
  <si>
    <t>Contact 2: Other person in charge of completing or submitting the questionnaire:</t>
  </si>
  <si>
    <t>2. Please provide the website address(es) where national statistics included in this questionnaire are published.</t>
  </si>
  <si>
    <t>Website address 1:</t>
  </si>
  <si>
    <t>Website address 2 (if applicable):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</si>
  <si>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</si>
  <si>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</si>
  <si>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</si>
  <si>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</si>
  <si>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</si>
  <si>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</si>
  <si>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</si>
  <si>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</si>
  <si>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</si>
  <si>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</si>
  <si>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</si>
  <si>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</si>
  <si>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</si>
  <si>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</si>
  <si>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</si>
  <si>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</si>
  <si>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</si>
  <si>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</si>
  <si>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</si>
  <si>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</si>
  <si>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</si>
  <si>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</si>
  <si>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</si>
  <si>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</si>
  <si>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</si>
  <si>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</si>
  <si>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</si>
  <si>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</si>
  <si>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</si>
  <si>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</si>
  <si>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</si>
  <si>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United Kingdom</t>
  </si>
  <si>
    <t>United States</t>
  </si>
  <si>
    <t>Argentina</t>
  </si>
  <si>
    <t>Brazil</t>
  </si>
  <si>
    <t>China</t>
  </si>
  <si>
    <t>Colombia</t>
  </si>
  <si>
    <t>India</t>
  </si>
  <si>
    <t>Indonesia</t>
  </si>
  <si>
    <t>Latvia</t>
  </si>
  <si>
    <t>Saudi Arabia</t>
  </si>
  <si>
    <t>South Africa</t>
  </si>
  <si>
    <t>Description of the data source:</t>
  </si>
  <si>
    <t>Agency providing the data</t>
  </si>
  <si>
    <t>Unit (e.g. respondents within households)</t>
  </si>
  <si>
    <t>Primary sampling unit (e.g. households)</t>
  </si>
  <si>
    <t>Mapping of National Educational Attainment Categories (NEAC) to ISCED 2011</t>
  </si>
  <si>
    <r>
      <t>Source</t>
    </r>
    <r>
      <rPr>
        <sz val="11"/>
        <rFont val="Arial"/>
        <family val="2"/>
      </rPr>
      <t>: Mapping used to report the data on labour force status by level of education completed.</t>
    </r>
  </si>
  <si>
    <t>NEAC</t>
  </si>
  <si>
    <t>Additional information</t>
  </si>
  <si>
    <t>Population</t>
  </si>
  <si>
    <t>Unemployed</t>
  </si>
  <si>
    <t>Employed</t>
  </si>
  <si>
    <r>
      <rPr>
        <b/>
        <sz val="10"/>
        <color theme="1"/>
        <rFont val="Arial"/>
        <family val="2"/>
      </rPr>
      <t>Employed</t>
    </r>
    <r>
      <rPr>
        <i/>
        <sz val="10"/>
        <color theme="1"/>
        <rFont val="Arial"/>
        <family val="2"/>
      </rPr>
      <t xml:space="preserve">: </t>
    </r>
    <r>
      <rPr>
        <sz val="10"/>
        <color theme="1"/>
        <rFont val="Arial"/>
        <family val="2"/>
      </rPr>
      <t>Employed individuals are those who, during the survey reference week: i) work for pay (employees) or profit (self-employed and unpaid family workers) for at least one hour; or ii) have a job but are temporarily not at work (through injury, illness, holiday, strike or lock-out, educational or training leave, maternity or parental leave, etc.).</t>
    </r>
  </si>
  <si>
    <r>
      <rPr>
        <b/>
        <sz val="10"/>
        <color theme="1"/>
        <rFont val="Arial"/>
        <family val="2"/>
      </rPr>
      <t>Unemployed</t>
    </r>
    <r>
      <rPr>
        <i/>
        <sz val="10"/>
        <color theme="1"/>
        <rFont val="Arial"/>
        <family val="2"/>
      </rPr>
      <t>:</t>
    </r>
    <r>
      <rPr>
        <sz val="10"/>
        <color theme="1"/>
        <rFont val="Arial"/>
        <family val="2"/>
      </rPr>
      <t xml:space="preserve"> Unemployed individuals are those who are, during the survey reference week, without work (i.e. neither had a job nor were at work for one hour or more in paid employment or self-employment), actively seeking employment (i.e. had taken specific steps during the four weeks prior to the reference week to seek paid employment or self-employment), and currently available to start work (i.e. were available for paid employment or self-employment before the end of the two weeks following the reference week).</t>
    </r>
  </si>
  <si>
    <r>
      <rPr>
        <b/>
        <sz val="10"/>
        <color theme="1"/>
        <rFont val="Arial"/>
        <family val="2"/>
      </rPr>
      <t>Inactive</t>
    </r>
    <r>
      <rPr>
        <i/>
        <sz val="10"/>
        <color theme="1"/>
        <rFont val="Arial"/>
        <family val="2"/>
      </rPr>
      <t xml:space="preserve">: </t>
    </r>
    <r>
      <rPr>
        <sz val="10"/>
        <color theme="1"/>
        <rFont val="Arial"/>
        <family val="2"/>
      </rPr>
      <t>Inactive individuals are those who are, during the survey reference week, neither employed nor unemployed, i.e. individuals who are not looking for a job.</t>
    </r>
  </si>
  <si>
    <t>Please verify and update</t>
  </si>
  <si>
    <t>Education levels and mappings</t>
  </si>
  <si>
    <t>COUNTRY</t>
  </si>
  <si>
    <t>YEAR</t>
  </si>
  <si>
    <t>ISCED-A 2011</t>
  </si>
  <si>
    <t>15-19</t>
  </si>
  <si>
    <t>20-24</t>
  </si>
  <si>
    <t>25-29</t>
  </si>
  <si>
    <t>30-34</t>
  </si>
  <si>
    <t>35-39</t>
  </si>
  <si>
    <t>40-44</t>
  </si>
  <si>
    <t>45-49</t>
  </si>
  <si>
    <t>50-54</t>
  </si>
  <si>
    <t>55-59</t>
  </si>
  <si>
    <t>60-64</t>
  </si>
  <si>
    <t>100</t>
  </si>
  <si>
    <t>Partial level completion</t>
  </si>
  <si>
    <t>Is age measured at survey time?</t>
  </si>
  <si>
    <t>Level completion</t>
  </si>
  <si>
    <t>Academic</t>
  </si>
  <si>
    <t>Professional</t>
  </si>
  <si>
    <t>Orientation unspecified</t>
  </si>
  <si>
    <t>Tertiary education
(Bachelor's, Master's, Doctoral or equivalent)</t>
  </si>
  <si>
    <t>ISCED-A Codes</t>
  </si>
  <si>
    <t>010, 020, 030</t>
  </si>
  <si>
    <t>243, 244, 253, 254</t>
  </si>
  <si>
    <t>242, 252</t>
  </si>
  <si>
    <t>342, 352</t>
  </si>
  <si>
    <t>343, 344, 353, 354</t>
  </si>
  <si>
    <t>443, 444, 453, 454</t>
  </si>
  <si>
    <t>540, 550, 560</t>
  </si>
  <si>
    <t>640, 650, 660</t>
  </si>
  <si>
    <t>740, 750, 760</t>
  </si>
  <si>
    <t>840, 850, 860</t>
  </si>
  <si>
    <t>Below upper secondary education</t>
  </si>
  <si>
    <t>Upper secondary or post-secondary non-tertiary education</t>
  </si>
  <si>
    <t>343, 344, 443, 444</t>
  </si>
  <si>
    <t>353, 354, 453, 454</t>
  </si>
  <si>
    <t>Not elsewhere classified</t>
  </si>
  <si>
    <t>999</t>
  </si>
  <si>
    <t>640, 740, 840</t>
  </si>
  <si>
    <t>650, 750, 850</t>
  </si>
  <si>
    <t>660, 760, 860</t>
  </si>
  <si>
    <t>Less than primary education</t>
  </si>
  <si>
    <t>Primary education</t>
  </si>
  <si>
    <t>Short cycle tertiary</t>
  </si>
  <si>
    <t>Bachelor's or equivalent</t>
  </si>
  <si>
    <t>Master's or equivalent</t>
  </si>
  <si>
    <t>Doctoral or equivalent</t>
  </si>
  <si>
    <t>SAMPLE SIZE</t>
  </si>
  <si>
    <r>
      <t>Population:</t>
    </r>
    <r>
      <rPr>
        <sz val="10"/>
        <color theme="1"/>
        <rFont val="Arial"/>
        <family val="2"/>
      </rPr>
      <t xml:space="preserve"> The population is the sum of the of the active population (labour force) and inactive population.</t>
    </r>
  </si>
  <si>
    <t>TOTAL</t>
  </si>
  <si>
    <r>
      <t xml:space="preserve">Active population (labour force): </t>
    </r>
    <r>
      <rPr>
        <sz val="10"/>
        <color theme="1"/>
        <rFont val="Arial"/>
        <family val="2"/>
      </rPr>
      <t>The active population (labour force) is the total number of employed and unemployed persons.</t>
    </r>
  </si>
  <si>
    <t xml:space="preserve">Less than primary </t>
  </si>
  <si>
    <t>Primary</t>
  </si>
  <si>
    <t>Completion of intermediate lower secondary programmes</t>
  </si>
  <si>
    <t>Lower secondary</t>
  </si>
  <si>
    <t>Completion of intermediate upper secondary programmes</t>
  </si>
  <si>
    <t>Less than primary</t>
  </si>
  <si>
    <t>Upper secondary</t>
  </si>
  <si>
    <t>Post-secondary non-tertiary</t>
  </si>
  <si>
    <t>Percentage of adults with a given level of education as the highest level attained</t>
  </si>
  <si>
    <t>Below upper secondary</t>
  </si>
  <si>
    <t>Upper secondary or post-secondary non-tertiary</t>
  </si>
  <si>
    <t>Men+Women</t>
  </si>
  <si>
    <t xml:space="preserve"> Upper secondary or post-secondary non-tertiary</t>
  </si>
  <si>
    <t>Vocational and general</t>
  </si>
  <si>
    <t>Employment rate</t>
  </si>
  <si>
    <t>Unemployment rate</t>
  </si>
  <si>
    <t>Inactivity rate</t>
  </si>
  <si>
    <t>Do you have a threshold under which you would prefer your data not to be published or published with a note of caution? If your answer is "No" you can skip to the next block of questions. Please note that in this case we will apply a minimum threshold of 30 to the denominator (unweighted).</t>
  </si>
  <si>
    <t>Employment rates, by educational attainment</t>
  </si>
  <si>
    <t>Unemployment rates, by educational attainment</t>
  </si>
  <si>
    <t>Employment, unemployment and inactivity rates of adults with upper secondary or post-secondary non-tertiary education, by programme orientation</t>
  </si>
  <si>
    <t>Organisation:</t>
  </si>
  <si>
    <t>E-mail address:</t>
  </si>
  <si>
    <r>
      <rPr>
        <b/>
        <sz val="10"/>
        <color theme="1"/>
        <rFont val="Arial"/>
        <family val="2"/>
      </rPr>
      <t>Partial completion</t>
    </r>
    <r>
      <rPr>
        <sz val="10"/>
        <color theme="1"/>
        <rFont val="Arial"/>
        <family val="2"/>
      </rPr>
      <t>: Successful completion of a programme representing at least 2 years at ISCED level 3 and a cumulative duration of at least 11 years since the beginning of ISCED level 1, and which is part of a sequence of programmes at ISCED level 3, but is not the last programme in the sequence at this level. Such programmes do not give direct access to any higher ISCED level.</t>
    </r>
  </si>
  <si>
    <t>Name of the survey (national name)</t>
  </si>
  <si>
    <t>Name of the survey (translated in English)</t>
  </si>
  <si>
    <t>Non-coverage (subpopulations not captured by survey). Please briefly indicate which subpopulations are typically outside the scope of the survey (conscripts/military personnel, institutionalised persons, students living in boarding schools, etc.)</t>
  </si>
  <si>
    <t>Sample size for 25-64 year-olds (total of variable "sample", the unit being the person)</t>
  </si>
  <si>
    <t>Is age measured as completed on 1 January (*see comment in this cell)</t>
  </si>
  <si>
    <t>Short-cycle tertiary</t>
  </si>
  <si>
    <r>
      <t>LABOUR FORCE STATUS, BY EDUCATIONAL ATTAINMENT</t>
    </r>
    <r>
      <rPr>
        <sz val="10"/>
        <color theme="1"/>
        <rFont val="Arial"/>
        <family val="2"/>
      </rPr>
      <t>, GENDER AND AGE GROUPS</t>
    </r>
  </si>
  <si>
    <t xml:space="preserve">Comments are included in some cells to provide explanations; these are identified by a red triangle in the upper right corner of the cell. </t>
  </si>
  <si>
    <t>3.For assistance in completing this file, you can contact your country representative at the LSO (Labour and Social Outcomes of Education) Network:</t>
  </si>
  <si>
    <t>Please provide details of other cases:</t>
  </si>
  <si>
    <t>At least upper secondary</t>
  </si>
  <si>
    <r>
      <t>General upper secondary or post-secondary non-tertiary</t>
    </r>
    <r>
      <rPr>
        <sz val="8"/>
        <color rgb="FFFF0000"/>
        <rFont val="Arial"/>
        <family val="2"/>
      </rPr>
      <t/>
    </r>
  </si>
  <si>
    <t>Vocational upper secondary or post-secondary non-tertiary</t>
  </si>
  <si>
    <t>Academic tertiary</t>
  </si>
  <si>
    <t>Professional tertiary</t>
  </si>
  <si>
    <t>Orientation unspecified tertiary</t>
  </si>
  <si>
    <t>General upper secondary or post-secondary non-tertiary</t>
  </si>
  <si>
    <r>
      <t>Adults whose highest level of education is upper secondary or post-secondary non-tertiary</t>
    </r>
    <r>
      <rPr>
        <b/>
        <sz val="8"/>
        <rFont val="Arial"/>
        <family val="2"/>
      </rPr>
      <t>, by programme orientation and gender</t>
    </r>
  </si>
  <si>
    <t>Value to apply to the denominator for threshold 1 (data below this threshold will not be published and will be replaced by ''c'')</t>
  </si>
  <si>
    <t>Value to apply to the denominator for threshold 2 (data below this threshold will be published and flagged with "r", indicating that caution should be taken in interpreting the data)</t>
  </si>
  <si>
    <t>Threshold value to apply to the numerator for confidentiality purposes</t>
  </si>
  <si>
    <t>Please indicate a different condition (if it applies nationally) to allow for publishing data</t>
  </si>
  <si>
    <t>Content of the questionnaire</t>
  </si>
  <si>
    <t>ISCED 2011</t>
  </si>
  <si>
    <t>Comments</t>
  </si>
  <si>
    <t>Coding</t>
  </si>
  <si>
    <t>Purpose of the survey</t>
  </si>
  <si>
    <t xml:space="preserve">The yellow cells must be updated each year. </t>
  </si>
  <si>
    <t>Coding to be used in the questionnaire:
m  = data are not available. 
a   = data are not applicable because the category does not apply.</t>
  </si>
  <si>
    <t>Please update the information in the grey cells (if needed).</t>
  </si>
  <si>
    <t>National Code</t>
  </si>
  <si>
    <t xml:space="preserve">Columns F, G and I provide information on the different codes used in the NEAC questionnaire and the agreed ISCED 2011 mapping. The codes in the three columns should be identical, however it is not the case in many countries. You are therefore invited to rectify the situation (if applicable) for the data you are providing in this data collection (Flat_file). The data you will provide in the "flat_file" should match what is listed in column I.  </t>
  </si>
  <si>
    <t>ISCED-A 2011 codes provided in ISCED mapping ("Scope UOE" sheet)</t>
  </si>
  <si>
    <t>Lithuania</t>
  </si>
  <si>
    <t>Costa Rica</t>
  </si>
  <si>
    <t>ISCED-A 2011 codes corrected by the OECD for Education at a Glance</t>
  </si>
  <si>
    <r>
      <rPr>
        <b/>
        <sz val="10"/>
        <rFont val="Arial"/>
        <family val="2"/>
      </rPr>
      <t>Gender</t>
    </r>
    <r>
      <rPr>
        <sz val="10"/>
        <rFont val="Arial"/>
        <family val="2"/>
      </rPr>
      <t>: Men, Women. Combined data (Men plus Women) are not needed.</t>
    </r>
  </si>
  <si>
    <r>
      <t xml:space="preserve">Population in thousands: </t>
    </r>
    <r>
      <rPr>
        <sz val="10"/>
        <rFont val="Arial"/>
        <family val="2"/>
      </rPr>
      <t>Weighted number of persons in thousands.</t>
    </r>
  </si>
  <si>
    <r>
      <rPr>
        <b/>
        <sz val="10"/>
        <rFont val="Arial"/>
        <family val="2"/>
      </rPr>
      <t>Year</t>
    </r>
    <r>
      <rPr>
        <sz val="10"/>
        <rFont val="Arial"/>
        <family val="2"/>
      </rPr>
      <t>: Data should be annual data, i.e. January to December of year YYYY</t>
    </r>
  </si>
  <si>
    <t>SURVEY</t>
  </si>
  <si>
    <t>SURVEY_EN</t>
  </si>
  <si>
    <t>COVERAGE_EXCLUDED</t>
  </si>
  <si>
    <t>SAMPLE_SIZE</t>
  </si>
  <si>
    <t>NON_RESPONSE_RATE</t>
  </si>
  <si>
    <t>RELIABILTY_THRESHOLD</t>
  </si>
  <si>
    <t>PUBLICATION_LIMIT</t>
  </si>
  <si>
    <t>CONFIDENTIAL_LIMIT</t>
  </si>
  <si>
    <t>R_SAMPLE_STATUS</t>
  </si>
  <si>
    <t>RELIABILTY_NATIONAL</t>
  </si>
  <si>
    <t>SAMPLE_UNIT</t>
  </si>
  <si>
    <t>SAMPLE_UNIT_PRIMARY</t>
  </si>
  <si>
    <t>AGE_SURVEY</t>
  </si>
  <si>
    <t>AGE_JANUARY</t>
  </si>
  <si>
    <t>AGE_OTHER</t>
  </si>
  <si>
    <t>SURVEY_INSTITUTION</t>
  </si>
  <si>
    <t>METADATA_ITEM</t>
  </si>
  <si>
    <t>DESCRIPTION</t>
  </si>
  <si>
    <t>Reference Year</t>
  </si>
  <si>
    <t>REF_PERIOD</t>
  </si>
  <si>
    <t>COVERAGE_EXCLUDED_PROP</t>
  </si>
  <si>
    <t>If applicable, please indicate here an estimate of the share of the excluded population among all 25-64 year-olds</t>
  </si>
  <si>
    <t>The reference period expected is from 1 January to 31 December of the reference year. Please indicate if it is not the case.</t>
  </si>
  <si>
    <t>All levels of education (excluding "Not elsewhere classified)</t>
  </si>
  <si>
    <t>Non-response rate (for unit)</t>
  </si>
  <si>
    <r>
      <rPr>
        <b/>
        <sz val="10"/>
        <rFont val="Arial"/>
        <family val="2"/>
      </rPr>
      <t>ISCED-A 2011 (aggregated levels)</t>
    </r>
    <r>
      <rPr>
        <sz val="10"/>
        <rFont val="Arial"/>
        <family val="2"/>
      </rPr>
      <t>: Successfully completed level of education (main groups),</t>
    </r>
    <r>
      <rPr>
        <i/>
        <sz val="10"/>
        <rFont val="Arial"/>
        <family val="2"/>
      </rPr>
      <t xml:space="preserve">
</t>
    </r>
    <r>
      <rPr>
        <sz val="10"/>
        <rFont val="Arial"/>
        <family val="2"/>
      </rPr>
      <t>Below upper secondary (000-254, 342, 352);
Upper secondary or post-secondary non-tertiary (343-454);
Tertiary (540-860).</t>
    </r>
  </si>
  <si>
    <r>
      <t>Labour market status</t>
    </r>
    <r>
      <rPr>
        <sz val="10"/>
        <rFont val="Arial"/>
        <family val="2"/>
      </rPr>
      <t>: Labour force status, according to ILO recommendations: Employment (E), Unemployment (U), Not in the labour force (I).</t>
    </r>
  </si>
  <si>
    <r>
      <rPr>
        <b/>
        <sz val="10"/>
        <rFont val="Arial"/>
        <family val="2"/>
      </rPr>
      <t>Population sample</t>
    </r>
    <r>
      <rPr>
        <sz val="10"/>
        <rFont val="Arial"/>
        <family val="2"/>
      </rPr>
      <t>: True number of interviews (i.e. non-weighted number of persons)</t>
    </r>
  </si>
  <si>
    <t>Country</t>
  </si>
  <si>
    <t>Year</t>
  </si>
  <si>
    <t>Gender</t>
  </si>
  <si>
    <t>Labour status</t>
  </si>
  <si>
    <t>Population in thousands</t>
  </si>
  <si>
    <t>Population sample</t>
  </si>
  <si>
    <t>ISCED-A 2011 codes provided in 2016 data collection ("Flat_file" sheet)</t>
  </si>
  <si>
    <t>This questionnaire is designed to collect internationally comparable data on educational attainment and labour force status according to the National Educational Attainment Categories (NEAC) as reported by the labour force survey (LFS). We require data describing the educational attainment level, according to ISCED-A 2011, for the population from age 15 in 5-year age groups by labour force status (employed, unemployed and inactive) and for the whole population.</t>
  </si>
  <si>
    <t>https://www.oecd-ilibrary.org/fr/education/oecd-handbook-for-internationally-comparative-education-statistics-2018_9789264304444-en</t>
  </si>
  <si>
    <t>Indicator computation</t>
  </si>
  <si>
    <t xml:space="preserve">In order to get the summary results the following codes have to be used in the respective columns of the "Flat_file" sheet </t>
  </si>
  <si>
    <t>E</t>
  </si>
  <si>
    <t>U</t>
  </si>
  <si>
    <t>I</t>
  </si>
  <si>
    <t>List of valid codes</t>
  </si>
  <si>
    <t>010</t>
  </si>
  <si>
    <t>020</t>
  </si>
  <si>
    <t>030</t>
  </si>
  <si>
    <t xml:space="preserve"> </t>
  </si>
  <si>
    <t/>
  </si>
  <si>
    <t>Educational attainment, by gender</t>
  </si>
  <si>
    <t>Select an age group</t>
  </si>
  <si>
    <t>XX year-olds with upper secondary or post-secondary non-tertiary education as the highest level of attainment</t>
  </si>
  <si>
    <t>Age group options</t>
  </si>
  <si>
    <t>25-64</t>
  </si>
  <si>
    <t>25-34</t>
  </si>
  <si>
    <t>Total</t>
  </si>
  <si>
    <t>Total tertiary</t>
  </si>
  <si>
    <t>35-44</t>
  </si>
  <si>
    <t>45-54</t>
  </si>
  <si>
    <t>55-64</t>
  </si>
  <si>
    <t>All calculations on this tab will update automatically based on the age group selected</t>
  </si>
  <si>
    <t>65-69</t>
  </si>
  <si>
    <r>
      <t>Age groups</t>
    </r>
    <r>
      <rPr>
        <sz val="10"/>
        <rFont val="Arial"/>
        <family val="2"/>
      </rPr>
      <t xml:space="preserve"> : 15-19, 20-24, 25-29, 30-34, … 65-69, 70-74, 75+. Combined data (total or any aggregated age groups) are not needed. Age should preferably be measured at survey time.</t>
    </r>
  </si>
  <si>
    <t>70-74</t>
  </si>
  <si>
    <t>75+</t>
  </si>
  <si>
    <t>65-74</t>
  </si>
  <si>
    <t>64-74</t>
  </si>
  <si>
    <t>4. For assistance in completing this file, you can also contact</t>
  </si>
  <si>
    <t>Content of this Excel file by sheet:</t>
  </si>
  <si>
    <t>Cover</t>
  </si>
  <si>
    <t>Provides information to help you navigate and complete this questionnaire.</t>
  </si>
  <si>
    <t>Contact_Info</t>
  </si>
  <si>
    <t>Definitions</t>
  </si>
  <si>
    <t>Provides details on the variables and concepts included in this survey.</t>
  </si>
  <si>
    <t>Data_source_Info</t>
  </si>
  <si>
    <r>
      <rPr>
        <b/>
        <sz val="10"/>
        <color theme="1"/>
        <rFont val="Arial"/>
        <family val="2"/>
      </rPr>
      <t>For you to provide or update</t>
    </r>
    <r>
      <rPr>
        <sz val="10"/>
        <color theme="1"/>
        <rFont val="Arial"/>
        <family val="2"/>
      </rPr>
      <t xml:space="preserve"> your contact information. Also provides you with information on your country representative at the Labour and Social Outcomes of Education Network in case you need assistance in completing this survey. </t>
    </r>
  </si>
  <si>
    <r>
      <rPr>
        <b/>
        <sz val="10"/>
        <rFont val="Arial"/>
        <family val="2"/>
      </rPr>
      <t>For you to provide or update</t>
    </r>
    <r>
      <rPr>
        <sz val="10"/>
        <rFont val="Arial"/>
        <family val="2"/>
      </rPr>
      <t xml:space="preserve"> background and contextual information on the national data collection. </t>
    </r>
    <r>
      <rPr>
        <b/>
        <sz val="10"/>
        <rFont val="Arial"/>
        <family val="2"/>
      </rPr>
      <t>Should always be filled in!</t>
    </r>
  </si>
  <si>
    <t>NEAC_to_ISCED_2011</t>
  </si>
  <si>
    <t>Flat_file</t>
  </si>
  <si>
    <t>Summary_Employed</t>
  </si>
  <si>
    <t>Summary_Unemployed</t>
  </si>
  <si>
    <t>Summary_Inactive</t>
  </si>
  <si>
    <t>Summary_Population</t>
  </si>
  <si>
    <t>Summary_Indicators</t>
  </si>
  <si>
    <r>
      <rPr>
        <b/>
        <sz val="10"/>
        <rFont val="Arial"/>
        <family val="2"/>
      </rPr>
      <t>For you to provide or update</t>
    </r>
    <r>
      <rPr>
        <sz val="10"/>
        <rFont val="Arial"/>
        <family val="2"/>
      </rPr>
      <t xml:space="preserve"> the mapping of National Educational Attainment Categories (NEAC) to ISCED 2011.</t>
    </r>
  </si>
  <si>
    <r>
      <t xml:space="preserve">Main sheet to be completed. </t>
    </r>
    <r>
      <rPr>
        <sz val="10"/>
        <rFont val="Arial"/>
        <family val="2"/>
      </rPr>
      <t>Data sheet collecting data by ISCED levels and 5-years age groups.</t>
    </r>
  </si>
  <si>
    <t>Information on the computation of indicators based on the data provided in this questionnaire can be found in chapters 7.3 and 7.4 of the OECD Handbook for Internationally Comparative Education Statistics 2018.</t>
  </si>
  <si>
    <t>NEAC data collection</t>
  </si>
  <si>
    <t>Questions about the data source and data quality</t>
  </si>
  <si>
    <t>Please indicate if the thresholds you included in cells B22, B23 and B24 refer to weighted or unweighted data (unweighted are preferred)</t>
  </si>
  <si>
    <t>Inactive population</t>
  </si>
  <si>
    <t>Percentage of XX year-olds among XX year-olds in the labour force</t>
  </si>
  <si>
    <t>Percentage of XX year-olds among all XX year-olds</t>
  </si>
  <si>
    <t>If there was a change in the National Educational Attainment Classification (NEAC), please contact your Labour and Social Outcomes of Education Network representative for coding the new or modified NEAC to ISCED 2011 and update the coding scheme in the "NEAC to ISCED 2011" worksheet. Information on ISCED 2011 can be accessed here:</t>
  </si>
  <si>
    <t xml:space="preserve">http://uis.unesco.org/sites/default/files/documents/international-standard-classification-of-education-isced-2011-en.pdf </t>
  </si>
  <si>
    <t>2023 Questionnaire</t>
  </si>
  <si>
    <t>Türkiye</t>
  </si>
  <si>
    <t>Bulgaria</t>
  </si>
  <si>
    <t>Croatia</t>
  </si>
  <si>
    <t>Peru</t>
  </si>
  <si>
    <t>Romania</t>
  </si>
  <si>
    <t>EDU.LSONetwork@oecd.org</t>
  </si>
  <si>
    <t>Contact:</t>
  </si>
  <si>
    <t>OECD LSO Secretariat</t>
  </si>
  <si>
    <r>
      <t xml:space="preserve">ISCED-A 2011: </t>
    </r>
    <r>
      <rPr>
        <sz val="10"/>
        <color theme="1"/>
        <rFont val="Arial"/>
        <family val="2"/>
      </rPr>
      <t>Successfully completed level of education:
Less than primary: 010, 020, 030
Primary: 100
Partial lower secondary: 242, 252
Lower secondary: 243, 244, 253, 254
Partial upper secondary: 342, 352
Upper secondary: 343, 344, 353, 354</t>
    </r>
    <r>
      <rPr>
        <b/>
        <sz val="10"/>
        <color theme="1"/>
        <rFont val="Arial"/>
        <family val="2"/>
      </rPr>
      <t xml:space="preserve"> (upper secondary general: 343, 344; upper secondary vocational: 353, 354)</t>
    </r>
    <r>
      <rPr>
        <sz val="10"/>
        <color theme="1"/>
        <rFont val="Arial"/>
        <family val="2"/>
      </rPr>
      <t xml:space="preserve">
Post-secondary non-tertiary: 443, 444, 453, 454</t>
    </r>
    <r>
      <rPr>
        <b/>
        <sz val="10"/>
        <color theme="1"/>
        <rFont val="Arial"/>
        <family val="2"/>
      </rPr>
      <t xml:space="preserve"> (post-secondary non-tertiary general: 443, 444; post-secondary non-tertiary vocational : 453, 454)</t>
    </r>
    <r>
      <rPr>
        <sz val="10"/>
        <color theme="1"/>
        <rFont val="Arial"/>
        <family val="2"/>
      </rPr>
      <t xml:space="preserve">
Short-cycle tertiary: 540, 550, 560 </t>
    </r>
    <r>
      <rPr>
        <b/>
        <sz val="10"/>
        <color theme="1"/>
        <rFont val="Arial"/>
        <family val="2"/>
      </rPr>
      <t>(short-cycle tertiary general: 540; short-cycle tertiary vocational: 550)</t>
    </r>
    <r>
      <rPr>
        <sz val="10"/>
        <color theme="1"/>
        <rFont val="Arial"/>
        <family val="2"/>
      </rPr>
      <t xml:space="preserve">
Bachelor's or equivalent: 640, 650, 660
</t>
    </r>
    <r>
      <rPr>
        <sz val="10"/>
        <rFont val="Arial"/>
        <family val="2"/>
      </rPr>
      <t>Master's or equivalent: 740, 750, 760
Doctoral or equivalent: 840, 850, 860  
Not elsewhere classified: 999</t>
    </r>
    <r>
      <rPr>
        <b/>
        <sz val="10"/>
        <color theme="1"/>
        <rFont val="Arial"/>
        <family val="2"/>
      </rPr>
      <t xml:space="preserve">
</t>
    </r>
    <r>
      <rPr>
        <sz val="10"/>
        <color theme="1"/>
        <rFont val="Arial"/>
        <family val="2"/>
      </rPr>
      <t xml:space="preserve">                                                                                                                       </t>
    </r>
  </si>
  <si>
    <r>
      <rPr>
        <b/>
        <sz val="10"/>
        <rFont val="Arial"/>
        <family val="2"/>
      </rPr>
      <t>For you to check whether there are issues with your data once you have completed "Flat_file".</t>
    </r>
    <r>
      <rPr>
        <sz val="10"/>
        <rFont val="Arial"/>
        <family val="2"/>
      </rPr>
      <t xml:space="preserve"> Summary of the data collection automatically generated, based on the values provided in the "Flat_file", by number of people employed.</t>
    </r>
  </si>
  <si>
    <r>
      <rPr>
        <b/>
        <sz val="10"/>
        <rFont val="Arial"/>
        <family val="2"/>
      </rPr>
      <t xml:space="preserve">For you to check whether there are issues with your data once you have completed "Flat_file". </t>
    </r>
    <r>
      <rPr>
        <sz val="10"/>
        <rFont val="Arial"/>
        <family val="2"/>
      </rPr>
      <t>Summary of the data collection automatically generated, based on the values provided in the "Flat_file", by number of people unemployed.</t>
    </r>
  </si>
  <si>
    <r>
      <rPr>
        <b/>
        <sz val="10"/>
        <rFont val="Arial"/>
        <family val="2"/>
      </rPr>
      <t>For you to check whether there are issues with your data once you have completed "Flat_file".</t>
    </r>
    <r>
      <rPr>
        <sz val="10"/>
        <rFont val="Arial"/>
        <family val="2"/>
      </rPr>
      <t xml:space="preserve"> Summary of the data collection automatically generated, based on the values provided in the "Flat_file", by number of inactive people.</t>
    </r>
  </si>
  <si>
    <r>
      <rPr>
        <b/>
        <sz val="10"/>
        <rFont val="Arial"/>
        <family val="2"/>
      </rPr>
      <t xml:space="preserve">For you to check whether there are issues with your data once you have completed "Flat_file". </t>
    </r>
    <r>
      <rPr>
        <sz val="10"/>
        <rFont val="Arial"/>
        <family val="2"/>
      </rPr>
      <t>Summary of the data collection automatically generated, based on the values provided in the "Flat_file", by number of persons.</t>
    </r>
  </si>
  <si>
    <r>
      <rPr>
        <b/>
        <sz val="10"/>
        <rFont val="Arial"/>
        <family val="2"/>
      </rPr>
      <t xml:space="preserve">For you to check whether there are issues with your data once you have completed "Flat_file". </t>
    </r>
    <r>
      <rPr>
        <sz val="10"/>
        <rFont val="Arial"/>
        <family val="2"/>
      </rPr>
      <t>Summary of the data collection automatically generated, based on the values provided in the "Flat_file". This sheet provides you with a summary of the preliminary results as they may appear in Education at a Glance.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</si>
</sst>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 #,##0.00\ _F_-;\-* #,##0.00\ _F_-;_-* &quot;-&quot;??\ _F_-;_-@_-"/>
    <numFmt numFmtId="166" formatCode="_-* #,##0.00\ &quot;F&quot;_-;\-* #,##0.00\ &quot;F&quot;_-;_-* &quot;-&quot;??\ &quot;F&quot;_-;_-@_-"/>
    <numFmt numFmtId="167" formatCode="0.0"/>
    <numFmt numFmtId="168" formatCode="\(0\)"/>
  </numFmts>
  <fonts count="85" x14ac:knownFonts="1">
    <font>
      <sz val="10"/>
      <color theme="1"/>
      <name val="Arial"/>
      <family val="2"/>
    </font>
    <font>
      <sz val="8"/>
      <name val="Arial"/>
      <family val="2"/>
    </font>
    <font>
      <sz val="10"/>
      <color theme="1"/>
      <name val="Arial"/>
      <family val="2"/>
    </font>
    <font>
      <sz val="8"/>
      <color theme="1"/>
      <name val="Arial"/>
      <family val="2"/>
    </font>
    <font>
      <b/>
      <sz val="10"/>
      <color theme="1"/>
      <name val="Arial"/>
      <family val="2"/>
    </font>
    <font>
      <b/>
      <sz val="14"/>
      <color theme="1"/>
      <name val="Arial"/>
      <family val="2"/>
    </font>
    <font>
      <b/>
      <sz val="11"/>
      <color theme="1"/>
      <name val="Arial"/>
      <family val="2"/>
    </font>
    <font>
      <b/>
      <sz val="8"/>
      <color indexed="8"/>
      <name val="MS Sans Serif"/>
      <family val="2"/>
    </font>
    <font>
      <sz val="10"/>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u/>
      <sz val="11"/>
      <color indexed="12"/>
      <name val="Arial"/>
      <family val="2"/>
    </font>
    <font>
      <u/>
      <sz val="8"/>
      <color indexed="12"/>
      <name val="Arial"/>
      <family val="2"/>
    </font>
    <font>
      <b/>
      <sz val="10"/>
      <name val="Arial"/>
      <family val="2"/>
    </font>
    <font>
      <b/>
      <sz val="8.5"/>
      <color indexed="8"/>
      <name val="MS Sans Serif"/>
      <family val="2"/>
    </font>
    <font>
      <sz val="11"/>
      <color theme="1"/>
      <name val="Calibri"/>
      <family val="2"/>
      <scheme val="minor"/>
    </font>
    <font>
      <sz val="11"/>
      <color rgb="FF000000"/>
      <name val="Calibri"/>
      <family val="2"/>
      <charset val="1"/>
    </font>
    <font>
      <sz val="10"/>
      <name val="MS Sans Serif"/>
      <family val="2"/>
    </font>
    <font>
      <b/>
      <u/>
      <sz val="10"/>
      <color indexed="8"/>
      <name val="MS Sans Serif"/>
      <family val="2"/>
    </font>
    <font>
      <sz val="8"/>
      <color indexed="8"/>
      <name val="MS Sans Serif"/>
      <family val="2"/>
    </font>
    <font>
      <sz val="7.5"/>
      <color indexed="8"/>
      <name val="MS Sans Serif"/>
      <family val="2"/>
    </font>
    <font>
      <sz val="8"/>
      <name val="Arial"/>
      <family val="2"/>
      <charset val="1"/>
    </font>
    <font>
      <b/>
      <sz val="8"/>
      <name val="Arial"/>
      <family val="2"/>
    </font>
    <font>
      <b/>
      <sz val="11"/>
      <name val="Calibri"/>
      <family val="2"/>
      <scheme val="minor"/>
    </font>
    <font>
      <b/>
      <sz val="16"/>
      <color theme="0"/>
      <name val="Calibri"/>
      <family val="2"/>
      <scheme val="minor"/>
    </font>
    <font>
      <sz val="11"/>
      <name val="Calibri"/>
      <family val="2"/>
      <scheme val="minor"/>
    </font>
    <font>
      <i/>
      <sz val="8"/>
      <name val="Calibri"/>
      <family val="2"/>
      <scheme val="minor"/>
    </font>
    <font>
      <sz val="11"/>
      <color theme="1"/>
      <name val="Arial"/>
      <family val="2"/>
    </font>
    <font>
      <sz val="10"/>
      <name val="Arial"/>
      <family val="2"/>
    </font>
    <font>
      <b/>
      <sz val="12"/>
      <name val="Times New Roman"/>
      <family val="1"/>
    </font>
    <font>
      <i/>
      <sz val="11"/>
      <name val="Arial"/>
      <family val="2"/>
    </font>
    <font>
      <sz val="11"/>
      <name val="Arial"/>
      <family val="2"/>
    </font>
    <font>
      <b/>
      <sz val="11"/>
      <name val="Arial"/>
      <family val="2"/>
    </font>
    <font>
      <sz val="11"/>
      <name val="Times New Roman"/>
      <family val="1"/>
    </font>
    <font>
      <b/>
      <sz val="11"/>
      <color indexed="10"/>
      <name val="Arial"/>
      <family val="2"/>
    </font>
    <font>
      <b/>
      <sz val="11"/>
      <color rgb="FFFF0000"/>
      <name val="Arial"/>
      <family val="2"/>
    </font>
    <font>
      <b/>
      <sz val="12"/>
      <color rgb="FFFF0000"/>
      <name val="Times New Roman"/>
      <family val="1"/>
    </font>
    <font>
      <sz val="8"/>
      <color indexed="10"/>
      <name val="Times New Roman"/>
      <family val="1"/>
    </font>
    <font>
      <sz val="11"/>
      <color indexed="10"/>
      <name val="Arial"/>
      <family val="2"/>
    </font>
    <font>
      <sz val="11"/>
      <name val="Calibri"/>
      <family val="2"/>
    </font>
    <font>
      <b/>
      <sz val="9"/>
      <color indexed="81"/>
      <name val="Tahoma"/>
      <family val="2"/>
    </font>
    <font>
      <sz val="10"/>
      <name val="Arial"/>
      <family val="2"/>
      <charset val="1"/>
    </font>
    <font>
      <u/>
      <sz val="11"/>
      <color theme="10"/>
      <name val="Calibri"/>
      <family val="2"/>
      <scheme val="minor"/>
    </font>
    <font>
      <u/>
      <sz val="10"/>
      <color theme="10"/>
      <name val="Arial"/>
      <family val="2"/>
    </font>
    <font>
      <i/>
      <sz val="10"/>
      <color theme="1"/>
      <name val="Arial"/>
      <family val="2"/>
    </font>
    <font>
      <b/>
      <sz val="8"/>
      <color theme="1"/>
      <name val="Arial"/>
      <family val="2"/>
    </font>
    <font>
      <sz val="11"/>
      <color indexed="8"/>
      <name val="Calibri"/>
      <family val="2"/>
    </font>
    <font>
      <sz val="10"/>
      <name val="Arial"/>
      <family val="2"/>
    </font>
    <font>
      <sz val="9"/>
      <color indexed="81"/>
      <name val="Tahoma"/>
      <family val="2"/>
    </font>
    <font>
      <i/>
      <sz val="10"/>
      <name val="Arial"/>
      <family val="2"/>
    </font>
    <font>
      <i/>
      <sz val="8"/>
      <name val="Arial"/>
      <family val="2"/>
    </font>
    <font>
      <b/>
      <sz val="8"/>
      <color rgb="FFFF0000"/>
      <name val="Arial"/>
      <family val="2"/>
    </font>
    <font>
      <sz val="10"/>
      <name val="Helv"/>
    </font>
    <font>
      <sz val="8"/>
      <color theme="0"/>
      <name val="Arial"/>
      <family val="2"/>
    </font>
    <font>
      <b/>
      <sz val="9"/>
      <name val="Arial"/>
      <family val="2"/>
    </font>
    <font>
      <sz val="8"/>
      <color rgb="FF000000"/>
      <name val="Tahoma"/>
      <family val="2"/>
    </font>
    <font>
      <b/>
      <i/>
      <sz val="11"/>
      <name val="Arial"/>
      <family val="2"/>
    </font>
    <font>
      <sz val="8"/>
      <color rgb="FFFF0000"/>
      <name val="Arial"/>
      <family val="2"/>
    </font>
    <font>
      <sz val="9"/>
      <name val="Calibri"/>
      <family val="2"/>
      <scheme val="minor"/>
    </font>
    <font>
      <sz val="11"/>
      <color theme="0"/>
      <name val="Calibri"/>
      <family val="2"/>
      <scheme val="minor"/>
    </font>
    <font>
      <sz val="14"/>
      <color theme="1"/>
      <name val="Arial"/>
      <family val="2"/>
    </font>
    <font>
      <sz val="11"/>
      <color rgb="FF1F497D"/>
      <name val="Calibri"/>
      <family val="2"/>
    </font>
    <font>
      <b/>
      <sz val="14"/>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5700"/>
      <name val="Calibri"/>
      <family val="2"/>
      <scheme val="minor"/>
    </font>
    <font>
      <b/>
      <sz val="12"/>
      <name val="Arial"/>
      <family val="2"/>
    </font>
    <font>
      <b/>
      <u/>
      <sz val="10"/>
      <name val="Arial"/>
      <family val="2"/>
    </font>
  </fonts>
  <fills count="5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C0C0C0"/>
        <bgColor rgb="FFCCCCFF"/>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14996795556505021"/>
        <bgColor indexed="64"/>
      </patternFill>
    </fill>
    <fill>
      <patternFill patternType="solid">
        <fgColor theme="0" tint="-0.249977111117893"/>
        <bgColor indexed="64"/>
      </patternFill>
    </fill>
    <fill>
      <patternFill patternType="lightDown">
        <fgColor theme="1"/>
        <bgColor theme="0"/>
      </patternFill>
    </fill>
    <fill>
      <patternFill patternType="solid">
        <fgColor theme="9" tint="0.39997558519241921"/>
        <bgColor indexed="0"/>
      </patternFill>
    </fill>
    <fill>
      <patternFill patternType="solid">
        <fgColor theme="4" tint="0.59999389629810485"/>
        <bgColor indexed="0"/>
      </patternFill>
    </fill>
    <fill>
      <patternFill patternType="solid">
        <fgColor theme="6" tint="0.39997558519241921"/>
        <bgColor indexed="0"/>
      </patternFill>
    </fill>
    <fill>
      <patternFill patternType="solid">
        <fgColor theme="0" tint="-0.14999847407452621"/>
        <bgColor indexed="0"/>
      </patternFill>
    </fill>
    <fill>
      <patternFill patternType="solid">
        <fgColor theme="0" tint="-0.499984740745262"/>
        <bgColor indexed="64"/>
      </patternFill>
    </fill>
    <fill>
      <patternFill patternType="solid">
        <fgColor rgb="FFFFFF9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7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8"/>
      </left>
      <right style="thin">
        <color indexed="8"/>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03">
    <xf numFmtId="0" fontId="0" fillId="0" borderId="0"/>
    <xf numFmtId="43" fontId="2" fillId="0" borderId="0" applyFont="0" applyFill="0" applyBorder="0" applyAlignment="0" applyProtection="0"/>
    <xf numFmtId="0" fontId="1" fillId="5" borderId="26"/>
    <xf numFmtId="0" fontId="7" fillId="6" borderId="27">
      <alignment horizontal="right" vertical="top" wrapText="1"/>
    </xf>
    <xf numFmtId="165" fontId="8" fillId="0" borderId="0" applyFont="0" applyFill="0" applyBorder="0" applyAlignment="0" applyProtection="0"/>
    <xf numFmtId="0" fontId="1" fillId="0" borderId="3"/>
    <xf numFmtId="0" fontId="1" fillId="0" borderId="3"/>
    <xf numFmtId="0" fontId="1" fillId="0" borderId="26"/>
    <xf numFmtId="0" fontId="1" fillId="0" borderId="3"/>
    <xf numFmtId="0" fontId="1" fillId="0" borderId="3"/>
    <xf numFmtId="0" fontId="1" fillId="0" borderId="3"/>
    <xf numFmtId="0" fontId="1" fillId="0" borderId="26"/>
    <xf numFmtId="0" fontId="9" fillId="7" borderId="0">
      <alignment horizontal="center"/>
    </xf>
    <xf numFmtId="0" fontId="10" fillId="7" borderId="0">
      <alignment horizontal="center" vertical="center"/>
    </xf>
    <xf numFmtId="0" fontId="8" fillId="8" borderId="0">
      <alignment horizontal="center" wrapText="1"/>
    </xf>
    <xf numFmtId="0" fontId="11" fillId="7" borderId="0">
      <alignment horizontal="center"/>
    </xf>
    <xf numFmtId="0" fontId="12" fillId="9" borderId="26" applyBorder="0">
      <protection locked="0"/>
    </xf>
    <xf numFmtId="0" fontId="12" fillId="9" borderId="26" applyBorder="0">
      <protection locked="0"/>
    </xf>
    <xf numFmtId="0" fontId="12" fillId="9" borderId="26" applyBorder="0">
      <protection locked="0"/>
    </xf>
    <xf numFmtId="0" fontId="12" fillId="9" borderId="26" applyBorder="0">
      <protection locked="0"/>
    </xf>
    <xf numFmtId="0" fontId="12" fillId="9" borderId="26" applyBorder="0">
      <protection locked="0"/>
    </xf>
    <xf numFmtId="0" fontId="13" fillId="9" borderId="26">
      <protection locked="0"/>
    </xf>
    <xf numFmtId="0" fontId="8" fillId="9" borderId="3"/>
    <xf numFmtId="0" fontId="8" fillId="9" borderId="3"/>
    <xf numFmtId="0" fontId="8" fillId="7" borderId="0"/>
    <xf numFmtId="0" fontId="14" fillId="7" borderId="3">
      <alignment horizontal="left"/>
    </xf>
    <xf numFmtId="0" fontId="14" fillId="7" borderId="3">
      <alignment horizontal="left"/>
    </xf>
    <xf numFmtId="0" fontId="15" fillId="7" borderId="0">
      <alignment horizontal="left"/>
    </xf>
    <xf numFmtId="0" fontId="7" fillId="10" borderId="0">
      <alignment horizontal="right" vertical="top" wrapText="1"/>
    </xf>
    <xf numFmtId="0" fontId="7" fillId="10" borderId="0">
      <alignment horizontal="right" vertical="top" wrapText="1"/>
    </xf>
    <xf numFmtId="0" fontId="7" fillId="10" borderId="0">
      <alignment horizontal="right" vertical="top" wrapText="1"/>
    </xf>
    <xf numFmtId="0" fontId="7" fillId="10" borderId="0">
      <alignment horizontal="right" vertical="top" wrapText="1"/>
    </xf>
    <xf numFmtId="0" fontId="7" fillId="10" borderId="0">
      <alignment horizontal="right" vertical="top" textRotation="90" wrapText="1"/>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8" borderId="0">
      <alignment horizontal="center"/>
    </xf>
    <xf numFmtId="0" fontId="18" fillId="8" borderId="0">
      <alignment horizontal="center"/>
    </xf>
    <xf numFmtId="0" fontId="8" fillId="7" borderId="3">
      <alignment horizontal="centerContinuous" wrapText="1"/>
    </xf>
    <xf numFmtId="0" fontId="8" fillId="7" borderId="3">
      <alignment horizontal="centerContinuous" wrapText="1"/>
    </xf>
    <xf numFmtId="0" fontId="19" fillId="11" borderId="0">
      <alignment horizontal="center" wrapText="1"/>
    </xf>
    <xf numFmtId="0" fontId="8" fillId="7" borderId="3">
      <alignment horizontal="centerContinuous" wrapText="1"/>
    </xf>
    <xf numFmtId="0" fontId="1" fillId="7" borderId="28">
      <alignment wrapText="1"/>
    </xf>
    <xf numFmtId="0" fontId="1" fillId="7" borderId="28">
      <alignment wrapText="1"/>
    </xf>
    <xf numFmtId="0" fontId="1" fillId="7" borderId="2"/>
    <xf numFmtId="0" fontId="1" fillId="7" borderId="29"/>
    <xf numFmtId="0" fontId="1" fillId="7" borderId="29"/>
    <xf numFmtId="0" fontId="1" fillId="7" borderId="30">
      <alignment horizontal="center" wrapText="1"/>
    </xf>
    <xf numFmtId="0" fontId="1" fillId="7" borderId="30">
      <alignment horizontal="center" wrapText="1"/>
    </xf>
    <xf numFmtId="0" fontId="1" fillId="7" borderId="30">
      <alignment horizontal="center" wrapText="1"/>
    </xf>
    <xf numFmtId="0" fontId="1" fillId="7" borderId="30">
      <alignment horizontal="center" wrapText="1"/>
    </xf>
    <xf numFmtId="166" fontId="8" fillId="0" borderId="0" applyFont="0" applyFill="0" applyBorder="0" applyAlignment="0" applyProtection="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20" fillId="0" borderId="0"/>
    <xf numFmtId="0" fontId="20" fillId="0" borderId="0"/>
    <xf numFmtId="0" fontId="2" fillId="0" borderId="0"/>
    <xf numFmtId="0" fontId="8" fillId="0" borderId="0"/>
    <xf numFmtId="0" fontId="20" fillId="0" borderId="0"/>
    <xf numFmtId="0" fontId="20" fillId="0" borderId="0"/>
    <xf numFmtId="0" fontId="21" fillId="0" borderId="0"/>
    <xf numFmtId="0" fontId="8" fillId="0" borderId="0"/>
    <xf numFmtId="0" fontId="21" fillId="0" borderId="0"/>
    <xf numFmtId="0" fontId="8" fillId="0" borderId="0"/>
    <xf numFmtId="0" fontId="22" fillId="0" borderId="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0" fontId="1" fillId="7" borderId="3"/>
    <xf numFmtId="0" fontId="1" fillId="7" borderId="3"/>
    <xf numFmtId="0" fontId="1" fillId="7" borderId="3"/>
    <xf numFmtId="0" fontId="1" fillId="7" borderId="3"/>
    <xf numFmtId="0" fontId="1" fillId="7" borderId="3">
      <alignment wrapText="1"/>
    </xf>
    <xf numFmtId="0" fontId="10" fillId="7" borderId="0">
      <alignment horizontal="right"/>
    </xf>
    <xf numFmtId="0" fontId="23" fillId="11" borderId="0">
      <alignment horizontal="center"/>
    </xf>
    <xf numFmtId="0" fontId="24" fillId="10" borderId="3">
      <alignment horizontal="left" vertical="top" wrapText="1"/>
    </xf>
    <xf numFmtId="0" fontId="24" fillId="10" borderId="3">
      <alignment horizontal="left" vertical="top" wrapText="1"/>
    </xf>
    <xf numFmtId="0" fontId="25" fillId="10" borderId="31">
      <alignment horizontal="left" vertical="top" wrapText="1"/>
    </xf>
    <xf numFmtId="0" fontId="25" fillId="10" borderId="31">
      <alignment horizontal="left" vertical="top" wrapText="1"/>
    </xf>
    <xf numFmtId="0" fontId="25" fillId="10" borderId="31">
      <alignment horizontal="left" vertical="top" wrapText="1"/>
    </xf>
    <xf numFmtId="0" fontId="24" fillId="10" borderId="32">
      <alignment horizontal="left" vertical="top" wrapText="1"/>
    </xf>
    <xf numFmtId="0" fontId="24" fillId="10" borderId="32">
      <alignment horizontal="left" vertical="top" wrapText="1"/>
    </xf>
    <xf numFmtId="0" fontId="24" fillId="10" borderId="31">
      <alignment horizontal="left" vertical="top"/>
    </xf>
    <xf numFmtId="0" fontId="24" fillId="10" borderId="31">
      <alignment horizontal="left" vertical="top"/>
    </xf>
    <xf numFmtId="0" fontId="24" fillId="10" borderId="31">
      <alignment horizontal="left" vertical="top"/>
    </xf>
    <xf numFmtId="0" fontId="8" fillId="0" borderId="0" applyNumberFormat="0" applyFill="0" applyBorder="0" applyAlignment="0" applyProtection="0"/>
    <xf numFmtId="0" fontId="8" fillId="0" borderId="0"/>
    <xf numFmtId="0" fontId="8" fillId="0" borderId="0"/>
    <xf numFmtId="0" fontId="26" fillId="12" borderId="3"/>
    <xf numFmtId="0" fontId="26" fillId="12" borderId="3"/>
    <xf numFmtId="0" fontId="26" fillId="12" borderId="3"/>
    <xf numFmtId="0" fontId="26" fillId="12" borderId="3"/>
    <xf numFmtId="0" fontId="9" fillId="7" borderId="0">
      <alignment horizontal="center"/>
    </xf>
    <xf numFmtId="0" fontId="27" fillId="7" borderId="0"/>
    <xf numFmtId="0" fontId="33" fillId="0" borderId="0"/>
    <xf numFmtId="0" fontId="46" fillId="0" borderId="0"/>
    <xf numFmtId="0" fontId="21" fillId="0" borderId="0"/>
    <xf numFmtId="0" fontId="2" fillId="0" borderId="0"/>
    <xf numFmtId="0" fontId="20" fillId="0" borderId="0"/>
    <xf numFmtId="0" fontId="47" fillId="0" borderId="0" applyNumberFormat="0" applyFill="0" applyBorder="0" applyAlignment="0" applyProtection="0"/>
    <xf numFmtId="0" fontId="8" fillId="0" borderId="0"/>
    <xf numFmtId="0" fontId="15" fillId="0" borderId="0"/>
    <xf numFmtId="0" fontId="52" fillId="0" borderId="0"/>
    <xf numFmtId="0" fontId="57" fillId="0" borderId="0"/>
    <xf numFmtId="0" fontId="8" fillId="0" borderId="0"/>
    <xf numFmtId="0" fontId="3" fillId="0" borderId="0"/>
    <xf numFmtId="0" fontId="8" fillId="0" borderId="0"/>
    <xf numFmtId="0" fontId="8" fillId="0" borderId="0"/>
    <xf numFmtId="0" fontId="8" fillId="0" borderId="0"/>
    <xf numFmtId="0" fontId="20" fillId="0" borderId="0"/>
    <xf numFmtId="0" fontId="20" fillId="24"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64" fillId="26" borderId="0" applyNumberFormat="0" applyBorder="0" applyAlignment="0" applyProtection="0"/>
    <xf numFmtId="0" fontId="64" fillId="29" borderId="0" applyNumberFormat="0" applyBorder="0" applyAlignment="0" applyProtection="0"/>
    <xf numFmtId="0" fontId="64" fillId="32" borderId="0" applyNumberFormat="0" applyBorder="0" applyAlignment="0" applyProtection="0"/>
    <xf numFmtId="0" fontId="64" fillId="35" borderId="0" applyNumberFormat="0" applyBorder="0" applyAlignment="0" applyProtection="0"/>
    <xf numFmtId="0" fontId="64" fillId="38" borderId="0" applyNumberFormat="0" applyBorder="0" applyAlignment="0" applyProtection="0"/>
    <xf numFmtId="0" fontId="64" fillId="41" borderId="0" applyNumberFormat="0" applyBorder="0" applyAlignment="0" applyProtection="0"/>
    <xf numFmtId="0" fontId="68" fillId="0" borderId="0" applyNumberFormat="0" applyFill="0" applyBorder="0" applyAlignment="0" applyProtection="0"/>
    <xf numFmtId="164" fontId="2" fillId="0" borderId="0" applyFont="0" applyFill="0" applyBorder="0" applyAlignment="0" applyProtection="0"/>
    <xf numFmtId="0" fontId="69" fillId="0" borderId="66" applyNumberFormat="0" applyFill="0" applyAlignment="0" applyProtection="0"/>
    <xf numFmtId="0" fontId="70" fillId="0" borderId="67" applyNumberFormat="0" applyFill="0" applyAlignment="0" applyProtection="0"/>
    <xf numFmtId="0" fontId="71" fillId="0" borderId="68" applyNumberFormat="0" applyFill="0" applyAlignment="0" applyProtection="0"/>
    <xf numFmtId="0" fontId="71" fillId="0" borderId="0" applyNumberFormat="0" applyFill="0" applyBorder="0" applyAlignment="0" applyProtection="0"/>
    <xf numFmtId="0" fontId="72" fillId="43" borderId="0" applyNumberFormat="0" applyBorder="0" applyAlignment="0" applyProtection="0"/>
    <xf numFmtId="0" fontId="73" fillId="44" borderId="0" applyNumberFormat="0" applyBorder="0" applyAlignment="0" applyProtection="0"/>
    <xf numFmtId="0" fontId="74" fillId="46" borderId="69" applyNumberFormat="0" applyAlignment="0" applyProtection="0"/>
    <xf numFmtId="0" fontId="75" fillId="47" borderId="70" applyNumberFormat="0" applyAlignment="0" applyProtection="0"/>
    <xf numFmtId="0" fontId="76" fillId="47" borderId="69" applyNumberFormat="0" applyAlignment="0" applyProtection="0"/>
    <xf numFmtId="0" fontId="77" fillId="0" borderId="71" applyNumberFormat="0" applyFill="0" applyAlignment="0" applyProtection="0"/>
    <xf numFmtId="0" fontId="78" fillId="48" borderId="72"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4" applyNumberFormat="0" applyFill="0" applyAlignment="0" applyProtection="0"/>
    <xf numFmtId="0" fontId="64" fillId="5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4" fillId="51"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64" fillId="52"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64"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64" fillId="54"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64" fillId="55"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0" borderId="0"/>
    <xf numFmtId="0" fontId="82" fillId="45" borderId="0" applyNumberFormat="0" applyBorder="0" applyAlignment="0" applyProtection="0"/>
    <xf numFmtId="0" fontId="20" fillId="49" borderId="73" applyNumberFormat="0" applyFont="0" applyAlignment="0" applyProtection="0"/>
    <xf numFmtId="0" fontId="20" fillId="26"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0" fillId="0" borderId="0"/>
    <xf numFmtId="0" fontId="20" fillId="49" borderId="73" applyNumberFormat="0" applyFont="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0" borderId="0"/>
  </cellStyleXfs>
  <cellXfs count="422">
    <xf numFmtId="0" fontId="0" fillId="0" borderId="0" xfId="0"/>
    <xf numFmtId="0" fontId="0" fillId="0" borderId="0" xfId="0" applyBorder="1"/>
    <xf numFmtId="0" fontId="3" fillId="0" borderId="0" xfId="0" applyFont="1"/>
    <xf numFmtId="0" fontId="3" fillId="0" borderId="0" xfId="0" applyFont="1" applyBorder="1"/>
    <xf numFmtId="0" fontId="1" fillId="0" borderId="7" xfId="0" applyNumberFormat="1" applyFont="1" applyFill="1" applyBorder="1" applyAlignment="1" applyProtection="1">
      <alignment horizontal="center" vertical="center" wrapText="1"/>
      <protection locked="0"/>
    </xf>
    <xf numFmtId="0" fontId="0" fillId="4" borderId="0" xfId="0" applyFill="1"/>
    <xf numFmtId="0" fontId="0" fillId="4" borderId="4" xfId="0" applyFill="1" applyBorder="1"/>
    <xf numFmtId="0" fontId="0" fillId="4" borderId="5" xfId="0" applyFill="1" applyBorder="1"/>
    <xf numFmtId="0" fontId="0" fillId="3" borderId="5" xfId="0" applyFill="1" applyBorder="1"/>
    <xf numFmtId="0" fontId="0" fillId="3" borderId="18" xfId="0" applyFill="1" applyBorder="1"/>
    <xf numFmtId="0" fontId="0" fillId="4" borderId="19" xfId="0" applyFill="1" applyBorder="1"/>
    <xf numFmtId="0" fontId="0" fillId="4" borderId="0" xfId="0" applyFill="1" applyBorder="1"/>
    <xf numFmtId="0" fontId="0" fillId="3" borderId="0" xfId="0" applyFill="1" applyBorder="1"/>
    <xf numFmtId="0" fontId="0" fillId="3" borderId="20" xfId="0" applyFill="1" applyBorder="1"/>
    <xf numFmtId="0" fontId="0" fillId="4" borderId="21" xfId="0" applyFill="1" applyBorder="1"/>
    <xf numFmtId="0" fontId="0" fillId="4" borderId="22" xfId="0" applyFill="1" applyBorder="1"/>
    <xf numFmtId="0" fontId="0" fillId="4" borderId="23" xfId="0" applyFill="1" applyBorder="1"/>
    <xf numFmtId="0" fontId="0" fillId="4" borderId="24" xfId="0" applyFill="1" applyBorder="1"/>
    <xf numFmtId="0" fontId="0" fillId="3" borderId="24" xfId="0" applyFill="1" applyBorder="1"/>
    <xf numFmtId="0" fontId="0" fillId="4" borderId="18" xfId="0" applyFill="1" applyBorder="1"/>
    <xf numFmtId="0" fontId="0" fillId="4" borderId="0" xfId="0" applyFill="1" applyAlignment="1">
      <alignment horizontal="left"/>
    </xf>
    <xf numFmtId="0" fontId="0" fillId="4" borderId="0" xfId="0" applyFill="1" applyBorder="1" applyAlignment="1">
      <alignment vertical="top"/>
    </xf>
    <xf numFmtId="0" fontId="0" fillId="4" borderId="20" xfId="0" applyFill="1" applyBorder="1"/>
    <xf numFmtId="0" fontId="0" fillId="4" borderId="25" xfId="0" applyFill="1" applyBorder="1"/>
    <xf numFmtId="0" fontId="0" fillId="13" borderId="0" xfId="0" applyFill="1"/>
    <xf numFmtId="0" fontId="4" fillId="13" borderId="0" xfId="0" applyFont="1" applyFill="1"/>
    <xf numFmtId="0" fontId="0" fillId="14" borderId="17" xfId="0" applyFill="1" applyBorder="1"/>
    <xf numFmtId="0" fontId="29" fillId="13" borderId="0" xfId="53" applyFont="1" applyFill="1" applyAlignment="1" applyProtection="1">
      <alignment horizontal="left" vertical="center"/>
    </xf>
    <xf numFmtId="0" fontId="30" fillId="15" borderId="33" xfId="5" applyFont="1" applyFill="1" applyBorder="1" applyAlignment="1" applyProtection="1">
      <alignment horizontal="left" vertical="center" wrapText="1"/>
    </xf>
    <xf numFmtId="0" fontId="29" fillId="13" borderId="0" xfId="53" applyFont="1" applyFill="1" applyAlignment="1" applyProtection="1">
      <alignment vertical="center"/>
    </xf>
    <xf numFmtId="0" fontId="31" fillId="13" borderId="0" xfId="53" applyFont="1" applyFill="1" applyAlignment="1" applyProtection="1">
      <alignment vertical="center"/>
    </xf>
    <xf numFmtId="0" fontId="31" fillId="13" borderId="0" xfId="53" applyFont="1" applyFill="1" applyAlignment="1" applyProtection="1">
      <alignment horizontal="right" vertical="center"/>
    </xf>
    <xf numFmtId="14" fontId="31" fillId="13" borderId="0" xfId="53" applyNumberFormat="1" applyFont="1" applyFill="1" applyAlignment="1" applyProtection="1">
      <alignment vertical="center"/>
    </xf>
    <xf numFmtId="0" fontId="31" fillId="13" borderId="0" xfId="53" applyFont="1" applyFill="1" applyAlignment="1" applyProtection="1">
      <alignment horizontal="left" vertical="center"/>
    </xf>
    <xf numFmtId="0" fontId="32" fillId="13" borderId="0" xfId="52" applyFont="1" applyFill="1" applyAlignment="1">
      <alignment horizontal="center"/>
    </xf>
    <xf numFmtId="0" fontId="1" fillId="4" borderId="19" xfId="0" applyFont="1" applyFill="1" applyBorder="1"/>
    <xf numFmtId="0" fontId="1" fillId="0" borderId="19" xfId="0" applyFont="1" applyFill="1" applyBorder="1"/>
    <xf numFmtId="0" fontId="34" fillId="0" borderId="0" xfId="105" applyFont="1" applyFill="1" applyBorder="1" applyAlignment="1">
      <alignment vertical="center"/>
    </xf>
    <xf numFmtId="0" fontId="33" fillId="0" borderId="0" xfId="105"/>
    <xf numFmtId="0" fontId="37" fillId="0" borderId="0" xfId="105" applyFont="1" applyFill="1" applyAlignment="1">
      <alignment horizontal="center" vertical="center" wrapText="1"/>
    </xf>
    <xf numFmtId="0" fontId="1" fillId="0" borderId="0" xfId="105" applyFont="1" applyFill="1" applyAlignment="1">
      <alignment horizontal="center" wrapText="1"/>
    </xf>
    <xf numFmtId="0" fontId="38" fillId="0" borderId="0" xfId="105" applyFont="1" applyFill="1"/>
    <xf numFmtId="0" fontId="38" fillId="0" borderId="0" xfId="105" applyFont="1"/>
    <xf numFmtId="0" fontId="41" fillId="0" borderId="0" xfId="105" applyFont="1" applyFill="1" applyAlignment="1">
      <alignment horizontal="center" vertical="center" wrapText="1"/>
    </xf>
    <xf numFmtId="0" fontId="42" fillId="0" borderId="0" xfId="105" applyNumberFormat="1" applyFont="1" applyFill="1" applyAlignment="1">
      <alignment vertical="top"/>
    </xf>
    <xf numFmtId="0" fontId="36" fillId="0" borderId="0" xfId="105" applyFont="1"/>
    <xf numFmtId="0" fontId="37" fillId="0" borderId="0" xfId="52" applyFont="1"/>
    <xf numFmtId="0" fontId="44" fillId="0" borderId="0" xfId="52" applyFont="1"/>
    <xf numFmtId="0" fontId="0" fillId="2" borderId="0" xfId="0" applyFill="1" applyBorder="1" applyAlignment="1">
      <alignment horizontal="left" vertical="center"/>
    </xf>
    <xf numFmtId="0" fontId="3" fillId="4" borderId="0" xfId="0" applyFont="1" applyFill="1" applyBorder="1"/>
    <xf numFmtId="0" fontId="36" fillId="0" borderId="0" xfId="51" applyFont="1"/>
    <xf numFmtId="0" fontId="40" fillId="0" borderId="0" xfId="52" applyFont="1" applyFill="1" applyAlignment="1">
      <alignment horizontal="center" vertical="center" wrapText="1"/>
    </xf>
    <xf numFmtId="0" fontId="36" fillId="0" borderId="0" xfId="52" applyFont="1"/>
    <xf numFmtId="0" fontId="43" fillId="0" borderId="0" xfId="52" applyFont="1"/>
    <xf numFmtId="0" fontId="43" fillId="0" borderId="0" xfId="52" applyFont="1" applyAlignment="1">
      <alignment horizontal="left"/>
    </xf>
    <xf numFmtId="0" fontId="43" fillId="0" borderId="0" xfId="52" applyNumberFormat="1" applyFont="1" applyFill="1" applyAlignment="1"/>
    <xf numFmtId="0" fontId="37" fillId="0" borderId="0" xfId="52" applyFont="1" applyFill="1" applyAlignment="1">
      <alignment horizontal="center"/>
    </xf>
    <xf numFmtId="0" fontId="36" fillId="0" borderId="0" xfId="52" applyFont="1" applyAlignment="1"/>
    <xf numFmtId="0" fontId="52" fillId="0" borderId="0" xfId="113"/>
    <xf numFmtId="0" fontId="52" fillId="0" borderId="0" xfId="113" applyFill="1" applyAlignment="1">
      <alignment vertical="center"/>
    </xf>
    <xf numFmtId="0" fontId="49" fillId="4" borderId="0" xfId="0" applyFont="1" applyFill="1" applyBorder="1" applyAlignment="1">
      <alignment horizontal="left" vertical="top" wrapText="1"/>
    </xf>
    <xf numFmtId="0" fontId="8" fillId="4" borderId="0" xfId="0" applyFont="1" applyFill="1" applyBorder="1" applyAlignment="1">
      <alignment vertical="top"/>
    </xf>
    <xf numFmtId="0" fontId="4" fillId="0" borderId="0" xfId="0" applyFont="1"/>
    <xf numFmtId="0" fontId="4" fillId="0" borderId="0" xfId="0" applyFont="1" applyAlignment="1">
      <alignment horizontal="left"/>
    </xf>
    <xf numFmtId="0" fontId="1" fillId="0" borderId="12"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38" fillId="0" borderId="0" xfId="0" applyFont="1"/>
    <xf numFmtId="0" fontId="38" fillId="0" borderId="0" xfId="0" applyFont="1" applyFill="1"/>
    <xf numFmtId="0" fontId="1" fillId="0" borderId="12" xfId="0" applyNumberFormat="1" applyFont="1" applyFill="1" applyBorder="1" applyAlignment="1" applyProtection="1">
      <alignment horizontal="center" vertical="center" wrapText="1"/>
      <protection locked="0"/>
    </xf>
    <xf numFmtId="0" fontId="3" fillId="0" borderId="6" xfId="0" applyFont="1" applyBorder="1" applyAlignment="1">
      <alignment horizontal="center" vertical="center"/>
    </xf>
    <xf numFmtId="0" fontId="3" fillId="0" borderId="43" xfId="0" applyFont="1" applyBorder="1" applyAlignment="1">
      <alignment horizontal="center" vertical="center" wrapText="1"/>
    </xf>
    <xf numFmtId="49" fontId="1" fillId="0" borderId="46" xfId="0" applyNumberFormat="1" applyFont="1" applyFill="1" applyBorder="1" applyAlignment="1" applyProtection="1">
      <alignment horizontal="center" vertical="center" wrapText="1"/>
      <protection locked="0"/>
    </xf>
    <xf numFmtId="49" fontId="1" fillId="0" borderId="46" xfId="0" applyNumberFormat="1" applyFont="1" applyFill="1" applyBorder="1" applyAlignment="1">
      <alignment horizontal="center" vertical="center" wrapText="1"/>
    </xf>
    <xf numFmtId="0" fontId="1" fillId="0" borderId="46" xfId="0" applyNumberFormat="1" applyFont="1" applyFill="1" applyBorder="1" applyAlignment="1" applyProtection="1">
      <alignment horizontal="center" vertical="center" wrapText="1"/>
      <protection locked="0"/>
    </xf>
    <xf numFmtId="49" fontId="3" fillId="0" borderId="47" xfId="0" applyNumberFormat="1" applyFont="1" applyBorder="1" applyAlignment="1">
      <alignment horizontal="center" vertical="center" wrapText="1"/>
    </xf>
    <xf numFmtId="49" fontId="1" fillId="0" borderId="45" xfId="0" applyNumberFormat="1" applyFont="1" applyFill="1" applyBorder="1" applyAlignment="1" applyProtection="1">
      <alignment horizontal="center" vertical="center" wrapText="1"/>
      <protection locked="0"/>
    </xf>
    <xf numFmtId="167" fontId="0" fillId="17" borderId="46" xfId="0" applyNumberFormat="1" applyFill="1" applyBorder="1"/>
    <xf numFmtId="49" fontId="3" fillId="0" borderId="46" xfId="0" applyNumberFormat="1" applyFont="1" applyBorder="1" applyAlignment="1">
      <alignment horizontal="center" vertical="center" wrapText="1"/>
    </xf>
    <xf numFmtId="0" fontId="3" fillId="0" borderId="16"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3" fillId="0" borderId="44" xfId="0" applyFont="1" applyBorder="1" applyAlignment="1">
      <alignment horizontal="center" vertical="center"/>
    </xf>
    <xf numFmtId="167" fontId="3" fillId="17" borderId="45" xfId="0" applyNumberFormat="1" applyFont="1" applyFill="1" applyBorder="1"/>
    <xf numFmtId="0" fontId="37" fillId="16" borderId="3" xfId="52" applyFont="1" applyFill="1" applyBorder="1" applyAlignment="1">
      <alignment horizontal="center" vertical="center" wrapText="1"/>
    </xf>
    <xf numFmtId="0" fontId="37" fillId="16" borderId="3" xfId="52" applyFont="1" applyFill="1" applyBorder="1" applyAlignment="1">
      <alignment horizontal="center" vertical="center"/>
    </xf>
    <xf numFmtId="0" fontId="36" fillId="0" borderId="0" xfId="51" applyFont="1" applyAlignment="1">
      <alignment vertical="center"/>
    </xf>
    <xf numFmtId="1" fontId="3" fillId="0" borderId="14" xfId="1" applyNumberFormat="1" applyFont="1" applyFill="1" applyBorder="1" applyAlignment="1">
      <alignment horizontal="center" vertical="center"/>
    </xf>
    <xf numFmtId="1" fontId="3" fillId="0" borderId="7" xfId="1" applyNumberFormat="1" applyFont="1" applyFill="1" applyBorder="1"/>
    <xf numFmtId="1" fontId="3" fillId="0" borderId="7" xfId="1" applyNumberFormat="1" applyFont="1" applyFill="1" applyBorder="1" applyAlignment="1">
      <alignment horizontal="center" vertical="center"/>
    </xf>
    <xf numFmtId="1" fontId="3" fillId="0" borderId="3" xfId="1" applyNumberFormat="1" applyFont="1" applyFill="1" applyBorder="1" applyAlignment="1">
      <alignment horizontal="center" vertical="center"/>
    </xf>
    <xf numFmtId="1" fontId="3" fillId="0" borderId="2" xfId="1" applyNumberFormat="1" applyFont="1" applyFill="1" applyBorder="1"/>
    <xf numFmtId="1" fontId="3" fillId="0" borderId="2" xfId="1" applyNumberFormat="1" applyFont="1" applyFill="1" applyBorder="1" applyAlignment="1">
      <alignment horizontal="center" vertical="center"/>
    </xf>
    <xf numFmtId="1" fontId="3" fillId="0" borderId="12" xfId="1" applyNumberFormat="1" applyFont="1" applyFill="1" applyBorder="1" applyAlignment="1">
      <alignment horizontal="center" vertical="center"/>
    </xf>
    <xf numFmtId="1" fontId="3" fillId="0" borderId="6" xfId="1" applyNumberFormat="1" applyFont="1" applyFill="1" applyBorder="1"/>
    <xf numFmtId="1" fontId="3" fillId="0" borderId="6" xfId="1" applyNumberFormat="1" applyFont="1" applyFill="1" applyBorder="1" applyAlignment="1">
      <alignment horizontal="center" vertical="center"/>
    </xf>
    <xf numFmtId="1" fontId="3" fillId="0" borderId="0" xfId="0" applyNumberFormat="1" applyFont="1" applyBorder="1"/>
    <xf numFmtId="1" fontId="1" fillId="0" borderId="7" xfId="0" applyNumberFormat="1" applyFont="1" applyFill="1" applyBorder="1" applyAlignment="1" applyProtection="1">
      <alignment horizontal="center" vertical="center" wrapText="1"/>
      <protection locked="0"/>
    </xf>
    <xf numFmtId="1" fontId="1" fillId="0" borderId="12" xfId="0" applyNumberFormat="1" applyFont="1" applyFill="1" applyBorder="1" applyAlignment="1" applyProtection="1">
      <alignment horizontal="center" vertical="center" wrapText="1"/>
      <protection locked="0"/>
    </xf>
    <xf numFmtId="1" fontId="1" fillId="0" borderId="6" xfId="0" applyNumberFormat="1" applyFont="1" applyFill="1" applyBorder="1" applyAlignment="1">
      <alignment horizontal="center" vertical="center" wrapText="1"/>
    </xf>
    <xf numFmtId="1" fontId="3" fillId="0" borderId="6" xfId="0" applyNumberFormat="1" applyFont="1" applyBorder="1" applyAlignment="1">
      <alignment horizontal="center" vertical="center"/>
    </xf>
    <xf numFmtId="1" fontId="3" fillId="0" borderId="43" xfId="0" applyNumberFormat="1" applyFont="1" applyBorder="1" applyAlignment="1">
      <alignment horizontal="center" vertical="center" wrapText="1"/>
    </xf>
    <xf numFmtId="1" fontId="1" fillId="0" borderId="46" xfId="0" applyNumberFormat="1" applyFont="1" applyFill="1" applyBorder="1" applyAlignment="1" applyProtection="1">
      <alignment horizontal="center" vertical="center" wrapText="1"/>
      <protection locked="0"/>
    </xf>
    <xf numFmtId="1" fontId="1" fillId="0" borderId="46" xfId="0" applyNumberFormat="1" applyFont="1" applyFill="1" applyBorder="1" applyAlignment="1">
      <alignment horizontal="center" vertical="center" wrapText="1"/>
    </xf>
    <xf numFmtId="1" fontId="1" fillId="0" borderId="45" xfId="0" applyNumberFormat="1" applyFont="1" applyFill="1" applyBorder="1" applyAlignment="1" applyProtection="1">
      <alignment horizontal="center" vertical="center" wrapText="1"/>
      <protection locked="0"/>
    </xf>
    <xf numFmtId="1" fontId="0" fillId="17" borderId="46" xfId="0" applyNumberFormat="1" applyFill="1" applyBorder="1"/>
    <xf numFmtId="1" fontId="3" fillId="0" borderId="46" xfId="0" applyNumberFormat="1" applyFont="1" applyBorder="1" applyAlignment="1">
      <alignment horizontal="center" vertical="center" wrapText="1"/>
    </xf>
    <xf numFmtId="1" fontId="3" fillId="0" borderId="47" xfId="0" applyNumberFormat="1" applyFont="1" applyBorder="1" applyAlignment="1">
      <alignment horizontal="center" vertical="center" wrapText="1"/>
    </xf>
    <xf numFmtId="0" fontId="27" fillId="0" borderId="30" xfId="0" applyNumberFormat="1" applyFont="1" applyFill="1" applyBorder="1" applyAlignment="1" applyProtection="1">
      <alignment horizontal="center" vertical="center" wrapText="1"/>
      <protection locked="0"/>
    </xf>
    <xf numFmtId="0" fontId="27" fillId="0" borderId="0" xfId="0" applyNumberFormat="1" applyFont="1" applyFill="1" applyBorder="1" applyAlignment="1" applyProtection="1">
      <alignment horizontal="center" vertical="center" wrapText="1"/>
      <protection locked="0"/>
    </xf>
    <xf numFmtId="0" fontId="27" fillId="0" borderId="0" xfId="0" applyNumberFormat="1" applyFont="1" applyFill="1" applyBorder="1"/>
    <xf numFmtId="0" fontId="27"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top"/>
      <protection locked="0"/>
    </xf>
    <xf numFmtId="0" fontId="27" fillId="0" borderId="0" xfId="0" applyNumberFormat="1" applyFont="1" applyFill="1" applyBorder="1" applyAlignment="1" applyProtection="1">
      <alignment vertical="top"/>
      <protection locked="0"/>
    </xf>
    <xf numFmtId="0" fontId="55" fillId="0" borderId="0" xfId="0" applyNumberFormat="1" applyFont="1" applyFill="1" applyBorder="1" applyAlignment="1" applyProtection="1">
      <alignment vertical="top"/>
      <protection locked="0"/>
    </xf>
    <xf numFmtId="0" fontId="56" fillId="0" borderId="0" xfId="0" applyNumberFormat="1" applyFont="1" applyFill="1" applyBorder="1" applyAlignment="1" applyProtection="1">
      <alignment vertical="top"/>
      <protection locked="0"/>
    </xf>
    <xf numFmtId="1" fontId="1" fillId="4" borderId="49" xfId="115" applyNumberFormat="1" applyFont="1" applyFill="1" applyBorder="1" applyAlignment="1">
      <alignment horizontal="right"/>
    </xf>
    <xf numFmtId="168" fontId="58" fillId="22" borderId="3" xfId="114" applyNumberFormat="1" applyFont="1" applyFill="1" applyBorder="1" applyAlignment="1">
      <alignment horizontal="center" vertical="center" wrapText="1"/>
    </xf>
    <xf numFmtId="168" fontId="58" fillId="22" borderId="31" xfId="114" applyNumberFormat="1" applyFont="1" applyFill="1" applyBorder="1" applyAlignment="1">
      <alignment horizontal="center" vertical="center" wrapText="1"/>
    </xf>
    <xf numFmtId="0" fontId="27" fillId="0" borderId="3" xfId="0" applyNumberFormat="1" applyFont="1" applyFill="1" applyBorder="1" applyAlignment="1" applyProtection="1">
      <alignment horizontal="center" vertical="center" wrapText="1"/>
      <protection locked="0"/>
    </xf>
    <xf numFmtId="0" fontId="59" fillId="0" borderId="0" xfId="0" applyNumberFormat="1" applyFont="1" applyFill="1" applyBorder="1" applyAlignment="1" applyProtection="1">
      <alignment vertical="top"/>
      <protection locked="0"/>
    </xf>
    <xf numFmtId="0" fontId="27" fillId="0" borderId="31" xfId="0" applyNumberFormat="1" applyFont="1" applyFill="1" applyBorder="1" applyAlignment="1" applyProtection="1">
      <alignment horizontal="center" vertical="center" wrapText="1"/>
      <protection locked="0"/>
    </xf>
    <xf numFmtId="0" fontId="27" fillId="0" borderId="8" xfId="0" applyNumberFormat="1" applyFont="1" applyFill="1" applyBorder="1" applyProtection="1">
      <protection locked="0"/>
    </xf>
    <xf numFmtId="168" fontId="27" fillId="4" borderId="3" xfId="114"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42" xfId="0" applyFont="1" applyBorder="1" applyAlignment="1">
      <alignment horizontal="center" vertical="center" wrapText="1"/>
    </xf>
    <xf numFmtId="0" fontId="1" fillId="0" borderId="14"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horizontal="center" vertical="center" wrapText="1"/>
      <protection locked="0"/>
    </xf>
    <xf numFmtId="0" fontId="0" fillId="0" borderId="11" xfId="0" applyBorder="1" applyAlignment="1">
      <alignment horizontal="center"/>
    </xf>
    <xf numFmtId="0" fontId="1" fillId="0" borderId="13" xfId="0"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wrapText="1"/>
      <protection locked="0"/>
    </xf>
    <xf numFmtId="0" fontId="0" fillId="0" borderId="0" xfId="0" applyFill="1"/>
    <xf numFmtId="1" fontId="1" fillId="0" borderId="0" xfId="115" applyNumberFormat="1" applyFont="1" applyFill="1" applyBorder="1" applyAlignment="1">
      <alignment horizontal="right"/>
    </xf>
    <xf numFmtId="0" fontId="27" fillId="0" borderId="0" xfId="116" applyFont="1" applyBorder="1" applyAlignment="1">
      <alignment horizontal="left" vertical="center"/>
    </xf>
    <xf numFmtId="0" fontId="55" fillId="0" borderId="0" xfId="116" applyFont="1"/>
    <xf numFmtId="168" fontId="27" fillId="4" borderId="52" xfId="114" applyNumberFormat="1" applyFont="1" applyFill="1" applyBorder="1" applyAlignment="1">
      <alignment horizontal="center" vertical="center" wrapText="1"/>
    </xf>
    <xf numFmtId="168" fontId="58" fillId="22" borderId="52" xfId="114" applyNumberFormat="1" applyFont="1" applyFill="1" applyBorder="1" applyAlignment="1">
      <alignment horizontal="center" vertical="center" wrapText="1"/>
    </xf>
    <xf numFmtId="1" fontId="1" fillId="4" borderId="53" xfId="115" applyNumberFormat="1" applyFont="1" applyFill="1" applyBorder="1" applyAlignment="1">
      <alignment horizontal="right"/>
    </xf>
    <xf numFmtId="0" fontId="0" fillId="0" borderId="19" xfId="0" applyBorder="1"/>
    <xf numFmtId="0" fontId="0" fillId="0" borderId="23" xfId="0" applyBorder="1"/>
    <xf numFmtId="1" fontId="1" fillId="4" borderId="54" xfId="115" applyNumberFormat="1" applyFont="1" applyFill="1" applyBorder="1" applyAlignment="1">
      <alignment horizontal="right"/>
    </xf>
    <xf numFmtId="0" fontId="39" fillId="0" borderId="0" xfId="105" applyFont="1" applyFill="1" applyAlignment="1">
      <alignment horizontal="center" vertical="center"/>
    </xf>
    <xf numFmtId="0" fontId="38" fillId="0" borderId="0" xfId="105" applyFont="1" applyAlignment="1">
      <alignment horizontal="center" vertical="center"/>
    </xf>
    <xf numFmtId="0" fontId="37" fillId="0" borderId="0" xfId="74" applyFont="1" applyFill="1" applyAlignment="1">
      <alignment horizontal="center" vertical="center"/>
    </xf>
    <xf numFmtId="0" fontId="35" fillId="0" borderId="0" xfId="105" applyFont="1" applyAlignment="1">
      <alignment horizontal="center" vertical="center"/>
    </xf>
    <xf numFmtId="0" fontId="36" fillId="0" borderId="0" xfId="105" applyFont="1" applyAlignment="1">
      <alignment horizontal="center" vertical="center"/>
    </xf>
    <xf numFmtId="0" fontId="36" fillId="3" borderId="3" xfId="105" applyFont="1" applyFill="1" applyBorder="1" applyAlignment="1">
      <alignment horizontal="center" vertical="center" wrapText="1"/>
    </xf>
    <xf numFmtId="0" fontId="61" fillId="3" borderId="3" xfId="105" applyFont="1" applyFill="1" applyBorder="1" applyAlignment="1">
      <alignment horizontal="center" vertical="center" wrapText="1"/>
    </xf>
    <xf numFmtId="0" fontId="5" fillId="3" borderId="0" xfId="0" applyFont="1" applyFill="1" applyBorder="1" applyAlignment="1">
      <alignment vertical="top"/>
    </xf>
    <xf numFmtId="0" fontId="0" fillId="4" borderId="56" xfId="0" applyFill="1" applyBorder="1" applyAlignment="1">
      <alignment horizontal="left"/>
    </xf>
    <xf numFmtId="0" fontId="8" fillId="4" borderId="22" xfId="0" applyFont="1" applyFill="1" applyBorder="1" applyAlignment="1">
      <alignment vertical="top"/>
    </xf>
    <xf numFmtId="0" fontId="0" fillId="4" borderId="56" xfId="0" applyFill="1" applyBorder="1"/>
    <xf numFmtId="0" fontId="6" fillId="4" borderId="21" xfId="0" quotePrefix="1" applyFont="1" applyFill="1" applyBorder="1" applyAlignment="1">
      <alignment horizontal="left" vertical="top"/>
    </xf>
    <xf numFmtId="0" fontId="0" fillId="4" borderId="19" xfId="0" applyFill="1" applyBorder="1" applyAlignment="1">
      <alignment horizontal="left"/>
    </xf>
    <xf numFmtId="0" fontId="0" fillId="4" borderId="23" xfId="0" applyFill="1" applyBorder="1" applyAlignment="1">
      <alignment horizontal="left"/>
    </xf>
    <xf numFmtId="0" fontId="36" fillId="23" borderId="3" xfId="105" applyFont="1" applyFill="1" applyBorder="1" applyAlignment="1">
      <alignment horizontal="center" vertical="center" wrapText="1"/>
    </xf>
    <xf numFmtId="0" fontId="35" fillId="23" borderId="3" xfId="105" applyFont="1" applyFill="1" applyBorder="1" applyAlignment="1">
      <alignment horizontal="center" vertical="center" wrapText="1"/>
    </xf>
    <xf numFmtId="0" fontId="36" fillId="0" borderId="0" xfId="51" applyFont="1" applyAlignment="1">
      <alignment wrapText="1"/>
    </xf>
    <xf numFmtId="0" fontId="35" fillId="0" borderId="0" xfId="52" applyFont="1" applyAlignment="1">
      <alignment vertical="center"/>
    </xf>
    <xf numFmtId="0" fontId="8" fillId="4" borderId="0" xfId="0" applyFont="1" applyFill="1"/>
    <xf numFmtId="0" fontId="54" fillId="4" borderId="0" xfId="0" applyFont="1" applyFill="1" applyBorder="1" applyAlignment="1">
      <alignment horizontal="left" vertical="top" wrapText="1"/>
    </xf>
    <xf numFmtId="0" fontId="8" fillId="0" borderId="0" xfId="105" applyFont="1"/>
    <xf numFmtId="0" fontId="4" fillId="4" borderId="0" xfId="0" applyFont="1" applyFill="1" applyBorder="1" applyAlignment="1">
      <alignment horizontal="left" wrapText="1"/>
    </xf>
    <xf numFmtId="0" fontId="4" fillId="4" borderId="0" xfId="0" applyFont="1" applyFill="1" applyBorder="1" applyAlignment="1">
      <alignment horizontal="left" vertical="top" wrapText="1"/>
    </xf>
    <xf numFmtId="0" fontId="8" fillId="4" borderId="0" xfId="0" applyFont="1" applyFill="1" applyAlignment="1">
      <alignment wrapText="1"/>
    </xf>
    <xf numFmtId="0" fontId="1" fillId="0" borderId="14" xfId="0" applyNumberFormat="1" applyFont="1" applyFill="1" applyBorder="1" applyAlignment="1" applyProtection="1">
      <alignment horizontal="center" vertical="center" wrapText="1"/>
      <protection locked="0"/>
    </xf>
    <xf numFmtId="0" fontId="35" fillId="23" borderId="3" xfId="52" applyFont="1" applyFill="1" applyBorder="1" applyAlignment="1">
      <alignment horizontal="left" vertical="top" wrapText="1"/>
    </xf>
    <xf numFmtId="1" fontId="63" fillId="2" borderId="3" xfId="0" applyNumberFormat="1" applyFont="1" applyFill="1" applyBorder="1" applyAlignment="1">
      <alignment horizontal="left" vertical="top"/>
    </xf>
    <xf numFmtId="0" fontId="44" fillId="2" borderId="0" xfId="52" applyFont="1" applyFill="1"/>
    <xf numFmtId="0" fontId="18" fillId="0" borderId="0" xfId="0" applyFont="1"/>
    <xf numFmtId="0" fontId="27" fillId="0" borderId="52" xfId="0" applyNumberFormat="1" applyFont="1" applyFill="1" applyBorder="1" applyAlignment="1" applyProtection="1">
      <alignment horizontal="center" vertical="center" wrapText="1"/>
      <protection locked="0"/>
    </xf>
    <xf numFmtId="0" fontId="4" fillId="4" borderId="0" xfId="0" applyFont="1" applyFill="1" applyBorder="1" applyAlignment="1">
      <alignment horizontal="left" vertical="top" wrapText="1"/>
    </xf>
    <xf numFmtId="14" fontId="3" fillId="3" borderId="20" xfId="65" applyNumberFormat="1" applyFont="1" applyFill="1" applyBorder="1"/>
    <xf numFmtId="3" fontId="38" fillId="0" borderId="3" xfId="52" applyNumberFormat="1" applyFont="1" applyFill="1" applyBorder="1"/>
    <xf numFmtId="0" fontId="38" fillId="0" borderId="3" xfId="52" applyFont="1" applyFill="1" applyBorder="1" applyAlignment="1" applyProtection="1">
      <alignment horizontal="center"/>
      <protection locked="0"/>
    </xf>
    <xf numFmtId="0" fontId="36" fillId="0" borderId="3" xfId="52" applyFont="1" applyBorder="1" applyAlignment="1">
      <alignment horizontal="center"/>
    </xf>
    <xf numFmtId="0" fontId="36" fillId="0" borderId="3" xfId="51" applyFont="1" applyBorder="1"/>
    <xf numFmtId="0" fontId="36" fillId="0" borderId="3" xfId="52" applyFont="1" applyFill="1" applyBorder="1" applyAlignment="1">
      <alignment horizontal="center"/>
    </xf>
    <xf numFmtId="49" fontId="36" fillId="0" borderId="3" xfId="52" applyNumberFormat="1" applyFont="1" applyBorder="1" applyAlignment="1">
      <alignment horizontal="center"/>
    </xf>
    <xf numFmtId="0" fontId="36" fillId="0" borderId="3" xfId="51" applyFont="1" applyBorder="1" applyAlignment="1">
      <alignment horizontal="center"/>
    </xf>
    <xf numFmtId="0" fontId="0" fillId="0" borderId="3" xfId="0" applyBorder="1"/>
    <xf numFmtId="0" fontId="36" fillId="0" borderId="3" xfId="51" applyFont="1" applyBorder="1" applyAlignment="1">
      <alignment wrapText="1"/>
    </xf>
    <xf numFmtId="0" fontId="51" fillId="18" borderId="57" xfId="112" applyFont="1" applyFill="1" applyBorder="1" applyAlignment="1">
      <alignment horizontal="center" vertical="center"/>
    </xf>
    <xf numFmtId="0" fontId="47" fillId="18" borderId="57" xfId="110" applyNumberFormat="1" applyFill="1" applyBorder="1" applyAlignment="1">
      <alignment horizontal="center" vertical="center"/>
    </xf>
    <xf numFmtId="0" fontId="47" fillId="18" borderId="57" xfId="110" applyFill="1" applyBorder="1" applyAlignment="1">
      <alignment horizontal="center" vertical="center"/>
    </xf>
    <xf numFmtId="49" fontId="47" fillId="18" borderId="57" xfId="110" applyNumberFormat="1" applyFill="1" applyBorder="1" applyAlignment="1">
      <alignment horizontal="center" vertical="center"/>
    </xf>
    <xf numFmtId="0" fontId="47" fillId="20" borderId="57" xfId="110" applyFill="1" applyBorder="1" applyAlignment="1">
      <alignment horizontal="center" vertical="center" wrapText="1"/>
    </xf>
    <xf numFmtId="0" fontId="47" fillId="19" borderId="57" xfId="110" applyFill="1" applyBorder="1" applyAlignment="1">
      <alignment horizontal="center" vertical="center" wrapText="1"/>
    </xf>
    <xf numFmtId="0" fontId="51" fillId="21" borderId="57" xfId="112" applyFont="1" applyFill="1" applyBorder="1" applyAlignment="1">
      <alignment horizontal="center" vertical="center"/>
    </xf>
    <xf numFmtId="0" fontId="52" fillId="0" borderId="3" xfId="113" applyBorder="1" applyAlignment="1">
      <alignment horizontal="right" vertical="center"/>
    </xf>
    <xf numFmtId="0" fontId="52" fillId="0" borderId="3" xfId="113" applyBorder="1" applyAlignment="1">
      <alignment horizontal="center" vertical="center"/>
    </xf>
    <xf numFmtId="0" fontId="52" fillId="0" borderId="3" xfId="113" applyNumberFormat="1" applyBorder="1" applyAlignment="1">
      <alignment horizontal="center" vertical="center"/>
    </xf>
    <xf numFmtId="49" fontId="0" fillId="0" borderId="3" xfId="0" applyNumberFormat="1" applyBorder="1" applyAlignment="1">
      <alignment horizontal="center" vertical="center"/>
    </xf>
    <xf numFmtId="49" fontId="52" fillId="0" borderId="3" xfId="113" applyNumberFormat="1" applyBorder="1" applyAlignment="1">
      <alignment horizontal="center" vertical="center"/>
    </xf>
    <xf numFmtId="0" fontId="4" fillId="4" borderId="0" xfId="0" applyFont="1" applyFill="1" applyBorder="1" applyAlignment="1">
      <alignment horizontal="left" vertical="top" wrapText="1"/>
    </xf>
    <xf numFmtId="0" fontId="8" fillId="2" borderId="3" xfId="111" applyFont="1" applyFill="1" applyBorder="1"/>
    <xf numFmtId="0" fontId="8" fillId="2" borderId="0" xfId="111" applyNumberFormat="1" applyFont="1" applyFill="1"/>
    <xf numFmtId="0" fontId="8" fillId="2" borderId="0" xfId="111" applyFont="1" applyFill="1"/>
    <xf numFmtId="49" fontId="8" fillId="2" borderId="0" xfId="111" applyNumberFormat="1" applyFill="1"/>
    <xf numFmtId="0" fontId="0" fillId="4" borderId="0" xfId="0" applyFill="1" applyAlignment="1">
      <alignment horizontal="center" vertical="center" wrapText="1"/>
    </xf>
    <xf numFmtId="0" fontId="0" fillId="4" borderId="3" xfId="0" applyFont="1" applyFill="1" applyBorder="1" applyAlignment="1">
      <alignment horizontal="center" vertical="center" wrapText="1"/>
    </xf>
    <xf numFmtId="0" fontId="0" fillId="0" borderId="3" xfId="0" applyFont="1" applyBorder="1"/>
    <xf numFmtId="0" fontId="0" fillId="0" borderId="3" xfId="0" quotePrefix="1" applyFont="1" applyBorder="1" applyAlignment="1">
      <alignment horizontal="left"/>
    </xf>
    <xf numFmtId="0" fontId="0" fillId="0" borderId="3" xfId="0" applyFont="1" applyBorder="1" applyAlignment="1">
      <alignment horizontal="left"/>
    </xf>
    <xf numFmtId="2" fontId="0" fillId="4" borderId="3" xfId="0" quotePrefix="1" applyNumberFormat="1" applyFont="1" applyFill="1" applyBorder="1" applyAlignment="1">
      <alignment horizontal="center" vertical="center" wrapText="1"/>
    </xf>
    <xf numFmtId="0" fontId="1" fillId="0" borderId="0" xfId="0" applyNumberFormat="1" applyFont="1" applyFill="1" applyBorder="1" applyAlignment="1" applyProtection="1">
      <alignment vertical="top" wrapText="1"/>
      <protection locked="0"/>
    </xf>
    <xf numFmtId="0" fontId="0" fillId="0" borderId="0" xfId="0" applyFont="1" applyBorder="1"/>
    <xf numFmtId="0" fontId="0" fillId="0" borderId="0" xfId="0" applyFont="1" applyBorder="1" applyAlignment="1">
      <alignment horizontal="left"/>
    </xf>
    <xf numFmtId="0" fontId="3" fillId="16" borderId="3" xfId="0" applyFont="1" applyFill="1" applyBorder="1" applyAlignment="1">
      <alignment horizontal="center"/>
    </xf>
    <xf numFmtId="1" fontId="3" fillId="16" borderId="3" xfId="0" applyNumberFormat="1" applyFont="1" applyFill="1" applyBorder="1" applyAlignment="1">
      <alignment horizontal="center"/>
    </xf>
    <xf numFmtId="1" fontId="1" fillId="4" borderId="2" xfId="115" applyNumberFormat="1" applyFont="1" applyFill="1" applyBorder="1" applyAlignment="1">
      <alignment horizontal="right"/>
    </xf>
    <xf numFmtId="0" fontId="27" fillId="0" borderId="50" xfId="0" applyNumberFormat="1" applyFont="1" applyFill="1" applyBorder="1"/>
    <xf numFmtId="0" fontId="27" fillId="0" borderId="58" xfId="0" applyNumberFormat="1" applyFont="1" applyFill="1" applyBorder="1" applyProtection="1">
      <protection locked="0"/>
    </xf>
    <xf numFmtId="0" fontId="1" fillId="0" borderId="58" xfId="0" applyNumberFormat="1" applyFont="1" applyFill="1" applyBorder="1" applyAlignment="1" applyProtection="1">
      <alignment horizontal="left" vertical="top"/>
      <protection locked="0"/>
    </xf>
    <xf numFmtId="0" fontId="0" fillId="0" borderId="11" xfId="0" applyBorder="1"/>
    <xf numFmtId="0" fontId="0" fillId="0" borderId="8" xfId="0" applyBorder="1"/>
    <xf numFmtId="0" fontId="0" fillId="0" borderId="58" xfId="0" applyBorder="1"/>
    <xf numFmtId="0" fontId="66" fillId="0" borderId="0" xfId="0" applyFont="1"/>
    <xf numFmtId="0" fontId="56"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center" vertical="center"/>
      <protection locked="0"/>
    </xf>
    <xf numFmtId="0" fontId="8" fillId="2" borderId="3" xfId="0" applyNumberFormat="1" applyFont="1" applyFill="1" applyBorder="1" applyAlignment="1" applyProtection="1">
      <alignment horizontal="center" vertical="center"/>
      <protection locked="0"/>
    </xf>
    <xf numFmtId="0" fontId="27" fillId="0" borderId="0" xfId="0" applyNumberFormat="1" applyFont="1" applyFill="1" applyBorder="1" applyAlignment="1"/>
    <xf numFmtId="0" fontId="8" fillId="0" borderId="0" xfId="0" applyFont="1" applyFill="1"/>
    <xf numFmtId="1" fontId="3" fillId="0" borderId="59" xfId="1" applyNumberFormat="1" applyFont="1" applyFill="1" applyBorder="1" applyAlignment="1">
      <alignment horizontal="center" vertical="center"/>
    </xf>
    <xf numFmtId="1" fontId="3" fillId="16" borderId="12" xfId="0" applyNumberFormat="1" applyFont="1" applyFill="1" applyBorder="1" applyAlignment="1">
      <alignment horizontal="center"/>
    </xf>
    <xf numFmtId="1" fontId="1" fillId="42" borderId="6" xfId="115" applyNumberFormat="1" applyFont="1" applyFill="1" applyBorder="1" applyAlignment="1">
      <alignment horizontal="right"/>
    </xf>
    <xf numFmtId="1" fontId="1" fillId="42" borderId="2" xfId="115" applyNumberFormat="1" applyFont="1" applyFill="1" applyBorder="1" applyAlignment="1">
      <alignment horizontal="right"/>
    </xf>
    <xf numFmtId="1" fontId="3" fillId="16" borderId="59" xfId="0" applyNumberFormat="1" applyFont="1" applyFill="1" applyBorder="1" applyAlignment="1">
      <alignment horizontal="center"/>
    </xf>
    <xf numFmtId="0" fontId="3" fillId="0" borderId="6" xfId="0" applyFont="1" applyFill="1" applyBorder="1" applyAlignment="1">
      <alignment horizontal="center"/>
    </xf>
    <xf numFmtId="1" fontId="3" fillId="0" borderId="13" xfId="1" applyNumberFormat="1" applyFont="1" applyFill="1" applyBorder="1" applyAlignment="1">
      <alignment horizontal="center" vertical="center"/>
    </xf>
    <xf numFmtId="1" fontId="3" fillId="0" borderId="32" xfId="1" applyNumberFormat="1" applyFont="1" applyFill="1" applyBorder="1" applyAlignment="1">
      <alignment horizontal="center" vertical="center"/>
    </xf>
    <xf numFmtId="1" fontId="3" fillId="0" borderId="60" xfId="1" applyNumberFormat="1" applyFont="1" applyFill="1" applyBorder="1" applyAlignment="1">
      <alignment horizontal="center" vertical="center"/>
    </xf>
    <xf numFmtId="1" fontId="3" fillId="0" borderId="40" xfId="1" applyNumberFormat="1" applyFont="1" applyFill="1" applyBorder="1" applyAlignment="1">
      <alignment horizontal="center" vertical="center"/>
    </xf>
    <xf numFmtId="167" fontId="3" fillId="17" borderId="5" xfId="0" applyNumberFormat="1" applyFont="1" applyFill="1" applyBorder="1"/>
    <xf numFmtId="0" fontId="3" fillId="0" borderId="0" xfId="0" applyFont="1" applyFill="1" applyBorder="1" applyAlignment="1">
      <alignment horizontal="center"/>
    </xf>
    <xf numFmtId="1" fontId="3" fillId="0" borderId="10" xfId="1" applyNumberFormat="1" applyFont="1" applyFill="1" applyBorder="1" applyAlignment="1">
      <alignment horizontal="center" vertical="center"/>
    </xf>
    <xf numFmtId="0" fontId="4" fillId="4" borderId="0" xfId="0" applyFont="1" applyFill="1" applyBorder="1" applyAlignment="1">
      <alignment horizontal="left" vertical="top" wrapText="1"/>
    </xf>
    <xf numFmtId="0" fontId="2" fillId="9" borderId="61" xfId="65" applyFont="1" applyFill="1" applyBorder="1" applyAlignment="1">
      <alignment vertical="top"/>
    </xf>
    <xf numFmtId="0" fontId="8" fillId="0" borderId="61" xfId="52" applyFont="1" applyBorder="1" applyAlignment="1">
      <alignment vertical="top" wrapText="1"/>
    </xf>
    <xf numFmtId="0" fontId="67" fillId="4" borderId="0" xfId="0" applyFont="1" applyFill="1" applyAlignment="1">
      <alignment wrapText="1"/>
    </xf>
    <xf numFmtId="0" fontId="18" fillId="4" borderId="38" xfId="0" applyFont="1" applyFill="1" applyBorder="1" applyAlignment="1">
      <alignment wrapText="1"/>
    </xf>
    <xf numFmtId="0" fontId="8" fillId="4" borderId="22" xfId="0" applyFont="1" applyFill="1" applyBorder="1"/>
    <xf numFmtId="0" fontId="8" fillId="4" borderId="60" xfId="0" applyFont="1" applyFill="1" applyBorder="1"/>
    <xf numFmtId="0" fontId="8" fillId="4" borderId="49" xfId="0" applyFont="1" applyFill="1" applyBorder="1" applyAlignment="1">
      <alignment wrapText="1"/>
    </xf>
    <xf numFmtId="0" fontId="8" fillId="4" borderId="0" xfId="0" applyFont="1" applyFill="1" applyBorder="1"/>
    <xf numFmtId="0" fontId="8" fillId="4" borderId="1" xfId="0" applyFont="1" applyFill="1" applyBorder="1"/>
    <xf numFmtId="0" fontId="8" fillId="4" borderId="48" xfId="0" applyFont="1" applyFill="1" applyBorder="1" applyAlignment="1">
      <alignment wrapText="1"/>
    </xf>
    <xf numFmtId="0" fontId="8" fillId="4" borderId="29" xfId="0" applyFont="1" applyFill="1" applyBorder="1"/>
    <xf numFmtId="0" fontId="8" fillId="4" borderId="65" xfId="0" applyFont="1" applyFill="1" applyBorder="1"/>
    <xf numFmtId="0" fontId="0" fillId="0" borderId="11" xfId="0" applyBorder="1" applyAlignment="1">
      <alignment horizontal="center"/>
    </xf>
    <xf numFmtId="0" fontId="1" fillId="0" borderId="13" xfId="0"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42" xfId="0" applyFont="1" applyBorder="1" applyAlignment="1">
      <alignment horizontal="center" vertical="center" wrapText="1"/>
    </xf>
    <xf numFmtId="0" fontId="1" fillId="0" borderId="5"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xf>
    <xf numFmtId="0" fontId="3" fillId="16" borderId="14" xfId="0" applyFont="1" applyFill="1" applyBorder="1" applyAlignment="1">
      <alignment horizontal="center"/>
    </xf>
    <xf numFmtId="1" fontId="3" fillId="16" borderId="14" xfId="0" applyNumberFormat="1" applyFont="1" applyFill="1" applyBorder="1" applyAlignment="1">
      <alignment horizontal="center"/>
    </xf>
    <xf numFmtId="1" fontId="3" fillId="16" borderId="42" xfId="0" applyNumberFormat="1" applyFont="1" applyFill="1" applyBorder="1" applyAlignment="1">
      <alignment horizontal="center"/>
    </xf>
    <xf numFmtId="1" fontId="3" fillId="16" borderId="52" xfId="0" applyNumberFormat="1" applyFont="1" applyFill="1" applyBorder="1" applyAlignment="1">
      <alignment horizontal="center"/>
    </xf>
    <xf numFmtId="1" fontId="3" fillId="16" borderId="53" xfId="0" applyNumberFormat="1" applyFont="1" applyFill="1" applyBorder="1" applyAlignment="1">
      <alignment horizontal="center"/>
    </xf>
    <xf numFmtId="0" fontId="3" fillId="16" borderId="12" xfId="0" applyFont="1" applyFill="1" applyBorder="1" applyAlignment="1">
      <alignment horizontal="center"/>
    </xf>
    <xf numFmtId="1" fontId="3" fillId="16" borderId="76" xfId="0" applyNumberFormat="1" applyFont="1" applyFill="1" applyBorder="1" applyAlignment="1">
      <alignment horizontal="center"/>
    </xf>
    <xf numFmtId="1" fontId="3" fillId="0" borderId="42" xfId="1" applyNumberFormat="1" applyFont="1" applyFill="1" applyBorder="1" applyAlignment="1">
      <alignment horizontal="center" vertical="center"/>
    </xf>
    <xf numFmtId="1" fontId="3" fillId="0" borderId="52" xfId="1" applyNumberFormat="1" applyFont="1" applyFill="1" applyBorder="1" applyAlignment="1">
      <alignment horizontal="center" vertical="center"/>
    </xf>
    <xf numFmtId="1" fontId="3" fillId="0" borderId="53" xfId="1" applyNumberFormat="1" applyFont="1" applyFill="1" applyBorder="1" applyAlignment="1">
      <alignment horizontal="center" vertical="center"/>
    </xf>
    <xf numFmtId="1" fontId="3" fillId="0" borderId="76" xfId="1" applyNumberFormat="1" applyFont="1" applyFill="1" applyBorder="1" applyAlignment="1">
      <alignment horizontal="center" vertical="center"/>
    </xf>
    <xf numFmtId="0" fontId="3" fillId="0" borderId="20" xfId="0" applyFont="1" applyBorder="1"/>
    <xf numFmtId="0" fontId="0" fillId="0" borderId="0" xfId="0"/>
    <xf numFmtId="0" fontId="0" fillId="0" borderId="0" xfId="0" applyBorder="1"/>
    <xf numFmtId="49" fontId="1" fillId="0" borderId="45" xfId="0" applyNumberFormat="1" applyFont="1" applyFill="1" applyBorder="1" applyAlignment="1" applyProtection="1">
      <alignment horizontal="center" vertical="center" wrapText="1"/>
      <protection locked="0"/>
    </xf>
    <xf numFmtId="1" fontId="1" fillId="42" borderId="54" xfId="115" applyNumberFormat="1" applyFont="1" applyFill="1" applyBorder="1" applyAlignment="1">
      <alignment horizontal="right"/>
    </xf>
    <xf numFmtId="1" fontId="1" fillId="42" borderId="43" xfId="115" applyNumberFormat="1" applyFont="1" applyFill="1" applyBorder="1" applyAlignment="1">
      <alignment horizontal="right"/>
    </xf>
    <xf numFmtId="0" fontId="18" fillId="0" borderId="0" xfId="0" applyFont="1"/>
    <xf numFmtId="0" fontId="55" fillId="0" borderId="0" xfId="0" applyNumberFormat="1" applyFont="1" applyFill="1" applyBorder="1" applyAlignment="1">
      <alignment horizontal="left"/>
    </xf>
    <xf numFmtId="0" fontId="0" fillId="0" borderId="0" xfId="0" applyFill="1" applyBorder="1"/>
    <xf numFmtId="167" fontId="1" fillId="0" borderId="0" xfId="115" applyNumberFormat="1" applyFont="1" applyFill="1" applyBorder="1" applyAlignment="1">
      <alignment horizontal="right"/>
    </xf>
    <xf numFmtId="0" fontId="8" fillId="0" borderId="3" xfId="0" applyFont="1" applyBorder="1" applyAlignment="1">
      <alignment horizontal="left"/>
    </xf>
    <xf numFmtId="0" fontId="18" fillId="4" borderId="0" xfId="0" applyFont="1" applyFill="1" applyBorder="1" applyAlignment="1">
      <alignment horizontal="left" vertical="top" wrapText="1"/>
    </xf>
    <xf numFmtId="0" fontId="47" fillId="4" borderId="0" xfId="110" applyFill="1" applyBorder="1"/>
    <xf numFmtId="0" fontId="47" fillId="0" borderId="0" xfId="110"/>
    <xf numFmtId="0" fontId="0" fillId="0" borderId="22" xfId="0" applyBorder="1" applyAlignment="1">
      <alignment wrapText="1"/>
    </xf>
    <xf numFmtId="0" fontId="27" fillId="0" borderId="0" xfId="0" applyNumberFormat="1" applyFont="1" applyFill="1" applyBorder="1" applyAlignment="1" applyProtection="1">
      <alignment horizontal="center" vertical="center" wrapText="1"/>
      <protection locked="0"/>
    </xf>
    <xf numFmtId="0" fontId="27" fillId="0" borderId="48" xfId="0" applyNumberFormat="1" applyFont="1" applyFill="1" applyBorder="1" applyAlignment="1" applyProtection="1">
      <alignment horizontal="center" vertical="center" wrapText="1"/>
      <protection locked="0"/>
    </xf>
    <xf numFmtId="0" fontId="27" fillId="0" borderId="29" xfId="0" applyNumberFormat="1" applyFont="1" applyFill="1" applyBorder="1" applyAlignment="1" applyProtection="1">
      <alignment horizontal="center" vertical="center" wrapText="1"/>
      <protection locked="0"/>
    </xf>
    <xf numFmtId="0" fontId="8" fillId="0" borderId="3" xfId="113" applyNumberFormat="1" applyFont="1" applyBorder="1" applyAlignment="1">
      <alignment horizontal="center" vertical="center"/>
    </xf>
    <xf numFmtId="167" fontId="1" fillId="42" borderId="49" xfId="115" applyNumberFormat="1" applyFont="1" applyFill="1" applyBorder="1" applyAlignment="1">
      <alignment horizontal="right"/>
    </xf>
    <xf numFmtId="167" fontId="1" fillId="42" borderId="6" xfId="115" applyNumberFormat="1" applyFont="1" applyFill="1" applyBorder="1" applyAlignment="1">
      <alignment horizontal="right"/>
    </xf>
    <xf numFmtId="167" fontId="1" fillId="42" borderId="54" xfId="115" applyNumberFormat="1" applyFont="1" applyFill="1" applyBorder="1" applyAlignment="1">
      <alignment horizontal="right"/>
    </xf>
    <xf numFmtId="167" fontId="1" fillId="42" borderId="55" xfId="115" applyNumberFormat="1" applyFont="1" applyFill="1" applyBorder="1" applyAlignment="1">
      <alignment horizontal="right"/>
    </xf>
    <xf numFmtId="167" fontId="1" fillId="42" borderId="43" xfId="115" applyNumberFormat="1" applyFont="1" applyFill="1" applyBorder="1" applyAlignment="1">
      <alignment horizontal="right"/>
    </xf>
    <xf numFmtId="167" fontId="1" fillId="42" borderId="2" xfId="115" applyNumberFormat="1" applyFont="1" applyFill="1" applyBorder="1" applyAlignment="1">
      <alignment horizontal="right"/>
    </xf>
    <xf numFmtId="0" fontId="8" fillId="4" borderId="3" xfId="105" applyFont="1" applyFill="1" applyBorder="1" applyAlignment="1">
      <alignment horizontal="left" wrapText="1"/>
    </xf>
    <xf numFmtId="0" fontId="54" fillId="4" borderId="0" xfId="52" applyFont="1" applyFill="1"/>
    <xf numFmtId="0" fontId="8" fillId="4" borderId="3" xfId="52" applyFont="1" applyFill="1" applyBorder="1" applyAlignment="1">
      <alignment horizontal="left" wrapText="1"/>
    </xf>
    <xf numFmtId="0" fontId="8" fillId="4" borderId="3" xfId="52" applyFont="1" applyFill="1" applyBorder="1" applyAlignment="1">
      <alignment horizontal="left" vertical="top" wrapText="1"/>
    </xf>
    <xf numFmtId="0" fontId="8" fillId="4" borderId="0" xfId="52" applyFont="1" applyFill="1"/>
    <xf numFmtId="0" fontId="8" fillId="4" borderId="3" xfId="105" applyFont="1" applyFill="1" applyBorder="1" applyAlignment="1">
      <alignment vertical="center" wrapText="1"/>
    </xf>
    <xf numFmtId="0" fontId="8" fillId="4" borderId="3" xfId="105"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left" vertical="top" wrapText="1"/>
    </xf>
    <xf numFmtId="0" fontId="83" fillId="0" borderId="0" xfId="105" applyFont="1"/>
    <xf numFmtId="0" fontId="18" fillId="3" borderId="3" xfId="74" applyFont="1" applyFill="1" applyBorder="1" applyAlignment="1">
      <alignment horizontal="left"/>
    </xf>
    <xf numFmtId="0" fontId="18" fillId="23" borderId="3" xfId="74" applyFont="1" applyFill="1" applyBorder="1" applyAlignment="1"/>
    <xf numFmtId="0" fontId="18" fillId="0" borderId="0" xfId="105" applyFont="1" applyFill="1" applyAlignment="1">
      <alignment horizontal="center" vertical="center" wrapText="1"/>
    </xf>
    <xf numFmtId="0" fontId="84" fillId="0" borderId="0" xfId="105" applyFont="1" applyAlignment="1">
      <alignment horizontal="left"/>
    </xf>
    <xf numFmtId="0" fontId="27" fillId="0" borderId="46" xfId="0" applyNumberFormat="1" applyFont="1" applyFill="1" applyBorder="1" applyAlignment="1" applyProtection="1">
      <alignment horizontal="center" vertical="center" wrapText="1"/>
      <protection locked="0"/>
    </xf>
    <xf numFmtId="0" fontId="27" fillId="0" borderId="15" xfId="0" applyNumberFormat="1" applyFont="1" applyFill="1" applyBorder="1" applyAlignment="1" applyProtection="1">
      <alignment horizontal="center" vertical="center" wrapText="1"/>
      <protection locked="0"/>
    </xf>
    <xf numFmtId="0" fontId="6" fillId="4" borderId="21" xfId="0" quotePrefix="1" applyFont="1" applyFill="1" applyBorder="1" applyAlignment="1">
      <alignment horizontal="left" vertical="top" wrapText="1"/>
    </xf>
    <xf numFmtId="0" fontId="6" fillId="4" borderId="19" xfId="0" quotePrefix="1" applyFont="1" applyFill="1" applyBorder="1" applyAlignment="1">
      <alignment horizontal="left" vertical="top" wrapText="1"/>
    </xf>
    <xf numFmtId="0" fontId="8" fillId="4" borderId="22" xfId="0" applyFont="1" applyFill="1" applyBorder="1" applyAlignment="1">
      <alignment horizontal="left" vertical="top" wrapText="1"/>
    </xf>
    <xf numFmtId="0" fontId="47" fillId="4" borderId="0" xfId="110" applyFill="1" applyBorder="1" applyAlignment="1">
      <alignment horizontal="left" vertical="top" wrapText="1"/>
    </xf>
    <xf numFmtId="0" fontId="48" fillId="4" borderId="0" xfId="110" applyFont="1" applyFill="1" applyBorder="1" applyAlignment="1">
      <alignment horizontal="left" vertical="top" wrapText="1"/>
    </xf>
    <xf numFmtId="0" fontId="0" fillId="4" borderId="22" xfId="0" applyFill="1" applyBorder="1" applyAlignment="1">
      <alignment horizontal="left" vertical="top" wrapText="1"/>
    </xf>
    <xf numFmtId="0" fontId="2" fillId="9" borderId="62" xfId="65" applyFont="1" applyFill="1" applyBorder="1" applyAlignment="1">
      <alignment horizontal="left" vertical="top"/>
    </xf>
    <xf numFmtId="0" fontId="20" fillId="9" borderId="63" xfId="65" applyFill="1" applyBorder="1" applyAlignment="1">
      <alignment horizontal="left" vertical="top"/>
    </xf>
    <xf numFmtId="0" fontId="20" fillId="9" borderId="64" xfId="65" applyFill="1" applyBorder="1" applyAlignment="1">
      <alignment horizontal="left" vertical="top"/>
    </xf>
    <xf numFmtId="0" fontId="0" fillId="9" borderId="62" xfId="65" applyFont="1" applyFill="1" applyBorder="1" applyAlignment="1">
      <alignment horizontal="left" vertical="top" wrapText="1"/>
    </xf>
    <xf numFmtId="0" fontId="20" fillId="9" borderId="63" xfId="65" applyFill="1" applyBorder="1" applyAlignment="1">
      <alignment horizontal="left" vertical="top" wrapText="1"/>
    </xf>
    <xf numFmtId="0" fontId="20" fillId="9" borderId="64" xfId="65" applyFill="1" applyBorder="1" applyAlignment="1">
      <alignment horizontal="left" vertical="top" wrapText="1"/>
    </xf>
    <xf numFmtId="0" fontId="8" fillId="0" borderId="61" xfId="52" applyFont="1" applyBorder="1" applyAlignment="1">
      <alignment horizontal="left" vertical="top" wrapText="1"/>
    </xf>
    <xf numFmtId="0" fontId="18" fillId="0" borderId="61" xfId="52" applyFont="1" applyBorder="1" applyAlignment="1">
      <alignment horizontal="left" vertical="top" wrapText="1"/>
    </xf>
    <xf numFmtId="0" fontId="0" fillId="3" borderId="0" xfId="0" applyFill="1" applyBorder="1" applyAlignment="1">
      <alignment horizontal="left" vertical="center"/>
    </xf>
    <xf numFmtId="0" fontId="0" fillId="4" borderId="22" xfId="0" applyFill="1" applyBorder="1" applyAlignment="1">
      <alignment horizontal="left" wrapText="1"/>
    </xf>
    <xf numFmtId="0" fontId="28" fillId="13" borderId="0" xfId="53" applyFont="1" applyFill="1" applyAlignment="1" applyProtection="1">
      <alignment horizontal="left" vertical="center" wrapText="1"/>
    </xf>
    <xf numFmtId="0" fontId="30" fillId="4" borderId="34" xfId="5" applyFont="1" applyFill="1" applyBorder="1" applyAlignment="1" applyProtection="1">
      <alignment horizontal="left" vertical="center" wrapText="1"/>
      <protection locked="0"/>
    </xf>
    <xf numFmtId="0" fontId="47" fillId="4" borderId="34" xfId="110" applyFill="1" applyBorder="1" applyAlignment="1" applyProtection="1">
      <alignment horizontal="left" vertical="center" wrapText="1"/>
      <protection locked="0"/>
    </xf>
    <xf numFmtId="0" fontId="1" fillId="4" borderId="34" xfId="5" applyFont="1" applyFill="1" applyBorder="1" applyAlignment="1" applyProtection="1">
      <alignment horizontal="left" vertical="center" wrapText="1"/>
      <protection locked="0"/>
    </xf>
    <xf numFmtId="0" fontId="1" fillId="4" borderId="34" xfId="5" applyFont="1" applyFill="1" applyBorder="1" applyAlignment="1" applyProtection="1">
      <alignment horizontal="center" vertical="center" wrapText="1"/>
      <protection locked="0"/>
    </xf>
    <xf numFmtId="0" fontId="1" fillId="4" borderId="35" xfId="5" applyFont="1" applyFill="1" applyBorder="1" applyAlignment="1" applyProtection="1">
      <alignment horizontal="center" vertical="center" wrapText="1"/>
      <protection locked="0"/>
    </xf>
    <xf numFmtId="0" fontId="1" fillId="4" borderId="36" xfId="5" applyFont="1" applyFill="1" applyBorder="1" applyAlignment="1" applyProtection="1">
      <alignment horizontal="center" vertical="center" wrapText="1"/>
      <protection locked="0"/>
    </xf>
    <xf numFmtId="0" fontId="1" fillId="4" borderId="37" xfId="5" applyFont="1" applyFill="1" applyBorder="1" applyAlignment="1" applyProtection="1">
      <alignment horizontal="center" vertical="center" wrapText="1"/>
      <protection locked="0"/>
    </xf>
    <xf numFmtId="0" fontId="30" fillId="13" borderId="0" xfId="53" applyFont="1" applyFill="1" applyAlignment="1" applyProtection="1">
      <alignment horizontal="left" vertical="center"/>
    </xf>
    <xf numFmtId="0" fontId="4" fillId="4" borderId="0" xfId="0" applyFont="1" applyFill="1" applyBorder="1" applyAlignment="1">
      <alignment horizontal="left" vertical="top" wrapText="1"/>
    </xf>
    <xf numFmtId="0" fontId="4" fillId="4" borderId="49"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31" xfId="0" applyFont="1" applyFill="1" applyBorder="1" applyAlignment="1">
      <alignment horizontal="left" vertical="top" wrapText="1"/>
    </xf>
    <xf numFmtId="0" fontId="4" fillId="4" borderId="28" xfId="0" applyFont="1" applyFill="1" applyBorder="1" applyAlignment="1">
      <alignment horizontal="left" vertical="top" wrapText="1"/>
    </xf>
    <xf numFmtId="0" fontId="4" fillId="4" borderId="32" xfId="0" applyFont="1" applyFill="1" applyBorder="1" applyAlignment="1">
      <alignment horizontal="left" vertical="top" wrapText="1"/>
    </xf>
    <xf numFmtId="0" fontId="4" fillId="4" borderId="3" xfId="0" applyFont="1" applyFill="1" applyBorder="1" applyAlignment="1">
      <alignment horizontal="left" vertical="top" wrapText="1"/>
    </xf>
    <xf numFmtId="0" fontId="18" fillId="4" borderId="3" xfId="0" applyFont="1" applyFill="1" applyBorder="1" applyAlignment="1">
      <alignment horizontal="left" vertical="top" wrapText="1"/>
    </xf>
    <xf numFmtId="0" fontId="8" fillId="4" borderId="31" xfId="0" applyFont="1" applyFill="1" applyBorder="1" applyAlignment="1">
      <alignment horizontal="left" wrapText="1"/>
    </xf>
    <xf numFmtId="0" fontId="8" fillId="4" borderId="28" xfId="0" applyFont="1" applyFill="1" applyBorder="1" applyAlignment="1">
      <alignment horizontal="left" wrapText="1"/>
    </xf>
    <xf numFmtId="0" fontId="8" fillId="4" borderId="32" xfId="0" applyFont="1" applyFill="1" applyBorder="1" applyAlignment="1">
      <alignment horizontal="left" wrapText="1"/>
    </xf>
    <xf numFmtId="0" fontId="6" fillId="2" borderId="0" xfId="52" applyFont="1" applyFill="1" applyAlignment="1">
      <alignment horizontal="center" vertical="center" wrapText="1"/>
    </xf>
    <xf numFmtId="0" fontId="36" fillId="23" borderId="0" xfId="51" applyFont="1" applyFill="1" applyAlignment="1">
      <alignment horizontal="left" vertical="top"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1" xfId="0" applyBorder="1" applyAlignment="1">
      <alignment horizontal="center"/>
    </xf>
    <xf numFmtId="0" fontId="0" fillId="0" borderId="9" xfId="0" applyBorder="1" applyAlignment="1">
      <alignment horizontal="center"/>
    </xf>
    <xf numFmtId="0" fontId="0" fillId="16" borderId="11" xfId="0" applyFill="1" applyBorder="1" applyAlignment="1">
      <alignment horizontal="center" vertical="center"/>
    </xf>
    <xf numFmtId="0" fontId="0" fillId="16" borderId="8" xfId="0" applyFill="1" applyBorder="1" applyAlignment="1">
      <alignment horizontal="center" vertical="center"/>
    </xf>
    <xf numFmtId="0" fontId="8" fillId="16" borderId="75" xfId="0" applyFont="1" applyFill="1" applyBorder="1" applyAlignment="1">
      <alignment horizontal="center" vertical="center"/>
    </xf>
    <xf numFmtId="0" fontId="8" fillId="16" borderId="8" xfId="0" applyFont="1" applyFill="1" applyBorder="1" applyAlignment="1">
      <alignment horizontal="center" vertical="center"/>
    </xf>
    <xf numFmtId="0" fontId="8" fillId="16" borderId="9" xfId="0"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41"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65" fillId="0" borderId="3" xfId="0" applyFont="1" applyBorder="1" applyAlignment="1">
      <alignment horizontal="center"/>
    </xf>
    <xf numFmtId="0" fontId="1" fillId="0" borderId="7"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12" xfId="0" applyFont="1" applyFill="1" applyBorder="1" applyAlignment="1">
      <alignment horizontal="center" vertical="center" wrapText="1"/>
    </xf>
    <xf numFmtId="0" fontId="50" fillId="2" borderId="24" xfId="0" applyFont="1" applyFill="1" applyBorder="1" applyAlignment="1">
      <alignment horizontal="center"/>
    </xf>
    <xf numFmtId="0" fontId="1" fillId="0" borderId="15" xfId="0" applyNumberFormat="1"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42" xfId="0" applyFont="1" applyBorder="1" applyAlignment="1">
      <alignment horizontal="center" vertical="center" wrapText="1"/>
    </xf>
    <xf numFmtId="0" fontId="1" fillId="0" borderId="39" xfId="0" applyNumberFormat="1"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protection locked="0"/>
    </xf>
    <xf numFmtId="1" fontId="50" fillId="2" borderId="24" xfId="0" applyNumberFormat="1" applyFont="1" applyFill="1" applyBorder="1" applyAlignment="1">
      <alignment horizontal="center"/>
    </xf>
    <xf numFmtId="1" fontId="1" fillId="0" borderId="14" xfId="0" applyNumberFormat="1" applyFont="1" applyFill="1" applyBorder="1" applyAlignment="1" applyProtection="1">
      <alignment horizontal="center" vertical="center" wrapText="1"/>
      <protection locked="0"/>
    </xf>
    <xf numFmtId="1" fontId="1" fillId="0" borderId="12" xfId="0" applyNumberFormat="1" applyFont="1" applyFill="1" applyBorder="1" applyAlignment="1" applyProtection="1">
      <alignment horizontal="center" vertical="center" wrapText="1"/>
      <protection locked="0"/>
    </xf>
    <xf numFmtId="1" fontId="1" fillId="0" borderId="15" xfId="0" applyNumberFormat="1" applyFont="1" applyFill="1" applyBorder="1" applyAlignment="1" applyProtection="1">
      <alignment horizontal="center" vertical="center" wrapText="1"/>
      <protection locked="0"/>
    </xf>
    <xf numFmtId="1" fontId="3" fillId="0" borderId="14" xfId="0" applyNumberFormat="1" applyFont="1" applyBorder="1" applyAlignment="1">
      <alignment horizontal="center" vertical="center" wrapText="1"/>
    </xf>
    <xf numFmtId="1" fontId="3" fillId="0" borderId="42" xfId="0" applyNumberFormat="1" applyFont="1" applyBorder="1" applyAlignment="1">
      <alignment horizontal="center" vertical="center" wrapText="1"/>
    </xf>
    <xf numFmtId="1" fontId="1" fillId="0" borderId="39" xfId="0" applyNumberFormat="1" applyFont="1" applyFill="1" applyBorder="1" applyAlignment="1" applyProtection="1">
      <alignment horizontal="center" vertical="center" wrapText="1"/>
      <protection locked="0"/>
    </xf>
    <xf numFmtId="1" fontId="1" fillId="0" borderId="5" xfId="0" applyNumberFormat="1" applyFont="1" applyFill="1" applyBorder="1" applyAlignment="1" applyProtection="1">
      <alignment horizontal="center" vertical="center" wrapText="1"/>
      <protection locked="0"/>
    </xf>
    <xf numFmtId="1" fontId="1" fillId="0" borderId="12" xfId="0" applyNumberFormat="1" applyFont="1" applyFill="1" applyBorder="1" applyAlignment="1">
      <alignment horizontal="center" vertical="center" wrapText="1"/>
    </xf>
    <xf numFmtId="1" fontId="1" fillId="0" borderId="14" xfId="0" applyNumberFormat="1" applyFont="1" applyFill="1" applyBorder="1" applyAlignment="1" applyProtection="1">
      <alignment horizontal="center" vertical="center"/>
      <protection locked="0"/>
    </xf>
    <xf numFmtId="1" fontId="1" fillId="0" borderId="7" xfId="0" applyNumberFormat="1" applyFont="1" applyFill="1" applyBorder="1" applyAlignment="1" applyProtection="1">
      <alignment horizontal="center" vertical="center" wrapText="1"/>
      <protection locked="0"/>
    </xf>
    <xf numFmtId="1" fontId="1" fillId="0" borderId="6" xfId="0" applyNumberFormat="1" applyFont="1" applyFill="1" applyBorder="1" applyAlignment="1" applyProtection="1">
      <alignment horizontal="center" vertical="center" wrapText="1"/>
      <protection locked="0"/>
    </xf>
    <xf numFmtId="0" fontId="0" fillId="16" borderId="39" xfId="0" applyFill="1" applyBorder="1" applyAlignment="1">
      <alignment horizontal="center" vertical="center"/>
    </xf>
    <xf numFmtId="0" fontId="0" fillId="16" borderId="49" xfId="0" applyFill="1" applyBorder="1" applyAlignment="1">
      <alignment horizontal="center" vertical="center"/>
    </xf>
    <xf numFmtId="0" fontId="0" fillId="16" borderId="48" xfId="0" applyFill="1" applyBorder="1" applyAlignment="1">
      <alignment horizontal="center" vertical="center"/>
    </xf>
    <xf numFmtId="0" fontId="8" fillId="16" borderId="38" xfId="0" applyFont="1" applyFill="1" applyBorder="1" applyAlignment="1">
      <alignment horizontal="center" vertical="center"/>
    </xf>
    <xf numFmtId="0" fontId="8" fillId="16" borderId="49" xfId="0" applyFont="1" applyFill="1" applyBorder="1" applyAlignment="1">
      <alignment horizontal="center" vertical="center"/>
    </xf>
    <xf numFmtId="0" fontId="8" fillId="16" borderId="48" xfId="0" applyFont="1" applyFill="1" applyBorder="1" applyAlignment="1">
      <alignment horizontal="center" vertical="center"/>
    </xf>
    <xf numFmtId="0" fontId="8" fillId="16" borderId="22" xfId="0" applyFont="1" applyFill="1" applyBorder="1" applyAlignment="1">
      <alignment horizontal="center" vertical="center"/>
    </xf>
    <xf numFmtId="0" fontId="8" fillId="16" borderId="0" xfId="0" applyFont="1" applyFill="1" applyBorder="1" applyAlignment="1">
      <alignment horizontal="center" vertical="center"/>
    </xf>
    <xf numFmtId="1" fontId="1" fillId="0" borderId="41" xfId="0" applyNumberFormat="1" applyFont="1" applyFill="1" applyBorder="1" applyAlignment="1" applyProtection="1">
      <alignment horizontal="center" vertical="center" wrapText="1"/>
      <protection locked="0"/>
    </xf>
    <xf numFmtId="1" fontId="1" fillId="0" borderId="13" xfId="0" applyNumberFormat="1" applyFont="1" applyFill="1" applyBorder="1" applyAlignment="1" applyProtection="1">
      <alignment horizontal="center" vertical="center" wrapText="1"/>
      <protection locked="0"/>
    </xf>
    <xf numFmtId="0" fontId="8" fillId="16" borderId="21" xfId="0" applyFont="1" applyFill="1" applyBorder="1" applyAlignment="1">
      <alignment horizontal="center" vertical="center"/>
    </xf>
    <xf numFmtId="0" fontId="8" fillId="16" borderId="19" xfId="0" applyFont="1" applyFill="1" applyBorder="1" applyAlignment="1">
      <alignment horizontal="center" vertical="center"/>
    </xf>
    <xf numFmtId="0" fontId="27" fillId="0" borderId="0" xfId="0" applyNumberFormat="1" applyFont="1" applyFill="1" applyBorder="1" applyAlignment="1" applyProtection="1">
      <alignment horizontal="center" vertical="center" wrapText="1"/>
      <protection locked="0"/>
    </xf>
    <xf numFmtId="0" fontId="0" fillId="16" borderId="4" xfId="0" applyFill="1" applyBorder="1" applyAlignment="1">
      <alignment horizontal="center" vertical="center"/>
    </xf>
    <xf numFmtId="0" fontId="0" fillId="16" borderId="19" xfId="0" applyFill="1" applyBorder="1" applyAlignment="1">
      <alignment horizontal="center" vertical="center"/>
    </xf>
    <xf numFmtId="0" fontId="0" fillId="16" borderId="50" xfId="0" applyFill="1" applyBorder="1" applyAlignment="1">
      <alignment horizontal="center" vertical="center"/>
    </xf>
    <xf numFmtId="0" fontId="8" fillId="16" borderId="50" xfId="0" applyFont="1" applyFill="1" applyBorder="1" applyAlignment="1">
      <alignment horizontal="center" vertical="center"/>
    </xf>
    <xf numFmtId="0" fontId="50" fillId="2" borderId="25" xfId="0" applyFont="1" applyFill="1" applyBorder="1" applyAlignment="1">
      <alignment horizont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10" fontId="27" fillId="0" borderId="41" xfId="0" applyNumberFormat="1" applyFont="1" applyFill="1" applyBorder="1" applyAlignment="1">
      <alignment horizontal="center" vertical="center" wrapText="1"/>
    </xf>
    <xf numFmtId="10" fontId="27" fillId="0" borderId="15" xfId="0" applyNumberFormat="1" applyFont="1" applyFill="1" applyBorder="1" applyAlignment="1">
      <alignment horizontal="center" vertical="center" wrapText="1"/>
    </xf>
    <xf numFmtId="10" fontId="27" fillId="0" borderId="13" xfId="0" applyNumberFormat="1" applyFont="1" applyFill="1" applyBorder="1" applyAlignment="1">
      <alignment horizontal="center" vertical="center" wrapText="1"/>
    </xf>
    <xf numFmtId="0" fontId="27" fillId="0" borderId="18" xfId="0" applyNumberFormat="1" applyFont="1" applyFill="1" applyBorder="1" applyAlignment="1" applyProtection="1">
      <alignment horizontal="center" vertical="center" wrapText="1"/>
      <protection locked="0"/>
    </xf>
    <xf numFmtId="0" fontId="27" fillId="0" borderId="51"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lignment horizontal="center"/>
    </xf>
    <xf numFmtId="0" fontId="1" fillId="0" borderId="8" xfId="0" applyNumberFormat="1" applyFont="1" applyFill="1" applyBorder="1" applyAlignment="1">
      <alignment horizontal="center"/>
    </xf>
    <xf numFmtId="0" fontId="27" fillId="0" borderId="39"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wrapText="1"/>
      <protection locked="0"/>
    </xf>
    <xf numFmtId="0" fontId="27" fillId="0" borderId="48" xfId="0" applyNumberFormat="1" applyFont="1" applyFill="1" applyBorder="1" applyAlignment="1" applyProtection="1">
      <alignment horizontal="center" vertical="center" wrapText="1"/>
      <protection locked="0"/>
    </xf>
    <xf numFmtId="0" fontId="27" fillId="0" borderId="29" xfId="0" applyNumberFormat="1" applyFont="1" applyFill="1" applyBorder="1" applyAlignment="1" applyProtection="1">
      <alignment horizontal="center" vertical="center" wrapText="1"/>
      <protection locked="0"/>
    </xf>
  </cellXfs>
  <cellStyles count="203">
    <cellStyle name="20% - Accent1 2" xfId="184" xr:uid="{00000000-0005-0000-0000-000000000000}"/>
    <cellStyle name="20% - Accent1 3" xfId="156" xr:uid="{00000000-0005-0000-0000-000001000000}"/>
    <cellStyle name="20% - Accent2 2" xfId="187" xr:uid="{00000000-0005-0000-0000-000002000000}"/>
    <cellStyle name="20% - Accent2 3" xfId="159" xr:uid="{00000000-0005-0000-0000-000003000000}"/>
    <cellStyle name="20% - Accent3 2" xfId="190" xr:uid="{00000000-0005-0000-0000-000004000000}"/>
    <cellStyle name="20% - Accent3 3" xfId="162" xr:uid="{00000000-0005-0000-0000-000005000000}"/>
    <cellStyle name="20% - Accent4 2" xfId="193" xr:uid="{00000000-0005-0000-0000-000006000000}"/>
    <cellStyle name="20% - Accent4 3" xfId="165" xr:uid="{00000000-0005-0000-0000-000007000000}"/>
    <cellStyle name="20% - Accent5 2" xfId="196" xr:uid="{00000000-0005-0000-0000-000008000000}"/>
    <cellStyle name="20% - Accent5 3" xfId="168" xr:uid="{00000000-0005-0000-0000-000009000000}"/>
    <cellStyle name="20% - Accent6 2" xfId="199" xr:uid="{00000000-0005-0000-0000-00000A000000}"/>
    <cellStyle name="20% - Accent6 3" xfId="171" xr:uid="{00000000-0005-0000-0000-00000B000000}"/>
    <cellStyle name="20% - uthevingsfarge 1" xfId="121" xr:uid="{00000000-0005-0000-0000-00000C000000}"/>
    <cellStyle name="20% - uthevingsfarge 2" xfId="122" xr:uid="{00000000-0005-0000-0000-00000D000000}"/>
    <cellStyle name="20% - uthevingsfarge 3" xfId="123" xr:uid="{00000000-0005-0000-0000-00000E000000}"/>
    <cellStyle name="20% - uthevingsfarge 4" xfId="124" xr:uid="{00000000-0005-0000-0000-00000F000000}"/>
    <cellStyle name="20% - uthevingsfarge 5" xfId="125" xr:uid="{00000000-0005-0000-0000-000010000000}"/>
    <cellStyle name="20% - uthevingsfarge 6" xfId="126" xr:uid="{00000000-0005-0000-0000-000011000000}"/>
    <cellStyle name="40% - Accent1 2" xfId="185" xr:uid="{00000000-0005-0000-0000-000012000000}"/>
    <cellStyle name="40% - Accent1 3" xfId="157" xr:uid="{00000000-0005-0000-0000-000013000000}"/>
    <cellStyle name="40% - Accent2 2" xfId="188" xr:uid="{00000000-0005-0000-0000-000014000000}"/>
    <cellStyle name="40% - Accent2 3" xfId="160" xr:uid="{00000000-0005-0000-0000-000015000000}"/>
    <cellStyle name="40% - Accent3 2" xfId="191" xr:uid="{00000000-0005-0000-0000-000016000000}"/>
    <cellStyle name="40% - Accent3 3" xfId="163" xr:uid="{00000000-0005-0000-0000-000017000000}"/>
    <cellStyle name="40% - Accent4 2" xfId="194" xr:uid="{00000000-0005-0000-0000-000018000000}"/>
    <cellStyle name="40% - Accent4 3" xfId="166" xr:uid="{00000000-0005-0000-0000-000019000000}"/>
    <cellStyle name="40% - Accent5 2" xfId="197" xr:uid="{00000000-0005-0000-0000-00001A000000}"/>
    <cellStyle name="40% - Accent5 3" xfId="169" xr:uid="{00000000-0005-0000-0000-00001B000000}"/>
    <cellStyle name="40% - Accent6 2" xfId="200" xr:uid="{00000000-0005-0000-0000-00001C000000}"/>
    <cellStyle name="40% - Accent6 3" xfId="172" xr:uid="{00000000-0005-0000-0000-00001D000000}"/>
    <cellStyle name="40% - uthevingsfarge 1" xfId="127" xr:uid="{00000000-0005-0000-0000-00001E000000}"/>
    <cellStyle name="40% - uthevingsfarge 2" xfId="128" xr:uid="{00000000-0005-0000-0000-00001F000000}"/>
    <cellStyle name="40% - uthevingsfarge 3" xfId="129" xr:uid="{00000000-0005-0000-0000-000020000000}"/>
    <cellStyle name="40% - uthevingsfarge 4" xfId="130" xr:uid="{00000000-0005-0000-0000-000021000000}"/>
    <cellStyle name="40% - uthevingsfarge 5" xfId="131" xr:uid="{00000000-0005-0000-0000-000022000000}"/>
    <cellStyle name="40% - uthevingsfarge 6" xfId="132" xr:uid="{00000000-0005-0000-0000-000023000000}"/>
    <cellStyle name="60% - Accent1 2" xfId="176" xr:uid="{00000000-0005-0000-0000-000024000000}"/>
    <cellStyle name="60% - Accent1 3" xfId="186" xr:uid="{00000000-0005-0000-0000-000025000000}"/>
    <cellStyle name="60% - Accent2 2" xfId="177" xr:uid="{00000000-0005-0000-0000-000026000000}"/>
    <cellStyle name="60% - Accent2 3" xfId="189" xr:uid="{00000000-0005-0000-0000-000027000000}"/>
    <cellStyle name="60% - Accent3 2" xfId="178" xr:uid="{00000000-0005-0000-0000-000028000000}"/>
    <cellStyle name="60% - Accent3 3" xfId="192" xr:uid="{00000000-0005-0000-0000-000029000000}"/>
    <cellStyle name="60% - Accent4 2" xfId="179" xr:uid="{00000000-0005-0000-0000-00002A000000}"/>
    <cellStyle name="60% - Accent4 3" xfId="195" xr:uid="{00000000-0005-0000-0000-00002B000000}"/>
    <cellStyle name="60% - Accent5 2" xfId="180" xr:uid="{00000000-0005-0000-0000-00002C000000}"/>
    <cellStyle name="60% - Accent5 3" xfId="198" xr:uid="{00000000-0005-0000-0000-00002D000000}"/>
    <cellStyle name="60% - Accent6 2" xfId="181" xr:uid="{00000000-0005-0000-0000-00002E000000}"/>
    <cellStyle name="60% - Accent6 3" xfId="201" xr:uid="{00000000-0005-0000-0000-00002F000000}"/>
    <cellStyle name="60% - uthevingsfarge 1" xfId="133" xr:uid="{00000000-0005-0000-0000-000030000000}"/>
    <cellStyle name="60% - uthevingsfarge 2" xfId="134" xr:uid="{00000000-0005-0000-0000-000031000000}"/>
    <cellStyle name="60% - uthevingsfarge 3" xfId="135" xr:uid="{00000000-0005-0000-0000-000032000000}"/>
    <cellStyle name="60% - uthevingsfarge 4" xfId="136" xr:uid="{00000000-0005-0000-0000-000033000000}"/>
    <cellStyle name="60% - uthevingsfarge 5" xfId="137" xr:uid="{00000000-0005-0000-0000-000034000000}"/>
    <cellStyle name="60% - uthevingsfarge 6" xfId="138" xr:uid="{00000000-0005-0000-0000-000035000000}"/>
    <cellStyle name="Accent1 2" xfId="155" xr:uid="{00000000-0005-0000-0000-000036000000}"/>
    <cellStyle name="Accent2 2" xfId="158" xr:uid="{00000000-0005-0000-0000-000037000000}"/>
    <cellStyle name="Accent3 2" xfId="161" xr:uid="{00000000-0005-0000-0000-000038000000}"/>
    <cellStyle name="Accent4 2" xfId="164" xr:uid="{00000000-0005-0000-0000-000039000000}"/>
    <cellStyle name="Accent5 2" xfId="167" xr:uid="{00000000-0005-0000-0000-00003A000000}"/>
    <cellStyle name="Accent6 2" xfId="170" xr:uid="{00000000-0005-0000-0000-00003B000000}"/>
    <cellStyle name="Bad 2" xfId="146" xr:uid="{00000000-0005-0000-0000-00003C000000}"/>
    <cellStyle name="bin" xfId="2" xr:uid="{00000000-0005-0000-0000-00003D000000}"/>
    <cellStyle name="blue" xfId="3" xr:uid="{00000000-0005-0000-0000-00003E000000}"/>
    <cellStyle name="Calculation 2" xfId="149" xr:uid="{00000000-0005-0000-0000-00003F000000}"/>
    <cellStyle name="čárky_1997" xfId="4" xr:uid="{00000000-0005-0000-0000-000040000000}"/>
    <cellStyle name="cell" xfId="5" xr:uid="{00000000-0005-0000-0000-000041000000}"/>
    <cellStyle name="cell 2" xfId="6" xr:uid="{00000000-0005-0000-0000-000042000000}"/>
    <cellStyle name="cell 2 2" xfId="7" xr:uid="{00000000-0005-0000-0000-000043000000}"/>
    <cellStyle name="cell 3" xfId="8" xr:uid="{00000000-0005-0000-0000-000044000000}"/>
    <cellStyle name="cell 3 2" xfId="9" xr:uid="{00000000-0005-0000-0000-000045000000}"/>
    <cellStyle name="cell 4" xfId="10" xr:uid="{00000000-0005-0000-0000-000046000000}"/>
    <cellStyle name="cell_06entr" xfId="11" xr:uid="{00000000-0005-0000-0000-000047000000}"/>
    <cellStyle name="Check Cell 2" xfId="151" xr:uid="{00000000-0005-0000-0000-000048000000}"/>
    <cellStyle name="Col&amp;RowHeadings" xfId="12" xr:uid="{00000000-0005-0000-0000-000049000000}"/>
    <cellStyle name="ColCodes" xfId="13" xr:uid="{00000000-0005-0000-0000-00004A000000}"/>
    <cellStyle name="ColTitles" xfId="14" xr:uid="{00000000-0005-0000-0000-00004B000000}"/>
    <cellStyle name="column" xfId="15" xr:uid="{00000000-0005-0000-0000-00004C000000}"/>
    <cellStyle name="Comma" xfId="1" builtinId="3"/>
    <cellStyle name="Comma 2" xfId="140" xr:uid="{00000000-0005-0000-0000-00004E000000}"/>
    <cellStyle name="DataEntryCells" xfId="16" xr:uid="{00000000-0005-0000-0000-00004F000000}"/>
    <cellStyle name="DataEntryCells 2" xfId="17" xr:uid="{00000000-0005-0000-0000-000050000000}"/>
    <cellStyle name="DataEntryCells 2 2" xfId="18" xr:uid="{00000000-0005-0000-0000-000051000000}"/>
    <cellStyle name="DataEntryCells 2_08pers" xfId="19" xr:uid="{00000000-0005-0000-0000-000052000000}"/>
    <cellStyle name="DataEntryCells_05entr" xfId="20" xr:uid="{00000000-0005-0000-0000-000053000000}"/>
    <cellStyle name="ErrRpt_DataEntryCells" xfId="21" xr:uid="{00000000-0005-0000-0000-000054000000}"/>
    <cellStyle name="ErrRpt-DataEntryCells" xfId="22" xr:uid="{00000000-0005-0000-0000-000055000000}"/>
    <cellStyle name="ErrRpt-DataEntryCells 2" xfId="23" xr:uid="{00000000-0005-0000-0000-000056000000}"/>
    <cellStyle name="ErrRpt-GreyBackground" xfId="24" xr:uid="{00000000-0005-0000-0000-000057000000}"/>
    <cellStyle name="Explanatory Text 2" xfId="153" xr:uid="{00000000-0005-0000-0000-000058000000}"/>
    <cellStyle name="formula" xfId="25" xr:uid="{00000000-0005-0000-0000-000059000000}"/>
    <cellStyle name="formula 2" xfId="26" xr:uid="{00000000-0005-0000-0000-00005A000000}"/>
    <cellStyle name="gap" xfId="27" xr:uid="{00000000-0005-0000-0000-00005B000000}"/>
    <cellStyle name="Good 2" xfId="145" xr:uid="{00000000-0005-0000-0000-00005C000000}"/>
    <cellStyle name="GreyBackground" xfId="28" xr:uid="{00000000-0005-0000-0000-00005D000000}"/>
    <cellStyle name="GreyBackground 2" xfId="29" xr:uid="{00000000-0005-0000-0000-00005E000000}"/>
    <cellStyle name="GreyBackground 2 2" xfId="30" xr:uid="{00000000-0005-0000-0000-00005F000000}"/>
    <cellStyle name="GreyBackground 2_08pers" xfId="31" xr:uid="{00000000-0005-0000-0000-000060000000}"/>
    <cellStyle name="GreyBackground_00enrl" xfId="32" xr:uid="{00000000-0005-0000-0000-000061000000}"/>
    <cellStyle name="Heading 1 2" xfId="141" xr:uid="{00000000-0005-0000-0000-000062000000}"/>
    <cellStyle name="Heading 2 2" xfId="142" xr:uid="{00000000-0005-0000-0000-000063000000}"/>
    <cellStyle name="Heading 3 2" xfId="143" xr:uid="{00000000-0005-0000-0000-000064000000}"/>
    <cellStyle name="Heading 4 2" xfId="144" xr:uid="{00000000-0005-0000-0000-000065000000}"/>
    <cellStyle name="Hyperlink" xfId="110" builtinId="8"/>
    <cellStyle name="Hyperlink 2" xfId="33" xr:uid="{00000000-0005-0000-0000-000067000000}"/>
    <cellStyle name="Hypertextový odkaz_SVK_neac-Janka" xfId="34" xr:uid="{00000000-0005-0000-0000-000068000000}"/>
    <cellStyle name="Input 2" xfId="147" xr:uid="{00000000-0005-0000-0000-000069000000}"/>
    <cellStyle name="ISC" xfId="35" xr:uid="{00000000-0005-0000-0000-00006A000000}"/>
    <cellStyle name="ISC 2" xfId="36" xr:uid="{00000000-0005-0000-0000-00006B000000}"/>
    <cellStyle name="isced" xfId="37" xr:uid="{00000000-0005-0000-0000-00006C000000}"/>
    <cellStyle name="isced 2" xfId="38" xr:uid="{00000000-0005-0000-0000-00006D000000}"/>
    <cellStyle name="ISCED Titles" xfId="39" xr:uid="{00000000-0005-0000-0000-00006E000000}"/>
    <cellStyle name="isced_06entr" xfId="40" xr:uid="{00000000-0005-0000-0000-00006F000000}"/>
    <cellStyle name="level1a" xfId="41" xr:uid="{00000000-0005-0000-0000-000070000000}"/>
    <cellStyle name="level1a 2" xfId="42" xr:uid="{00000000-0005-0000-0000-000071000000}"/>
    <cellStyle name="level2" xfId="43" xr:uid="{00000000-0005-0000-0000-000072000000}"/>
    <cellStyle name="level2a" xfId="44" xr:uid="{00000000-0005-0000-0000-000073000000}"/>
    <cellStyle name="level2a 2" xfId="45" xr:uid="{00000000-0005-0000-0000-000074000000}"/>
    <cellStyle name="level3" xfId="46" xr:uid="{00000000-0005-0000-0000-000075000000}"/>
    <cellStyle name="level3 2" xfId="47" xr:uid="{00000000-0005-0000-0000-000076000000}"/>
    <cellStyle name="level3 2 2" xfId="48" xr:uid="{00000000-0005-0000-0000-000077000000}"/>
    <cellStyle name="level3 3" xfId="49" xr:uid="{00000000-0005-0000-0000-000078000000}"/>
    <cellStyle name="Linked Cell 2" xfId="150" xr:uid="{00000000-0005-0000-0000-000079000000}"/>
    <cellStyle name="měny_1997" xfId="50" xr:uid="{00000000-0005-0000-0000-00007A000000}"/>
    <cellStyle name="Neutral 2" xfId="174" xr:uid="{00000000-0005-0000-0000-00007B000000}"/>
    <cellStyle name="Normal" xfId="0" builtinId="0"/>
    <cellStyle name="Normal 10" xfId="105" xr:uid="{00000000-0005-0000-0000-00007D000000}"/>
    <cellStyle name="Normal 10 2" xfId="111" xr:uid="{00000000-0005-0000-0000-00007E000000}"/>
    <cellStyle name="Normal 10 3" xfId="113" xr:uid="{00000000-0005-0000-0000-00007F000000}"/>
    <cellStyle name="Normal 10 3 2" xfId="119" xr:uid="{00000000-0005-0000-0000-000080000000}"/>
    <cellStyle name="Normal 10 3 3" xfId="118" xr:uid="{00000000-0005-0000-0000-000081000000}"/>
    <cellStyle name="Normal 10 3 4" xfId="117" xr:uid="{00000000-0005-0000-0000-000082000000}"/>
    <cellStyle name="Normal 11" xfId="116" xr:uid="{00000000-0005-0000-0000-000083000000}"/>
    <cellStyle name="Normal 11 2" xfId="51" xr:uid="{00000000-0005-0000-0000-000084000000}"/>
    <cellStyle name="Normal 11 3" xfId="120" xr:uid="{00000000-0005-0000-0000-000085000000}"/>
    <cellStyle name="Normal 12" xfId="173" xr:uid="{00000000-0005-0000-0000-000086000000}"/>
    <cellStyle name="Normal 13" xfId="182" xr:uid="{00000000-0005-0000-0000-000087000000}"/>
    <cellStyle name="Normal 2" xfId="52" xr:uid="{00000000-0005-0000-0000-000088000000}"/>
    <cellStyle name="Normal 2 2" xfId="53" xr:uid="{00000000-0005-0000-0000-000089000000}"/>
    <cellStyle name="Normal 2 2 2" xfId="54" xr:uid="{00000000-0005-0000-0000-00008A000000}"/>
    <cellStyle name="Normal 2 2 3" xfId="107" xr:uid="{00000000-0005-0000-0000-00008B000000}"/>
    <cellStyle name="Normal 2 3" xfId="55" xr:uid="{00000000-0005-0000-0000-00008C000000}"/>
    <cellStyle name="Normal 2 3 2" xfId="56" xr:uid="{00000000-0005-0000-0000-00008D000000}"/>
    <cellStyle name="Normal 2 4" xfId="57" xr:uid="{00000000-0005-0000-0000-00008E000000}"/>
    <cellStyle name="Normal 2 4 2" xfId="58" xr:uid="{00000000-0005-0000-0000-00008F000000}"/>
    <cellStyle name="Normal 2 5" xfId="59" xr:uid="{00000000-0005-0000-0000-000090000000}"/>
    <cellStyle name="Normal 2 5 2" xfId="60" xr:uid="{00000000-0005-0000-0000-000091000000}"/>
    <cellStyle name="Normal 2 6" xfId="61" xr:uid="{00000000-0005-0000-0000-000092000000}"/>
    <cellStyle name="Normal 3" xfId="62" xr:uid="{00000000-0005-0000-0000-000093000000}"/>
    <cellStyle name="Normal 3 2" xfId="63" xr:uid="{00000000-0005-0000-0000-000094000000}"/>
    <cellStyle name="Normal 3 2 2" xfId="108" xr:uid="{00000000-0005-0000-0000-000095000000}"/>
    <cellStyle name="Normal 3 3" xfId="64" xr:uid="{00000000-0005-0000-0000-000096000000}"/>
    <cellStyle name="Normal 3 4" xfId="106" xr:uid="{00000000-0005-0000-0000-000097000000}"/>
    <cellStyle name="Normal 4" xfId="65" xr:uid="{00000000-0005-0000-0000-000098000000}"/>
    <cellStyle name="Normal 4 2" xfId="66" xr:uid="{00000000-0005-0000-0000-000099000000}"/>
    <cellStyle name="Normal 5" xfId="67" xr:uid="{00000000-0005-0000-0000-00009A000000}"/>
    <cellStyle name="Normal 5 2" xfId="68" xr:uid="{00000000-0005-0000-0000-00009B000000}"/>
    <cellStyle name="Normal 6" xfId="69" xr:uid="{00000000-0005-0000-0000-00009C000000}"/>
    <cellStyle name="Normal 6 2" xfId="70" xr:uid="{00000000-0005-0000-0000-00009D000000}"/>
    <cellStyle name="Normal 7" xfId="71" xr:uid="{00000000-0005-0000-0000-00009E000000}"/>
    <cellStyle name="Normal 8" xfId="72" xr:uid="{00000000-0005-0000-0000-00009F000000}"/>
    <cellStyle name="Normal 8 2" xfId="109" xr:uid="{00000000-0005-0000-0000-0000A0000000}"/>
    <cellStyle name="Normal 9" xfId="73" xr:uid="{00000000-0005-0000-0000-0000A1000000}"/>
    <cellStyle name="Normal_B4.1" xfId="114" xr:uid="{00000000-0005-0000-0000-0000A2000000}"/>
    <cellStyle name="Normal_Book3" xfId="74" xr:uid="{00000000-0005-0000-0000-0000A3000000}"/>
    <cellStyle name="Normal_C1.2" xfId="115" xr:uid="{00000000-0005-0000-0000-0000A4000000}"/>
    <cellStyle name="Normal_Sheet2" xfId="112" xr:uid="{00000000-0005-0000-0000-0000A5000000}"/>
    <cellStyle name="normální_SVK ANNHRS-novy" xfId="75" xr:uid="{00000000-0005-0000-0000-0000A6000000}"/>
    <cellStyle name="Note 2" xfId="175" xr:uid="{00000000-0005-0000-0000-0000A7000000}"/>
    <cellStyle name="Note 3" xfId="183" xr:uid="{00000000-0005-0000-0000-0000A8000000}"/>
    <cellStyle name="Output 2" xfId="148" xr:uid="{00000000-0005-0000-0000-0000A9000000}"/>
    <cellStyle name="Percent 2" xfId="76" xr:uid="{00000000-0005-0000-0000-0000AA000000}"/>
    <cellStyle name="Percent 2 2" xfId="77" xr:uid="{00000000-0005-0000-0000-0000AB000000}"/>
    <cellStyle name="Percent 3" xfId="78" xr:uid="{00000000-0005-0000-0000-0000AC000000}"/>
    <cellStyle name="row" xfId="79" xr:uid="{00000000-0005-0000-0000-0000AD000000}"/>
    <cellStyle name="row 2" xfId="80" xr:uid="{00000000-0005-0000-0000-0000AE000000}"/>
    <cellStyle name="row 2 2" xfId="81" xr:uid="{00000000-0005-0000-0000-0000AF000000}"/>
    <cellStyle name="row 3" xfId="82" xr:uid="{00000000-0005-0000-0000-0000B0000000}"/>
    <cellStyle name="row_ENRLSUP5" xfId="83" xr:uid="{00000000-0005-0000-0000-0000B1000000}"/>
    <cellStyle name="RowCodes" xfId="84" xr:uid="{00000000-0005-0000-0000-0000B2000000}"/>
    <cellStyle name="Row-Col Headings" xfId="85" xr:uid="{00000000-0005-0000-0000-0000B3000000}"/>
    <cellStyle name="RowTitles" xfId="86" xr:uid="{00000000-0005-0000-0000-0000B4000000}"/>
    <cellStyle name="RowTitles 2" xfId="87" xr:uid="{00000000-0005-0000-0000-0000B5000000}"/>
    <cellStyle name="RowTitles1-Detail" xfId="88" xr:uid="{00000000-0005-0000-0000-0000B6000000}"/>
    <cellStyle name="RowTitles1-Detail 2" xfId="89" xr:uid="{00000000-0005-0000-0000-0000B7000000}"/>
    <cellStyle name="RowTitles1-Detail 2 2" xfId="90" xr:uid="{00000000-0005-0000-0000-0000B8000000}"/>
    <cellStyle name="RowTitles-Col2" xfId="91" xr:uid="{00000000-0005-0000-0000-0000B9000000}"/>
    <cellStyle name="RowTitles-Col2 2" xfId="92" xr:uid="{00000000-0005-0000-0000-0000BA000000}"/>
    <cellStyle name="RowTitles-Detail" xfId="93" xr:uid="{00000000-0005-0000-0000-0000BB000000}"/>
    <cellStyle name="RowTitles-Detail 2" xfId="94" xr:uid="{00000000-0005-0000-0000-0000BC000000}"/>
    <cellStyle name="RowTitles-Detail 2 2" xfId="95" xr:uid="{00000000-0005-0000-0000-0000BD000000}"/>
    <cellStyle name="Standaard 4" xfId="202" xr:uid="{F73E28CC-491F-4FB0-A445-9989F22FEDE7}"/>
    <cellStyle name="Standaard_OESO BEL_TRANS 2010 trim 1" xfId="96" xr:uid="{00000000-0005-0000-0000-0000BE000000}"/>
    <cellStyle name="Standard_Tabelle3" xfId="97" xr:uid="{00000000-0005-0000-0000-0000BF000000}"/>
    <cellStyle name="TableStyleLight1" xfId="98" xr:uid="{00000000-0005-0000-0000-0000C0000000}"/>
    <cellStyle name="TableStyleLight1 2" xfId="99" xr:uid="{00000000-0005-0000-0000-0000C1000000}"/>
    <cellStyle name="TableStyleLight1 2 2" xfId="100" xr:uid="{00000000-0005-0000-0000-0000C2000000}"/>
    <cellStyle name="TableStyleLight1 3" xfId="101" xr:uid="{00000000-0005-0000-0000-0000C3000000}"/>
    <cellStyle name="TableStyleLight1 4" xfId="102" xr:uid="{00000000-0005-0000-0000-0000C4000000}"/>
    <cellStyle name="temp" xfId="103" xr:uid="{00000000-0005-0000-0000-0000C5000000}"/>
    <cellStyle name="Title" xfId="139" builtinId="15" customBuiltin="1"/>
    <cellStyle name="title1" xfId="104" xr:uid="{00000000-0005-0000-0000-0000C7000000}"/>
    <cellStyle name="Total 2" xfId="154" xr:uid="{00000000-0005-0000-0000-0000C8000000}"/>
    <cellStyle name="Warning Text 2" xfId="152" xr:uid="{00000000-0005-0000-0000-0000C9000000}"/>
  </cellStyles>
  <dxfs count="4">
    <dxf>
      <fill>
        <patternFill>
          <bgColor rgb="FFFF0000"/>
        </patternFill>
      </fill>
    </dxf>
    <dxf>
      <font>
        <color auto="1"/>
      </font>
      <fill>
        <patternFill>
          <bgColor rgb="FFFF0000"/>
        </patternFill>
      </fill>
    </dxf>
    <dxf>
      <font>
        <color auto="1"/>
      </font>
      <fill>
        <patternFill>
          <bgColor rgb="FFFF0000"/>
        </patternFill>
      </fill>
    </dxf>
    <dxf>
      <font>
        <b val="0"/>
        <i val="0"/>
        <color auto="1"/>
      </font>
      <fill>
        <patternFill patternType="solid">
          <bgColor rgb="FFFF0000"/>
        </patternFill>
      </fill>
    </dxf>
  </dxfs>
  <tableStyles count="0" defaultTableStyle="TableStyleMedium9" defaultPivotStyle="PivotStyleLight16"/>
  <colors>
    <mruColors>
      <color rgb="FFD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118532</xdr:colOff>
      <xdr:row>6</xdr:row>
      <xdr:rowOff>85731</xdr:rowOff>
    </xdr:from>
    <xdr:to>
      <xdr:col>2</xdr:col>
      <xdr:colOff>296318</xdr:colOff>
      <xdr:row>9</xdr:row>
      <xdr:rowOff>102461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 uri="{28A0092B-C50C-407E-A947-70E740481C1C}">
              <a14:useLocalDpi xmlns:a14="http://schemas.microsoft.com/office/drawing/2010/main" val="0"/>
            </a:ext>
          </a:extLst>
        </a:blip>
        <a:srcRect b="15519"/>
        <a:stretch/>
      </xdr:blipFill>
      <xdr:spPr bwMode="auto">
        <a:xfrm>
          <a:off x="328082" y="1066806"/>
          <a:ext cx="1269986" cy="505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76200</xdr:rowOff>
    </xdr:from>
    <xdr:to>
      <xdr:col>2</xdr:col>
      <xdr:colOff>1266348</xdr:colOff>
      <xdr:row>5</xdr:row>
      <xdr:rowOff>46566</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0" y="247650"/>
          <a:ext cx="2244248" cy="687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2619375</xdr:colOff>
          <xdr:row>20</xdr:row>
          <xdr:rowOff>542925</xdr:rowOff>
        </xdr:to>
        <xdr:sp macro="" textlink="">
          <xdr:nvSpPr>
            <xdr:cNvPr id="8212" name="Group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200025</xdr:rowOff>
        </xdr:to>
        <xdr:sp macro="" textlink="">
          <xdr:nvSpPr>
            <xdr:cNvPr id="8213" name="Group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3</xdr:col>
          <xdr:colOff>0</xdr:colOff>
          <xdr:row>22</xdr:row>
          <xdr:rowOff>400050</xdr:rowOff>
        </xdr:to>
        <xdr:sp macro="" textlink="">
          <xdr:nvSpPr>
            <xdr:cNvPr id="8214" name="Group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9525</xdr:colOff>
          <xdr:row>23</xdr:row>
          <xdr:rowOff>95250</xdr:rowOff>
        </xdr:to>
        <xdr:sp macro="" textlink="">
          <xdr:nvSpPr>
            <xdr:cNvPr id="8215" name="Group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xdr:row>
          <xdr:rowOff>0</xdr:rowOff>
        </xdr:from>
        <xdr:to>
          <xdr:col>2</xdr:col>
          <xdr:colOff>1181100</xdr:colOff>
          <xdr:row>22</xdr:row>
          <xdr:rowOff>19050</xdr:rowOff>
        </xdr:to>
        <xdr:sp macro="" textlink="">
          <xdr:nvSpPr>
            <xdr:cNvPr id="8216" name="Group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0</xdr:rowOff>
        </xdr:from>
        <xdr:to>
          <xdr:col>2</xdr:col>
          <xdr:colOff>1238250</xdr:colOff>
          <xdr:row>27</xdr:row>
          <xdr:rowOff>104775</xdr:rowOff>
        </xdr:to>
        <xdr:sp macro="" textlink="">
          <xdr:nvSpPr>
            <xdr:cNvPr id="8217" name="Group Box 25" hidden="1">
              <a:extLst>
                <a:ext uri="{63B3BB69-23CF-44E3-9099-C40C66FF867C}">
                  <a14:compatExt spid="_x0000_s8217"/>
                </a:ext>
                <a:ext uri="{FF2B5EF4-FFF2-40B4-BE49-F238E27FC236}">
                  <a16:creationId xmlns:a16="http://schemas.microsoft.com/office/drawing/2014/main" id="{00000000-0008-0000-0300-00001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0</xdr:rowOff>
        </xdr:from>
        <xdr:to>
          <xdr:col>2</xdr:col>
          <xdr:colOff>2600325</xdr:colOff>
          <xdr:row>21</xdr:row>
          <xdr:rowOff>247650</xdr:rowOff>
        </xdr:to>
        <xdr:sp macro="" textlink="">
          <xdr:nvSpPr>
            <xdr:cNvPr id="8218" name="Group Box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0</xdr:rowOff>
        </xdr:from>
        <xdr:to>
          <xdr:col>2</xdr:col>
          <xdr:colOff>2057400</xdr:colOff>
          <xdr:row>21</xdr:row>
          <xdr:rowOff>247650</xdr:rowOff>
        </xdr:to>
        <xdr:sp macro="" textlink="">
          <xdr:nvSpPr>
            <xdr:cNvPr id="8219" name="Group Box 27" hidden="1">
              <a:extLst>
                <a:ext uri="{63B3BB69-23CF-44E3-9099-C40C66FF867C}">
                  <a14:compatExt spid="_x0000_s8219"/>
                </a:ext>
                <a:ext uri="{FF2B5EF4-FFF2-40B4-BE49-F238E27FC236}">
                  <a16:creationId xmlns:a16="http://schemas.microsoft.com/office/drawing/2014/main" id="{00000000-0008-0000-0300-00001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0</xdr:rowOff>
        </xdr:from>
        <xdr:to>
          <xdr:col>2</xdr:col>
          <xdr:colOff>2114550</xdr:colOff>
          <xdr:row>21</xdr:row>
          <xdr:rowOff>238125</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22</xdr:row>
          <xdr:rowOff>219075</xdr:rowOff>
        </xdr:to>
        <xdr:sp macro="" textlink="">
          <xdr:nvSpPr>
            <xdr:cNvPr id="8226" name="Group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8227" name="Group Box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8228" name="Group Box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0</xdr:rowOff>
        </xdr:from>
        <xdr:to>
          <xdr:col>2</xdr:col>
          <xdr:colOff>2600325</xdr:colOff>
          <xdr:row>21</xdr:row>
          <xdr:rowOff>247650</xdr:rowOff>
        </xdr:to>
        <xdr:sp macro="" textlink="">
          <xdr:nvSpPr>
            <xdr:cNvPr id="8229" name="Group Box 37" hidden="1">
              <a:extLst>
                <a:ext uri="{63B3BB69-23CF-44E3-9099-C40C66FF867C}">
                  <a14:compatExt spid="_x0000_s8229"/>
                </a:ext>
                <a:ext uri="{FF2B5EF4-FFF2-40B4-BE49-F238E27FC236}">
                  <a16:creationId xmlns:a16="http://schemas.microsoft.com/office/drawing/2014/main" id="{00000000-0008-0000-0300-00002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0</xdr:rowOff>
        </xdr:from>
        <xdr:to>
          <xdr:col>2</xdr:col>
          <xdr:colOff>2057400</xdr:colOff>
          <xdr:row>21</xdr:row>
          <xdr:rowOff>247650</xdr:rowOff>
        </xdr:to>
        <xdr:sp macro="" textlink="">
          <xdr:nvSpPr>
            <xdr:cNvPr id="8230" name="Group Box 38" hidden="1">
              <a:extLst>
                <a:ext uri="{63B3BB69-23CF-44E3-9099-C40C66FF867C}">
                  <a14:compatExt spid="_x0000_s8230"/>
                </a:ext>
                <a:ext uri="{FF2B5EF4-FFF2-40B4-BE49-F238E27FC236}">
                  <a16:creationId xmlns:a16="http://schemas.microsoft.com/office/drawing/2014/main" id="{00000000-0008-0000-0300-00002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0</xdr:rowOff>
        </xdr:from>
        <xdr:to>
          <xdr:col>2</xdr:col>
          <xdr:colOff>2114550</xdr:colOff>
          <xdr:row>21</xdr:row>
          <xdr:rowOff>247650</xdr:rowOff>
        </xdr:to>
        <xdr:sp macro="" textlink="">
          <xdr:nvSpPr>
            <xdr:cNvPr id="8231" name="Group Box 39" hidden="1">
              <a:extLst>
                <a:ext uri="{63B3BB69-23CF-44E3-9099-C40C66FF867C}">
                  <a14:compatExt spid="_x0000_s8231"/>
                </a:ext>
                <a:ext uri="{FF2B5EF4-FFF2-40B4-BE49-F238E27FC236}">
                  <a16:creationId xmlns:a16="http://schemas.microsoft.com/office/drawing/2014/main" id="{00000000-0008-0000-0300-00002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2</xdr:col>
          <xdr:colOff>2619375</xdr:colOff>
          <xdr:row>22</xdr:row>
          <xdr:rowOff>209550</xdr:rowOff>
        </xdr:to>
        <xdr:sp macro="" textlink="">
          <xdr:nvSpPr>
            <xdr:cNvPr id="8232" name="Group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200025</xdr:rowOff>
        </xdr:to>
        <xdr:sp macro="" textlink="">
          <xdr:nvSpPr>
            <xdr:cNvPr id="8233" name="Group Box 41"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9525</xdr:colOff>
          <xdr:row>23</xdr:row>
          <xdr:rowOff>95250</xdr:rowOff>
        </xdr:to>
        <xdr:sp macro="" textlink="">
          <xdr:nvSpPr>
            <xdr:cNvPr id="8235" name="Group Box 43" hidden="1">
              <a:extLst>
                <a:ext uri="{63B3BB69-23CF-44E3-9099-C40C66FF867C}">
                  <a14:compatExt spid="_x0000_s8235"/>
                </a:ext>
                <a:ext uri="{FF2B5EF4-FFF2-40B4-BE49-F238E27FC236}">
                  <a16:creationId xmlns:a16="http://schemas.microsoft.com/office/drawing/2014/main" id="{00000000-0008-0000-0300-00002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2114550</xdr:colOff>
          <xdr:row>22</xdr:row>
          <xdr:rowOff>247650</xdr:rowOff>
        </xdr:to>
        <xdr:sp macro="" textlink="">
          <xdr:nvSpPr>
            <xdr:cNvPr id="8236" name="Group Box 44" hidden="1">
              <a:extLst>
                <a:ext uri="{63B3BB69-23CF-44E3-9099-C40C66FF867C}">
                  <a14:compatExt spid="_x0000_s8236"/>
                </a:ext>
                <a:ext uri="{FF2B5EF4-FFF2-40B4-BE49-F238E27FC236}">
                  <a16:creationId xmlns:a16="http://schemas.microsoft.com/office/drawing/2014/main" id="{00000000-0008-0000-0300-00002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8237" name="Group Box 45" hidden="1">
              <a:extLst>
                <a:ext uri="{63B3BB69-23CF-44E3-9099-C40C66FF867C}">
                  <a14:compatExt spid="_x0000_s8237"/>
                </a:ext>
                <a:ext uri="{FF2B5EF4-FFF2-40B4-BE49-F238E27FC236}">
                  <a16:creationId xmlns:a16="http://schemas.microsoft.com/office/drawing/2014/main" id="{00000000-0008-0000-0300-00002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8238" name="Group Box 46" hidden="1">
              <a:extLst>
                <a:ext uri="{63B3BB69-23CF-44E3-9099-C40C66FF867C}">
                  <a14:compatExt spid="_x0000_s8238"/>
                </a:ext>
                <a:ext uri="{FF2B5EF4-FFF2-40B4-BE49-F238E27FC236}">
                  <a16:creationId xmlns:a16="http://schemas.microsoft.com/office/drawing/2014/main" id="{00000000-0008-0000-0300-00002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2</xdr:col>
          <xdr:colOff>2600325</xdr:colOff>
          <xdr:row>22</xdr:row>
          <xdr:rowOff>247650</xdr:rowOff>
        </xdr:to>
        <xdr:sp macro="" textlink="">
          <xdr:nvSpPr>
            <xdr:cNvPr id="8239" name="Group Box 47" hidden="1">
              <a:extLst>
                <a:ext uri="{63B3BB69-23CF-44E3-9099-C40C66FF867C}">
                  <a14:compatExt spid="_x0000_s8239"/>
                </a:ext>
                <a:ext uri="{FF2B5EF4-FFF2-40B4-BE49-F238E27FC236}">
                  <a16:creationId xmlns:a16="http://schemas.microsoft.com/office/drawing/2014/main" id="{00000000-0008-0000-0300-00002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57150</xdr:rowOff>
        </xdr:to>
        <xdr:sp macro="" textlink="">
          <xdr:nvSpPr>
            <xdr:cNvPr id="8240" name="Group Box 48" hidden="1">
              <a:extLst>
                <a:ext uri="{63B3BB69-23CF-44E3-9099-C40C66FF867C}">
                  <a14:compatExt spid="_x0000_s8240"/>
                </a:ext>
                <a:ext uri="{FF2B5EF4-FFF2-40B4-BE49-F238E27FC236}">
                  <a16:creationId xmlns:a16="http://schemas.microsoft.com/office/drawing/2014/main" id="{00000000-0008-0000-0300-00003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200025</xdr:rowOff>
        </xdr:to>
        <xdr:sp macro="" textlink="">
          <xdr:nvSpPr>
            <xdr:cNvPr id="8241" name="Group Box 49" hidden="1">
              <a:extLst>
                <a:ext uri="{63B3BB69-23CF-44E3-9099-C40C66FF867C}">
                  <a14:compatExt spid="_x0000_s8241"/>
                </a:ext>
                <a:ext uri="{FF2B5EF4-FFF2-40B4-BE49-F238E27FC236}">
                  <a16:creationId xmlns:a16="http://schemas.microsoft.com/office/drawing/2014/main" id="{00000000-0008-0000-0300-00003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1571625</xdr:colOff>
          <xdr:row>22</xdr:row>
          <xdr:rowOff>400050</xdr:rowOff>
        </xdr:to>
        <xdr:sp macro="" textlink="">
          <xdr:nvSpPr>
            <xdr:cNvPr id="8242" name="Group Box 50" hidden="1">
              <a:extLst>
                <a:ext uri="{63B3BB69-23CF-44E3-9099-C40C66FF867C}">
                  <a14:compatExt spid="_x0000_s8242"/>
                </a:ext>
                <a:ext uri="{FF2B5EF4-FFF2-40B4-BE49-F238E27FC236}">
                  <a16:creationId xmlns:a16="http://schemas.microsoft.com/office/drawing/2014/main" id="{00000000-0008-0000-0300-00003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1000125</xdr:colOff>
          <xdr:row>24</xdr:row>
          <xdr:rowOff>209550</xdr:rowOff>
        </xdr:to>
        <xdr:sp macro="" textlink="">
          <xdr:nvSpPr>
            <xdr:cNvPr id="8243" name="Group Box 51" hidden="1">
              <a:extLst>
                <a:ext uri="{63B3BB69-23CF-44E3-9099-C40C66FF867C}">
                  <a14:compatExt spid="_x0000_s8243"/>
                </a:ext>
                <a:ext uri="{FF2B5EF4-FFF2-40B4-BE49-F238E27FC236}">
                  <a16:creationId xmlns:a16="http://schemas.microsoft.com/office/drawing/2014/main" id="{00000000-0008-0000-0300-00003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0</xdr:rowOff>
        </xdr:from>
        <xdr:to>
          <xdr:col>9</xdr:col>
          <xdr:colOff>95250</xdr:colOff>
          <xdr:row>22</xdr:row>
          <xdr:rowOff>19050</xdr:rowOff>
        </xdr:to>
        <xdr:sp macro="" textlink="">
          <xdr:nvSpPr>
            <xdr:cNvPr id="8244" name="Group Box 52" hidden="1">
              <a:extLst>
                <a:ext uri="{63B3BB69-23CF-44E3-9099-C40C66FF867C}">
                  <a14:compatExt spid="_x0000_s8244"/>
                </a:ext>
                <a:ext uri="{FF2B5EF4-FFF2-40B4-BE49-F238E27FC236}">
                  <a16:creationId xmlns:a16="http://schemas.microsoft.com/office/drawing/2014/main" id="{00000000-0008-0000-0300-00003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9</xdr:col>
          <xdr:colOff>1543050</xdr:colOff>
          <xdr:row>21</xdr:row>
          <xdr:rowOff>247650</xdr:rowOff>
        </xdr:to>
        <xdr:sp macro="" textlink="">
          <xdr:nvSpPr>
            <xdr:cNvPr id="8245" name="Group Box 53" hidden="1">
              <a:extLst>
                <a:ext uri="{63B3BB69-23CF-44E3-9099-C40C66FF867C}">
                  <a14:compatExt spid="_x0000_s8245"/>
                </a:ext>
                <a:ext uri="{FF2B5EF4-FFF2-40B4-BE49-F238E27FC236}">
                  <a16:creationId xmlns:a16="http://schemas.microsoft.com/office/drawing/2014/main" id="{00000000-0008-0000-0300-00003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9</xdr:col>
          <xdr:colOff>1000125</xdr:colOff>
          <xdr:row>21</xdr:row>
          <xdr:rowOff>247650</xdr:rowOff>
        </xdr:to>
        <xdr:sp macro="" textlink="">
          <xdr:nvSpPr>
            <xdr:cNvPr id="8246" name="Group Box 54" hidden="1">
              <a:extLst>
                <a:ext uri="{63B3BB69-23CF-44E3-9099-C40C66FF867C}">
                  <a14:compatExt spid="_x0000_s8246"/>
                </a:ext>
                <a:ext uri="{FF2B5EF4-FFF2-40B4-BE49-F238E27FC236}">
                  <a16:creationId xmlns:a16="http://schemas.microsoft.com/office/drawing/2014/main" id="{00000000-0008-0000-0300-00003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9</xdr:col>
          <xdr:colOff>1057275</xdr:colOff>
          <xdr:row>21</xdr:row>
          <xdr:rowOff>238125</xdr:rowOff>
        </xdr:to>
        <xdr:sp macro="" textlink="">
          <xdr:nvSpPr>
            <xdr:cNvPr id="8247" name="Group Box 55" hidden="1">
              <a:extLst>
                <a:ext uri="{63B3BB69-23CF-44E3-9099-C40C66FF867C}">
                  <a14:compatExt spid="_x0000_s8247"/>
                </a:ext>
                <a:ext uri="{FF2B5EF4-FFF2-40B4-BE49-F238E27FC236}">
                  <a16:creationId xmlns:a16="http://schemas.microsoft.com/office/drawing/2014/main" id="{00000000-0008-0000-0300-00003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1562100</xdr:colOff>
          <xdr:row>22</xdr:row>
          <xdr:rowOff>219075</xdr:rowOff>
        </xdr:to>
        <xdr:sp macro="" textlink="">
          <xdr:nvSpPr>
            <xdr:cNvPr id="8248" name="Group Box 56" hidden="1">
              <a:extLst>
                <a:ext uri="{63B3BB69-23CF-44E3-9099-C40C66FF867C}">
                  <a14:compatExt spid="_x0000_s8248"/>
                </a:ext>
                <a:ext uri="{FF2B5EF4-FFF2-40B4-BE49-F238E27FC236}">
                  <a16:creationId xmlns:a16="http://schemas.microsoft.com/office/drawing/2014/main" id="{00000000-0008-0000-0300-00003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190500</xdr:rowOff>
        </xdr:to>
        <xdr:sp macro="" textlink="">
          <xdr:nvSpPr>
            <xdr:cNvPr id="8249" name="Group Box 57" hidden="1">
              <a:extLst>
                <a:ext uri="{63B3BB69-23CF-44E3-9099-C40C66FF867C}">
                  <a14:compatExt spid="_x0000_s8249"/>
                </a:ext>
                <a:ext ur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190500</xdr:rowOff>
        </xdr:to>
        <xdr:sp macro="" textlink="">
          <xdr:nvSpPr>
            <xdr:cNvPr id="8250" name="Group Box 58" hidden="1">
              <a:extLst>
                <a:ext uri="{63B3BB69-23CF-44E3-9099-C40C66FF867C}">
                  <a14:compatExt spid="_x0000_s8250"/>
                </a:ext>
                <a:ext uri="{FF2B5EF4-FFF2-40B4-BE49-F238E27FC236}">
                  <a16:creationId xmlns:a16="http://schemas.microsoft.com/office/drawing/2014/main" id="{00000000-0008-0000-0300-00003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9</xdr:col>
          <xdr:colOff>1543050</xdr:colOff>
          <xdr:row>21</xdr:row>
          <xdr:rowOff>247650</xdr:rowOff>
        </xdr:to>
        <xdr:sp macro="" textlink="">
          <xdr:nvSpPr>
            <xdr:cNvPr id="8251" name="Group Box 59" hidden="1">
              <a:extLst>
                <a:ext uri="{63B3BB69-23CF-44E3-9099-C40C66FF867C}">
                  <a14:compatExt spid="_x0000_s8251"/>
                </a:ext>
                <a:ext uri="{FF2B5EF4-FFF2-40B4-BE49-F238E27FC236}">
                  <a16:creationId xmlns:a16="http://schemas.microsoft.com/office/drawing/2014/main" id="{00000000-0008-0000-0300-00003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9</xdr:col>
          <xdr:colOff>1000125</xdr:colOff>
          <xdr:row>21</xdr:row>
          <xdr:rowOff>247650</xdr:rowOff>
        </xdr:to>
        <xdr:sp macro="" textlink="">
          <xdr:nvSpPr>
            <xdr:cNvPr id="8252" name="Group Box 60" hidden="1">
              <a:extLst>
                <a:ext uri="{63B3BB69-23CF-44E3-9099-C40C66FF867C}">
                  <a14:compatExt spid="_x0000_s8252"/>
                </a:ext>
                <a:ext uri="{FF2B5EF4-FFF2-40B4-BE49-F238E27FC236}">
                  <a16:creationId xmlns:a16="http://schemas.microsoft.com/office/drawing/2014/main" id="{00000000-0008-0000-0300-00003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9</xdr:col>
          <xdr:colOff>1057275</xdr:colOff>
          <xdr:row>21</xdr:row>
          <xdr:rowOff>247650</xdr:rowOff>
        </xdr:to>
        <xdr:sp macro="" textlink="">
          <xdr:nvSpPr>
            <xdr:cNvPr id="8253" name="Group Box 61" hidden="1">
              <a:extLst>
                <a:ext uri="{63B3BB69-23CF-44E3-9099-C40C66FF867C}">
                  <a14:compatExt spid="_x0000_s8253"/>
                </a:ext>
                <a:ext uri="{FF2B5EF4-FFF2-40B4-BE49-F238E27FC236}">
                  <a16:creationId xmlns:a16="http://schemas.microsoft.com/office/drawing/2014/main" id="{00000000-0008-0000-0300-00003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1562100</xdr:colOff>
          <xdr:row>22</xdr:row>
          <xdr:rowOff>209550</xdr:rowOff>
        </xdr:to>
        <xdr:sp macro="" textlink="">
          <xdr:nvSpPr>
            <xdr:cNvPr id="8254" name="Group Box 62" hidden="1">
              <a:extLst>
                <a:ext uri="{63B3BB69-23CF-44E3-9099-C40C66FF867C}">
                  <a14:compatExt spid="_x0000_s8254"/>
                </a:ext>
                <a:ext uri="{FF2B5EF4-FFF2-40B4-BE49-F238E27FC236}">
                  <a16:creationId xmlns:a16="http://schemas.microsoft.com/office/drawing/2014/main" id="{00000000-0008-0000-0300-00003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200025</xdr:rowOff>
        </xdr:to>
        <xdr:sp macro="" textlink="">
          <xdr:nvSpPr>
            <xdr:cNvPr id="8255" name="Group Box 63" hidden="1">
              <a:extLst>
                <a:ext uri="{63B3BB69-23CF-44E3-9099-C40C66FF867C}">
                  <a14:compatExt spid="_x0000_s8255"/>
                </a:ext>
                <a:ext uri="{FF2B5EF4-FFF2-40B4-BE49-F238E27FC236}">
                  <a16:creationId xmlns:a16="http://schemas.microsoft.com/office/drawing/2014/main" id="{00000000-0008-0000-0300-00003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1000125</xdr:colOff>
          <xdr:row>24</xdr:row>
          <xdr:rowOff>209550</xdr:rowOff>
        </xdr:to>
        <xdr:sp macro="" textlink="">
          <xdr:nvSpPr>
            <xdr:cNvPr id="8256" name="Group Box 64" hidden="1">
              <a:extLst>
                <a:ext uri="{63B3BB69-23CF-44E3-9099-C40C66FF867C}">
                  <a14:compatExt spid="_x0000_s8256"/>
                </a:ext>
                <a:ext uri="{FF2B5EF4-FFF2-40B4-BE49-F238E27FC236}">
                  <a16:creationId xmlns:a16="http://schemas.microsoft.com/office/drawing/2014/main" id="{00000000-0008-0000-0300-00004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0</xdr:rowOff>
        </xdr:from>
        <xdr:to>
          <xdr:col>9</xdr:col>
          <xdr:colOff>1057275</xdr:colOff>
          <xdr:row>22</xdr:row>
          <xdr:rowOff>247650</xdr:rowOff>
        </xdr:to>
        <xdr:sp macro="" textlink="">
          <xdr:nvSpPr>
            <xdr:cNvPr id="8257" name="Group Box 65" hidden="1">
              <a:extLst>
                <a:ext uri="{63B3BB69-23CF-44E3-9099-C40C66FF867C}">
                  <a14:compatExt spid="_x0000_s8257"/>
                </a:ext>
                <a:ext uri="{FF2B5EF4-FFF2-40B4-BE49-F238E27FC236}">
                  <a16:creationId xmlns:a16="http://schemas.microsoft.com/office/drawing/2014/main" id="{00000000-0008-0000-0300-00004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9</xdr:col>
          <xdr:colOff>1571625</xdr:colOff>
          <xdr:row>22</xdr:row>
          <xdr:rowOff>200025</xdr:rowOff>
        </xdr:to>
        <xdr:sp macro="" textlink="">
          <xdr:nvSpPr>
            <xdr:cNvPr id="8258" name="Group Box 66" hidden="1">
              <a:extLst>
                <a:ext uri="{63B3BB69-23CF-44E3-9099-C40C66FF867C}">
                  <a14:compatExt spid="_x0000_s8258"/>
                </a:ext>
                <a:ext uri="{FF2B5EF4-FFF2-40B4-BE49-F238E27FC236}">
                  <a16:creationId xmlns:a16="http://schemas.microsoft.com/office/drawing/2014/main" id="{00000000-0008-0000-0300-00004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9</xdr:col>
          <xdr:colOff>1571625</xdr:colOff>
          <xdr:row>22</xdr:row>
          <xdr:rowOff>200025</xdr:rowOff>
        </xdr:to>
        <xdr:sp macro="" textlink="">
          <xdr:nvSpPr>
            <xdr:cNvPr id="8259" name="Group Box 67" hidden="1">
              <a:extLst>
                <a:ext uri="{63B3BB69-23CF-44E3-9099-C40C66FF867C}">
                  <a14:compatExt spid="_x0000_s8259"/>
                </a:ext>
                <a:ext uri="{FF2B5EF4-FFF2-40B4-BE49-F238E27FC236}">
                  <a16:creationId xmlns:a16="http://schemas.microsoft.com/office/drawing/2014/main" id="{00000000-0008-0000-0300-00004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9</xdr:col>
          <xdr:colOff>1543050</xdr:colOff>
          <xdr:row>22</xdr:row>
          <xdr:rowOff>247650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3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9</xdr:col>
          <xdr:colOff>1562100</xdr:colOff>
          <xdr:row>23</xdr:row>
          <xdr:rowOff>57150</xdr:rowOff>
        </xdr:to>
        <xdr:sp macro="" textlink="">
          <xdr:nvSpPr>
            <xdr:cNvPr id="8261" name="Group Box 69" hidden="1">
              <a:extLst>
                <a:ext uri="{63B3BB69-23CF-44E3-9099-C40C66FF867C}">
                  <a14:compatExt spid="_x0000_s8261"/>
                </a:ext>
                <a:ext uri="{FF2B5EF4-FFF2-40B4-BE49-F238E27FC236}">
                  <a16:creationId xmlns:a16="http://schemas.microsoft.com/office/drawing/2014/main" id="{00000000-0008-0000-0300-00004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1571625</xdr:colOff>
          <xdr:row>22</xdr:row>
          <xdr:rowOff>400050</xdr:rowOff>
        </xdr:to>
        <xdr:sp macro="" textlink="">
          <xdr:nvSpPr>
            <xdr:cNvPr id="8262" name="Group Box 70" hidden="1">
              <a:extLst>
                <a:ext uri="{63B3BB69-23CF-44E3-9099-C40C66FF867C}">
                  <a14:compatExt spid="_x0000_s8262"/>
                </a:ext>
                <a:ext uri="{FF2B5EF4-FFF2-40B4-BE49-F238E27FC236}">
                  <a16:creationId xmlns:a16="http://schemas.microsoft.com/office/drawing/2014/main" id="{00000000-0008-0000-0300-00004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2114550</xdr:colOff>
          <xdr:row>22</xdr:row>
          <xdr:rowOff>247650</xdr:rowOff>
        </xdr:to>
        <xdr:sp macro="" textlink="">
          <xdr:nvSpPr>
            <xdr:cNvPr id="8266" name="Group Box 74" hidden="1">
              <a:extLst>
                <a:ext uri="{63B3BB69-23CF-44E3-9099-C40C66FF867C}">
                  <a14:compatExt spid="_x0000_s8266"/>
                </a:ext>
                <a:ext uri="{FF2B5EF4-FFF2-40B4-BE49-F238E27FC236}">
                  <a16:creationId xmlns:a16="http://schemas.microsoft.com/office/drawing/2014/main" id="{00000000-0008-0000-0300-00004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8267" name="Group Box 75" hidden="1">
              <a:extLst>
                <a:ext uri="{63B3BB69-23CF-44E3-9099-C40C66FF867C}">
                  <a14:compatExt spid="_x0000_s8267"/>
                </a:ext>
                <a:ext uri="{FF2B5EF4-FFF2-40B4-BE49-F238E27FC236}">
                  <a16:creationId xmlns:a16="http://schemas.microsoft.com/office/drawing/2014/main" id="{00000000-0008-0000-0300-00004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8268" name="Group Box 76" hidden="1">
              <a:extLst>
                <a:ext uri="{63B3BB69-23CF-44E3-9099-C40C66FF867C}">
                  <a14:compatExt spid="_x0000_s8268"/>
                </a:ext>
                <a:ext uri="{FF2B5EF4-FFF2-40B4-BE49-F238E27FC236}">
                  <a16:creationId xmlns:a16="http://schemas.microsoft.com/office/drawing/2014/main" id="{00000000-0008-0000-0300-00004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2</xdr:col>
          <xdr:colOff>2600325</xdr:colOff>
          <xdr:row>22</xdr:row>
          <xdr:rowOff>247650</xdr:rowOff>
        </xdr:to>
        <xdr:sp macro="" textlink="">
          <xdr:nvSpPr>
            <xdr:cNvPr id="8269" name="Group Box 77" hidden="1">
              <a:extLst>
                <a:ext uri="{63B3BB69-23CF-44E3-9099-C40C66FF867C}">
                  <a14:compatExt spid="_x0000_s8269"/>
                </a:ext>
                <a:ext uri="{FF2B5EF4-FFF2-40B4-BE49-F238E27FC236}">
                  <a16:creationId xmlns:a16="http://schemas.microsoft.com/office/drawing/2014/main" id="{00000000-0008-0000-0300-00004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57150</xdr:rowOff>
        </xdr:to>
        <xdr:sp macro="" textlink="">
          <xdr:nvSpPr>
            <xdr:cNvPr id="8270" name="Group Box 78" hidden="1">
              <a:extLst>
                <a:ext uri="{63B3BB69-23CF-44E3-9099-C40C66FF867C}">
                  <a14:compatExt spid="_x0000_s8270"/>
                </a:ext>
                <a:ext uri="{FF2B5EF4-FFF2-40B4-BE49-F238E27FC236}">
                  <a16:creationId xmlns:a16="http://schemas.microsoft.com/office/drawing/2014/main" id="{00000000-0008-0000-0300-00004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9525</xdr:rowOff>
        </xdr:to>
        <xdr:sp macro="" textlink="">
          <xdr:nvSpPr>
            <xdr:cNvPr id="8272" name="Group Box 80" hidden="1">
              <a:extLst>
                <a:ext uri="{63B3BB69-23CF-44E3-9099-C40C66FF867C}">
                  <a14:compatExt spid="_x0000_s8272"/>
                </a:ext>
                <a:ext uri="{FF2B5EF4-FFF2-40B4-BE49-F238E27FC236}">
                  <a16:creationId xmlns:a16="http://schemas.microsoft.com/office/drawing/2014/main" id="{00000000-0008-0000-0300-00005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3</xdr:col>
          <xdr:colOff>0</xdr:colOff>
          <xdr:row>29</xdr:row>
          <xdr:rowOff>152400</xdr:rowOff>
        </xdr:to>
        <xdr:sp macro="" textlink="">
          <xdr:nvSpPr>
            <xdr:cNvPr id="8273" name="Group Box 81" hidden="1">
              <a:extLst>
                <a:ext uri="{63B3BB69-23CF-44E3-9099-C40C66FF867C}">
                  <a14:compatExt spid="_x0000_s8273"/>
                </a:ext>
                <a:ext uri="{FF2B5EF4-FFF2-40B4-BE49-F238E27FC236}">
                  <a16:creationId xmlns:a16="http://schemas.microsoft.com/office/drawing/2014/main" id="{00000000-0008-0000-0300-00005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0</xdr:rowOff>
        </xdr:from>
        <xdr:to>
          <xdr:col>2</xdr:col>
          <xdr:colOff>1181100</xdr:colOff>
          <xdr:row>27</xdr:row>
          <xdr:rowOff>142875</xdr:rowOff>
        </xdr:to>
        <xdr:sp macro="" textlink="">
          <xdr:nvSpPr>
            <xdr:cNvPr id="8274" name="Group Box 82" hidden="1">
              <a:extLst>
                <a:ext uri="{63B3BB69-23CF-44E3-9099-C40C66FF867C}">
                  <a14:compatExt spid="_x0000_s8274"/>
                </a:ext>
                <a:ext uri="{FF2B5EF4-FFF2-40B4-BE49-F238E27FC236}">
                  <a16:creationId xmlns:a16="http://schemas.microsoft.com/office/drawing/2014/main" id="{00000000-0008-0000-0300-00005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2</xdr:col>
          <xdr:colOff>2600325</xdr:colOff>
          <xdr:row>27</xdr:row>
          <xdr:rowOff>66675</xdr:rowOff>
        </xdr:to>
        <xdr:sp macro="" textlink="">
          <xdr:nvSpPr>
            <xdr:cNvPr id="8275" name="Group Box 83" hidden="1">
              <a:extLst>
                <a:ext uri="{63B3BB69-23CF-44E3-9099-C40C66FF867C}">
                  <a14:compatExt spid="_x0000_s8275"/>
                </a:ext>
                <a:ext uri="{FF2B5EF4-FFF2-40B4-BE49-F238E27FC236}">
                  <a16:creationId xmlns:a16="http://schemas.microsoft.com/office/drawing/2014/main" id="{00000000-0008-0000-0300-00005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0</xdr:rowOff>
        </xdr:from>
        <xdr:to>
          <xdr:col>2</xdr:col>
          <xdr:colOff>2057400</xdr:colOff>
          <xdr:row>27</xdr:row>
          <xdr:rowOff>66675</xdr:rowOff>
        </xdr:to>
        <xdr:sp macro="" textlink="">
          <xdr:nvSpPr>
            <xdr:cNvPr id="8276" name="Group Box 84" hidden="1">
              <a:extLst>
                <a:ext uri="{63B3BB69-23CF-44E3-9099-C40C66FF867C}">
                  <a14:compatExt spid="_x0000_s8276"/>
                </a:ext>
                <a:ext uri="{FF2B5EF4-FFF2-40B4-BE49-F238E27FC236}">
                  <a16:creationId xmlns:a16="http://schemas.microsoft.com/office/drawing/2014/main" id="{00000000-0008-0000-0300-00005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0</xdr:rowOff>
        </xdr:from>
        <xdr:to>
          <xdr:col>2</xdr:col>
          <xdr:colOff>2114550</xdr:colOff>
          <xdr:row>27</xdr:row>
          <xdr:rowOff>47625</xdr:rowOff>
        </xdr:to>
        <xdr:sp macro="" textlink="">
          <xdr:nvSpPr>
            <xdr:cNvPr id="8277" name="Group Box 85" hidden="1">
              <a:extLst>
                <a:ext uri="{63B3BB69-23CF-44E3-9099-C40C66FF867C}">
                  <a14:compatExt spid="_x0000_s8277"/>
                </a:ext>
                <a:ext uri="{FF2B5EF4-FFF2-40B4-BE49-F238E27FC236}">
                  <a16:creationId xmlns:a16="http://schemas.microsoft.com/office/drawing/2014/main" id="{00000000-0008-0000-0300-00005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2619375</xdr:colOff>
          <xdr:row>28</xdr:row>
          <xdr:rowOff>161925</xdr:rowOff>
        </xdr:to>
        <xdr:sp macro="" textlink="">
          <xdr:nvSpPr>
            <xdr:cNvPr id="8278" name="Group Box 86" hidden="1">
              <a:extLst>
                <a:ext uri="{63B3BB69-23CF-44E3-9099-C40C66FF867C}">
                  <a14:compatExt spid="_x0000_s8278"/>
                </a:ext>
                <a:ext uri="{FF2B5EF4-FFF2-40B4-BE49-F238E27FC236}">
                  <a16:creationId xmlns:a16="http://schemas.microsoft.com/office/drawing/2014/main" id="{00000000-0008-0000-0300-00005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8279" name="Group Box 87" hidden="1">
              <a:extLst>
                <a:ext uri="{63B3BB69-23CF-44E3-9099-C40C66FF867C}">
                  <a14:compatExt spid="_x0000_s8279"/>
                </a:ext>
                <a:ext uri="{FF2B5EF4-FFF2-40B4-BE49-F238E27FC236}">
                  <a16:creationId xmlns:a16="http://schemas.microsoft.com/office/drawing/2014/main" id="{00000000-0008-0000-0300-00005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8280" name="Group Box 88" hidden="1">
              <a:extLst>
                <a:ext uri="{63B3BB69-23CF-44E3-9099-C40C66FF867C}">
                  <a14:compatExt spid="_x0000_s8280"/>
                </a:ext>
                <a:ext uri="{FF2B5EF4-FFF2-40B4-BE49-F238E27FC236}">
                  <a16:creationId xmlns:a16="http://schemas.microsoft.com/office/drawing/2014/main" id="{00000000-0008-0000-0300-00005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2</xdr:col>
          <xdr:colOff>2600325</xdr:colOff>
          <xdr:row>27</xdr:row>
          <xdr:rowOff>66675</xdr:rowOff>
        </xdr:to>
        <xdr:sp macro="" textlink="">
          <xdr:nvSpPr>
            <xdr:cNvPr id="8281" name="Group Box 89" hidden="1">
              <a:extLst>
                <a:ext uri="{63B3BB69-23CF-44E3-9099-C40C66FF867C}">
                  <a14:compatExt spid="_x0000_s8281"/>
                </a:ext>
                <a:ext uri="{FF2B5EF4-FFF2-40B4-BE49-F238E27FC236}">
                  <a16:creationId xmlns:a16="http://schemas.microsoft.com/office/drawing/2014/main" id="{00000000-0008-0000-0300-00005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0</xdr:rowOff>
        </xdr:from>
        <xdr:to>
          <xdr:col>2</xdr:col>
          <xdr:colOff>2057400</xdr:colOff>
          <xdr:row>27</xdr:row>
          <xdr:rowOff>66675</xdr:rowOff>
        </xdr:to>
        <xdr:sp macro="" textlink="">
          <xdr:nvSpPr>
            <xdr:cNvPr id="8282" name="Group Box 90" hidden="1">
              <a:extLst>
                <a:ext uri="{63B3BB69-23CF-44E3-9099-C40C66FF867C}">
                  <a14:compatExt spid="_x0000_s8282"/>
                </a:ext>
                <a:ext uri="{FF2B5EF4-FFF2-40B4-BE49-F238E27FC236}">
                  <a16:creationId xmlns:a16="http://schemas.microsoft.com/office/drawing/2014/main" id="{00000000-0008-0000-0300-00005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0</xdr:rowOff>
        </xdr:from>
        <xdr:to>
          <xdr:col>2</xdr:col>
          <xdr:colOff>2114550</xdr:colOff>
          <xdr:row>27</xdr:row>
          <xdr:rowOff>66675</xdr:rowOff>
        </xdr:to>
        <xdr:sp macro="" textlink="">
          <xdr:nvSpPr>
            <xdr:cNvPr id="8283" name="Group Box 91" hidden="1">
              <a:extLst>
                <a:ext uri="{63B3BB69-23CF-44E3-9099-C40C66FF867C}">
                  <a14:compatExt spid="_x0000_s8283"/>
                </a:ext>
                <a:ext uri="{FF2B5EF4-FFF2-40B4-BE49-F238E27FC236}">
                  <a16:creationId xmlns:a16="http://schemas.microsoft.com/office/drawing/2014/main" id="{00000000-0008-0000-0300-00005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2619375</xdr:colOff>
          <xdr:row>28</xdr:row>
          <xdr:rowOff>161925</xdr:rowOff>
        </xdr:to>
        <xdr:sp macro="" textlink="">
          <xdr:nvSpPr>
            <xdr:cNvPr id="8284" name="Group Box 92" hidden="1">
              <a:extLst>
                <a:ext uri="{63B3BB69-23CF-44E3-9099-C40C66FF867C}">
                  <a14:compatExt spid="_x0000_s8284"/>
                </a:ext>
                <a:ext uri="{FF2B5EF4-FFF2-40B4-BE49-F238E27FC236}">
                  <a16:creationId xmlns:a16="http://schemas.microsoft.com/office/drawing/2014/main" id="{00000000-0008-0000-0300-00005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9525</xdr:rowOff>
        </xdr:to>
        <xdr:sp macro="" textlink="">
          <xdr:nvSpPr>
            <xdr:cNvPr id="8285" name="Group Box 93" hidden="1">
              <a:extLst>
                <a:ext uri="{63B3BB69-23CF-44E3-9099-C40C66FF867C}">
                  <a14:compatExt spid="_x0000_s8285"/>
                </a:ext>
                <a:ext uri="{FF2B5EF4-FFF2-40B4-BE49-F238E27FC236}">
                  <a16:creationId xmlns:a16="http://schemas.microsoft.com/office/drawing/2014/main" id="{00000000-0008-0000-0300-00005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2619375</xdr:colOff>
          <xdr:row>28</xdr:row>
          <xdr:rowOff>161925</xdr:rowOff>
        </xdr:to>
        <xdr:sp macro="" textlink="">
          <xdr:nvSpPr>
            <xdr:cNvPr id="8286" name="Group Box 94" hidden="1">
              <a:extLst>
                <a:ext uri="{63B3BB69-23CF-44E3-9099-C40C66FF867C}">
                  <a14:compatExt spid="_x0000_s8286"/>
                </a:ext>
                <a:ext uri="{FF2B5EF4-FFF2-40B4-BE49-F238E27FC236}">
                  <a16:creationId xmlns:a16="http://schemas.microsoft.com/office/drawing/2014/main" id="{00000000-0008-0000-0300-00005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2619375</xdr:colOff>
          <xdr:row>28</xdr:row>
          <xdr:rowOff>161925</xdr:rowOff>
        </xdr:to>
        <xdr:sp macro="" textlink="">
          <xdr:nvSpPr>
            <xdr:cNvPr id="8287" name="Group Box 95" hidden="1">
              <a:extLst>
                <a:ext uri="{63B3BB69-23CF-44E3-9099-C40C66FF867C}">
                  <a14:compatExt spid="_x0000_s8287"/>
                </a:ext>
                <a:ext uri="{FF2B5EF4-FFF2-40B4-BE49-F238E27FC236}">
                  <a16:creationId xmlns:a16="http://schemas.microsoft.com/office/drawing/2014/main" id="{00000000-0008-0000-0300-00005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2619375</xdr:colOff>
          <xdr:row>28</xdr:row>
          <xdr:rowOff>161925</xdr:rowOff>
        </xdr:to>
        <xdr:sp macro="" textlink="">
          <xdr:nvSpPr>
            <xdr:cNvPr id="8288" name="Group Box 96" hidden="1">
              <a:extLst>
                <a:ext uri="{63B3BB69-23CF-44E3-9099-C40C66FF867C}">
                  <a14:compatExt spid="_x0000_s8288"/>
                </a:ext>
                <a:ext uri="{FF2B5EF4-FFF2-40B4-BE49-F238E27FC236}">
                  <a16:creationId xmlns:a16="http://schemas.microsoft.com/office/drawing/2014/main" id="{00000000-0008-0000-0300-00006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2619375</xdr:colOff>
          <xdr:row>28</xdr:row>
          <xdr:rowOff>161925</xdr:rowOff>
        </xdr:to>
        <xdr:sp macro="" textlink="">
          <xdr:nvSpPr>
            <xdr:cNvPr id="8289" name="Group Box 97" hidden="1">
              <a:extLst>
                <a:ext uri="{63B3BB69-23CF-44E3-9099-C40C66FF867C}">
                  <a14:compatExt spid="_x0000_s8289"/>
                </a:ext>
                <a:ext uri="{FF2B5EF4-FFF2-40B4-BE49-F238E27FC236}">
                  <a16:creationId xmlns:a16="http://schemas.microsoft.com/office/drawing/2014/main" id="{00000000-0008-0000-0300-00006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25</xdr:row>
          <xdr:rowOff>38100</xdr:rowOff>
        </xdr:to>
        <xdr:sp macro="" textlink="">
          <xdr:nvSpPr>
            <xdr:cNvPr id="8292" name="Group Box 100" hidden="1">
              <a:extLst>
                <a:ext uri="{63B3BB69-23CF-44E3-9099-C40C66FF867C}">
                  <a14:compatExt spid="_x0000_s8292"/>
                </a:ext>
                <a:ext uri="{FF2B5EF4-FFF2-40B4-BE49-F238E27FC236}">
                  <a16:creationId xmlns:a16="http://schemas.microsoft.com/office/drawing/2014/main" id="{00000000-0008-0000-0300-00006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2619375</xdr:colOff>
          <xdr:row>20</xdr:row>
          <xdr:rowOff>533400</xdr:rowOff>
        </xdr:to>
        <xdr:sp macro="" textlink="">
          <xdr:nvSpPr>
            <xdr:cNvPr id="8294" name="Group Box 102" hidden="1">
              <a:extLst>
                <a:ext uri="{63B3BB69-23CF-44E3-9099-C40C66FF867C}">
                  <a14:compatExt spid="_x0000_s8294"/>
                </a:ext>
                <a:ext uri="{FF2B5EF4-FFF2-40B4-BE49-F238E27FC236}">
                  <a16:creationId xmlns:a16="http://schemas.microsoft.com/office/drawing/2014/main" id="{00000000-0008-0000-0300-00006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2619375</xdr:colOff>
          <xdr:row>20</xdr:row>
          <xdr:rowOff>533400</xdr:rowOff>
        </xdr:to>
        <xdr:sp macro="" textlink="">
          <xdr:nvSpPr>
            <xdr:cNvPr id="8295" name="Group Box 103" hidden="1">
              <a:extLst>
                <a:ext uri="{63B3BB69-23CF-44E3-9099-C40C66FF867C}">
                  <a14:compatExt spid="_x0000_s8295"/>
                </a:ext>
                <a:ext uri="{FF2B5EF4-FFF2-40B4-BE49-F238E27FC236}">
                  <a16:creationId xmlns:a16="http://schemas.microsoft.com/office/drawing/2014/main" id="{00000000-0008-0000-0300-00006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8296" name="Group Box 104" hidden="1">
              <a:extLst>
                <a:ext uri="{63B3BB69-23CF-44E3-9099-C40C66FF867C}">
                  <a14:compatExt spid="_x0000_s8296"/>
                </a:ext>
                <a:ext uri="{FF2B5EF4-FFF2-40B4-BE49-F238E27FC236}">
                  <a16:creationId xmlns:a16="http://schemas.microsoft.com/office/drawing/2014/main" id="{00000000-0008-0000-0300-00006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3</xdr:col>
          <xdr:colOff>0</xdr:colOff>
          <xdr:row>24</xdr:row>
          <xdr:rowOff>66675</xdr:rowOff>
        </xdr:to>
        <xdr:sp macro="" textlink="">
          <xdr:nvSpPr>
            <xdr:cNvPr id="8297" name="Group Box 105" hidden="1">
              <a:extLst>
                <a:ext uri="{63B3BB69-23CF-44E3-9099-C40C66FF867C}">
                  <a14:compatExt spid="_x0000_s8297"/>
                </a:ext>
                <a:ext uri="{FF2B5EF4-FFF2-40B4-BE49-F238E27FC236}">
                  <a16:creationId xmlns:a16="http://schemas.microsoft.com/office/drawing/2014/main" id="{00000000-0008-0000-0300-00006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24</xdr:row>
          <xdr:rowOff>209550</xdr:rowOff>
        </xdr:to>
        <xdr:sp macro="" textlink="">
          <xdr:nvSpPr>
            <xdr:cNvPr id="8298" name="Group Box 106" hidden="1">
              <a:extLst>
                <a:ext uri="{63B3BB69-23CF-44E3-9099-C40C66FF867C}">
                  <a14:compatExt spid="_x0000_s8298"/>
                </a:ext>
                <a:ext uri="{FF2B5EF4-FFF2-40B4-BE49-F238E27FC236}">
                  <a16:creationId xmlns:a16="http://schemas.microsoft.com/office/drawing/2014/main" id="{00000000-0008-0000-0300-00006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xdr:row>
          <xdr:rowOff>0</xdr:rowOff>
        </xdr:from>
        <xdr:to>
          <xdr:col>2</xdr:col>
          <xdr:colOff>1181100</xdr:colOff>
          <xdr:row>22</xdr:row>
          <xdr:rowOff>333375</xdr:rowOff>
        </xdr:to>
        <xdr:sp macro="" textlink="">
          <xdr:nvSpPr>
            <xdr:cNvPr id="8299" name="Group Box 107" hidden="1">
              <a:extLst>
                <a:ext uri="{63B3BB69-23CF-44E3-9099-C40C66FF867C}">
                  <a14:compatExt spid="_x0000_s8299"/>
                </a:ext>
                <a:ext uri="{FF2B5EF4-FFF2-40B4-BE49-F238E27FC236}">
                  <a16:creationId xmlns:a16="http://schemas.microsoft.com/office/drawing/2014/main" id="{00000000-0008-0000-0300-00006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2</xdr:col>
          <xdr:colOff>2600325</xdr:colOff>
          <xdr:row>22</xdr:row>
          <xdr:rowOff>247650</xdr:rowOff>
        </xdr:to>
        <xdr:sp macro="" textlink="">
          <xdr:nvSpPr>
            <xdr:cNvPr id="8300" name="Group Box 108" hidden="1">
              <a:extLst>
                <a:ext uri="{63B3BB69-23CF-44E3-9099-C40C66FF867C}">
                  <a14:compatExt spid="_x0000_s8300"/>
                </a:ext>
                <a:ext uri="{FF2B5EF4-FFF2-40B4-BE49-F238E27FC236}">
                  <a16:creationId xmlns:a16="http://schemas.microsoft.com/office/drawing/2014/main" id="{00000000-0008-0000-0300-00006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0</xdr:rowOff>
        </xdr:from>
        <xdr:to>
          <xdr:col>2</xdr:col>
          <xdr:colOff>2057400</xdr:colOff>
          <xdr:row>22</xdr:row>
          <xdr:rowOff>247650</xdr:rowOff>
        </xdr:to>
        <xdr:sp macro="" textlink="">
          <xdr:nvSpPr>
            <xdr:cNvPr id="8301" name="Group Box 109" hidden="1">
              <a:extLst>
                <a:ext uri="{63B3BB69-23CF-44E3-9099-C40C66FF867C}">
                  <a14:compatExt spid="_x0000_s8301"/>
                </a:ext>
                <a:ext uri="{FF2B5EF4-FFF2-40B4-BE49-F238E27FC236}">
                  <a16:creationId xmlns:a16="http://schemas.microsoft.com/office/drawing/2014/main" id="{00000000-0008-0000-0300-00006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2114550</xdr:colOff>
          <xdr:row>22</xdr:row>
          <xdr:rowOff>238125</xdr:rowOff>
        </xdr:to>
        <xdr:sp macro="" textlink="">
          <xdr:nvSpPr>
            <xdr:cNvPr id="8302" name="Group Box 110" hidden="1">
              <a:extLst>
                <a:ext uri="{63B3BB69-23CF-44E3-9099-C40C66FF867C}">
                  <a14:compatExt spid="_x0000_s8302"/>
                </a:ext>
                <a:ext uri="{FF2B5EF4-FFF2-40B4-BE49-F238E27FC236}">
                  <a16:creationId xmlns:a16="http://schemas.microsoft.com/office/drawing/2014/main" id="{00000000-0008-0000-0300-00006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57150</xdr:rowOff>
        </xdr:to>
        <xdr:sp macro="" textlink="">
          <xdr:nvSpPr>
            <xdr:cNvPr id="8303" name="Group Box 111" hidden="1">
              <a:extLst>
                <a:ext uri="{63B3BB69-23CF-44E3-9099-C40C66FF867C}">
                  <a14:compatExt spid="_x0000_s8303"/>
                </a:ext>
                <a:ext uri="{FF2B5EF4-FFF2-40B4-BE49-F238E27FC236}">
                  <a16:creationId xmlns:a16="http://schemas.microsoft.com/office/drawing/2014/main" id="{00000000-0008-0000-0300-00006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190500</xdr:rowOff>
        </xdr:to>
        <xdr:sp macro="" textlink="">
          <xdr:nvSpPr>
            <xdr:cNvPr id="8304" name="Group Box 112" hidden="1">
              <a:extLst>
                <a:ext uri="{63B3BB69-23CF-44E3-9099-C40C66FF867C}">
                  <a14:compatExt spid="_x0000_s8304"/>
                </a:ext>
                <a:ext uri="{FF2B5EF4-FFF2-40B4-BE49-F238E27FC236}">
                  <a16:creationId xmlns:a16="http://schemas.microsoft.com/office/drawing/2014/main" id="{00000000-0008-0000-0300-00007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190500</xdr:rowOff>
        </xdr:to>
        <xdr:sp macro="" textlink="">
          <xdr:nvSpPr>
            <xdr:cNvPr id="8305" name="Group Box 113" hidden="1">
              <a:extLst>
                <a:ext uri="{63B3BB69-23CF-44E3-9099-C40C66FF867C}">
                  <a14:compatExt spid="_x0000_s8305"/>
                </a:ext>
                <a:ext uri="{FF2B5EF4-FFF2-40B4-BE49-F238E27FC236}">
                  <a16:creationId xmlns:a16="http://schemas.microsoft.com/office/drawing/2014/main" id="{00000000-0008-0000-0300-00007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2</xdr:col>
          <xdr:colOff>2600325</xdr:colOff>
          <xdr:row>22</xdr:row>
          <xdr:rowOff>247650</xdr:rowOff>
        </xdr:to>
        <xdr:sp macro="" textlink="">
          <xdr:nvSpPr>
            <xdr:cNvPr id="8306" name="Group Box 114" hidden="1">
              <a:extLst>
                <a:ext uri="{63B3BB69-23CF-44E3-9099-C40C66FF867C}">
                  <a14:compatExt spid="_x0000_s8306"/>
                </a:ext>
                <a:ext uri="{FF2B5EF4-FFF2-40B4-BE49-F238E27FC236}">
                  <a16:creationId xmlns:a16="http://schemas.microsoft.com/office/drawing/2014/main" id="{00000000-0008-0000-0300-00007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0</xdr:rowOff>
        </xdr:from>
        <xdr:to>
          <xdr:col>2</xdr:col>
          <xdr:colOff>2057400</xdr:colOff>
          <xdr:row>22</xdr:row>
          <xdr:rowOff>247650</xdr:rowOff>
        </xdr:to>
        <xdr:sp macro="" textlink="">
          <xdr:nvSpPr>
            <xdr:cNvPr id="8307" name="Group Box 115" hidden="1">
              <a:extLst>
                <a:ext uri="{63B3BB69-23CF-44E3-9099-C40C66FF867C}">
                  <a14:compatExt spid="_x0000_s8307"/>
                </a:ext>
                <a:ext uri="{FF2B5EF4-FFF2-40B4-BE49-F238E27FC236}">
                  <a16:creationId xmlns:a16="http://schemas.microsoft.com/office/drawing/2014/main" id="{00000000-0008-0000-0300-00007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2114550</xdr:colOff>
          <xdr:row>22</xdr:row>
          <xdr:rowOff>247650</xdr:rowOff>
        </xdr:to>
        <xdr:sp macro="" textlink="">
          <xdr:nvSpPr>
            <xdr:cNvPr id="8308" name="Group Box 116" hidden="1">
              <a:extLst>
                <a:ext uri="{63B3BB69-23CF-44E3-9099-C40C66FF867C}">
                  <a14:compatExt spid="_x0000_s8308"/>
                </a:ext>
                <a:ext uri="{FF2B5EF4-FFF2-40B4-BE49-F238E27FC236}">
                  <a16:creationId xmlns:a16="http://schemas.microsoft.com/office/drawing/2014/main" id="{00000000-0008-0000-0300-00007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57150</xdr:rowOff>
        </xdr:to>
        <xdr:sp macro="" textlink="">
          <xdr:nvSpPr>
            <xdr:cNvPr id="8309" name="Group Box 117" hidden="1">
              <a:extLst>
                <a:ext uri="{63B3BB69-23CF-44E3-9099-C40C66FF867C}">
                  <a14:compatExt spid="_x0000_s8309"/>
                </a:ext>
                <a:ext uri="{FF2B5EF4-FFF2-40B4-BE49-F238E27FC236}">
                  <a16:creationId xmlns:a16="http://schemas.microsoft.com/office/drawing/2014/main" id="{00000000-0008-0000-0300-00007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22</xdr:row>
          <xdr:rowOff>200025</xdr:rowOff>
        </xdr:to>
        <xdr:sp macro="" textlink="">
          <xdr:nvSpPr>
            <xdr:cNvPr id="8310" name="Group Box 118" hidden="1">
              <a:extLst>
                <a:ext uri="{63B3BB69-23CF-44E3-9099-C40C66FF867C}">
                  <a14:compatExt spid="_x0000_s8310"/>
                </a:ext>
                <a:ext uri="{FF2B5EF4-FFF2-40B4-BE49-F238E27FC236}">
                  <a16:creationId xmlns:a16="http://schemas.microsoft.com/office/drawing/2014/main" id="{00000000-0008-0000-0300-00007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24</xdr:row>
          <xdr:rowOff>209550</xdr:rowOff>
        </xdr:to>
        <xdr:sp macro="" textlink="">
          <xdr:nvSpPr>
            <xdr:cNvPr id="8311" name="Group Box 119" hidden="1">
              <a:extLst>
                <a:ext uri="{63B3BB69-23CF-44E3-9099-C40C66FF867C}">
                  <a14:compatExt spid="_x0000_s8311"/>
                </a:ext>
                <a:ext uri="{FF2B5EF4-FFF2-40B4-BE49-F238E27FC236}">
                  <a16:creationId xmlns:a16="http://schemas.microsoft.com/office/drawing/2014/main" id="{00000000-0008-0000-0300-00007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20</xdr:row>
          <xdr:rowOff>200025</xdr:rowOff>
        </xdr:to>
        <xdr:sp macro="" textlink="">
          <xdr:nvSpPr>
            <xdr:cNvPr id="8312" name="Group Box 120" hidden="1">
              <a:extLst>
                <a:ext uri="{63B3BB69-23CF-44E3-9099-C40C66FF867C}">
                  <a14:compatExt spid="_x0000_s8312"/>
                </a:ext>
                <a:ext uri="{FF2B5EF4-FFF2-40B4-BE49-F238E27FC236}">
                  <a16:creationId xmlns:a16="http://schemas.microsoft.com/office/drawing/2014/main" id="{00000000-0008-0000-0300-00007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3</xdr:col>
          <xdr:colOff>0</xdr:colOff>
          <xdr:row>21</xdr:row>
          <xdr:rowOff>85725</xdr:rowOff>
        </xdr:to>
        <xdr:sp macro="" textlink="">
          <xdr:nvSpPr>
            <xdr:cNvPr id="8313" name="Group Box 121" hidden="1">
              <a:extLst>
                <a:ext uri="{63B3BB69-23CF-44E3-9099-C40C66FF867C}">
                  <a14:compatExt spid="_x0000_s8313"/>
                </a:ext>
                <a:ext uri="{FF2B5EF4-FFF2-40B4-BE49-F238E27FC236}">
                  <a16:creationId xmlns:a16="http://schemas.microsoft.com/office/drawing/2014/main" id="{00000000-0008-0000-0300-00007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xdr:colOff>
          <xdr:row>21</xdr:row>
          <xdr:rowOff>257175</xdr:rowOff>
        </xdr:to>
        <xdr:sp macro="" textlink="">
          <xdr:nvSpPr>
            <xdr:cNvPr id="8314" name="Group Box 122" hidden="1">
              <a:extLst>
                <a:ext uri="{63B3BB69-23CF-44E3-9099-C40C66FF867C}">
                  <a14:compatExt spid="_x0000_s8314"/>
                </a:ext>
                <a:ext uri="{FF2B5EF4-FFF2-40B4-BE49-F238E27FC236}">
                  <a16:creationId xmlns:a16="http://schemas.microsoft.com/office/drawing/2014/main" id="{00000000-0008-0000-0300-00007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xdr:row>
          <xdr:rowOff>0</xdr:rowOff>
        </xdr:from>
        <xdr:to>
          <xdr:col>2</xdr:col>
          <xdr:colOff>1181100</xdr:colOff>
          <xdr:row>20</xdr:row>
          <xdr:rowOff>333375</xdr:rowOff>
        </xdr:to>
        <xdr:sp macro="" textlink="">
          <xdr:nvSpPr>
            <xdr:cNvPr id="8315" name="Group Box 123" hidden="1">
              <a:extLst>
                <a:ext uri="{63B3BB69-23CF-44E3-9099-C40C66FF867C}">
                  <a14:compatExt spid="_x0000_s8315"/>
                </a:ext>
                <a:ext uri="{FF2B5EF4-FFF2-40B4-BE49-F238E27FC236}">
                  <a16:creationId xmlns:a16="http://schemas.microsoft.com/office/drawing/2014/main" id="{00000000-0008-0000-0300-00007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0</xdr:rowOff>
        </xdr:from>
        <xdr:to>
          <xdr:col>2</xdr:col>
          <xdr:colOff>2600325</xdr:colOff>
          <xdr:row>20</xdr:row>
          <xdr:rowOff>247650</xdr:rowOff>
        </xdr:to>
        <xdr:sp macro="" textlink="">
          <xdr:nvSpPr>
            <xdr:cNvPr id="8316" name="Group Box 124" hidden="1">
              <a:extLst>
                <a:ext uri="{63B3BB69-23CF-44E3-9099-C40C66FF867C}">
                  <a14:compatExt spid="_x0000_s8316"/>
                </a:ext>
                <a:ext uri="{FF2B5EF4-FFF2-40B4-BE49-F238E27FC236}">
                  <a16:creationId xmlns:a16="http://schemas.microsoft.com/office/drawing/2014/main" id="{00000000-0008-0000-0300-00007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2</xdr:col>
          <xdr:colOff>2057400</xdr:colOff>
          <xdr:row>20</xdr:row>
          <xdr:rowOff>247650</xdr:rowOff>
        </xdr:to>
        <xdr:sp macro="" textlink="">
          <xdr:nvSpPr>
            <xdr:cNvPr id="8317" name="Group Box 125" hidden="1">
              <a:extLst>
                <a:ext uri="{63B3BB69-23CF-44E3-9099-C40C66FF867C}">
                  <a14:compatExt spid="_x0000_s8317"/>
                </a:ext>
                <a:ext uri="{FF2B5EF4-FFF2-40B4-BE49-F238E27FC236}">
                  <a16:creationId xmlns:a16="http://schemas.microsoft.com/office/drawing/2014/main" id="{00000000-0008-0000-0300-00007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0</xdr:rowOff>
        </xdr:from>
        <xdr:to>
          <xdr:col>2</xdr:col>
          <xdr:colOff>2114550</xdr:colOff>
          <xdr:row>20</xdr:row>
          <xdr:rowOff>238125</xdr:rowOff>
        </xdr:to>
        <xdr:sp macro="" textlink="">
          <xdr:nvSpPr>
            <xdr:cNvPr id="8318" name="Group Box 126" hidden="1">
              <a:extLst>
                <a:ext uri="{63B3BB69-23CF-44E3-9099-C40C66FF867C}">
                  <a14:compatExt spid="_x0000_s8318"/>
                </a:ext>
                <a:ext uri="{FF2B5EF4-FFF2-40B4-BE49-F238E27FC236}">
                  <a16:creationId xmlns:a16="http://schemas.microsoft.com/office/drawing/2014/main" id="{00000000-0008-0000-0300-00007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2619375</xdr:colOff>
          <xdr:row>20</xdr:row>
          <xdr:rowOff>542925</xdr:rowOff>
        </xdr:to>
        <xdr:sp macro="" textlink="">
          <xdr:nvSpPr>
            <xdr:cNvPr id="8319" name="Group Box 127" hidden="1">
              <a:extLst>
                <a:ext uri="{63B3BB69-23CF-44E3-9099-C40C66FF867C}">
                  <a14:compatExt spid="_x0000_s8319"/>
                </a:ext>
                <a:ext uri="{FF2B5EF4-FFF2-40B4-BE49-F238E27FC236}">
                  <a16:creationId xmlns:a16="http://schemas.microsoft.com/office/drawing/2014/main" id="{00000000-0008-0000-0300-00007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20</xdr:row>
          <xdr:rowOff>190500</xdr:rowOff>
        </xdr:to>
        <xdr:sp macro="" textlink="">
          <xdr:nvSpPr>
            <xdr:cNvPr id="8320" name="Group Box 128" hidden="1">
              <a:extLst>
                <a:ext uri="{63B3BB69-23CF-44E3-9099-C40C66FF867C}">
                  <a14:compatExt spid="_x0000_s8320"/>
                </a:ext>
                <a:ext uri="{FF2B5EF4-FFF2-40B4-BE49-F238E27FC236}">
                  <a16:creationId xmlns:a16="http://schemas.microsoft.com/office/drawing/2014/main" id="{00000000-0008-0000-0300-00008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20</xdr:row>
          <xdr:rowOff>190500</xdr:rowOff>
        </xdr:to>
        <xdr:sp macro="" textlink="">
          <xdr:nvSpPr>
            <xdr:cNvPr id="8321" name="Group Box 129" hidden="1">
              <a:extLst>
                <a:ext uri="{63B3BB69-23CF-44E3-9099-C40C66FF867C}">
                  <a14:compatExt spid="_x0000_s8321"/>
                </a:ext>
                <a:ext uri="{FF2B5EF4-FFF2-40B4-BE49-F238E27FC236}">
                  <a16:creationId xmlns:a16="http://schemas.microsoft.com/office/drawing/2014/main" id="{00000000-0008-0000-0300-00008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0</xdr:rowOff>
        </xdr:from>
        <xdr:to>
          <xdr:col>2</xdr:col>
          <xdr:colOff>2600325</xdr:colOff>
          <xdr:row>20</xdr:row>
          <xdr:rowOff>247650</xdr:rowOff>
        </xdr:to>
        <xdr:sp macro="" textlink="">
          <xdr:nvSpPr>
            <xdr:cNvPr id="8322" name="Group Box 130" hidden="1">
              <a:extLst>
                <a:ext uri="{63B3BB69-23CF-44E3-9099-C40C66FF867C}">
                  <a14:compatExt spid="_x0000_s8322"/>
                </a:ext>
                <a:ext uri="{FF2B5EF4-FFF2-40B4-BE49-F238E27FC236}">
                  <a16:creationId xmlns:a16="http://schemas.microsoft.com/office/drawing/2014/main" id="{00000000-0008-0000-0300-00008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2</xdr:col>
          <xdr:colOff>2057400</xdr:colOff>
          <xdr:row>20</xdr:row>
          <xdr:rowOff>247650</xdr:rowOff>
        </xdr:to>
        <xdr:sp macro="" textlink="">
          <xdr:nvSpPr>
            <xdr:cNvPr id="8323" name="Group Box 131" hidden="1">
              <a:extLst>
                <a:ext uri="{63B3BB69-23CF-44E3-9099-C40C66FF867C}">
                  <a14:compatExt spid="_x0000_s8323"/>
                </a:ext>
                <a:ext uri="{FF2B5EF4-FFF2-40B4-BE49-F238E27FC236}">
                  <a16:creationId xmlns:a16="http://schemas.microsoft.com/office/drawing/2014/main" id="{00000000-0008-0000-0300-00008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0</xdr:rowOff>
        </xdr:from>
        <xdr:to>
          <xdr:col>2</xdr:col>
          <xdr:colOff>2114550</xdr:colOff>
          <xdr:row>20</xdr:row>
          <xdr:rowOff>247650</xdr:rowOff>
        </xdr:to>
        <xdr:sp macro="" textlink="">
          <xdr:nvSpPr>
            <xdr:cNvPr id="8324" name="Group Box 132" hidden="1">
              <a:extLst>
                <a:ext uri="{63B3BB69-23CF-44E3-9099-C40C66FF867C}">
                  <a14:compatExt spid="_x0000_s8324"/>
                </a:ext>
                <a:ext uri="{FF2B5EF4-FFF2-40B4-BE49-F238E27FC236}">
                  <a16:creationId xmlns:a16="http://schemas.microsoft.com/office/drawing/2014/main" id="{00000000-0008-0000-0300-00008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2</xdr:col>
          <xdr:colOff>2619375</xdr:colOff>
          <xdr:row>20</xdr:row>
          <xdr:rowOff>533400</xdr:rowOff>
        </xdr:to>
        <xdr:sp macro="" textlink="">
          <xdr:nvSpPr>
            <xdr:cNvPr id="8325" name="Group Box 133" hidden="1">
              <a:extLst>
                <a:ext uri="{63B3BB69-23CF-44E3-9099-C40C66FF867C}">
                  <a14:compatExt spid="_x0000_s8325"/>
                </a:ext>
                <a:ext uri="{FF2B5EF4-FFF2-40B4-BE49-F238E27FC236}">
                  <a16:creationId xmlns:a16="http://schemas.microsoft.com/office/drawing/2014/main" id="{00000000-0008-0000-0300-00008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20</xdr:row>
          <xdr:rowOff>200025</xdr:rowOff>
        </xdr:to>
        <xdr:sp macro="" textlink="">
          <xdr:nvSpPr>
            <xdr:cNvPr id="8326" name="Group Box 134" hidden="1">
              <a:extLst>
                <a:ext uri="{63B3BB69-23CF-44E3-9099-C40C66FF867C}">
                  <a14:compatExt spid="_x0000_s8326"/>
                </a:ext>
                <a:ext uri="{FF2B5EF4-FFF2-40B4-BE49-F238E27FC236}">
                  <a16:creationId xmlns:a16="http://schemas.microsoft.com/office/drawing/2014/main" id="{00000000-0008-0000-0300-00008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xdr:colOff>
          <xdr:row>21</xdr:row>
          <xdr:rowOff>257175</xdr:rowOff>
        </xdr:to>
        <xdr:sp macro="" textlink="">
          <xdr:nvSpPr>
            <xdr:cNvPr id="8327" name="Group Box 135" hidden="1">
              <a:extLst>
                <a:ext uri="{63B3BB69-23CF-44E3-9099-C40C66FF867C}">
                  <a14:compatExt spid="_x0000_s8327"/>
                </a:ext>
                <a:ext uri="{FF2B5EF4-FFF2-40B4-BE49-F238E27FC236}">
                  <a16:creationId xmlns:a16="http://schemas.microsoft.com/office/drawing/2014/main" id="{00000000-0008-0000-0300-00008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3</xdr:col>
          <xdr:colOff>0</xdr:colOff>
          <xdr:row>24</xdr:row>
          <xdr:rowOff>66675</xdr:rowOff>
        </xdr:to>
        <xdr:sp macro="" textlink="">
          <xdr:nvSpPr>
            <xdr:cNvPr id="8328" name="Group Box 136" hidden="1">
              <a:extLst>
                <a:ext uri="{63B3BB69-23CF-44E3-9099-C40C66FF867C}">
                  <a14:compatExt spid="_x0000_s8328"/>
                </a:ext>
                <a:ext uri="{FF2B5EF4-FFF2-40B4-BE49-F238E27FC236}">
                  <a16:creationId xmlns:a16="http://schemas.microsoft.com/office/drawing/2014/main" id="{00000000-0008-0000-0300-00008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24</xdr:row>
          <xdr:rowOff>209550</xdr:rowOff>
        </xdr:to>
        <xdr:sp macro="" textlink="">
          <xdr:nvSpPr>
            <xdr:cNvPr id="8329" name="Group Box 137" hidden="1">
              <a:extLst>
                <a:ext uri="{63B3BB69-23CF-44E3-9099-C40C66FF867C}">
                  <a14:compatExt spid="_x0000_s8329"/>
                </a:ext>
                <a:ext uri="{FF2B5EF4-FFF2-40B4-BE49-F238E27FC236}">
                  <a16:creationId xmlns:a16="http://schemas.microsoft.com/office/drawing/2014/main" id="{00000000-0008-0000-0300-00008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57150</xdr:rowOff>
        </xdr:to>
        <xdr:sp macro="" textlink="">
          <xdr:nvSpPr>
            <xdr:cNvPr id="8330" name="Group Box 138" hidden="1">
              <a:extLst>
                <a:ext uri="{63B3BB69-23CF-44E3-9099-C40C66FF867C}">
                  <a14:compatExt spid="_x0000_s8330"/>
                </a:ext>
                <a:ext uri="{FF2B5EF4-FFF2-40B4-BE49-F238E27FC236}">
                  <a16:creationId xmlns:a16="http://schemas.microsoft.com/office/drawing/2014/main" id="{00000000-0008-0000-0300-00008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2619375</xdr:colOff>
          <xdr:row>23</xdr:row>
          <xdr:rowOff>57150</xdr:rowOff>
        </xdr:to>
        <xdr:sp macro="" textlink="">
          <xdr:nvSpPr>
            <xdr:cNvPr id="8331" name="Group Box 139" hidden="1">
              <a:extLst>
                <a:ext uri="{63B3BB69-23CF-44E3-9099-C40C66FF867C}">
                  <a14:compatExt spid="_x0000_s8331"/>
                </a:ext>
                <a:ext uri="{FF2B5EF4-FFF2-40B4-BE49-F238E27FC236}">
                  <a16:creationId xmlns:a16="http://schemas.microsoft.com/office/drawing/2014/main" id="{00000000-0008-0000-0300-00008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24</xdr:row>
          <xdr:rowOff>209550</xdr:rowOff>
        </xdr:to>
        <xdr:sp macro="" textlink="">
          <xdr:nvSpPr>
            <xdr:cNvPr id="8332" name="Group Box 140" hidden="1">
              <a:extLst>
                <a:ext uri="{63B3BB69-23CF-44E3-9099-C40C66FF867C}">
                  <a14:compatExt spid="_x0000_s8332"/>
                </a:ext>
                <a:ext uri="{FF2B5EF4-FFF2-40B4-BE49-F238E27FC236}">
                  <a16:creationId xmlns:a16="http://schemas.microsoft.com/office/drawing/2014/main" id="{00000000-0008-0000-0300-00008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2114550</xdr:colOff>
          <xdr:row>24</xdr:row>
          <xdr:rowOff>57150</xdr:rowOff>
        </xdr:to>
        <xdr:sp macro="" textlink="">
          <xdr:nvSpPr>
            <xdr:cNvPr id="8333" name="Group Box 141" hidden="1">
              <a:extLst>
                <a:ext uri="{63B3BB69-23CF-44E3-9099-C40C66FF867C}">
                  <a14:compatExt spid="_x0000_s8333"/>
                </a:ext>
                <a:ext uri="{FF2B5EF4-FFF2-40B4-BE49-F238E27FC236}">
                  <a16:creationId xmlns:a16="http://schemas.microsoft.com/office/drawing/2014/main" id="{00000000-0008-0000-0300-00008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34" name="Group Box 142" hidden="1">
              <a:extLst>
                <a:ext uri="{63B3BB69-23CF-44E3-9099-C40C66FF867C}">
                  <a14:compatExt spid="_x0000_s8334"/>
                </a:ext>
                <a:ext uri="{FF2B5EF4-FFF2-40B4-BE49-F238E27FC236}">
                  <a16:creationId xmlns:a16="http://schemas.microsoft.com/office/drawing/2014/main" id="{00000000-0008-0000-0300-00008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35" name="Group Box 143" hidden="1">
              <a:extLst>
                <a:ext uri="{63B3BB69-23CF-44E3-9099-C40C66FF867C}">
                  <a14:compatExt spid="_x0000_s8335"/>
                </a:ext>
                <a:ext uri="{FF2B5EF4-FFF2-40B4-BE49-F238E27FC236}">
                  <a16:creationId xmlns:a16="http://schemas.microsoft.com/office/drawing/2014/main" id="{00000000-0008-0000-0300-00008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24</xdr:row>
          <xdr:rowOff>57150</xdr:rowOff>
        </xdr:to>
        <xdr:sp macro="" textlink="">
          <xdr:nvSpPr>
            <xdr:cNvPr id="8336" name="Group Box 144" hidden="1">
              <a:extLst>
                <a:ext uri="{63B3BB69-23CF-44E3-9099-C40C66FF867C}">
                  <a14:compatExt spid="_x0000_s8336"/>
                </a:ext>
                <a:ext uri="{FF2B5EF4-FFF2-40B4-BE49-F238E27FC236}">
                  <a16:creationId xmlns:a16="http://schemas.microsoft.com/office/drawing/2014/main" id="{00000000-0008-0000-0300-00009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25</xdr:row>
          <xdr:rowOff>28575</xdr:rowOff>
        </xdr:to>
        <xdr:sp macro="" textlink="">
          <xdr:nvSpPr>
            <xdr:cNvPr id="8337" name="Group Box 145" hidden="1">
              <a:extLst>
                <a:ext uri="{63B3BB69-23CF-44E3-9099-C40C66FF867C}">
                  <a14:compatExt spid="_x0000_s8337"/>
                </a:ext>
                <a:ext uri="{FF2B5EF4-FFF2-40B4-BE49-F238E27FC236}">
                  <a16:creationId xmlns:a16="http://schemas.microsoft.com/office/drawing/2014/main" id="{00000000-0008-0000-0300-00009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2114550</xdr:colOff>
          <xdr:row>24</xdr:row>
          <xdr:rowOff>57150</xdr:rowOff>
        </xdr:to>
        <xdr:sp macro="" textlink="">
          <xdr:nvSpPr>
            <xdr:cNvPr id="8338" name="Group Box 146" hidden="1">
              <a:extLst>
                <a:ext uri="{63B3BB69-23CF-44E3-9099-C40C66FF867C}">
                  <a14:compatExt spid="_x0000_s8338"/>
                </a:ext>
                <a:ext uri="{FF2B5EF4-FFF2-40B4-BE49-F238E27FC236}">
                  <a16:creationId xmlns:a16="http://schemas.microsoft.com/office/drawing/2014/main" id="{00000000-0008-0000-0300-00009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39" name="Group Box 147" hidden="1">
              <a:extLst>
                <a:ext uri="{63B3BB69-23CF-44E3-9099-C40C66FF867C}">
                  <a14:compatExt spid="_x0000_s8339"/>
                </a:ext>
                <a:ext uri="{FF2B5EF4-FFF2-40B4-BE49-F238E27FC236}">
                  <a16:creationId xmlns:a16="http://schemas.microsoft.com/office/drawing/2014/main" id="{00000000-0008-0000-0300-00009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40" name="Group Box 148" hidden="1">
              <a:extLst>
                <a:ext uri="{63B3BB69-23CF-44E3-9099-C40C66FF867C}">
                  <a14:compatExt spid="_x0000_s8340"/>
                </a:ext>
                <a:ext uri="{FF2B5EF4-FFF2-40B4-BE49-F238E27FC236}">
                  <a16:creationId xmlns:a16="http://schemas.microsoft.com/office/drawing/2014/main" id="{00000000-0008-0000-0300-00009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24</xdr:row>
          <xdr:rowOff>57150</xdr:rowOff>
        </xdr:to>
        <xdr:sp macro="" textlink="">
          <xdr:nvSpPr>
            <xdr:cNvPr id="8341" name="Group Box 149" hidden="1">
              <a:extLst>
                <a:ext uri="{63B3BB69-23CF-44E3-9099-C40C66FF867C}">
                  <a14:compatExt spid="_x0000_s8341"/>
                </a:ext>
                <a:ext uri="{FF2B5EF4-FFF2-40B4-BE49-F238E27FC236}">
                  <a16:creationId xmlns:a16="http://schemas.microsoft.com/office/drawing/2014/main" id="{00000000-0008-0000-0300-00009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25</xdr:row>
          <xdr:rowOff>28575</xdr:rowOff>
        </xdr:to>
        <xdr:sp macro="" textlink="">
          <xdr:nvSpPr>
            <xdr:cNvPr id="8342" name="Group Box 150" hidden="1">
              <a:extLst>
                <a:ext uri="{63B3BB69-23CF-44E3-9099-C40C66FF867C}">
                  <a14:compatExt spid="_x0000_s8342"/>
                </a:ext>
                <a:ext uri="{FF2B5EF4-FFF2-40B4-BE49-F238E27FC236}">
                  <a16:creationId xmlns:a16="http://schemas.microsoft.com/office/drawing/2014/main" id="{00000000-0008-0000-0300-00009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43" name="Group Box 151" hidden="1">
              <a:extLst>
                <a:ext uri="{63B3BB69-23CF-44E3-9099-C40C66FF867C}">
                  <a14:compatExt spid="_x0000_s8343"/>
                </a:ext>
                <a:ext uri="{FF2B5EF4-FFF2-40B4-BE49-F238E27FC236}">
                  <a16:creationId xmlns:a16="http://schemas.microsoft.com/office/drawing/2014/main" id="{00000000-0008-0000-0300-00009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3</xdr:col>
          <xdr:colOff>0</xdr:colOff>
          <xdr:row>26</xdr:row>
          <xdr:rowOff>28575</xdr:rowOff>
        </xdr:to>
        <xdr:sp macro="" textlink="">
          <xdr:nvSpPr>
            <xdr:cNvPr id="8344" name="Group Box 152" hidden="1">
              <a:extLst>
                <a:ext uri="{63B3BB69-23CF-44E3-9099-C40C66FF867C}">
                  <a14:compatExt spid="_x0000_s8344"/>
                </a:ext>
                <a:ext uri="{FF2B5EF4-FFF2-40B4-BE49-F238E27FC236}">
                  <a16:creationId xmlns:a16="http://schemas.microsoft.com/office/drawing/2014/main" id="{00000000-0008-0000-0300-00009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27</xdr:row>
          <xdr:rowOff>9525</xdr:rowOff>
        </xdr:to>
        <xdr:sp macro="" textlink="">
          <xdr:nvSpPr>
            <xdr:cNvPr id="8345" name="Group Box 153" hidden="1">
              <a:extLst>
                <a:ext uri="{63B3BB69-23CF-44E3-9099-C40C66FF867C}">
                  <a14:compatExt spid="_x0000_s8345"/>
                </a:ext>
                <a:ext uri="{FF2B5EF4-FFF2-40B4-BE49-F238E27FC236}">
                  <a16:creationId xmlns:a16="http://schemas.microsoft.com/office/drawing/2014/main" id="{00000000-0008-0000-0300-00009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xdr:row>
          <xdr:rowOff>0</xdr:rowOff>
        </xdr:from>
        <xdr:to>
          <xdr:col>2</xdr:col>
          <xdr:colOff>1181100</xdr:colOff>
          <xdr:row>24</xdr:row>
          <xdr:rowOff>142875</xdr:rowOff>
        </xdr:to>
        <xdr:sp macro="" textlink="">
          <xdr:nvSpPr>
            <xdr:cNvPr id="8346" name="Group Box 154" hidden="1">
              <a:extLst>
                <a:ext uri="{63B3BB69-23CF-44E3-9099-C40C66FF867C}">
                  <a14:compatExt spid="_x0000_s8346"/>
                </a:ext>
                <a:ext uri="{FF2B5EF4-FFF2-40B4-BE49-F238E27FC236}">
                  <a16:creationId xmlns:a16="http://schemas.microsoft.com/office/drawing/2014/main" id="{00000000-0008-0000-0300-00009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24</xdr:row>
          <xdr:rowOff>57150</xdr:rowOff>
        </xdr:to>
        <xdr:sp macro="" textlink="">
          <xdr:nvSpPr>
            <xdr:cNvPr id="8347" name="Group Box 155" hidden="1">
              <a:extLst>
                <a:ext uri="{63B3BB69-23CF-44E3-9099-C40C66FF867C}">
                  <a14:compatExt spid="_x0000_s8347"/>
                </a:ext>
                <a:ext uri="{FF2B5EF4-FFF2-40B4-BE49-F238E27FC236}">
                  <a16:creationId xmlns:a16="http://schemas.microsoft.com/office/drawing/2014/main" id="{00000000-0008-0000-0300-00009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0</xdr:rowOff>
        </xdr:from>
        <xdr:to>
          <xdr:col>2</xdr:col>
          <xdr:colOff>2057400</xdr:colOff>
          <xdr:row>24</xdr:row>
          <xdr:rowOff>57150</xdr:rowOff>
        </xdr:to>
        <xdr:sp macro="" textlink="">
          <xdr:nvSpPr>
            <xdr:cNvPr id="8348" name="Group Box 156" hidden="1">
              <a:extLst>
                <a:ext uri="{63B3BB69-23CF-44E3-9099-C40C66FF867C}">
                  <a14:compatExt spid="_x0000_s8348"/>
                </a:ext>
                <a:ext uri="{FF2B5EF4-FFF2-40B4-BE49-F238E27FC236}">
                  <a16:creationId xmlns:a16="http://schemas.microsoft.com/office/drawing/2014/main" id="{00000000-0008-0000-0300-00009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2114550</xdr:colOff>
          <xdr:row>24</xdr:row>
          <xdr:rowOff>47625</xdr:rowOff>
        </xdr:to>
        <xdr:sp macro="" textlink="">
          <xdr:nvSpPr>
            <xdr:cNvPr id="8349" name="Group Box 157" hidden="1">
              <a:extLst>
                <a:ext uri="{63B3BB69-23CF-44E3-9099-C40C66FF867C}">
                  <a14:compatExt spid="_x0000_s8349"/>
                </a:ext>
                <a:ext uri="{FF2B5EF4-FFF2-40B4-BE49-F238E27FC236}">
                  <a16:creationId xmlns:a16="http://schemas.microsoft.com/office/drawing/2014/main" id="{00000000-0008-0000-0300-00009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25</xdr:row>
          <xdr:rowOff>38100</xdr:rowOff>
        </xdr:to>
        <xdr:sp macro="" textlink="">
          <xdr:nvSpPr>
            <xdr:cNvPr id="8350" name="Group Box 158" hidden="1">
              <a:extLst>
                <a:ext uri="{63B3BB69-23CF-44E3-9099-C40C66FF867C}">
                  <a14:compatExt spid="_x0000_s8350"/>
                </a:ext>
                <a:ext uri="{FF2B5EF4-FFF2-40B4-BE49-F238E27FC236}">
                  <a16:creationId xmlns:a16="http://schemas.microsoft.com/office/drawing/2014/main" id="{00000000-0008-0000-0300-00009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51" name="Group Box 159" hidden="1">
              <a:extLst>
                <a:ext uri="{63B3BB69-23CF-44E3-9099-C40C66FF867C}">
                  <a14:compatExt spid="_x0000_s8351"/>
                </a:ext>
                <a:ext uri="{FF2B5EF4-FFF2-40B4-BE49-F238E27FC236}">
                  <a16:creationId xmlns:a16="http://schemas.microsoft.com/office/drawing/2014/main" id="{00000000-0008-0000-0300-00009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52" name="Group Box 160" hidden="1">
              <a:extLst>
                <a:ext uri="{63B3BB69-23CF-44E3-9099-C40C66FF867C}">
                  <a14:compatExt spid="_x0000_s8352"/>
                </a:ext>
                <a:ext uri="{FF2B5EF4-FFF2-40B4-BE49-F238E27FC236}">
                  <a16:creationId xmlns:a16="http://schemas.microsoft.com/office/drawing/2014/main" id="{00000000-0008-0000-0300-0000A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2600325</xdr:colOff>
          <xdr:row>24</xdr:row>
          <xdr:rowOff>57150</xdr:rowOff>
        </xdr:to>
        <xdr:sp macro="" textlink="">
          <xdr:nvSpPr>
            <xdr:cNvPr id="8353" name="Group Box 161" hidden="1">
              <a:extLst>
                <a:ext uri="{63B3BB69-23CF-44E3-9099-C40C66FF867C}">
                  <a14:compatExt spid="_x0000_s8353"/>
                </a:ext>
                <a:ext uri="{FF2B5EF4-FFF2-40B4-BE49-F238E27FC236}">
                  <a16:creationId xmlns:a16="http://schemas.microsoft.com/office/drawing/2014/main" id="{00000000-0008-0000-0300-0000A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0</xdr:rowOff>
        </xdr:from>
        <xdr:to>
          <xdr:col>2</xdr:col>
          <xdr:colOff>2057400</xdr:colOff>
          <xdr:row>24</xdr:row>
          <xdr:rowOff>57150</xdr:rowOff>
        </xdr:to>
        <xdr:sp macro="" textlink="">
          <xdr:nvSpPr>
            <xdr:cNvPr id="8354" name="Group Box 162" hidden="1">
              <a:extLst>
                <a:ext uri="{63B3BB69-23CF-44E3-9099-C40C66FF867C}">
                  <a14:compatExt spid="_x0000_s8354"/>
                </a:ext>
                <a:ext uri="{FF2B5EF4-FFF2-40B4-BE49-F238E27FC236}">
                  <a16:creationId xmlns:a16="http://schemas.microsoft.com/office/drawing/2014/main" id="{00000000-0008-0000-0300-0000A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2114550</xdr:colOff>
          <xdr:row>24</xdr:row>
          <xdr:rowOff>57150</xdr:rowOff>
        </xdr:to>
        <xdr:sp macro="" textlink="">
          <xdr:nvSpPr>
            <xdr:cNvPr id="8355" name="Group Box 163" hidden="1">
              <a:extLst>
                <a:ext uri="{63B3BB69-23CF-44E3-9099-C40C66FF867C}">
                  <a14:compatExt spid="_x0000_s8355"/>
                </a:ext>
                <a:ext uri="{FF2B5EF4-FFF2-40B4-BE49-F238E27FC236}">
                  <a16:creationId xmlns:a16="http://schemas.microsoft.com/office/drawing/2014/main" id="{00000000-0008-0000-0300-0000A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2</xdr:col>
          <xdr:colOff>2619375</xdr:colOff>
          <xdr:row>25</xdr:row>
          <xdr:rowOff>28575</xdr:rowOff>
        </xdr:to>
        <xdr:sp macro="" textlink="">
          <xdr:nvSpPr>
            <xdr:cNvPr id="8356" name="Group Box 164" hidden="1">
              <a:extLst>
                <a:ext uri="{63B3BB69-23CF-44E3-9099-C40C66FF867C}">
                  <a14:compatExt spid="_x0000_s8356"/>
                </a:ext>
                <a:ext uri="{FF2B5EF4-FFF2-40B4-BE49-F238E27FC236}">
                  <a16:creationId xmlns:a16="http://schemas.microsoft.com/office/drawing/2014/main" id="{00000000-0008-0000-0300-0000A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9525</xdr:rowOff>
        </xdr:to>
        <xdr:sp macro="" textlink="">
          <xdr:nvSpPr>
            <xdr:cNvPr id="8357" name="Group Box 165" hidden="1">
              <a:extLst>
                <a:ext uri="{63B3BB69-23CF-44E3-9099-C40C66FF867C}">
                  <a14:compatExt spid="_x0000_s8357"/>
                </a:ext>
                <a:ext uri="{FF2B5EF4-FFF2-40B4-BE49-F238E27FC236}">
                  <a16:creationId xmlns:a16="http://schemas.microsoft.com/office/drawing/2014/main" id="{00000000-0008-0000-0300-0000A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9525</xdr:colOff>
          <xdr:row>27</xdr:row>
          <xdr:rowOff>9525</xdr:rowOff>
        </xdr:to>
        <xdr:sp macro="" textlink="">
          <xdr:nvSpPr>
            <xdr:cNvPr id="8358" name="Group Box 166" hidden="1">
              <a:extLst>
                <a:ext uri="{63B3BB69-23CF-44E3-9099-C40C66FF867C}">
                  <a14:compatExt spid="_x0000_s8358"/>
                </a:ext>
                <a:ext uri="{FF2B5EF4-FFF2-40B4-BE49-F238E27FC236}">
                  <a16:creationId xmlns:a16="http://schemas.microsoft.com/office/drawing/2014/main" id="{00000000-0008-0000-0300-0000A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200025</xdr:rowOff>
        </xdr:to>
        <xdr:sp macro="" textlink="">
          <xdr:nvSpPr>
            <xdr:cNvPr id="8359" name="Group Box 167" hidden="1">
              <a:extLst>
                <a:ext uri="{63B3BB69-23CF-44E3-9099-C40C66FF867C}">
                  <a14:compatExt spid="_x0000_s8359"/>
                </a:ext>
                <a:ext uri="{FF2B5EF4-FFF2-40B4-BE49-F238E27FC236}">
                  <a16:creationId xmlns:a16="http://schemas.microsoft.com/office/drawing/2014/main" id="{00000000-0008-0000-0300-0000A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1571625</xdr:colOff>
          <xdr:row>22</xdr:row>
          <xdr:rowOff>400050</xdr:rowOff>
        </xdr:to>
        <xdr:sp macro="" textlink="">
          <xdr:nvSpPr>
            <xdr:cNvPr id="8360" name="Group Box 168" hidden="1">
              <a:extLst>
                <a:ext uri="{63B3BB69-23CF-44E3-9099-C40C66FF867C}">
                  <a14:compatExt spid="_x0000_s8360"/>
                </a:ext>
                <a:ext uri="{FF2B5EF4-FFF2-40B4-BE49-F238E27FC236}">
                  <a16:creationId xmlns:a16="http://schemas.microsoft.com/office/drawing/2014/main" id="{00000000-0008-0000-0300-0000A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0</xdr:rowOff>
        </xdr:from>
        <xdr:to>
          <xdr:col>9</xdr:col>
          <xdr:colOff>95250</xdr:colOff>
          <xdr:row>22</xdr:row>
          <xdr:rowOff>19050</xdr:rowOff>
        </xdr:to>
        <xdr:sp macro="" textlink="">
          <xdr:nvSpPr>
            <xdr:cNvPr id="8361" name="Group Box 169" hidden="1">
              <a:extLst>
                <a:ext uri="{63B3BB69-23CF-44E3-9099-C40C66FF867C}">
                  <a14:compatExt spid="_x0000_s8361"/>
                </a:ext>
                <a:ext uri="{FF2B5EF4-FFF2-40B4-BE49-F238E27FC236}">
                  <a16:creationId xmlns:a16="http://schemas.microsoft.com/office/drawing/2014/main" id="{00000000-0008-0000-0300-0000A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9</xdr:col>
          <xdr:colOff>1543050</xdr:colOff>
          <xdr:row>21</xdr:row>
          <xdr:rowOff>247650</xdr:rowOff>
        </xdr:to>
        <xdr:sp macro="" textlink="">
          <xdr:nvSpPr>
            <xdr:cNvPr id="8362" name="Group Box 170" hidden="1">
              <a:extLst>
                <a:ext uri="{63B3BB69-23CF-44E3-9099-C40C66FF867C}">
                  <a14:compatExt spid="_x0000_s8362"/>
                </a:ext>
                <a:ext uri="{FF2B5EF4-FFF2-40B4-BE49-F238E27FC236}">
                  <a16:creationId xmlns:a16="http://schemas.microsoft.com/office/drawing/2014/main" id="{00000000-0008-0000-0300-0000A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9</xdr:col>
          <xdr:colOff>1000125</xdr:colOff>
          <xdr:row>21</xdr:row>
          <xdr:rowOff>247650</xdr:rowOff>
        </xdr:to>
        <xdr:sp macro="" textlink="">
          <xdr:nvSpPr>
            <xdr:cNvPr id="8363" name="Group Box 171" hidden="1">
              <a:extLst>
                <a:ext uri="{63B3BB69-23CF-44E3-9099-C40C66FF867C}">
                  <a14:compatExt spid="_x0000_s8363"/>
                </a:ext>
                <a:ext uri="{FF2B5EF4-FFF2-40B4-BE49-F238E27FC236}">
                  <a16:creationId xmlns:a16="http://schemas.microsoft.com/office/drawing/2014/main" id="{00000000-0008-0000-0300-0000A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9</xdr:col>
          <xdr:colOff>1057275</xdr:colOff>
          <xdr:row>21</xdr:row>
          <xdr:rowOff>238125</xdr:rowOff>
        </xdr:to>
        <xdr:sp macro="" textlink="">
          <xdr:nvSpPr>
            <xdr:cNvPr id="8364" name="Group Box 172" hidden="1">
              <a:extLst>
                <a:ext uri="{63B3BB69-23CF-44E3-9099-C40C66FF867C}">
                  <a14:compatExt spid="_x0000_s8364"/>
                </a:ext>
                <a:ext uri="{FF2B5EF4-FFF2-40B4-BE49-F238E27FC236}">
                  <a16:creationId xmlns:a16="http://schemas.microsoft.com/office/drawing/2014/main" id="{00000000-0008-0000-0300-0000A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1562100</xdr:colOff>
          <xdr:row>22</xdr:row>
          <xdr:rowOff>219075</xdr:rowOff>
        </xdr:to>
        <xdr:sp macro="" textlink="">
          <xdr:nvSpPr>
            <xdr:cNvPr id="8365" name="Group Box 173" hidden="1">
              <a:extLst>
                <a:ext uri="{63B3BB69-23CF-44E3-9099-C40C66FF867C}">
                  <a14:compatExt spid="_x0000_s8365"/>
                </a:ext>
                <a:ext uri="{FF2B5EF4-FFF2-40B4-BE49-F238E27FC236}">
                  <a16:creationId xmlns:a16="http://schemas.microsoft.com/office/drawing/2014/main" id="{00000000-0008-0000-0300-0000A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190500</xdr:rowOff>
        </xdr:to>
        <xdr:sp macro="" textlink="">
          <xdr:nvSpPr>
            <xdr:cNvPr id="8366" name="Group Box 174" hidden="1">
              <a:extLst>
                <a:ext uri="{63B3BB69-23CF-44E3-9099-C40C66FF867C}">
                  <a14:compatExt spid="_x0000_s8366"/>
                </a:ext>
                <a:ext uri="{FF2B5EF4-FFF2-40B4-BE49-F238E27FC236}">
                  <a16:creationId xmlns:a16="http://schemas.microsoft.com/office/drawing/2014/main" id="{00000000-0008-0000-0300-0000A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190500</xdr:rowOff>
        </xdr:to>
        <xdr:sp macro="" textlink="">
          <xdr:nvSpPr>
            <xdr:cNvPr id="8367" name="Group Box 175" hidden="1">
              <a:extLst>
                <a:ext uri="{63B3BB69-23CF-44E3-9099-C40C66FF867C}">
                  <a14:compatExt spid="_x0000_s8367"/>
                </a:ext>
                <a:ext uri="{FF2B5EF4-FFF2-40B4-BE49-F238E27FC236}">
                  <a16:creationId xmlns:a16="http://schemas.microsoft.com/office/drawing/2014/main" id="{00000000-0008-0000-0300-0000A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9</xdr:col>
          <xdr:colOff>1543050</xdr:colOff>
          <xdr:row>21</xdr:row>
          <xdr:rowOff>247650</xdr:rowOff>
        </xdr:to>
        <xdr:sp macro="" textlink="">
          <xdr:nvSpPr>
            <xdr:cNvPr id="8368" name="Group Box 176" hidden="1">
              <a:extLst>
                <a:ext uri="{63B3BB69-23CF-44E3-9099-C40C66FF867C}">
                  <a14:compatExt spid="_x0000_s8368"/>
                </a:ext>
                <a:ext uri="{FF2B5EF4-FFF2-40B4-BE49-F238E27FC236}">
                  <a16:creationId xmlns:a16="http://schemas.microsoft.com/office/drawing/2014/main" id="{00000000-0008-0000-0300-0000B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9</xdr:col>
          <xdr:colOff>1000125</xdr:colOff>
          <xdr:row>21</xdr:row>
          <xdr:rowOff>247650</xdr:rowOff>
        </xdr:to>
        <xdr:sp macro="" textlink="">
          <xdr:nvSpPr>
            <xdr:cNvPr id="8369" name="Group Box 177" hidden="1">
              <a:extLst>
                <a:ext uri="{63B3BB69-23CF-44E3-9099-C40C66FF867C}">
                  <a14:compatExt spid="_x0000_s8369"/>
                </a:ext>
                <a:ext uri="{FF2B5EF4-FFF2-40B4-BE49-F238E27FC236}">
                  <a16:creationId xmlns:a16="http://schemas.microsoft.com/office/drawing/2014/main" id="{00000000-0008-0000-0300-0000B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9</xdr:col>
          <xdr:colOff>1057275</xdr:colOff>
          <xdr:row>21</xdr:row>
          <xdr:rowOff>247650</xdr:rowOff>
        </xdr:to>
        <xdr:sp macro="" textlink="">
          <xdr:nvSpPr>
            <xdr:cNvPr id="8370" name="Group Box 178" hidden="1">
              <a:extLst>
                <a:ext uri="{63B3BB69-23CF-44E3-9099-C40C66FF867C}">
                  <a14:compatExt spid="_x0000_s8370"/>
                </a:ext>
                <a:ext uri="{FF2B5EF4-FFF2-40B4-BE49-F238E27FC236}">
                  <a16:creationId xmlns:a16="http://schemas.microsoft.com/office/drawing/2014/main" id="{00000000-0008-0000-0300-0000B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1562100</xdr:colOff>
          <xdr:row>22</xdr:row>
          <xdr:rowOff>209550</xdr:rowOff>
        </xdr:to>
        <xdr:sp macro="" textlink="">
          <xdr:nvSpPr>
            <xdr:cNvPr id="8371" name="Group Box 179" hidden="1">
              <a:extLst>
                <a:ext uri="{63B3BB69-23CF-44E3-9099-C40C66FF867C}">
                  <a14:compatExt spid="_x0000_s8371"/>
                </a:ext>
                <a:ext uri="{FF2B5EF4-FFF2-40B4-BE49-F238E27FC236}">
                  <a16:creationId xmlns:a16="http://schemas.microsoft.com/office/drawing/2014/main" id="{00000000-0008-0000-0300-0000B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9</xdr:col>
          <xdr:colOff>1571625</xdr:colOff>
          <xdr:row>21</xdr:row>
          <xdr:rowOff>200025</xdr:rowOff>
        </xdr:to>
        <xdr:sp macro="" textlink="">
          <xdr:nvSpPr>
            <xdr:cNvPr id="8372" name="Group Box 180" hidden="1">
              <a:extLst>
                <a:ext uri="{63B3BB69-23CF-44E3-9099-C40C66FF867C}">
                  <a14:compatExt spid="_x0000_s8372"/>
                </a:ext>
                <a:ext uri="{FF2B5EF4-FFF2-40B4-BE49-F238E27FC236}">
                  <a16:creationId xmlns:a16="http://schemas.microsoft.com/office/drawing/2014/main" id="{00000000-0008-0000-0300-0000B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9</xdr:col>
          <xdr:colOff>1571625</xdr:colOff>
          <xdr:row>22</xdr:row>
          <xdr:rowOff>400050</xdr:rowOff>
        </xdr:to>
        <xdr:sp macro="" textlink="">
          <xdr:nvSpPr>
            <xdr:cNvPr id="8373" name="Group Box 181" hidden="1">
              <a:extLst>
                <a:ext uri="{63B3BB69-23CF-44E3-9099-C40C66FF867C}">
                  <a14:compatExt spid="_x0000_s8373"/>
                </a:ext>
                <a:ext uri="{FF2B5EF4-FFF2-40B4-BE49-F238E27FC236}">
                  <a16:creationId xmlns:a16="http://schemas.microsoft.com/office/drawing/2014/main" id="{00000000-0008-0000-0300-0000B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is.unesco.org/sites/default/files/documents/international-standard-classification-of-education-isced-2011-en.pdf" TargetMode="External"/><Relationship Id="rId2" Type="http://schemas.openxmlformats.org/officeDocument/2006/relationships/hyperlink" Target="https://www.oecd-ilibrary.org/fr/education/oecd-handbook-for-internationally-comparative-education-statistics-2018_9789264304444-en" TargetMode="External"/><Relationship Id="rId1" Type="http://schemas.openxmlformats.org/officeDocument/2006/relationships/hyperlink" Target="https://www.oecd-ilibrary.org/fr/education/oecd-handbook-for-internationally-comparative-education-statistics-2018_9789264304444-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DU.LSONetwork@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omments" Target="../comments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O38"/>
  <sheetViews>
    <sheetView tabSelected="1" zoomScaleNormal="100" zoomScaleSheetLayoutView="100" workbookViewId="0">
      <pane ySplit="11" topLeftCell="A12" activePane="bottomLeft" state="frozen"/>
      <selection pane="bottomLeft"/>
    </sheetView>
  </sheetViews>
  <sheetFormatPr defaultColWidth="9.140625" defaultRowHeight="12.75" x14ac:dyDescent="0.2"/>
  <cols>
    <col min="1" max="1" width="3.140625" style="5" customWidth="1"/>
    <col min="2" max="2" width="16.42578125" style="5" customWidth="1"/>
    <col min="3" max="3" width="28.42578125" style="5" customWidth="1"/>
    <col min="4" max="6" width="9.140625" style="5"/>
    <col min="7" max="7" width="9.140625" style="5" customWidth="1"/>
    <col min="8" max="8" width="6" style="5" customWidth="1"/>
    <col min="9" max="12" width="10.140625" style="5" customWidth="1"/>
    <col min="13" max="13" width="12.85546875" style="5" customWidth="1"/>
    <col min="14" max="15" width="10.140625" style="5" customWidth="1"/>
    <col min="16" max="16384" width="9.140625" style="5"/>
  </cols>
  <sheetData>
    <row r="1" spans="2:15" ht="13.5" thickBot="1" x14ac:dyDescent="0.25"/>
    <row r="2" spans="2:15" x14ac:dyDescent="0.2">
      <c r="B2" s="6"/>
      <c r="C2" s="7"/>
      <c r="D2" s="7"/>
      <c r="E2" s="7"/>
      <c r="F2" s="8"/>
      <c r="G2" s="8"/>
      <c r="H2" s="8"/>
      <c r="I2" s="8"/>
      <c r="J2" s="8"/>
      <c r="K2" s="8"/>
      <c r="L2" s="8"/>
      <c r="M2" s="8"/>
      <c r="N2" s="8"/>
      <c r="O2" s="9"/>
    </row>
    <row r="3" spans="2:15" ht="18" x14ac:dyDescent="0.2">
      <c r="B3" s="10"/>
      <c r="C3" s="11"/>
      <c r="D3" s="11"/>
      <c r="E3" s="11"/>
      <c r="F3" s="12"/>
      <c r="G3" s="149" t="s">
        <v>292</v>
      </c>
      <c r="H3" s="149"/>
      <c r="I3" s="149"/>
      <c r="J3" s="12"/>
      <c r="K3" s="12"/>
      <c r="L3" s="12"/>
      <c r="M3" s="12"/>
      <c r="N3" s="12"/>
      <c r="O3" s="13"/>
    </row>
    <row r="4" spans="2:15" ht="12.75" customHeight="1" x14ac:dyDescent="0.2">
      <c r="B4" s="10"/>
      <c r="C4" s="11"/>
      <c r="D4" s="11"/>
      <c r="E4" s="11"/>
      <c r="F4" s="12"/>
      <c r="G4" s="149"/>
      <c r="H4" s="149"/>
      <c r="I4" s="149"/>
      <c r="J4" s="12"/>
      <c r="K4" s="12"/>
      <c r="L4" s="12"/>
      <c r="M4" s="12"/>
      <c r="N4" s="12"/>
      <c r="O4" s="13"/>
    </row>
    <row r="5" spans="2:15" x14ac:dyDescent="0.2">
      <c r="B5" s="10"/>
      <c r="C5" s="11"/>
      <c r="D5" s="11"/>
      <c r="E5" s="11"/>
      <c r="F5" s="12"/>
      <c r="G5" s="12" t="s">
        <v>165</v>
      </c>
      <c r="H5" s="12"/>
      <c r="I5" s="12"/>
      <c r="J5" s="12"/>
      <c r="K5" s="12"/>
      <c r="L5" s="12"/>
      <c r="M5" s="12"/>
      <c r="N5" s="12"/>
      <c r="O5" s="13"/>
    </row>
    <row r="6" spans="2:15" x14ac:dyDescent="0.2">
      <c r="B6" s="10"/>
      <c r="C6" s="11"/>
      <c r="D6" s="11"/>
      <c r="E6" s="11"/>
      <c r="F6" s="12"/>
      <c r="G6" s="12"/>
      <c r="H6" s="12"/>
      <c r="I6" s="12"/>
      <c r="J6" s="12"/>
      <c r="K6" s="12"/>
      <c r="L6" s="12"/>
      <c r="M6" s="12"/>
      <c r="N6" s="12"/>
      <c r="O6" s="13"/>
    </row>
    <row r="7" spans="2:15" x14ac:dyDescent="0.2">
      <c r="B7" s="14"/>
      <c r="C7" s="15"/>
      <c r="D7" s="15"/>
      <c r="E7" s="15"/>
      <c r="F7" s="12"/>
      <c r="G7" s="327" t="s">
        <v>13</v>
      </c>
      <c r="H7" s="327"/>
      <c r="I7" s="48">
        <v>2022</v>
      </c>
      <c r="J7" s="12"/>
      <c r="K7" s="12"/>
      <c r="L7" s="12"/>
      <c r="M7" s="12"/>
      <c r="N7" s="12"/>
      <c r="O7" s="13"/>
    </row>
    <row r="8" spans="2:15" x14ac:dyDescent="0.2">
      <c r="B8" s="10"/>
      <c r="C8" s="11"/>
      <c r="D8" s="11"/>
      <c r="E8" s="11"/>
      <c r="F8" s="12"/>
      <c r="G8" s="12"/>
      <c r="H8" s="12"/>
      <c r="I8" s="12"/>
      <c r="J8" s="12"/>
      <c r="K8" s="12"/>
      <c r="L8" s="12"/>
      <c r="M8" s="12"/>
      <c r="N8" s="12"/>
      <c r="O8" s="13"/>
    </row>
    <row r="9" spans="2:15" x14ac:dyDescent="0.2">
      <c r="B9" s="10"/>
      <c r="C9" s="11"/>
      <c r="D9" s="11"/>
      <c r="E9" s="11"/>
      <c r="F9" s="12"/>
      <c r="G9" s="12"/>
      <c r="H9" s="12"/>
      <c r="I9" s="12"/>
      <c r="J9" s="12"/>
      <c r="K9" s="12"/>
      <c r="L9" s="12"/>
      <c r="M9" s="12"/>
      <c r="N9" s="12"/>
      <c r="O9" s="13"/>
    </row>
    <row r="10" spans="2:15" x14ac:dyDescent="0.2">
      <c r="B10" s="10"/>
      <c r="C10" s="11"/>
      <c r="D10" s="11"/>
      <c r="E10" s="11"/>
      <c r="F10" s="12"/>
      <c r="G10" s="12"/>
      <c r="H10" s="12"/>
      <c r="I10" s="12"/>
      <c r="J10" s="12"/>
      <c r="K10" s="12"/>
      <c r="L10" s="12"/>
      <c r="M10" s="12"/>
      <c r="N10" s="12"/>
      <c r="O10" s="13"/>
    </row>
    <row r="11" spans="2:15" ht="13.5" thickBot="1" x14ac:dyDescent="0.25">
      <c r="B11" s="16"/>
      <c r="C11" s="17"/>
      <c r="D11" s="17"/>
      <c r="E11" s="17"/>
      <c r="F11" s="18"/>
      <c r="G11" s="18"/>
      <c r="H11" s="18"/>
      <c r="I11" s="18"/>
      <c r="J11" s="18"/>
      <c r="K11" s="18"/>
      <c r="L11" s="18"/>
      <c r="M11" s="18"/>
      <c r="N11" s="18"/>
      <c r="O11" s="173">
        <v>44901</v>
      </c>
    </row>
    <row r="12" spans="2:15" x14ac:dyDescent="0.2">
      <c r="B12" s="6"/>
      <c r="C12" s="7"/>
      <c r="D12" s="7"/>
      <c r="E12" s="7"/>
      <c r="F12" s="7"/>
      <c r="G12" s="7"/>
      <c r="H12" s="7"/>
      <c r="I12" s="7"/>
      <c r="J12" s="7"/>
      <c r="K12" s="7"/>
      <c r="L12" s="7"/>
      <c r="M12" s="7"/>
      <c r="N12" s="7"/>
      <c r="O12" s="19"/>
    </row>
    <row r="13" spans="2:15" s="20" customFormat="1" ht="52.9" customHeight="1" x14ac:dyDescent="0.2">
      <c r="B13" s="313" t="s">
        <v>185</v>
      </c>
      <c r="C13" s="315" t="s">
        <v>233</v>
      </c>
      <c r="D13" s="315"/>
      <c r="E13" s="315"/>
      <c r="F13" s="315"/>
      <c r="G13" s="315"/>
      <c r="H13" s="315"/>
      <c r="I13" s="315"/>
      <c r="J13" s="315"/>
      <c r="K13" s="315"/>
      <c r="L13" s="315"/>
      <c r="M13" s="315"/>
      <c r="N13" s="315"/>
      <c r="O13" s="150"/>
    </row>
    <row r="14" spans="2:15" ht="15" customHeight="1" x14ac:dyDescent="0.2">
      <c r="B14" s="314"/>
      <c r="C14" s="21"/>
      <c r="D14" s="21"/>
      <c r="E14" s="21"/>
      <c r="F14" s="21"/>
      <c r="G14" s="21"/>
      <c r="H14" s="21"/>
      <c r="I14" s="21"/>
      <c r="J14" s="21"/>
      <c r="K14" s="21"/>
      <c r="L14" s="21"/>
      <c r="M14" s="21"/>
      <c r="N14" s="21"/>
      <c r="O14" s="22"/>
    </row>
    <row r="15" spans="2:15" ht="15" customHeight="1" x14ac:dyDescent="0.2">
      <c r="B15" s="313" t="s">
        <v>181</v>
      </c>
      <c r="C15" s="151" t="s">
        <v>265</v>
      </c>
      <c r="D15" s="151"/>
      <c r="E15" s="151"/>
      <c r="F15" s="151"/>
      <c r="G15" s="151"/>
      <c r="H15" s="151"/>
      <c r="I15" s="151"/>
      <c r="J15" s="151"/>
      <c r="K15" s="151"/>
      <c r="L15" s="151"/>
      <c r="M15" s="151"/>
      <c r="N15" s="151"/>
      <c r="O15" s="152"/>
    </row>
    <row r="16" spans="2:15" ht="15" customHeight="1" x14ac:dyDescent="0.2">
      <c r="B16" s="314"/>
      <c r="C16" s="61"/>
      <c r="D16" s="61"/>
      <c r="E16" s="61"/>
      <c r="F16" s="61"/>
      <c r="G16" s="61"/>
      <c r="H16" s="61"/>
      <c r="I16" s="61"/>
      <c r="J16" s="61"/>
      <c r="K16" s="61"/>
      <c r="L16" s="61"/>
      <c r="M16" s="61"/>
      <c r="N16" s="61"/>
      <c r="O16" s="22"/>
    </row>
    <row r="17" spans="2:15" ht="15" customHeight="1" x14ac:dyDescent="0.2">
      <c r="B17" s="314"/>
      <c r="C17" s="239" t="s">
        <v>266</v>
      </c>
      <c r="D17" s="319" t="s">
        <v>267</v>
      </c>
      <c r="E17" s="320"/>
      <c r="F17" s="320"/>
      <c r="G17" s="320"/>
      <c r="H17" s="320"/>
      <c r="I17" s="320"/>
      <c r="J17" s="320"/>
      <c r="K17" s="320"/>
      <c r="L17" s="320"/>
      <c r="M17" s="321"/>
      <c r="N17" s="61"/>
      <c r="O17" s="22"/>
    </row>
    <row r="18" spans="2:15" ht="48" customHeight="1" x14ac:dyDescent="0.2">
      <c r="B18" s="314"/>
      <c r="C18" s="239" t="s">
        <v>268</v>
      </c>
      <c r="D18" s="322" t="s">
        <v>272</v>
      </c>
      <c r="E18" s="323"/>
      <c r="F18" s="323"/>
      <c r="G18" s="323"/>
      <c r="H18" s="323"/>
      <c r="I18" s="323"/>
      <c r="J18" s="323"/>
      <c r="K18" s="323"/>
      <c r="L18" s="323"/>
      <c r="M18" s="324"/>
      <c r="N18" s="61"/>
      <c r="O18" s="22"/>
    </row>
    <row r="19" spans="2:15" ht="15" customHeight="1" x14ac:dyDescent="0.2">
      <c r="B19" s="314"/>
      <c r="C19" s="239" t="s">
        <v>269</v>
      </c>
      <c r="D19" s="319" t="s">
        <v>270</v>
      </c>
      <c r="E19" s="320"/>
      <c r="F19" s="320"/>
      <c r="G19" s="320"/>
      <c r="H19" s="320"/>
      <c r="I19" s="320"/>
      <c r="J19" s="320"/>
      <c r="K19" s="320"/>
      <c r="L19" s="320"/>
      <c r="M19" s="321"/>
      <c r="N19" s="61"/>
      <c r="O19" s="22"/>
    </row>
    <row r="20" spans="2:15" ht="33" customHeight="1" x14ac:dyDescent="0.2">
      <c r="B20" s="314"/>
      <c r="C20" s="240" t="s">
        <v>271</v>
      </c>
      <c r="D20" s="325" t="s">
        <v>273</v>
      </c>
      <c r="E20" s="325"/>
      <c r="F20" s="325"/>
      <c r="G20" s="325"/>
      <c r="H20" s="325"/>
      <c r="I20" s="325"/>
      <c r="J20" s="325"/>
      <c r="K20" s="325"/>
      <c r="L20" s="325"/>
      <c r="M20" s="325"/>
      <c r="N20" s="61"/>
      <c r="O20" s="22"/>
    </row>
    <row r="21" spans="2:15" ht="30" customHeight="1" x14ac:dyDescent="0.2">
      <c r="B21" s="314"/>
      <c r="C21" s="240" t="s">
        <v>274</v>
      </c>
      <c r="D21" s="325" t="s">
        <v>281</v>
      </c>
      <c r="E21" s="325"/>
      <c r="F21" s="325"/>
      <c r="G21" s="325"/>
      <c r="H21" s="325"/>
      <c r="I21" s="325"/>
      <c r="J21" s="325"/>
      <c r="K21" s="325"/>
      <c r="L21" s="325"/>
      <c r="M21" s="325"/>
      <c r="N21" s="61"/>
      <c r="O21" s="22"/>
    </row>
    <row r="22" spans="2:15" ht="15" customHeight="1" x14ac:dyDescent="0.2">
      <c r="B22" s="314"/>
      <c r="C22" s="240" t="s">
        <v>275</v>
      </c>
      <c r="D22" s="326" t="s">
        <v>282</v>
      </c>
      <c r="E22" s="325"/>
      <c r="F22" s="325"/>
      <c r="G22" s="325"/>
      <c r="H22" s="325"/>
      <c r="I22" s="325"/>
      <c r="J22" s="325"/>
      <c r="K22" s="325"/>
      <c r="L22" s="325"/>
      <c r="M22" s="325"/>
      <c r="N22" s="61"/>
      <c r="O22" s="22"/>
    </row>
    <row r="23" spans="2:15" ht="28.5" customHeight="1" x14ac:dyDescent="0.2">
      <c r="B23" s="314"/>
      <c r="C23" s="240" t="s">
        <v>276</v>
      </c>
      <c r="D23" s="325" t="s">
        <v>302</v>
      </c>
      <c r="E23" s="325"/>
      <c r="F23" s="325"/>
      <c r="G23" s="325"/>
      <c r="H23" s="325"/>
      <c r="I23" s="325"/>
      <c r="J23" s="325"/>
      <c r="K23" s="325"/>
      <c r="L23" s="325"/>
      <c r="M23" s="325"/>
      <c r="N23" s="61"/>
      <c r="O23" s="22"/>
    </row>
    <row r="24" spans="2:15" ht="28.5" customHeight="1" x14ac:dyDescent="0.2">
      <c r="B24" s="314"/>
      <c r="C24" s="240" t="s">
        <v>277</v>
      </c>
      <c r="D24" s="325" t="s">
        <v>303</v>
      </c>
      <c r="E24" s="325"/>
      <c r="F24" s="325"/>
      <c r="G24" s="325"/>
      <c r="H24" s="325"/>
      <c r="I24" s="325"/>
      <c r="J24" s="325"/>
      <c r="K24" s="325"/>
      <c r="L24" s="325"/>
      <c r="M24" s="325"/>
      <c r="N24" s="61"/>
      <c r="O24" s="22"/>
    </row>
    <row r="25" spans="2:15" ht="28.5" customHeight="1" x14ac:dyDescent="0.2">
      <c r="B25" s="314"/>
      <c r="C25" s="240" t="s">
        <v>278</v>
      </c>
      <c r="D25" s="325" t="s">
        <v>304</v>
      </c>
      <c r="E25" s="325"/>
      <c r="F25" s="325"/>
      <c r="G25" s="325"/>
      <c r="H25" s="325"/>
      <c r="I25" s="325"/>
      <c r="J25" s="325"/>
      <c r="K25" s="325"/>
      <c r="L25" s="325"/>
      <c r="M25" s="325"/>
      <c r="N25" s="61"/>
      <c r="O25" s="22"/>
    </row>
    <row r="26" spans="2:15" ht="28.5" customHeight="1" x14ac:dyDescent="0.2">
      <c r="B26" s="314"/>
      <c r="C26" s="240" t="s">
        <v>279</v>
      </c>
      <c r="D26" s="325" t="s">
        <v>305</v>
      </c>
      <c r="E26" s="325"/>
      <c r="F26" s="325"/>
      <c r="G26" s="325"/>
      <c r="H26" s="325"/>
      <c r="I26" s="325"/>
      <c r="J26" s="325"/>
      <c r="K26" s="325"/>
      <c r="L26" s="325"/>
      <c r="M26" s="325"/>
      <c r="N26" s="61"/>
      <c r="O26" s="22"/>
    </row>
    <row r="27" spans="2:15" ht="41.45" customHeight="1" x14ac:dyDescent="0.2">
      <c r="B27" s="314"/>
      <c r="C27" s="240" t="s">
        <v>280</v>
      </c>
      <c r="D27" s="325" t="s">
        <v>306</v>
      </c>
      <c r="E27" s="325"/>
      <c r="F27" s="325"/>
      <c r="G27" s="325"/>
      <c r="H27" s="325"/>
      <c r="I27" s="325"/>
      <c r="J27" s="325"/>
      <c r="K27" s="325"/>
      <c r="L27" s="325"/>
      <c r="M27" s="325"/>
      <c r="N27" s="61"/>
      <c r="O27" s="22"/>
    </row>
    <row r="28" spans="2:15" ht="15" customHeight="1" x14ac:dyDescent="0.2">
      <c r="B28" s="314"/>
      <c r="C28" s="61"/>
      <c r="D28" s="61"/>
      <c r="E28" s="61"/>
      <c r="F28" s="61"/>
      <c r="G28" s="61"/>
      <c r="H28" s="61"/>
      <c r="I28" s="61"/>
      <c r="J28" s="61"/>
      <c r="K28" s="61"/>
      <c r="L28" s="61"/>
      <c r="M28" s="61"/>
      <c r="N28" s="61"/>
      <c r="O28" s="22"/>
    </row>
    <row r="29" spans="2:15" ht="46.5" customHeight="1" x14ac:dyDescent="0.2">
      <c r="B29" s="153" t="s">
        <v>182</v>
      </c>
      <c r="C29" s="328" t="s">
        <v>290</v>
      </c>
      <c r="D29" s="328"/>
      <c r="E29" s="328"/>
      <c r="F29" s="328"/>
      <c r="G29" s="328"/>
      <c r="H29" s="328"/>
      <c r="I29" s="328"/>
      <c r="J29" s="328"/>
      <c r="K29" s="328"/>
      <c r="L29" s="328"/>
      <c r="M29" s="328"/>
      <c r="N29" s="286"/>
      <c r="O29" s="152"/>
    </row>
    <row r="30" spans="2:15" ht="12.75" customHeight="1" x14ac:dyDescent="0.25">
      <c r="B30" s="154"/>
      <c r="C30" s="284" t="s">
        <v>291</v>
      </c>
      <c r="D30" s="11"/>
      <c r="E30" s="11"/>
      <c r="F30" s="11"/>
      <c r="G30" s="11"/>
      <c r="H30" s="11"/>
      <c r="I30" s="11"/>
      <c r="J30" s="11"/>
      <c r="K30" s="11"/>
      <c r="L30" s="11"/>
      <c r="M30" s="11"/>
      <c r="N30" s="11"/>
      <c r="O30" s="22"/>
    </row>
    <row r="31" spans="2:15" ht="15" x14ac:dyDescent="0.25">
      <c r="B31" s="154"/>
      <c r="C31" s="285"/>
      <c r="D31" s="11"/>
      <c r="E31" s="11"/>
      <c r="F31" s="11"/>
      <c r="G31" s="11"/>
      <c r="H31" s="11"/>
      <c r="I31" s="11"/>
      <c r="J31" s="11"/>
      <c r="K31" s="11"/>
      <c r="L31" s="11"/>
      <c r="M31" s="11"/>
      <c r="N31" s="11"/>
      <c r="O31" s="22"/>
    </row>
    <row r="32" spans="2:15" ht="13.9" customHeight="1" x14ac:dyDescent="0.2">
      <c r="B32" s="153" t="s">
        <v>183</v>
      </c>
      <c r="C32" s="315" t="s">
        <v>166</v>
      </c>
      <c r="D32" s="315"/>
      <c r="E32" s="315"/>
      <c r="F32" s="315"/>
      <c r="G32" s="315"/>
      <c r="H32" s="315"/>
      <c r="I32" s="315"/>
      <c r="J32" s="315"/>
      <c r="K32" s="315"/>
      <c r="L32" s="315"/>
      <c r="M32" s="315"/>
      <c r="N32" s="315"/>
      <c r="O32" s="152"/>
    </row>
    <row r="33" spans="2:15" x14ac:dyDescent="0.2">
      <c r="B33" s="154"/>
      <c r="C33" s="11"/>
      <c r="D33" s="11"/>
      <c r="E33" s="11"/>
      <c r="F33" s="11"/>
      <c r="G33" s="11"/>
      <c r="H33" s="11"/>
      <c r="I33" s="11"/>
      <c r="J33" s="11"/>
      <c r="K33" s="11"/>
      <c r="L33" s="11"/>
      <c r="M33" s="11"/>
      <c r="N33" s="11"/>
      <c r="O33" s="22"/>
    </row>
    <row r="34" spans="2:15" ht="41.25" customHeight="1" x14ac:dyDescent="0.2">
      <c r="B34" s="153" t="s">
        <v>184</v>
      </c>
      <c r="C34" s="318" t="s">
        <v>187</v>
      </c>
      <c r="D34" s="318"/>
      <c r="E34" s="318"/>
      <c r="F34" s="318"/>
      <c r="G34" s="318"/>
      <c r="H34" s="318"/>
      <c r="I34" s="318"/>
      <c r="J34" s="318"/>
      <c r="K34" s="318"/>
      <c r="L34" s="318"/>
      <c r="M34" s="318"/>
      <c r="N34" s="318"/>
      <c r="O34" s="152"/>
    </row>
    <row r="35" spans="2:15" x14ac:dyDescent="0.2">
      <c r="B35" s="154"/>
      <c r="C35" s="11"/>
      <c r="D35" s="11"/>
      <c r="E35" s="11"/>
      <c r="F35" s="11"/>
      <c r="G35" s="11"/>
      <c r="H35" s="11"/>
      <c r="I35" s="11"/>
      <c r="J35" s="11"/>
      <c r="K35" s="11"/>
      <c r="L35" s="11"/>
      <c r="M35" s="11"/>
      <c r="N35" s="11"/>
      <c r="O35" s="22"/>
    </row>
    <row r="36" spans="2:15" ht="25.5" customHeight="1" x14ac:dyDescent="0.2">
      <c r="B36" s="313" t="s">
        <v>235</v>
      </c>
      <c r="C36" s="315" t="s">
        <v>283</v>
      </c>
      <c r="D36" s="315"/>
      <c r="E36" s="315"/>
      <c r="F36" s="315"/>
      <c r="G36" s="315"/>
      <c r="H36" s="315"/>
      <c r="I36" s="315"/>
      <c r="J36" s="315"/>
      <c r="K36" s="315"/>
      <c r="L36" s="315"/>
      <c r="M36" s="315"/>
      <c r="N36" s="315"/>
      <c r="O36" s="152"/>
    </row>
    <row r="37" spans="2:15" ht="15" customHeight="1" x14ac:dyDescent="0.2">
      <c r="B37" s="314"/>
      <c r="C37" s="316" t="s">
        <v>234</v>
      </c>
      <c r="D37" s="317"/>
      <c r="E37" s="317"/>
      <c r="F37" s="317"/>
      <c r="G37" s="317"/>
      <c r="H37" s="317"/>
      <c r="I37" s="317"/>
      <c r="J37" s="317"/>
      <c r="K37" s="317"/>
      <c r="L37" s="317"/>
      <c r="M37" s="317"/>
      <c r="N37" s="317"/>
      <c r="O37" s="22"/>
    </row>
    <row r="38" spans="2:15" ht="13.5" thickBot="1" x14ac:dyDescent="0.25">
      <c r="B38" s="155"/>
      <c r="C38" s="17"/>
      <c r="D38" s="17"/>
      <c r="E38" s="17"/>
      <c r="F38" s="17"/>
      <c r="G38" s="17"/>
      <c r="H38" s="17"/>
      <c r="I38" s="17"/>
      <c r="J38" s="17"/>
      <c r="K38" s="17"/>
      <c r="L38" s="17"/>
      <c r="M38" s="17"/>
      <c r="N38" s="17"/>
      <c r="O38" s="23"/>
    </row>
  </sheetData>
  <mergeCells count="21">
    <mergeCell ref="G7:H7"/>
    <mergeCell ref="C13:N13"/>
    <mergeCell ref="C32:N32"/>
    <mergeCell ref="D27:M27"/>
    <mergeCell ref="D24:M24"/>
    <mergeCell ref="C29:M29"/>
    <mergeCell ref="B36:B37"/>
    <mergeCell ref="C36:N36"/>
    <mergeCell ref="C37:N37"/>
    <mergeCell ref="B13:B14"/>
    <mergeCell ref="B15:B28"/>
    <mergeCell ref="C34:N34"/>
    <mergeCell ref="D17:M17"/>
    <mergeCell ref="D18:M18"/>
    <mergeCell ref="D19:M19"/>
    <mergeCell ref="D20:M20"/>
    <mergeCell ref="D21:M21"/>
    <mergeCell ref="D22:M22"/>
    <mergeCell ref="D23:M23"/>
    <mergeCell ref="D25:M25"/>
    <mergeCell ref="D26:M26"/>
  </mergeCells>
  <hyperlinks>
    <hyperlink ref="C37:N37" r:id="rId1" display="https://www.oecd-ilibrary.org/fr/education/oecd-handbook-for-internationally-comparative-education-statistics-2018_9789264304444-en" xr:uid="{00000000-0004-0000-0000-000000000000}"/>
    <hyperlink ref="C37" r:id="rId2" xr:uid="{00000000-0004-0000-0000-000001000000}"/>
    <hyperlink ref="C30" r:id="rId3" xr:uid="{00000000-0004-0000-0000-000002000000}"/>
  </hyperlinks>
  <pageMargins left="0.70866141732283472" right="0.70866141732283472" top="0.74803149606299213" bottom="0.74803149606299213" header="0.31496062992125984" footer="0.31496062992125984"/>
  <pageSetup paperSize="9" scale="64" orientation="portrait" r:id="rId4"/>
  <headerFooter>
    <oddFooter>&amp;R&amp;A</oddFooter>
  </headerFooter>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249977111117893"/>
    <pageSetUpPr fitToPage="1"/>
  </sheetPr>
  <dimension ref="A1:AS109"/>
  <sheetViews>
    <sheetView zoomScaleNormal="100" zoomScaleSheetLayoutView="100" workbookViewId="0">
      <pane xSplit="2" ySplit="5" topLeftCell="C6" activePane="bottomRight" state="frozen"/>
      <selection pane="topRight"/>
      <selection pane="bottomLeft"/>
      <selection pane="bottomRight"/>
    </sheetView>
  </sheetViews>
  <sheetFormatPr defaultColWidth="9.140625" defaultRowHeight="12.75" x14ac:dyDescent="0.2"/>
  <cols>
    <col min="1" max="1" width="16.7109375" style="1" bestFit="1" customWidth="1"/>
    <col min="2" max="2" width="8.28515625" style="1" customWidth="1"/>
    <col min="3" max="4" width="9.28515625" style="3" customWidth="1"/>
    <col min="5" max="6" width="10.28515625" style="3" customWidth="1"/>
    <col min="7" max="7" width="9.7109375" style="3" customWidth="1"/>
    <col min="8" max="8" width="11.42578125" style="3" customWidth="1"/>
    <col min="9" max="10" width="9.28515625" style="3" customWidth="1"/>
    <col min="11" max="11" width="10.42578125" style="3" customWidth="1"/>
    <col min="12" max="12" width="9.28515625" style="3" customWidth="1"/>
    <col min="13" max="14" width="10.7109375" style="3" customWidth="1"/>
    <col min="15" max="15" width="9.28515625" style="3" customWidth="1"/>
    <col min="16" max="16" width="1.28515625" style="3" customWidth="1"/>
    <col min="17" max="17" width="10.85546875" style="3" customWidth="1"/>
    <col min="18" max="18" width="0.85546875" style="3" customWidth="1"/>
    <col min="19" max="21" width="9.140625" style="3"/>
    <col min="22" max="22" width="1.140625" style="3" customWidth="1"/>
    <col min="23" max="24" width="9.140625" style="3"/>
    <col min="25" max="25" width="1.140625" style="3" customWidth="1"/>
    <col min="26" max="27" width="9.28515625" style="3" bestFit="1" customWidth="1"/>
    <col min="28" max="28" width="9.7109375" style="3" customWidth="1"/>
    <col min="29" max="29" width="9.28515625" style="3" bestFit="1" customWidth="1"/>
    <col min="30" max="30" width="10" style="3" bestFit="1" customWidth="1"/>
    <col min="31" max="34" width="9.28515625" style="3" bestFit="1" customWidth="1"/>
    <col min="35" max="35" width="10.7109375" style="3" customWidth="1"/>
    <col min="36" max="36" width="9.28515625" style="3" bestFit="1" customWidth="1"/>
    <col min="37" max="37" width="1.28515625" style="3" customWidth="1"/>
    <col min="38" max="38" width="9.28515625" style="3" bestFit="1" customWidth="1"/>
    <col min="39" max="39" width="0.85546875" style="3" customWidth="1"/>
    <col min="40" max="42" width="9.140625" style="3"/>
    <col min="43" max="43" width="1.140625" style="3" customWidth="1"/>
    <col min="44" max="45" width="9.140625" style="3"/>
    <col min="46" max="16384" width="9.140625" style="1"/>
  </cols>
  <sheetData>
    <row r="1" spans="1:45" customFormat="1" ht="12.75" customHeight="1" x14ac:dyDescent="0.2">
      <c r="A1" s="170" t="s">
        <v>76</v>
      </c>
      <c r="C1" s="403"/>
      <c r="D1" s="403"/>
      <c r="E1" s="403"/>
      <c r="F1" s="403"/>
      <c r="G1" s="403"/>
      <c r="H1" s="403"/>
      <c r="I1" s="403"/>
      <c r="J1" s="403"/>
      <c r="K1" s="403"/>
      <c r="L1" s="403"/>
      <c r="M1" s="403"/>
      <c r="N1" s="403"/>
      <c r="O1" s="403"/>
      <c r="P1" s="403"/>
      <c r="Q1" s="403"/>
      <c r="R1" s="403"/>
      <c r="S1" s="108"/>
      <c r="T1" s="403"/>
      <c r="U1" s="403"/>
      <c r="V1" s="403"/>
      <c r="W1" s="403"/>
      <c r="X1" s="403"/>
      <c r="Y1" s="403"/>
      <c r="Z1" s="3"/>
      <c r="AA1" s="3"/>
      <c r="AB1" s="3"/>
      <c r="AC1" s="3"/>
      <c r="AD1" s="3"/>
      <c r="AE1" s="3"/>
      <c r="AF1" s="3"/>
      <c r="AG1" s="3"/>
      <c r="AH1" s="3"/>
      <c r="AI1" s="3"/>
      <c r="AJ1" s="3"/>
      <c r="AK1" s="3"/>
      <c r="AL1" s="3"/>
      <c r="AM1" s="3"/>
      <c r="AN1" s="3"/>
      <c r="AO1" s="3"/>
      <c r="AP1" s="3"/>
      <c r="AQ1" s="3"/>
      <c r="AR1" s="3"/>
      <c r="AS1" s="3"/>
    </row>
    <row r="2" spans="1:45" customFormat="1" x14ac:dyDescent="0.2">
      <c r="A2" s="62" t="s">
        <v>13</v>
      </c>
      <c r="B2" s="63">
        <f>Flat_file!$B$2</f>
        <v>0</v>
      </c>
      <c r="C2" s="3"/>
      <c r="D2" s="63"/>
      <c r="E2" s="2"/>
      <c r="F2" s="2"/>
      <c r="G2" s="2"/>
      <c r="H2" s="3"/>
      <c r="I2" s="3"/>
      <c r="J2" s="3"/>
      <c r="K2" s="3"/>
      <c r="L2" s="3"/>
      <c r="M2" s="3"/>
      <c r="N2" s="3"/>
      <c r="O2" s="3"/>
      <c r="P2" s="3"/>
      <c r="Q2" s="3"/>
      <c r="R2" s="3"/>
      <c r="S2" s="3"/>
      <c r="T2" s="3"/>
      <c r="U2" s="3"/>
      <c r="V2" s="3"/>
      <c r="W2" s="3"/>
      <c r="X2" s="3"/>
      <c r="Y2" s="3"/>
      <c r="Z2" s="2"/>
      <c r="AA2" s="2"/>
      <c r="AB2" s="2"/>
      <c r="AC2" s="3"/>
      <c r="AD2" s="3"/>
      <c r="AE2" s="3"/>
      <c r="AF2" s="3"/>
      <c r="AG2" s="3"/>
      <c r="AH2" s="3"/>
      <c r="AI2" s="3"/>
      <c r="AJ2" s="3"/>
      <c r="AK2" s="3"/>
      <c r="AL2" s="3"/>
      <c r="AM2" s="3"/>
      <c r="AN2" s="3"/>
      <c r="AO2" s="3"/>
      <c r="AP2" s="3"/>
      <c r="AQ2" s="3"/>
      <c r="AR2" s="3"/>
      <c r="AS2" s="2"/>
    </row>
    <row r="3" spans="1:45" customFormat="1" ht="13.5" thickBot="1" x14ac:dyDescent="0.25">
      <c r="C3" s="372" t="s">
        <v>12</v>
      </c>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
      <c r="AD3" s="3"/>
      <c r="AE3" s="3"/>
      <c r="AF3" s="3"/>
      <c r="AG3" s="3"/>
      <c r="AH3" s="3"/>
      <c r="AI3" s="3"/>
      <c r="AJ3" s="3"/>
      <c r="AK3" s="3"/>
      <c r="AL3" s="3"/>
      <c r="AM3" s="3"/>
      <c r="AN3" s="3"/>
      <c r="AO3" s="3"/>
      <c r="AP3" s="3"/>
      <c r="AQ3" s="3"/>
      <c r="AR3" s="3"/>
      <c r="AS3" s="3"/>
    </row>
    <row r="4" spans="1:45" customFormat="1" ht="90" customHeight="1" thickBot="1" x14ac:dyDescent="0.25">
      <c r="A4" s="251"/>
      <c r="B4" s="252" t="s">
        <v>11</v>
      </c>
      <c r="C4" s="253" t="s">
        <v>140</v>
      </c>
      <c r="D4" s="253" t="s">
        <v>136</v>
      </c>
      <c r="E4" s="73" t="s">
        <v>137</v>
      </c>
      <c r="F4" s="255" t="s">
        <v>138</v>
      </c>
      <c r="G4" s="73" t="s">
        <v>139</v>
      </c>
      <c r="H4" s="259" t="s">
        <v>141</v>
      </c>
      <c r="I4" s="253" t="s">
        <v>142</v>
      </c>
      <c r="J4" s="73" t="s">
        <v>164</v>
      </c>
      <c r="K4" s="73" t="s">
        <v>128</v>
      </c>
      <c r="L4" s="73" t="s">
        <v>129</v>
      </c>
      <c r="M4" s="73" t="s">
        <v>130</v>
      </c>
      <c r="N4" s="256" t="s">
        <v>120</v>
      </c>
      <c r="O4" s="253" t="s">
        <v>221</v>
      </c>
      <c r="P4" s="4"/>
      <c r="Q4" s="253" t="s">
        <v>169</v>
      </c>
      <c r="R4" s="4"/>
      <c r="S4" s="253" t="s">
        <v>144</v>
      </c>
      <c r="T4" s="253" t="s">
        <v>145</v>
      </c>
      <c r="U4" s="253" t="s">
        <v>8</v>
      </c>
      <c r="V4" s="4"/>
      <c r="W4" s="311" t="s">
        <v>175</v>
      </c>
      <c r="X4" s="312" t="s">
        <v>171</v>
      </c>
      <c r="Y4" s="4"/>
      <c r="Z4" s="257" t="s">
        <v>172</v>
      </c>
      <c r="AA4" s="257" t="s">
        <v>173</v>
      </c>
      <c r="AB4" s="258" t="s">
        <v>174</v>
      </c>
      <c r="AC4" s="3"/>
      <c r="AD4" s="3"/>
      <c r="AE4" s="3"/>
      <c r="AF4" s="3"/>
      <c r="AG4" s="3"/>
      <c r="AH4" s="3"/>
      <c r="AI4" s="3"/>
      <c r="AJ4" s="3"/>
      <c r="AK4" s="3"/>
      <c r="AL4" s="3"/>
      <c r="AM4" s="3"/>
      <c r="AN4" s="3"/>
      <c r="AO4" s="3"/>
      <c r="AP4" s="3"/>
      <c r="AQ4" s="3"/>
      <c r="AR4" s="3"/>
      <c r="AS4" s="3"/>
    </row>
    <row r="5" spans="1:45" customFormat="1" ht="79.5" thickBot="1" x14ac:dyDescent="0.25">
      <c r="A5" s="81" t="s">
        <v>105</v>
      </c>
      <c r="B5" s="82"/>
      <c r="C5" s="71" t="s">
        <v>106</v>
      </c>
      <c r="D5" s="71" t="s">
        <v>97</v>
      </c>
      <c r="E5" s="71" t="s">
        <v>108</v>
      </c>
      <c r="F5" s="71" t="s">
        <v>107</v>
      </c>
      <c r="G5" s="71" t="s">
        <v>109</v>
      </c>
      <c r="H5" s="71" t="s">
        <v>110</v>
      </c>
      <c r="I5" s="72" t="s">
        <v>111</v>
      </c>
      <c r="J5" s="71" t="s">
        <v>112</v>
      </c>
      <c r="K5" s="71" t="s">
        <v>113</v>
      </c>
      <c r="L5" s="71" t="s">
        <v>114</v>
      </c>
      <c r="M5" s="71" t="s">
        <v>115</v>
      </c>
      <c r="N5" s="75" t="s">
        <v>121</v>
      </c>
      <c r="O5" s="76"/>
      <c r="P5" s="72"/>
      <c r="Q5" s="73" t="str">
        <f>CONCATENATE(H5&amp;", "&amp;I5&amp;", "&amp;J5&amp;", "&amp;K5&amp;", "&amp;L5&amp;", "&amp;M5)</f>
        <v>343, 344, 353, 354, 443, 444, 453, 454, 540, 550, 560, 640, 650, 660, 740, 750, 760, 840, 850, 860</v>
      </c>
      <c r="R5" s="72"/>
      <c r="S5" s="73" t="str">
        <f>CONCATENATE(C5&amp;", "&amp;D5&amp;", "&amp;E5&amp;", "&amp;F5&amp;", "&amp;G5)</f>
        <v>010, 020, 030, 100, 242, 252, 243, 244, 253, 254, 342, 352</v>
      </c>
      <c r="T5" s="73" t="str">
        <f>CONCATENATE(H5&amp;", "&amp;I5)</f>
        <v>343, 344, 353, 354, 443, 444, 453, 454</v>
      </c>
      <c r="U5" s="73" t="str">
        <f>CONCATENATE(J5&amp;", "&amp;K5&amp;", "&amp;L5&amp;", "&amp;M5)</f>
        <v>540, 550, 560, 640, 650, 660, 740, 750, 760, 840, 850, 860</v>
      </c>
      <c r="V5" s="72"/>
      <c r="W5" s="71" t="s">
        <v>118</v>
      </c>
      <c r="X5" s="71" t="s">
        <v>119</v>
      </c>
      <c r="Y5" s="72"/>
      <c r="Z5" s="77" t="s">
        <v>122</v>
      </c>
      <c r="AA5" s="77" t="s">
        <v>123</v>
      </c>
      <c r="AB5" s="74" t="s">
        <v>124</v>
      </c>
      <c r="AC5" s="3"/>
      <c r="AD5" s="3"/>
      <c r="AE5" s="3"/>
      <c r="AF5" s="3"/>
      <c r="AG5" s="3"/>
      <c r="AH5" s="3"/>
      <c r="AI5" s="3"/>
      <c r="AJ5" s="3"/>
      <c r="AK5" s="3"/>
      <c r="AL5" s="3"/>
      <c r="AM5" s="3"/>
      <c r="AN5" s="3"/>
      <c r="AO5" s="3"/>
      <c r="AP5" s="3"/>
      <c r="AQ5" s="3"/>
      <c r="AR5" s="3"/>
      <c r="AS5" s="3"/>
    </row>
    <row r="6" spans="1:45" customFormat="1" ht="12.75" customHeight="1" x14ac:dyDescent="0.2">
      <c r="A6" s="351" t="s">
        <v>5</v>
      </c>
      <c r="B6" s="78" t="s">
        <v>87</v>
      </c>
      <c r="C6" s="86">
        <f>Summary_Employed!C6+Summary_Unemployed!C6+Summary_Inactive!C6</f>
        <v>0</v>
      </c>
      <c r="D6" s="86">
        <f>Summary_Employed!D6+Summary_Unemployed!D6+Summary_Inactive!D6</f>
        <v>0</v>
      </c>
      <c r="E6" s="86">
        <f>Summary_Employed!E6+Summary_Unemployed!E6+Summary_Inactive!E6</f>
        <v>0</v>
      </c>
      <c r="F6" s="86">
        <f>Summary_Employed!F6+Summary_Unemployed!F6+Summary_Inactive!F6</f>
        <v>0</v>
      </c>
      <c r="G6" s="86">
        <f>Summary_Employed!G6+Summary_Unemployed!G6+Summary_Inactive!G6</f>
        <v>0</v>
      </c>
      <c r="H6" s="86">
        <f>Summary_Employed!H6+Summary_Unemployed!H6+Summary_Inactive!H6</f>
        <v>0</v>
      </c>
      <c r="I6" s="86">
        <f>Summary_Employed!I6+Summary_Unemployed!I6+Summary_Inactive!I6</f>
        <v>0</v>
      </c>
      <c r="J6" s="86">
        <f>Summary_Employed!J6+Summary_Unemployed!J6+Summary_Inactive!J6</f>
        <v>0</v>
      </c>
      <c r="K6" s="86">
        <f>Summary_Employed!K6+Summary_Unemployed!K6+Summary_Inactive!K6</f>
        <v>0</v>
      </c>
      <c r="L6" s="86">
        <f>Summary_Employed!L6+Summary_Unemployed!L6+Summary_Inactive!L6</f>
        <v>0</v>
      </c>
      <c r="M6" s="86">
        <f>Summary_Employed!M6+Summary_Unemployed!M6+Summary_Inactive!M6</f>
        <v>0</v>
      </c>
      <c r="N6" s="86">
        <f>Summary_Employed!N6+Summary_Unemployed!N6+Summary_Inactive!N6</f>
        <v>0</v>
      </c>
      <c r="O6" s="86">
        <f>Summary_Employed!O6+Summary_Unemployed!O6+Summary_Inactive!O6</f>
        <v>0</v>
      </c>
      <c r="P6" s="87"/>
      <c r="Q6" s="86">
        <f>Summary_Employed!Q6+Summary_Unemployed!Q6+Summary_Inactive!Q6</f>
        <v>0</v>
      </c>
      <c r="R6" s="88"/>
      <c r="S6" s="86">
        <f>Summary_Employed!S6+Summary_Unemployed!S6+Summary_Inactive!S6</f>
        <v>0</v>
      </c>
      <c r="T6" s="86">
        <f>Summary_Employed!T6+Summary_Unemployed!T6+Summary_Inactive!T6</f>
        <v>0</v>
      </c>
      <c r="U6" s="86">
        <f>Summary_Employed!U6+Summary_Unemployed!U6+Summary_Inactive!U6</f>
        <v>0</v>
      </c>
      <c r="V6" s="87"/>
      <c r="W6" s="86">
        <f>Summary_Employed!W6+Summary_Unemployed!W6+Summary_Inactive!W6</f>
        <v>0</v>
      </c>
      <c r="X6" s="86">
        <f>Summary_Employed!X6+Summary_Unemployed!X6+Summary_Inactive!X6</f>
        <v>0</v>
      </c>
      <c r="Y6" s="87"/>
      <c r="Z6" s="86">
        <f>Summary_Employed!Z6+Summary_Unemployed!Z6+Summary_Inactive!Z6</f>
        <v>0</v>
      </c>
      <c r="AA6" s="86">
        <f>Summary_Employed!AA6+Summary_Unemployed!AA6+Summary_Inactive!AA6</f>
        <v>0</v>
      </c>
      <c r="AB6" s="268">
        <f>Summary_Employed!AB6+Summary_Unemployed!AB6+Summary_Inactive!AB6</f>
        <v>0</v>
      </c>
      <c r="AC6" s="3"/>
      <c r="AD6" s="3"/>
      <c r="AE6" s="3"/>
      <c r="AF6" s="3"/>
      <c r="AG6" s="3"/>
      <c r="AH6" s="3"/>
      <c r="AI6" s="3"/>
      <c r="AJ6" s="3"/>
      <c r="AK6" s="3"/>
      <c r="AL6" s="3"/>
      <c r="AM6" s="3"/>
      <c r="AN6" s="3"/>
      <c r="AO6" s="3"/>
      <c r="AP6" s="3"/>
      <c r="AQ6" s="3"/>
      <c r="AR6" s="3"/>
      <c r="AS6" s="3"/>
    </row>
    <row r="7" spans="1:45" customFormat="1" x14ac:dyDescent="0.2">
      <c r="A7" s="352"/>
      <c r="B7" s="79" t="s">
        <v>88</v>
      </c>
      <c r="C7" s="89">
        <f>Summary_Employed!C7+Summary_Unemployed!C7+Summary_Inactive!C7</f>
        <v>0</v>
      </c>
      <c r="D7" s="89">
        <f>Summary_Employed!D7+Summary_Unemployed!D7+Summary_Inactive!D7</f>
        <v>0</v>
      </c>
      <c r="E7" s="89">
        <f>Summary_Employed!E7+Summary_Unemployed!E7+Summary_Inactive!E7</f>
        <v>0</v>
      </c>
      <c r="F7" s="89">
        <f>Summary_Employed!F7+Summary_Unemployed!F7+Summary_Inactive!F7</f>
        <v>0</v>
      </c>
      <c r="G7" s="89">
        <f>Summary_Employed!G7+Summary_Unemployed!G7+Summary_Inactive!G7</f>
        <v>0</v>
      </c>
      <c r="H7" s="89">
        <f>Summary_Employed!H7+Summary_Unemployed!H7+Summary_Inactive!H7</f>
        <v>0</v>
      </c>
      <c r="I7" s="89">
        <f>Summary_Employed!I7+Summary_Unemployed!I7+Summary_Inactive!I7</f>
        <v>0</v>
      </c>
      <c r="J7" s="89">
        <f>Summary_Employed!J7+Summary_Unemployed!J7+Summary_Inactive!J7</f>
        <v>0</v>
      </c>
      <c r="K7" s="89">
        <f>Summary_Employed!K7+Summary_Unemployed!K7+Summary_Inactive!K7</f>
        <v>0</v>
      </c>
      <c r="L7" s="89">
        <f>Summary_Employed!L7+Summary_Unemployed!L7+Summary_Inactive!L7</f>
        <v>0</v>
      </c>
      <c r="M7" s="89">
        <f>Summary_Employed!M7+Summary_Unemployed!M7+Summary_Inactive!M7</f>
        <v>0</v>
      </c>
      <c r="N7" s="89">
        <f>Summary_Employed!N7+Summary_Unemployed!N7+Summary_Inactive!N7</f>
        <v>0</v>
      </c>
      <c r="O7" s="89">
        <f>Summary_Employed!O7+Summary_Unemployed!O7+Summary_Inactive!O7</f>
        <v>0</v>
      </c>
      <c r="P7" s="90"/>
      <c r="Q7" s="89">
        <f>Summary_Employed!Q7+Summary_Unemployed!Q7+Summary_Inactive!Q7</f>
        <v>0</v>
      </c>
      <c r="R7" s="91"/>
      <c r="S7" s="89">
        <f>Summary_Employed!S7+Summary_Unemployed!S7+Summary_Inactive!S7</f>
        <v>0</v>
      </c>
      <c r="T7" s="89">
        <f>Summary_Employed!T7+Summary_Unemployed!T7+Summary_Inactive!T7</f>
        <v>0</v>
      </c>
      <c r="U7" s="89">
        <f>Summary_Employed!U7+Summary_Unemployed!U7+Summary_Inactive!U7</f>
        <v>0</v>
      </c>
      <c r="V7" s="90"/>
      <c r="W7" s="89">
        <f>Summary_Employed!W7+Summary_Unemployed!W7+Summary_Inactive!W7</f>
        <v>0</v>
      </c>
      <c r="X7" s="89">
        <f>Summary_Employed!X7+Summary_Unemployed!X7+Summary_Inactive!X7</f>
        <v>0</v>
      </c>
      <c r="Y7" s="90"/>
      <c r="Z7" s="89">
        <f>Summary_Employed!Z7+Summary_Unemployed!Z7+Summary_Inactive!Z7</f>
        <v>0</v>
      </c>
      <c r="AA7" s="89">
        <f>Summary_Employed!AA7+Summary_Unemployed!AA7+Summary_Inactive!AA7</f>
        <v>0</v>
      </c>
      <c r="AB7" s="269">
        <f>Summary_Employed!AB7+Summary_Unemployed!AB7+Summary_Inactive!AB7</f>
        <v>0</v>
      </c>
      <c r="AC7" s="3"/>
      <c r="AD7" s="3"/>
      <c r="AE7" s="3"/>
      <c r="AF7" s="3"/>
      <c r="AG7" s="3"/>
      <c r="AH7" s="3"/>
      <c r="AI7" s="3"/>
      <c r="AJ7" s="3"/>
      <c r="AK7" s="3"/>
      <c r="AL7" s="3"/>
      <c r="AM7" s="3"/>
      <c r="AN7" s="3"/>
      <c r="AO7" s="3"/>
      <c r="AP7" s="3"/>
      <c r="AQ7" s="3"/>
      <c r="AR7" s="3"/>
      <c r="AS7" s="3"/>
    </row>
    <row r="8" spans="1:45" customFormat="1" x14ac:dyDescent="0.2">
      <c r="A8" s="352"/>
      <c r="B8" s="79" t="s">
        <v>89</v>
      </c>
      <c r="C8" s="89">
        <f>Summary_Employed!C8+Summary_Unemployed!C8+Summary_Inactive!C8</f>
        <v>0</v>
      </c>
      <c r="D8" s="89">
        <f>Summary_Employed!D8+Summary_Unemployed!D8+Summary_Inactive!D8</f>
        <v>0</v>
      </c>
      <c r="E8" s="89">
        <f>Summary_Employed!E8+Summary_Unemployed!E8+Summary_Inactive!E8</f>
        <v>0</v>
      </c>
      <c r="F8" s="89">
        <f>Summary_Employed!F8+Summary_Unemployed!F8+Summary_Inactive!F8</f>
        <v>0</v>
      </c>
      <c r="G8" s="89">
        <f>Summary_Employed!G8+Summary_Unemployed!G8+Summary_Inactive!G8</f>
        <v>0</v>
      </c>
      <c r="H8" s="89">
        <f>Summary_Employed!H8+Summary_Unemployed!H8+Summary_Inactive!H8</f>
        <v>0</v>
      </c>
      <c r="I8" s="89">
        <f>Summary_Employed!I8+Summary_Unemployed!I8+Summary_Inactive!I8</f>
        <v>0</v>
      </c>
      <c r="J8" s="89">
        <f>Summary_Employed!J8+Summary_Unemployed!J8+Summary_Inactive!J8</f>
        <v>0</v>
      </c>
      <c r="K8" s="89">
        <f>Summary_Employed!K8+Summary_Unemployed!K8+Summary_Inactive!K8</f>
        <v>0</v>
      </c>
      <c r="L8" s="89">
        <f>Summary_Employed!L8+Summary_Unemployed!L8+Summary_Inactive!L8</f>
        <v>0</v>
      </c>
      <c r="M8" s="89">
        <f>Summary_Employed!M8+Summary_Unemployed!M8+Summary_Inactive!M8</f>
        <v>0</v>
      </c>
      <c r="N8" s="89">
        <f>Summary_Employed!N8+Summary_Unemployed!N8+Summary_Inactive!N8</f>
        <v>0</v>
      </c>
      <c r="O8" s="89">
        <f>Summary_Employed!O8+Summary_Unemployed!O8+Summary_Inactive!O8</f>
        <v>0</v>
      </c>
      <c r="P8" s="90"/>
      <c r="Q8" s="89">
        <f>Summary_Employed!Q8+Summary_Unemployed!Q8+Summary_Inactive!Q8</f>
        <v>0</v>
      </c>
      <c r="R8" s="91"/>
      <c r="S8" s="89">
        <f>Summary_Employed!S8+Summary_Unemployed!S8+Summary_Inactive!S8</f>
        <v>0</v>
      </c>
      <c r="T8" s="89">
        <f>Summary_Employed!T8+Summary_Unemployed!T8+Summary_Inactive!T8</f>
        <v>0</v>
      </c>
      <c r="U8" s="89">
        <f>Summary_Employed!U8+Summary_Unemployed!U8+Summary_Inactive!U8</f>
        <v>0</v>
      </c>
      <c r="V8" s="90"/>
      <c r="W8" s="89">
        <f>Summary_Employed!W8+Summary_Unemployed!W8+Summary_Inactive!W8</f>
        <v>0</v>
      </c>
      <c r="X8" s="89">
        <f>Summary_Employed!X8+Summary_Unemployed!X8+Summary_Inactive!X8</f>
        <v>0</v>
      </c>
      <c r="Y8" s="90"/>
      <c r="Z8" s="89">
        <f>Summary_Employed!Z8+Summary_Unemployed!Z8+Summary_Inactive!Z8</f>
        <v>0</v>
      </c>
      <c r="AA8" s="89">
        <f>Summary_Employed!AA8+Summary_Unemployed!AA8+Summary_Inactive!AA8</f>
        <v>0</v>
      </c>
      <c r="AB8" s="269">
        <f>Summary_Employed!AB8+Summary_Unemployed!AB8+Summary_Inactive!AB8</f>
        <v>0</v>
      </c>
      <c r="AC8" s="3"/>
      <c r="AD8" s="3"/>
      <c r="AE8" s="3"/>
      <c r="AF8" s="3"/>
      <c r="AG8" s="3"/>
      <c r="AH8" s="3"/>
      <c r="AI8" s="3"/>
      <c r="AJ8" s="3"/>
      <c r="AK8" s="3"/>
      <c r="AL8" s="3"/>
      <c r="AM8" s="3"/>
      <c r="AN8" s="3"/>
      <c r="AO8" s="3"/>
      <c r="AP8" s="3"/>
      <c r="AQ8" s="3"/>
      <c r="AR8" s="3"/>
      <c r="AS8" s="3"/>
    </row>
    <row r="9" spans="1:45" customFormat="1" x14ac:dyDescent="0.2">
      <c r="A9" s="352"/>
      <c r="B9" s="79" t="s">
        <v>90</v>
      </c>
      <c r="C9" s="89">
        <f>Summary_Employed!C9+Summary_Unemployed!C9+Summary_Inactive!C9</f>
        <v>0</v>
      </c>
      <c r="D9" s="89">
        <f>Summary_Employed!D9+Summary_Unemployed!D9+Summary_Inactive!D9</f>
        <v>0</v>
      </c>
      <c r="E9" s="89">
        <f>Summary_Employed!E9+Summary_Unemployed!E9+Summary_Inactive!E9</f>
        <v>0</v>
      </c>
      <c r="F9" s="89">
        <f>Summary_Employed!F9+Summary_Unemployed!F9+Summary_Inactive!F9</f>
        <v>0</v>
      </c>
      <c r="G9" s="89">
        <f>Summary_Employed!G9+Summary_Unemployed!G9+Summary_Inactive!G9</f>
        <v>0</v>
      </c>
      <c r="H9" s="89">
        <f>Summary_Employed!H9+Summary_Unemployed!H9+Summary_Inactive!H9</f>
        <v>0</v>
      </c>
      <c r="I9" s="89">
        <f>Summary_Employed!I9+Summary_Unemployed!I9+Summary_Inactive!I9</f>
        <v>0</v>
      </c>
      <c r="J9" s="89">
        <f>Summary_Employed!J9+Summary_Unemployed!J9+Summary_Inactive!J9</f>
        <v>0</v>
      </c>
      <c r="K9" s="89">
        <f>Summary_Employed!K9+Summary_Unemployed!K9+Summary_Inactive!K9</f>
        <v>0</v>
      </c>
      <c r="L9" s="89">
        <f>Summary_Employed!L9+Summary_Unemployed!L9+Summary_Inactive!L9</f>
        <v>0</v>
      </c>
      <c r="M9" s="89">
        <f>Summary_Employed!M9+Summary_Unemployed!M9+Summary_Inactive!M9</f>
        <v>0</v>
      </c>
      <c r="N9" s="89">
        <f>Summary_Employed!N9+Summary_Unemployed!N9+Summary_Inactive!N9</f>
        <v>0</v>
      </c>
      <c r="O9" s="89">
        <f>Summary_Employed!O9+Summary_Unemployed!O9+Summary_Inactive!O9</f>
        <v>0</v>
      </c>
      <c r="P9" s="90"/>
      <c r="Q9" s="89">
        <f>Summary_Employed!Q9+Summary_Unemployed!Q9+Summary_Inactive!Q9</f>
        <v>0</v>
      </c>
      <c r="R9" s="91"/>
      <c r="S9" s="89">
        <f>Summary_Employed!S9+Summary_Unemployed!S9+Summary_Inactive!S9</f>
        <v>0</v>
      </c>
      <c r="T9" s="89">
        <f>Summary_Employed!T9+Summary_Unemployed!T9+Summary_Inactive!T9</f>
        <v>0</v>
      </c>
      <c r="U9" s="89">
        <f>Summary_Employed!U9+Summary_Unemployed!U9+Summary_Inactive!U9</f>
        <v>0</v>
      </c>
      <c r="V9" s="90"/>
      <c r="W9" s="89">
        <f>Summary_Employed!W9+Summary_Unemployed!W9+Summary_Inactive!W9</f>
        <v>0</v>
      </c>
      <c r="X9" s="89">
        <f>Summary_Employed!X9+Summary_Unemployed!X9+Summary_Inactive!X9</f>
        <v>0</v>
      </c>
      <c r="Y9" s="90"/>
      <c r="Z9" s="89">
        <f>Summary_Employed!Z9+Summary_Unemployed!Z9+Summary_Inactive!Z9</f>
        <v>0</v>
      </c>
      <c r="AA9" s="89">
        <f>Summary_Employed!AA9+Summary_Unemployed!AA9+Summary_Inactive!AA9</f>
        <v>0</v>
      </c>
      <c r="AB9" s="269">
        <f>Summary_Employed!AB9+Summary_Unemployed!AB9+Summary_Inactive!AB9</f>
        <v>0</v>
      </c>
      <c r="AC9" s="3"/>
      <c r="AD9" s="3"/>
      <c r="AE9" s="3"/>
      <c r="AF9" s="3"/>
      <c r="AG9" s="3"/>
      <c r="AH9" s="3"/>
      <c r="AI9" s="3"/>
      <c r="AJ9" s="3"/>
      <c r="AK9" s="3"/>
      <c r="AL9" s="3"/>
      <c r="AM9" s="3"/>
      <c r="AN9" s="3"/>
      <c r="AO9" s="3"/>
      <c r="AP9" s="3"/>
      <c r="AQ9" s="3"/>
      <c r="AR9" s="3"/>
      <c r="AS9" s="3"/>
    </row>
    <row r="10" spans="1:45" customFormat="1" x14ac:dyDescent="0.2">
      <c r="A10" s="352"/>
      <c r="B10" s="79" t="s">
        <v>91</v>
      </c>
      <c r="C10" s="89">
        <f>Summary_Employed!C10+Summary_Unemployed!C10+Summary_Inactive!C10</f>
        <v>0</v>
      </c>
      <c r="D10" s="89">
        <f>Summary_Employed!D10+Summary_Unemployed!D10+Summary_Inactive!D10</f>
        <v>0</v>
      </c>
      <c r="E10" s="89">
        <f>Summary_Employed!E10+Summary_Unemployed!E10+Summary_Inactive!E10</f>
        <v>0</v>
      </c>
      <c r="F10" s="89">
        <f>Summary_Employed!F10+Summary_Unemployed!F10+Summary_Inactive!F10</f>
        <v>0</v>
      </c>
      <c r="G10" s="89">
        <f>Summary_Employed!G10+Summary_Unemployed!G10+Summary_Inactive!G10</f>
        <v>0</v>
      </c>
      <c r="H10" s="89">
        <f>Summary_Employed!H10+Summary_Unemployed!H10+Summary_Inactive!H10</f>
        <v>0</v>
      </c>
      <c r="I10" s="89">
        <f>Summary_Employed!I10+Summary_Unemployed!I10+Summary_Inactive!I10</f>
        <v>0</v>
      </c>
      <c r="J10" s="89">
        <f>Summary_Employed!J10+Summary_Unemployed!J10+Summary_Inactive!J10</f>
        <v>0</v>
      </c>
      <c r="K10" s="89">
        <f>Summary_Employed!K10+Summary_Unemployed!K10+Summary_Inactive!K10</f>
        <v>0</v>
      </c>
      <c r="L10" s="89">
        <f>Summary_Employed!L10+Summary_Unemployed!L10+Summary_Inactive!L10</f>
        <v>0</v>
      </c>
      <c r="M10" s="89">
        <f>Summary_Employed!M10+Summary_Unemployed!M10+Summary_Inactive!M10</f>
        <v>0</v>
      </c>
      <c r="N10" s="89">
        <f>Summary_Employed!N10+Summary_Unemployed!N10+Summary_Inactive!N10</f>
        <v>0</v>
      </c>
      <c r="O10" s="89">
        <f>Summary_Employed!O10+Summary_Unemployed!O10+Summary_Inactive!O10</f>
        <v>0</v>
      </c>
      <c r="P10" s="90"/>
      <c r="Q10" s="89">
        <f>Summary_Employed!Q10+Summary_Unemployed!Q10+Summary_Inactive!Q10</f>
        <v>0</v>
      </c>
      <c r="R10" s="91"/>
      <c r="S10" s="89">
        <f>Summary_Employed!S10+Summary_Unemployed!S10+Summary_Inactive!S10</f>
        <v>0</v>
      </c>
      <c r="T10" s="89">
        <f>Summary_Employed!T10+Summary_Unemployed!T10+Summary_Inactive!T10</f>
        <v>0</v>
      </c>
      <c r="U10" s="89">
        <f>Summary_Employed!U10+Summary_Unemployed!U10+Summary_Inactive!U10</f>
        <v>0</v>
      </c>
      <c r="V10" s="90"/>
      <c r="W10" s="89">
        <f>Summary_Employed!W10+Summary_Unemployed!W10+Summary_Inactive!W10</f>
        <v>0</v>
      </c>
      <c r="X10" s="89">
        <f>Summary_Employed!X10+Summary_Unemployed!X10+Summary_Inactive!X10</f>
        <v>0</v>
      </c>
      <c r="Y10" s="90"/>
      <c r="Z10" s="89">
        <f>Summary_Employed!Z10+Summary_Unemployed!Z10+Summary_Inactive!Z10</f>
        <v>0</v>
      </c>
      <c r="AA10" s="89">
        <f>Summary_Employed!AA10+Summary_Unemployed!AA10+Summary_Inactive!AA10</f>
        <v>0</v>
      </c>
      <c r="AB10" s="269">
        <f>Summary_Employed!AB10+Summary_Unemployed!AB10+Summary_Inactive!AB10</f>
        <v>0</v>
      </c>
      <c r="AC10" s="3"/>
      <c r="AD10" s="3"/>
      <c r="AE10" s="3"/>
      <c r="AF10" s="3"/>
      <c r="AG10" s="3"/>
      <c r="AH10" s="3"/>
      <c r="AI10" s="3"/>
      <c r="AJ10" s="3"/>
      <c r="AK10" s="3"/>
      <c r="AL10" s="3"/>
      <c r="AM10" s="3"/>
      <c r="AN10" s="3"/>
      <c r="AO10" s="3"/>
      <c r="AP10" s="3"/>
      <c r="AQ10" s="3"/>
      <c r="AR10" s="3"/>
      <c r="AS10" s="3"/>
    </row>
    <row r="11" spans="1:45" customFormat="1" x14ac:dyDescent="0.2">
      <c r="A11" s="352"/>
      <c r="B11" s="79" t="s">
        <v>92</v>
      </c>
      <c r="C11" s="89">
        <f>Summary_Employed!C11+Summary_Unemployed!C11+Summary_Inactive!C11</f>
        <v>0</v>
      </c>
      <c r="D11" s="89">
        <f>Summary_Employed!D11+Summary_Unemployed!D11+Summary_Inactive!D11</f>
        <v>0</v>
      </c>
      <c r="E11" s="89">
        <f>Summary_Employed!E11+Summary_Unemployed!E11+Summary_Inactive!E11</f>
        <v>0</v>
      </c>
      <c r="F11" s="89">
        <f>Summary_Employed!F11+Summary_Unemployed!F11+Summary_Inactive!F11</f>
        <v>0</v>
      </c>
      <c r="G11" s="89">
        <f>Summary_Employed!G11+Summary_Unemployed!G11+Summary_Inactive!G11</f>
        <v>0</v>
      </c>
      <c r="H11" s="89">
        <f>Summary_Employed!H11+Summary_Unemployed!H11+Summary_Inactive!H11</f>
        <v>0</v>
      </c>
      <c r="I11" s="89">
        <f>Summary_Employed!I11+Summary_Unemployed!I11+Summary_Inactive!I11</f>
        <v>0</v>
      </c>
      <c r="J11" s="89">
        <f>Summary_Employed!J11+Summary_Unemployed!J11+Summary_Inactive!J11</f>
        <v>0</v>
      </c>
      <c r="K11" s="89">
        <f>Summary_Employed!K11+Summary_Unemployed!K11+Summary_Inactive!K11</f>
        <v>0</v>
      </c>
      <c r="L11" s="89">
        <f>Summary_Employed!L11+Summary_Unemployed!L11+Summary_Inactive!L11</f>
        <v>0</v>
      </c>
      <c r="M11" s="89">
        <f>Summary_Employed!M11+Summary_Unemployed!M11+Summary_Inactive!M11</f>
        <v>0</v>
      </c>
      <c r="N11" s="89">
        <f>Summary_Employed!N11+Summary_Unemployed!N11+Summary_Inactive!N11</f>
        <v>0</v>
      </c>
      <c r="O11" s="89">
        <f>Summary_Employed!O11+Summary_Unemployed!O11+Summary_Inactive!O11</f>
        <v>0</v>
      </c>
      <c r="P11" s="90"/>
      <c r="Q11" s="89">
        <f>Summary_Employed!Q11+Summary_Unemployed!Q11+Summary_Inactive!Q11</f>
        <v>0</v>
      </c>
      <c r="R11" s="91"/>
      <c r="S11" s="89">
        <f>Summary_Employed!S11+Summary_Unemployed!S11+Summary_Inactive!S11</f>
        <v>0</v>
      </c>
      <c r="T11" s="89">
        <f>Summary_Employed!T11+Summary_Unemployed!T11+Summary_Inactive!T11</f>
        <v>0</v>
      </c>
      <c r="U11" s="89">
        <f>Summary_Employed!U11+Summary_Unemployed!U11+Summary_Inactive!U11</f>
        <v>0</v>
      </c>
      <c r="V11" s="90"/>
      <c r="W11" s="89">
        <f>Summary_Employed!W11+Summary_Unemployed!W11+Summary_Inactive!W11</f>
        <v>0</v>
      </c>
      <c r="X11" s="89">
        <f>Summary_Employed!X11+Summary_Unemployed!X11+Summary_Inactive!X11</f>
        <v>0</v>
      </c>
      <c r="Y11" s="90"/>
      <c r="Z11" s="89">
        <f>Summary_Employed!Z11+Summary_Unemployed!Z11+Summary_Inactive!Z11</f>
        <v>0</v>
      </c>
      <c r="AA11" s="89">
        <f>Summary_Employed!AA11+Summary_Unemployed!AA11+Summary_Inactive!AA11</f>
        <v>0</v>
      </c>
      <c r="AB11" s="269">
        <f>Summary_Employed!AB11+Summary_Unemployed!AB11+Summary_Inactive!AB11</f>
        <v>0</v>
      </c>
      <c r="AC11" s="3"/>
      <c r="AD11" s="3"/>
      <c r="AE11" s="3"/>
      <c r="AF11" s="3"/>
      <c r="AG11" s="3"/>
      <c r="AH11" s="3"/>
      <c r="AI11" s="3"/>
      <c r="AJ11" s="3"/>
      <c r="AK11" s="3"/>
      <c r="AL11" s="3"/>
      <c r="AM11" s="3"/>
      <c r="AN11" s="3"/>
      <c r="AO11" s="3"/>
      <c r="AP11" s="3"/>
      <c r="AQ11" s="3"/>
      <c r="AR11" s="3"/>
      <c r="AS11" s="3"/>
    </row>
    <row r="12" spans="1:45" customFormat="1" x14ac:dyDescent="0.2">
      <c r="A12" s="352"/>
      <c r="B12" s="79" t="s">
        <v>93</v>
      </c>
      <c r="C12" s="89">
        <f>Summary_Employed!C12+Summary_Unemployed!C12+Summary_Inactive!C12</f>
        <v>0</v>
      </c>
      <c r="D12" s="89">
        <f>Summary_Employed!D12+Summary_Unemployed!D12+Summary_Inactive!D12</f>
        <v>0</v>
      </c>
      <c r="E12" s="89">
        <f>Summary_Employed!E12+Summary_Unemployed!E12+Summary_Inactive!E12</f>
        <v>0</v>
      </c>
      <c r="F12" s="89">
        <f>Summary_Employed!F12+Summary_Unemployed!F12+Summary_Inactive!F12</f>
        <v>0</v>
      </c>
      <c r="G12" s="89">
        <f>Summary_Employed!G12+Summary_Unemployed!G12+Summary_Inactive!G12</f>
        <v>0</v>
      </c>
      <c r="H12" s="89">
        <f>Summary_Employed!H12+Summary_Unemployed!H12+Summary_Inactive!H12</f>
        <v>0</v>
      </c>
      <c r="I12" s="89">
        <f>Summary_Employed!I12+Summary_Unemployed!I12+Summary_Inactive!I12</f>
        <v>0</v>
      </c>
      <c r="J12" s="89">
        <f>Summary_Employed!J12+Summary_Unemployed!J12+Summary_Inactive!J12</f>
        <v>0</v>
      </c>
      <c r="K12" s="89">
        <f>Summary_Employed!K12+Summary_Unemployed!K12+Summary_Inactive!K12</f>
        <v>0</v>
      </c>
      <c r="L12" s="89">
        <f>Summary_Employed!L12+Summary_Unemployed!L12+Summary_Inactive!L12</f>
        <v>0</v>
      </c>
      <c r="M12" s="89">
        <f>Summary_Employed!M12+Summary_Unemployed!M12+Summary_Inactive!M12</f>
        <v>0</v>
      </c>
      <c r="N12" s="89">
        <f>Summary_Employed!N12+Summary_Unemployed!N12+Summary_Inactive!N12</f>
        <v>0</v>
      </c>
      <c r="O12" s="89">
        <f>Summary_Employed!O12+Summary_Unemployed!O12+Summary_Inactive!O12</f>
        <v>0</v>
      </c>
      <c r="P12" s="90"/>
      <c r="Q12" s="89">
        <f>Summary_Employed!Q12+Summary_Unemployed!Q12+Summary_Inactive!Q12</f>
        <v>0</v>
      </c>
      <c r="R12" s="91"/>
      <c r="S12" s="89">
        <f>Summary_Employed!S12+Summary_Unemployed!S12+Summary_Inactive!S12</f>
        <v>0</v>
      </c>
      <c r="T12" s="89">
        <f>Summary_Employed!T12+Summary_Unemployed!T12+Summary_Inactive!T12</f>
        <v>0</v>
      </c>
      <c r="U12" s="89">
        <f>Summary_Employed!U12+Summary_Unemployed!U12+Summary_Inactive!U12</f>
        <v>0</v>
      </c>
      <c r="V12" s="90"/>
      <c r="W12" s="89">
        <f>Summary_Employed!W12+Summary_Unemployed!W12+Summary_Inactive!W12</f>
        <v>0</v>
      </c>
      <c r="X12" s="89">
        <f>Summary_Employed!X12+Summary_Unemployed!X12+Summary_Inactive!X12</f>
        <v>0</v>
      </c>
      <c r="Y12" s="90"/>
      <c r="Z12" s="89">
        <f>Summary_Employed!Z12+Summary_Unemployed!Z12+Summary_Inactive!Z12</f>
        <v>0</v>
      </c>
      <c r="AA12" s="89">
        <f>Summary_Employed!AA12+Summary_Unemployed!AA12+Summary_Inactive!AA12</f>
        <v>0</v>
      </c>
      <c r="AB12" s="269">
        <f>Summary_Employed!AB12+Summary_Unemployed!AB12+Summary_Inactive!AB12</f>
        <v>0</v>
      </c>
      <c r="AC12" s="3"/>
      <c r="AD12" s="3"/>
      <c r="AE12" s="3"/>
      <c r="AF12" s="3"/>
      <c r="AG12" s="3"/>
      <c r="AH12" s="3"/>
      <c r="AI12" s="3"/>
      <c r="AJ12" s="3"/>
      <c r="AK12" s="3"/>
      <c r="AL12" s="3"/>
      <c r="AM12" s="3"/>
      <c r="AN12" s="3"/>
      <c r="AO12" s="3"/>
      <c r="AP12" s="3"/>
      <c r="AQ12" s="3"/>
      <c r="AR12" s="3"/>
      <c r="AS12" s="3"/>
    </row>
    <row r="13" spans="1:45" customFormat="1" x14ac:dyDescent="0.2">
      <c r="A13" s="352"/>
      <c r="B13" s="79" t="s">
        <v>94</v>
      </c>
      <c r="C13" s="89">
        <f>Summary_Employed!C13+Summary_Unemployed!C13+Summary_Inactive!C13</f>
        <v>0</v>
      </c>
      <c r="D13" s="89">
        <f>Summary_Employed!D13+Summary_Unemployed!D13+Summary_Inactive!D13</f>
        <v>0</v>
      </c>
      <c r="E13" s="89">
        <f>Summary_Employed!E13+Summary_Unemployed!E13+Summary_Inactive!E13</f>
        <v>0</v>
      </c>
      <c r="F13" s="89">
        <f>Summary_Employed!F13+Summary_Unemployed!F13+Summary_Inactive!F13</f>
        <v>0</v>
      </c>
      <c r="G13" s="89">
        <f>Summary_Employed!G13+Summary_Unemployed!G13+Summary_Inactive!G13</f>
        <v>0</v>
      </c>
      <c r="H13" s="89">
        <f>Summary_Employed!H13+Summary_Unemployed!H13+Summary_Inactive!H13</f>
        <v>0</v>
      </c>
      <c r="I13" s="89">
        <f>Summary_Employed!I13+Summary_Unemployed!I13+Summary_Inactive!I13</f>
        <v>0</v>
      </c>
      <c r="J13" s="89">
        <f>Summary_Employed!J13+Summary_Unemployed!J13+Summary_Inactive!J13</f>
        <v>0</v>
      </c>
      <c r="K13" s="89">
        <f>Summary_Employed!K13+Summary_Unemployed!K13+Summary_Inactive!K13</f>
        <v>0</v>
      </c>
      <c r="L13" s="89">
        <f>Summary_Employed!L13+Summary_Unemployed!L13+Summary_Inactive!L13</f>
        <v>0</v>
      </c>
      <c r="M13" s="89">
        <f>Summary_Employed!M13+Summary_Unemployed!M13+Summary_Inactive!M13</f>
        <v>0</v>
      </c>
      <c r="N13" s="89">
        <f>Summary_Employed!N13+Summary_Unemployed!N13+Summary_Inactive!N13</f>
        <v>0</v>
      </c>
      <c r="O13" s="89">
        <f>Summary_Employed!O13+Summary_Unemployed!O13+Summary_Inactive!O13</f>
        <v>0</v>
      </c>
      <c r="P13" s="90"/>
      <c r="Q13" s="89">
        <f>Summary_Employed!Q13+Summary_Unemployed!Q13+Summary_Inactive!Q13</f>
        <v>0</v>
      </c>
      <c r="R13" s="91"/>
      <c r="S13" s="89">
        <f>Summary_Employed!S13+Summary_Unemployed!S13+Summary_Inactive!S13</f>
        <v>0</v>
      </c>
      <c r="T13" s="89">
        <f>Summary_Employed!T13+Summary_Unemployed!T13+Summary_Inactive!T13</f>
        <v>0</v>
      </c>
      <c r="U13" s="89">
        <f>Summary_Employed!U13+Summary_Unemployed!U13+Summary_Inactive!U13</f>
        <v>0</v>
      </c>
      <c r="V13" s="90"/>
      <c r="W13" s="89">
        <f>Summary_Employed!W13+Summary_Unemployed!W13+Summary_Inactive!W13</f>
        <v>0</v>
      </c>
      <c r="X13" s="89">
        <f>Summary_Employed!X13+Summary_Unemployed!X13+Summary_Inactive!X13</f>
        <v>0</v>
      </c>
      <c r="Y13" s="90"/>
      <c r="Z13" s="89">
        <f>Summary_Employed!Z13+Summary_Unemployed!Z13+Summary_Inactive!Z13</f>
        <v>0</v>
      </c>
      <c r="AA13" s="89">
        <f>Summary_Employed!AA13+Summary_Unemployed!AA13+Summary_Inactive!AA13</f>
        <v>0</v>
      </c>
      <c r="AB13" s="269">
        <f>Summary_Employed!AB13+Summary_Unemployed!AB13+Summary_Inactive!AB13</f>
        <v>0</v>
      </c>
      <c r="AC13" s="3"/>
      <c r="AD13" s="3"/>
      <c r="AE13" s="3"/>
      <c r="AF13" s="3"/>
      <c r="AG13" s="3"/>
      <c r="AH13" s="3"/>
      <c r="AI13" s="3"/>
      <c r="AJ13" s="3"/>
      <c r="AK13" s="3"/>
      <c r="AL13" s="3"/>
      <c r="AM13" s="3"/>
      <c r="AN13" s="3"/>
      <c r="AO13" s="3"/>
      <c r="AP13" s="3"/>
      <c r="AQ13" s="3"/>
      <c r="AR13" s="3"/>
      <c r="AS13" s="3"/>
    </row>
    <row r="14" spans="1:45" customFormat="1" x14ac:dyDescent="0.2">
      <c r="A14" s="352"/>
      <c r="B14" s="79" t="s">
        <v>95</v>
      </c>
      <c r="C14" s="89">
        <f>Summary_Employed!C14+Summary_Unemployed!C14+Summary_Inactive!C14</f>
        <v>0</v>
      </c>
      <c r="D14" s="89">
        <f>Summary_Employed!D14+Summary_Unemployed!D14+Summary_Inactive!D14</f>
        <v>0</v>
      </c>
      <c r="E14" s="89">
        <f>Summary_Employed!E14+Summary_Unemployed!E14+Summary_Inactive!E14</f>
        <v>0</v>
      </c>
      <c r="F14" s="89">
        <f>Summary_Employed!F14+Summary_Unemployed!F14+Summary_Inactive!F14</f>
        <v>0</v>
      </c>
      <c r="G14" s="89">
        <f>Summary_Employed!G14+Summary_Unemployed!G14+Summary_Inactive!G14</f>
        <v>0</v>
      </c>
      <c r="H14" s="89">
        <f>Summary_Employed!H14+Summary_Unemployed!H14+Summary_Inactive!H14</f>
        <v>0</v>
      </c>
      <c r="I14" s="89">
        <f>Summary_Employed!I14+Summary_Unemployed!I14+Summary_Inactive!I14</f>
        <v>0</v>
      </c>
      <c r="J14" s="89">
        <f>Summary_Employed!J14+Summary_Unemployed!J14+Summary_Inactive!J14</f>
        <v>0</v>
      </c>
      <c r="K14" s="89">
        <f>Summary_Employed!K14+Summary_Unemployed!K14+Summary_Inactive!K14</f>
        <v>0</v>
      </c>
      <c r="L14" s="89">
        <f>Summary_Employed!L14+Summary_Unemployed!L14+Summary_Inactive!L14</f>
        <v>0</v>
      </c>
      <c r="M14" s="89">
        <f>Summary_Employed!M14+Summary_Unemployed!M14+Summary_Inactive!M14</f>
        <v>0</v>
      </c>
      <c r="N14" s="89">
        <f>Summary_Employed!N14+Summary_Unemployed!N14+Summary_Inactive!N14</f>
        <v>0</v>
      </c>
      <c r="O14" s="89">
        <f>Summary_Employed!O14+Summary_Unemployed!O14+Summary_Inactive!O14</f>
        <v>0</v>
      </c>
      <c r="P14" s="90"/>
      <c r="Q14" s="89">
        <f>Summary_Employed!Q14+Summary_Unemployed!Q14+Summary_Inactive!Q14</f>
        <v>0</v>
      </c>
      <c r="R14" s="91"/>
      <c r="S14" s="89">
        <f>Summary_Employed!S14+Summary_Unemployed!S14+Summary_Inactive!S14</f>
        <v>0</v>
      </c>
      <c r="T14" s="89">
        <f>Summary_Employed!T14+Summary_Unemployed!T14+Summary_Inactive!T14</f>
        <v>0</v>
      </c>
      <c r="U14" s="89">
        <f>Summary_Employed!U14+Summary_Unemployed!U14+Summary_Inactive!U14</f>
        <v>0</v>
      </c>
      <c r="V14" s="90"/>
      <c r="W14" s="89">
        <f>Summary_Employed!W14+Summary_Unemployed!W14+Summary_Inactive!W14</f>
        <v>0</v>
      </c>
      <c r="X14" s="89">
        <f>Summary_Employed!X14+Summary_Unemployed!X14+Summary_Inactive!X14</f>
        <v>0</v>
      </c>
      <c r="Y14" s="90"/>
      <c r="Z14" s="89">
        <f>Summary_Employed!Z14+Summary_Unemployed!Z14+Summary_Inactive!Z14</f>
        <v>0</v>
      </c>
      <c r="AA14" s="89">
        <f>Summary_Employed!AA14+Summary_Unemployed!AA14+Summary_Inactive!AA14</f>
        <v>0</v>
      </c>
      <c r="AB14" s="269">
        <f>Summary_Employed!AB14+Summary_Unemployed!AB14+Summary_Inactive!AB14</f>
        <v>0</v>
      </c>
      <c r="AC14" s="3"/>
      <c r="AD14" s="3"/>
      <c r="AE14" s="3"/>
      <c r="AF14" s="3"/>
      <c r="AG14" s="3"/>
      <c r="AH14" s="3"/>
      <c r="AI14" s="3"/>
      <c r="AJ14" s="3"/>
      <c r="AK14" s="3"/>
      <c r="AL14" s="3"/>
      <c r="AM14" s="3"/>
      <c r="AN14" s="3"/>
      <c r="AO14" s="3"/>
      <c r="AP14" s="3"/>
      <c r="AQ14" s="3"/>
      <c r="AR14" s="3"/>
      <c r="AS14" s="3"/>
    </row>
    <row r="15" spans="1:45" customFormat="1" x14ac:dyDescent="0.2">
      <c r="A15" s="352"/>
      <c r="B15" s="79" t="s">
        <v>96</v>
      </c>
      <c r="C15" s="89">
        <f>Summary_Employed!C15+Summary_Unemployed!C15+Summary_Inactive!C15</f>
        <v>0</v>
      </c>
      <c r="D15" s="89">
        <f>Summary_Employed!D15+Summary_Unemployed!D15+Summary_Inactive!D15</f>
        <v>0</v>
      </c>
      <c r="E15" s="89">
        <f>Summary_Employed!E15+Summary_Unemployed!E15+Summary_Inactive!E15</f>
        <v>0</v>
      </c>
      <c r="F15" s="89">
        <f>Summary_Employed!F15+Summary_Unemployed!F15+Summary_Inactive!F15</f>
        <v>0</v>
      </c>
      <c r="G15" s="89">
        <f>Summary_Employed!G15+Summary_Unemployed!G15+Summary_Inactive!G15</f>
        <v>0</v>
      </c>
      <c r="H15" s="89">
        <f>Summary_Employed!H15+Summary_Unemployed!H15+Summary_Inactive!H15</f>
        <v>0</v>
      </c>
      <c r="I15" s="89">
        <f>Summary_Employed!I15+Summary_Unemployed!I15+Summary_Inactive!I15</f>
        <v>0</v>
      </c>
      <c r="J15" s="89">
        <f>Summary_Employed!J15+Summary_Unemployed!J15+Summary_Inactive!J15</f>
        <v>0</v>
      </c>
      <c r="K15" s="89">
        <f>Summary_Employed!K15+Summary_Unemployed!K15+Summary_Inactive!K15</f>
        <v>0</v>
      </c>
      <c r="L15" s="89">
        <f>Summary_Employed!L15+Summary_Unemployed!L15+Summary_Inactive!L15</f>
        <v>0</v>
      </c>
      <c r="M15" s="89">
        <f>Summary_Employed!M15+Summary_Unemployed!M15+Summary_Inactive!M15</f>
        <v>0</v>
      </c>
      <c r="N15" s="89">
        <f>Summary_Employed!N15+Summary_Unemployed!N15+Summary_Inactive!N15</f>
        <v>0</v>
      </c>
      <c r="O15" s="89">
        <f>Summary_Employed!O15+Summary_Unemployed!O15+Summary_Inactive!O15</f>
        <v>0</v>
      </c>
      <c r="P15" s="90"/>
      <c r="Q15" s="89">
        <f>Summary_Employed!Q15+Summary_Unemployed!Q15+Summary_Inactive!Q15</f>
        <v>0</v>
      </c>
      <c r="R15" s="91"/>
      <c r="S15" s="89">
        <f>Summary_Employed!S15+Summary_Unemployed!S15+Summary_Inactive!S15</f>
        <v>0</v>
      </c>
      <c r="T15" s="89">
        <f>Summary_Employed!T15+Summary_Unemployed!T15+Summary_Inactive!T15</f>
        <v>0</v>
      </c>
      <c r="U15" s="89">
        <f>Summary_Employed!U15+Summary_Unemployed!U15+Summary_Inactive!U15</f>
        <v>0</v>
      </c>
      <c r="V15" s="90"/>
      <c r="W15" s="89">
        <f>Summary_Employed!W15+Summary_Unemployed!W15+Summary_Inactive!W15</f>
        <v>0</v>
      </c>
      <c r="X15" s="89">
        <f>Summary_Employed!X15+Summary_Unemployed!X15+Summary_Inactive!X15</f>
        <v>0</v>
      </c>
      <c r="Y15" s="90"/>
      <c r="Z15" s="89">
        <f>Summary_Employed!Z15+Summary_Unemployed!Z15+Summary_Inactive!Z15</f>
        <v>0</v>
      </c>
      <c r="AA15" s="89">
        <f>Summary_Employed!AA15+Summary_Unemployed!AA15+Summary_Inactive!AA15</f>
        <v>0</v>
      </c>
      <c r="AB15" s="269">
        <f>Summary_Employed!AB15+Summary_Unemployed!AB15+Summary_Inactive!AB15</f>
        <v>0</v>
      </c>
      <c r="AC15" s="3"/>
      <c r="AD15" s="3"/>
      <c r="AE15" s="3"/>
      <c r="AF15" s="3"/>
      <c r="AG15" s="3"/>
      <c r="AH15" s="3"/>
      <c r="AI15" s="3"/>
      <c r="AJ15" s="3"/>
      <c r="AK15" s="3"/>
      <c r="AL15" s="3"/>
      <c r="AM15" s="3"/>
      <c r="AN15" s="3"/>
      <c r="AO15" s="3"/>
      <c r="AP15" s="3"/>
      <c r="AQ15" s="3"/>
      <c r="AR15" s="3"/>
      <c r="AS15" s="3"/>
    </row>
    <row r="16" spans="1:45" customFormat="1" x14ac:dyDescent="0.2">
      <c r="A16" s="352"/>
      <c r="B16" s="79" t="s">
        <v>258</v>
      </c>
      <c r="C16" s="225">
        <f>Summary_Employed!C16+Summary_Unemployed!C16+Summary_Inactive!C16</f>
        <v>0</v>
      </c>
      <c r="D16" s="225">
        <f>Summary_Employed!D16+Summary_Unemployed!D16+Summary_Inactive!D16</f>
        <v>0</v>
      </c>
      <c r="E16" s="225">
        <f>Summary_Employed!E16+Summary_Unemployed!E16+Summary_Inactive!E16</f>
        <v>0</v>
      </c>
      <c r="F16" s="225">
        <f>Summary_Employed!F16+Summary_Unemployed!F16+Summary_Inactive!F16</f>
        <v>0</v>
      </c>
      <c r="G16" s="225">
        <f>Summary_Employed!G16+Summary_Unemployed!G16+Summary_Inactive!G16</f>
        <v>0</v>
      </c>
      <c r="H16" s="225">
        <f>Summary_Employed!H16+Summary_Unemployed!H16+Summary_Inactive!H16</f>
        <v>0</v>
      </c>
      <c r="I16" s="225">
        <f>Summary_Employed!I16+Summary_Unemployed!I16+Summary_Inactive!I16</f>
        <v>0</v>
      </c>
      <c r="J16" s="225">
        <f>Summary_Employed!J16+Summary_Unemployed!J16+Summary_Inactive!J16</f>
        <v>0</v>
      </c>
      <c r="K16" s="225">
        <f>Summary_Employed!K16+Summary_Unemployed!K16+Summary_Inactive!K16</f>
        <v>0</v>
      </c>
      <c r="L16" s="225">
        <f>Summary_Employed!L16+Summary_Unemployed!L16+Summary_Inactive!L16</f>
        <v>0</v>
      </c>
      <c r="M16" s="225">
        <f>Summary_Employed!M16+Summary_Unemployed!M16+Summary_Inactive!M16</f>
        <v>0</v>
      </c>
      <c r="N16" s="225">
        <f>Summary_Employed!N16+Summary_Unemployed!N16+Summary_Inactive!N16</f>
        <v>0</v>
      </c>
      <c r="O16" s="225">
        <f>Summary_Employed!O16+Summary_Unemployed!O16+Summary_Inactive!O16</f>
        <v>0</v>
      </c>
      <c r="P16" s="90"/>
      <c r="Q16" s="225">
        <f>Summary_Employed!Q16+Summary_Unemployed!Q16+Summary_Inactive!Q16</f>
        <v>0</v>
      </c>
      <c r="R16" s="91"/>
      <c r="S16" s="225">
        <f>Summary_Employed!S16+Summary_Unemployed!S16+Summary_Inactive!S16</f>
        <v>0</v>
      </c>
      <c r="T16" s="225">
        <f>Summary_Employed!T16+Summary_Unemployed!T16+Summary_Inactive!T16</f>
        <v>0</v>
      </c>
      <c r="U16" s="225">
        <f>Summary_Employed!U16+Summary_Unemployed!U16+Summary_Inactive!U16</f>
        <v>0</v>
      </c>
      <c r="V16" s="90"/>
      <c r="W16" s="225">
        <f>Summary_Employed!W16+Summary_Unemployed!W16+Summary_Inactive!W16</f>
        <v>0</v>
      </c>
      <c r="X16" s="225">
        <f>Summary_Employed!X16+Summary_Unemployed!X16+Summary_Inactive!X16</f>
        <v>0</v>
      </c>
      <c r="Y16" s="90"/>
      <c r="Z16" s="225">
        <f>Summary_Employed!Z16+Summary_Unemployed!Z16+Summary_Inactive!Z16</f>
        <v>0</v>
      </c>
      <c r="AA16" s="225">
        <f>Summary_Employed!AA16+Summary_Unemployed!AA16+Summary_Inactive!AA16</f>
        <v>0</v>
      </c>
      <c r="AB16" s="270">
        <f>Summary_Employed!AB16+Summary_Unemployed!AB16+Summary_Inactive!AB16</f>
        <v>0</v>
      </c>
      <c r="AC16" s="3"/>
      <c r="AD16" s="3"/>
      <c r="AE16" s="3"/>
      <c r="AF16" s="3"/>
      <c r="AG16" s="3"/>
      <c r="AH16" s="3"/>
      <c r="AI16" s="3"/>
      <c r="AJ16" s="3"/>
      <c r="AK16" s="3"/>
      <c r="AL16" s="3"/>
      <c r="AM16" s="3"/>
      <c r="AN16" s="3"/>
      <c r="AO16" s="3"/>
      <c r="AP16" s="3"/>
      <c r="AQ16" s="3"/>
      <c r="AR16" s="3"/>
      <c r="AS16" s="3"/>
    </row>
    <row r="17" spans="1:45" customFormat="1" x14ac:dyDescent="0.2">
      <c r="A17" s="352"/>
      <c r="B17" s="79" t="s">
        <v>260</v>
      </c>
      <c r="C17" s="225">
        <f>Summary_Employed!C17+Summary_Unemployed!C17+Summary_Inactive!C17</f>
        <v>0</v>
      </c>
      <c r="D17" s="225">
        <f>Summary_Employed!D17+Summary_Unemployed!D17+Summary_Inactive!D17</f>
        <v>0</v>
      </c>
      <c r="E17" s="225">
        <f>Summary_Employed!E17+Summary_Unemployed!E17+Summary_Inactive!E17</f>
        <v>0</v>
      </c>
      <c r="F17" s="225">
        <f>Summary_Employed!F17+Summary_Unemployed!F17+Summary_Inactive!F17</f>
        <v>0</v>
      </c>
      <c r="G17" s="225">
        <f>Summary_Employed!G17+Summary_Unemployed!G17+Summary_Inactive!G17</f>
        <v>0</v>
      </c>
      <c r="H17" s="225">
        <f>Summary_Employed!H17+Summary_Unemployed!H17+Summary_Inactive!H17</f>
        <v>0</v>
      </c>
      <c r="I17" s="225">
        <f>Summary_Employed!I17+Summary_Unemployed!I17+Summary_Inactive!I17</f>
        <v>0</v>
      </c>
      <c r="J17" s="225">
        <f>Summary_Employed!J17+Summary_Unemployed!J17+Summary_Inactive!J17</f>
        <v>0</v>
      </c>
      <c r="K17" s="225">
        <f>Summary_Employed!K17+Summary_Unemployed!K17+Summary_Inactive!K17</f>
        <v>0</v>
      </c>
      <c r="L17" s="225">
        <f>Summary_Employed!L17+Summary_Unemployed!L17+Summary_Inactive!L17</f>
        <v>0</v>
      </c>
      <c r="M17" s="225">
        <f>Summary_Employed!M17+Summary_Unemployed!M17+Summary_Inactive!M17</f>
        <v>0</v>
      </c>
      <c r="N17" s="225">
        <f>Summary_Employed!N17+Summary_Unemployed!N17+Summary_Inactive!N17</f>
        <v>0</v>
      </c>
      <c r="O17" s="225">
        <f>Summary_Employed!O17+Summary_Unemployed!O17+Summary_Inactive!O17</f>
        <v>0</v>
      </c>
      <c r="P17" s="90"/>
      <c r="Q17" s="225">
        <f>Summary_Employed!Q17+Summary_Unemployed!Q17+Summary_Inactive!Q17</f>
        <v>0</v>
      </c>
      <c r="R17" s="91"/>
      <c r="S17" s="225">
        <f>Summary_Employed!S17+Summary_Unemployed!S17+Summary_Inactive!S17</f>
        <v>0</v>
      </c>
      <c r="T17" s="225">
        <f>Summary_Employed!T17+Summary_Unemployed!T17+Summary_Inactive!T17</f>
        <v>0</v>
      </c>
      <c r="U17" s="225">
        <f>Summary_Employed!U17+Summary_Unemployed!U17+Summary_Inactive!U17</f>
        <v>0</v>
      </c>
      <c r="V17" s="90"/>
      <c r="W17" s="225">
        <f>Summary_Employed!W17+Summary_Unemployed!W17+Summary_Inactive!W17</f>
        <v>0</v>
      </c>
      <c r="X17" s="225">
        <f>Summary_Employed!X17+Summary_Unemployed!X17+Summary_Inactive!X17</f>
        <v>0</v>
      </c>
      <c r="Y17" s="90"/>
      <c r="Z17" s="225">
        <f>Summary_Employed!Z17+Summary_Unemployed!Z17+Summary_Inactive!Z17</f>
        <v>0</v>
      </c>
      <c r="AA17" s="225">
        <f>Summary_Employed!AA17+Summary_Unemployed!AA17+Summary_Inactive!AA17</f>
        <v>0</v>
      </c>
      <c r="AB17" s="270">
        <f>Summary_Employed!AB17+Summary_Unemployed!AB17+Summary_Inactive!AB17</f>
        <v>0</v>
      </c>
      <c r="AC17" s="3"/>
      <c r="AD17" s="3"/>
      <c r="AE17" s="3"/>
      <c r="AF17" s="3"/>
      <c r="AG17" s="3"/>
      <c r="AH17" s="3"/>
      <c r="AI17" s="3"/>
      <c r="AJ17" s="3"/>
      <c r="AK17" s="3"/>
      <c r="AL17" s="3"/>
      <c r="AM17" s="3"/>
      <c r="AN17" s="3"/>
      <c r="AO17" s="3"/>
      <c r="AP17" s="3"/>
      <c r="AQ17" s="3"/>
      <c r="AR17" s="3"/>
      <c r="AS17" s="3"/>
    </row>
    <row r="18" spans="1:45" customFormat="1" ht="13.5" thickBot="1" x14ac:dyDescent="0.25">
      <c r="A18" s="353"/>
      <c r="B18" s="79" t="s">
        <v>261</v>
      </c>
      <c r="C18" s="92">
        <f>Summary_Employed!C18+Summary_Unemployed!C18+Summary_Inactive!C18</f>
        <v>0</v>
      </c>
      <c r="D18" s="92">
        <f>Summary_Employed!D18+Summary_Unemployed!D18+Summary_Inactive!D18</f>
        <v>0</v>
      </c>
      <c r="E18" s="92">
        <f>Summary_Employed!E18+Summary_Unemployed!E18+Summary_Inactive!E18</f>
        <v>0</v>
      </c>
      <c r="F18" s="92">
        <f>Summary_Employed!F18+Summary_Unemployed!F18+Summary_Inactive!F18</f>
        <v>0</v>
      </c>
      <c r="G18" s="92">
        <f>Summary_Employed!G18+Summary_Unemployed!G18+Summary_Inactive!G18</f>
        <v>0</v>
      </c>
      <c r="H18" s="92">
        <f>Summary_Employed!H18+Summary_Unemployed!H18+Summary_Inactive!H18</f>
        <v>0</v>
      </c>
      <c r="I18" s="92">
        <f>Summary_Employed!I18+Summary_Unemployed!I18+Summary_Inactive!I18</f>
        <v>0</v>
      </c>
      <c r="J18" s="92">
        <f>Summary_Employed!J18+Summary_Unemployed!J18+Summary_Inactive!J18</f>
        <v>0</v>
      </c>
      <c r="K18" s="92">
        <f>Summary_Employed!K18+Summary_Unemployed!K18+Summary_Inactive!K18</f>
        <v>0</v>
      </c>
      <c r="L18" s="92">
        <f>Summary_Employed!L18+Summary_Unemployed!L18+Summary_Inactive!L18</f>
        <v>0</v>
      </c>
      <c r="M18" s="92">
        <f>Summary_Employed!M18+Summary_Unemployed!M18+Summary_Inactive!M18</f>
        <v>0</v>
      </c>
      <c r="N18" s="92">
        <f>Summary_Employed!N18+Summary_Unemployed!N18+Summary_Inactive!N18</f>
        <v>0</v>
      </c>
      <c r="O18" s="92">
        <f>Summary_Employed!O18+Summary_Unemployed!O18+Summary_Inactive!O18</f>
        <v>0</v>
      </c>
      <c r="P18" s="93"/>
      <c r="Q18" s="92">
        <f>Summary_Employed!Q18+Summary_Unemployed!Q18+Summary_Inactive!Q18</f>
        <v>0</v>
      </c>
      <c r="R18" s="94"/>
      <c r="S18" s="92">
        <f>Summary_Employed!S18+Summary_Unemployed!S18+Summary_Inactive!S18</f>
        <v>0</v>
      </c>
      <c r="T18" s="92">
        <f>Summary_Employed!T18+Summary_Unemployed!T18+Summary_Inactive!T18</f>
        <v>0</v>
      </c>
      <c r="U18" s="92">
        <f>Summary_Employed!U18+Summary_Unemployed!U18+Summary_Inactive!U18</f>
        <v>0</v>
      </c>
      <c r="V18" s="93"/>
      <c r="W18" s="92">
        <f>Summary_Employed!W18+Summary_Unemployed!W18+Summary_Inactive!W18</f>
        <v>0</v>
      </c>
      <c r="X18" s="92">
        <f>Summary_Employed!X18+Summary_Unemployed!X18+Summary_Inactive!X18</f>
        <v>0</v>
      </c>
      <c r="Y18" s="93"/>
      <c r="Z18" s="92">
        <f>Summary_Employed!Z18+Summary_Unemployed!Z18+Summary_Inactive!Z18</f>
        <v>0</v>
      </c>
      <c r="AA18" s="92">
        <f>Summary_Employed!AA18+Summary_Unemployed!AA18+Summary_Inactive!AA18</f>
        <v>0</v>
      </c>
      <c r="AB18" s="271">
        <f>Summary_Employed!AB18+Summary_Unemployed!AB18+Summary_Inactive!AB18</f>
        <v>0</v>
      </c>
      <c r="AC18" s="3"/>
      <c r="AD18" s="3"/>
      <c r="AE18" s="3"/>
      <c r="AF18" s="3"/>
      <c r="AG18" s="3"/>
      <c r="AH18" s="3"/>
      <c r="AI18" s="3"/>
      <c r="AJ18" s="3"/>
      <c r="AK18" s="3"/>
      <c r="AL18" s="3"/>
      <c r="AM18" s="3"/>
      <c r="AN18" s="3"/>
      <c r="AO18" s="3"/>
      <c r="AP18" s="3"/>
      <c r="AQ18" s="3"/>
      <c r="AR18" s="3"/>
      <c r="AS18" s="3"/>
    </row>
    <row r="19" spans="1:45" customFormat="1" ht="12.75" customHeight="1" x14ac:dyDescent="0.2">
      <c r="A19" s="351" t="s">
        <v>6</v>
      </c>
      <c r="B19" s="78" t="s">
        <v>87</v>
      </c>
      <c r="C19" s="86">
        <f>Summary_Employed!C19+Summary_Unemployed!C19+Summary_Inactive!C19</f>
        <v>0</v>
      </c>
      <c r="D19" s="86">
        <f>Summary_Employed!D19+Summary_Unemployed!D19+Summary_Inactive!D19</f>
        <v>0</v>
      </c>
      <c r="E19" s="86">
        <f>Summary_Employed!E19+Summary_Unemployed!E19+Summary_Inactive!E19</f>
        <v>0</v>
      </c>
      <c r="F19" s="86">
        <f>Summary_Employed!F19+Summary_Unemployed!F19+Summary_Inactive!F19</f>
        <v>0</v>
      </c>
      <c r="G19" s="86">
        <f>Summary_Employed!G19+Summary_Unemployed!G19+Summary_Inactive!G19</f>
        <v>0</v>
      </c>
      <c r="H19" s="86">
        <f>Summary_Employed!H19+Summary_Unemployed!H19+Summary_Inactive!H19</f>
        <v>0</v>
      </c>
      <c r="I19" s="86">
        <f>Summary_Employed!I19+Summary_Unemployed!I19+Summary_Inactive!I19</f>
        <v>0</v>
      </c>
      <c r="J19" s="86">
        <f>Summary_Employed!J19+Summary_Unemployed!J19+Summary_Inactive!J19</f>
        <v>0</v>
      </c>
      <c r="K19" s="86">
        <f>Summary_Employed!K19+Summary_Unemployed!K19+Summary_Inactive!K19</f>
        <v>0</v>
      </c>
      <c r="L19" s="86">
        <f>Summary_Employed!L19+Summary_Unemployed!L19+Summary_Inactive!L19</f>
        <v>0</v>
      </c>
      <c r="M19" s="86">
        <f>Summary_Employed!M19+Summary_Unemployed!M19+Summary_Inactive!M19</f>
        <v>0</v>
      </c>
      <c r="N19" s="86">
        <f>Summary_Employed!N19+Summary_Unemployed!N19+Summary_Inactive!N19</f>
        <v>0</v>
      </c>
      <c r="O19" s="86">
        <f>Summary_Employed!O19+Summary_Unemployed!O19+Summary_Inactive!O19</f>
        <v>0</v>
      </c>
      <c r="P19" s="87"/>
      <c r="Q19" s="86">
        <f>Summary_Employed!Q19+Summary_Unemployed!Q19+Summary_Inactive!Q19</f>
        <v>0</v>
      </c>
      <c r="R19" s="88"/>
      <c r="S19" s="86">
        <f>Summary_Employed!S19+Summary_Unemployed!S19+Summary_Inactive!S19</f>
        <v>0</v>
      </c>
      <c r="T19" s="86">
        <f>Summary_Employed!T19+Summary_Unemployed!T19+Summary_Inactive!T19</f>
        <v>0</v>
      </c>
      <c r="U19" s="86">
        <f>Summary_Employed!U19+Summary_Unemployed!U19+Summary_Inactive!U19</f>
        <v>0</v>
      </c>
      <c r="V19" s="87"/>
      <c r="W19" s="86">
        <f>Summary_Employed!W19+Summary_Unemployed!W19+Summary_Inactive!W19</f>
        <v>0</v>
      </c>
      <c r="X19" s="86">
        <f>Summary_Employed!X19+Summary_Unemployed!X19+Summary_Inactive!X19</f>
        <v>0</v>
      </c>
      <c r="Y19" s="87"/>
      <c r="Z19" s="86">
        <f>Summary_Employed!Z19+Summary_Unemployed!Z19+Summary_Inactive!Z19</f>
        <v>0</v>
      </c>
      <c r="AA19" s="86">
        <f>Summary_Employed!AA19+Summary_Unemployed!AA19+Summary_Inactive!AA19</f>
        <v>0</v>
      </c>
      <c r="AB19" s="268">
        <f>Summary_Employed!AB19+Summary_Unemployed!AB19+Summary_Inactive!AB19</f>
        <v>0</v>
      </c>
      <c r="AC19" s="3"/>
      <c r="AD19" s="3"/>
      <c r="AE19" s="3"/>
      <c r="AF19" s="3"/>
      <c r="AG19" s="3"/>
      <c r="AH19" s="3"/>
      <c r="AI19" s="3"/>
      <c r="AJ19" s="3"/>
      <c r="AK19" s="3"/>
      <c r="AL19" s="3"/>
      <c r="AM19" s="3"/>
      <c r="AN19" s="3"/>
      <c r="AO19" s="3"/>
      <c r="AP19" s="3"/>
      <c r="AQ19" s="3"/>
      <c r="AR19" s="3"/>
      <c r="AS19" s="3"/>
    </row>
    <row r="20" spans="1:45" customFormat="1" x14ac:dyDescent="0.2">
      <c r="A20" s="352"/>
      <c r="B20" s="79" t="s">
        <v>88</v>
      </c>
      <c r="C20" s="89">
        <f>Summary_Employed!C20+Summary_Unemployed!C20+Summary_Inactive!C20</f>
        <v>0</v>
      </c>
      <c r="D20" s="89">
        <f>Summary_Employed!D20+Summary_Unemployed!D20+Summary_Inactive!D20</f>
        <v>0</v>
      </c>
      <c r="E20" s="89">
        <f>Summary_Employed!E20+Summary_Unemployed!E20+Summary_Inactive!E20</f>
        <v>0</v>
      </c>
      <c r="F20" s="89">
        <f>Summary_Employed!F20+Summary_Unemployed!F20+Summary_Inactive!F20</f>
        <v>0</v>
      </c>
      <c r="G20" s="89">
        <f>Summary_Employed!G20+Summary_Unemployed!G20+Summary_Inactive!G20</f>
        <v>0</v>
      </c>
      <c r="H20" s="89">
        <f>Summary_Employed!H20+Summary_Unemployed!H20+Summary_Inactive!H20</f>
        <v>0</v>
      </c>
      <c r="I20" s="89">
        <f>Summary_Employed!I20+Summary_Unemployed!I20+Summary_Inactive!I20</f>
        <v>0</v>
      </c>
      <c r="J20" s="89">
        <f>Summary_Employed!J20+Summary_Unemployed!J20+Summary_Inactive!J20</f>
        <v>0</v>
      </c>
      <c r="K20" s="89">
        <f>Summary_Employed!K20+Summary_Unemployed!K20+Summary_Inactive!K20</f>
        <v>0</v>
      </c>
      <c r="L20" s="89">
        <f>Summary_Employed!L20+Summary_Unemployed!L20+Summary_Inactive!L20</f>
        <v>0</v>
      </c>
      <c r="M20" s="89">
        <f>Summary_Employed!M20+Summary_Unemployed!M20+Summary_Inactive!M20</f>
        <v>0</v>
      </c>
      <c r="N20" s="89">
        <f>Summary_Employed!N20+Summary_Unemployed!N20+Summary_Inactive!N20</f>
        <v>0</v>
      </c>
      <c r="O20" s="89">
        <f>Summary_Employed!O20+Summary_Unemployed!O20+Summary_Inactive!O20</f>
        <v>0</v>
      </c>
      <c r="P20" s="90"/>
      <c r="Q20" s="89">
        <f>Summary_Employed!Q20+Summary_Unemployed!Q20+Summary_Inactive!Q20</f>
        <v>0</v>
      </c>
      <c r="R20" s="91"/>
      <c r="S20" s="89">
        <f>Summary_Employed!S20+Summary_Unemployed!S20+Summary_Inactive!S20</f>
        <v>0</v>
      </c>
      <c r="T20" s="89">
        <f>Summary_Employed!T20+Summary_Unemployed!T20+Summary_Inactive!T20</f>
        <v>0</v>
      </c>
      <c r="U20" s="89">
        <f>Summary_Employed!U20+Summary_Unemployed!U20+Summary_Inactive!U20</f>
        <v>0</v>
      </c>
      <c r="V20" s="90"/>
      <c r="W20" s="89">
        <f>Summary_Employed!W20+Summary_Unemployed!W20+Summary_Inactive!W20</f>
        <v>0</v>
      </c>
      <c r="X20" s="89">
        <f>Summary_Employed!X20+Summary_Unemployed!X20+Summary_Inactive!X20</f>
        <v>0</v>
      </c>
      <c r="Y20" s="90"/>
      <c r="Z20" s="89">
        <f>Summary_Employed!Z20+Summary_Unemployed!Z20+Summary_Inactive!Z20</f>
        <v>0</v>
      </c>
      <c r="AA20" s="89">
        <f>Summary_Employed!AA20+Summary_Unemployed!AA20+Summary_Inactive!AA20</f>
        <v>0</v>
      </c>
      <c r="AB20" s="269">
        <f>Summary_Employed!AB20+Summary_Unemployed!AB20+Summary_Inactive!AB20</f>
        <v>0</v>
      </c>
      <c r="AC20" s="3"/>
      <c r="AD20" s="3"/>
      <c r="AE20" s="3"/>
      <c r="AF20" s="3"/>
      <c r="AG20" s="3"/>
      <c r="AH20" s="3"/>
      <c r="AI20" s="3"/>
      <c r="AJ20" s="3"/>
      <c r="AK20" s="3"/>
      <c r="AL20" s="3"/>
      <c r="AM20" s="3"/>
      <c r="AN20" s="3"/>
      <c r="AO20" s="3"/>
      <c r="AP20" s="3"/>
      <c r="AQ20" s="3"/>
      <c r="AR20" s="3"/>
      <c r="AS20" s="3"/>
    </row>
    <row r="21" spans="1:45" customFormat="1" x14ac:dyDescent="0.2">
      <c r="A21" s="352"/>
      <c r="B21" s="79" t="s">
        <v>89</v>
      </c>
      <c r="C21" s="89">
        <f>Summary_Employed!C21+Summary_Unemployed!C21+Summary_Inactive!C21</f>
        <v>0</v>
      </c>
      <c r="D21" s="89">
        <f>Summary_Employed!D21+Summary_Unemployed!D21+Summary_Inactive!D21</f>
        <v>0</v>
      </c>
      <c r="E21" s="89">
        <f>Summary_Employed!E21+Summary_Unemployed!E21+Summary_Inactive!E21</f>
        <v>0</v>
      </c>
      <c r="F21" s="89">
        <f>Summary_Employed!F21+Summary_Unemployed!F21+Summary_Inactive!F21</f>
        <v>0</v>
      </c>
      <c r="G21" s="89">
        <f>Summary_Employed!G21+Summary_Unemployed!G21+Summary_Inactive!G21</f>
        <v>0</v>
      </c>
      <c r="H21" s="89">
        <f>Summary_Employed!H21+Summary_Unemployed!H21+Summary_Inactive!H21</f>
        <v>0</v>
      </c>
      <c r="I21" s="89">
        <f>Summary_Employed!I21+Summary_Unemployed!I21+Summary_Inactive!I21</f>
        <v>0</v>
      </c>
      <c r="J21" s="89">
        <f>Summary_Employed!J21+Summary_Unemployed!J21+Summary_Inactive!J21</f>
        <v>0</v>
      </c>
      <c r="K21" s="89">
        <f>Summary_Employed!K21+Summary_Unemployed!K21+Summary_Inactive!K21</f>
        <v>0</v>
      </c>
      <c r="L21" s="89">
        <f>Summary_Employed!L21+Summary_Unemployed!L21+Summary_Inactive!L21</f>
        <v>0</v>
      </c>
      <c r="M21" s="89">
        <f>Summary_Employed!M21+Summary_Unemployed!M21+Summary_Inactive!M21</f>
        <v>0</v>
      </c>
      <c r="N21" s="89">
        <f>Summary_Employed!N21+Summary_Unemployed!N21+Summary_Inactive!N21</f>
        <v>0</v>
      </c>
      <c r="O21" s="89">
        <f>Summary_Employed!O21+Summary_Unemployed!O21+Summary_Inactive!O21</f>
        <v>0</v>
      </c>
      <c r="P21" s="90"/>
      <c r="Q21" s="89">
        <f>Summary_Employed!Q21+Summary_Unemployed!Q21+Summary_Inactive!Q21</f>
        <v>0</v>
      </c>
      <c r="R21" s="91"/>
      <c r="S21" s="89">
        <f>Summary_Employed!S21+Summary_Unemployed!S21+Summary_Inactive!S21</f>
        <v>0</v>
      </c>
      <c r="T21" s="89">
        <f>Summary_Employed!T21+Summary_Unemployed!T21+Summary_Inactive!T21</f>
        <v>0</v>
      </c>
      <c r="U21" s="89">
        <f>Summary_Employed!U21+Summary_Unemployed!U21+Summary_Inactive!U21</f>
        <v>0</v>
      </c>
      <c r="V21" s="90"/>
      <c r="W21" s="89">
        <f>Summary_Employed!W21+Summary_Unemployed!W21+Summary_Inactive!W21</f>
        <v>0</v>
      </c>
      <c r="X21" s="89">
        <f>Summary_Employed!X21+Summary_Unemployed!X21+Summary_Inactive!X21</f>
        <v>0</v>
      </c>
      <c r="Y21" s="90"/>
      <c r="Z21" s="89">
        <f>Summary_Employed!Z21+Summary_Unemployed!Z21+Summary_Inactive!Z21</f>
        <v>0</v>
      </c>
      <c r="AA21" s="89">
        <f>Summary_Employed!AA21+Summary_Unemployed!AA21+Summary_Inactive!AA21</f>
        <v>0</v>
      </c>
      <c r="AB21" s="269">
        <f>Summary_Employed!AB21+Summary_Unemployed!AB21+Summary_Inactive!AB21</f>
        <v>0</v>
      </c>
      <c r="AC21" s="3"/>
      <c r="AD21" s="3"/>
      <c r="AE21" s="3"/>
      <c r="AF21" s="3"/>
      <c r="AG21" s="3"/>
      <c r="AH21" s="3"/>
      <c r="AI21" s="3"/>
      <c r="AJ21" s="3"/>
      <c r="AK21" s="3"/>
      <c r="AL21" s="3"/>
      <c r="AM21" s="3"/>
      <c r="AN21" s="3"/>
      <c r="AO21" s="3"/>
      <c r="AP21" s="3"/>
      <c r="AQ21" s="3"/>
      <c r="AR21" s="3"/>
      <c r="AS21" s="3"/>
    </row>
    <row r="22" spans="1:45" customFormat="1" x14ac:dyDescent="0.2">
      <c r="A22" s="352"/>
      <c r="B22" s="79" t="s">
        <v>90</v>
      </c>
      <c r="C22" s="89">
        <f>Summary_Employed!C22+Summary_Unemployed!C22+Summary_Inactive!C22</f>
        <v>0</v>
      </c>
      <c r="D22" s="89">
        <f>Summary_Employed!D22+Summary_Unemployed!D22+Summary_Inactive!D22</f>
        <v>0</v>
      </c>
      <c r="E22" s="89">
        <f>Summary_Employed!E22+Summary_Unemployed!E22+Summary_Inactive!E22</f>
        <v>0</v>
      </c>
      <c r="F22" s="89">
        <f>Summary_Employed!F22+Summary_Unemployed!F22+Summary_Inactive!F22</f>
        <v>0</v>
      </c>
      <c r="G22" s="89">
        <f>Summary_Employed!G22+Summary_Unemployed!G22+Summary_Inactive!G22</f>
        <v>0</v>
      </c>
      <c r="H22" s="89">
        <f>Summary_Employed!H22+Summary_Unemployed!H22+Summary_Inactive!H22</f>
        <v>0</v>
      </c>
      <c r="I22" s="89">
        <f>Summary_Employed!I22+Summary_Unemployed!I22+Summary_Inactive!I22</f>
        <v>0</v>
      </c>
      <c r="J22" s="89">
        <f>Summary_Employed!J22+Summary_Unemployed!J22+Summary_Inactive!J22</f>
        <v>0</v>
      </c>
      <c r="K22" s="89">
        <f>Summary_Employed!K22+Summary_Unemployed!K22+Summary_Inactive!K22</f>
        <v>0</v>
      </c>
      <c r="L22" s="89">
        <f>Summary_Employed!L22+Summary_Unemployed!L22+Summary_Inactive!L22</f>
        <v>0</v>
      </c>
      <c r="M22" s="89">
        <f>Summary_Employed!M22+Summary_Unemployed!M22+Summary_Inactive!M22</f>
        <v>0</v>
      </c>
      <c r="N22" s="89">
        <f>Summary_Employed!N22+Summary_Unemployed!N22+Summary_Inactive!N22</f>
        <v>0</v>
      </c>
      <c r="O22" s="89">
        <f>Summary_Employed!O22+Summary_Unemployed!O22+Summary_Inactive!O22</f>
        <v>0</v>
      </c>
      <c r="P22" s="90"/>
      <c r="Q22" s="89">
        <f>Summary_Employed!Q22+Summary_Unemployed!Q22+Summary_Inactive!Q22</f>
        <v>0</v>
      </c>
      <c r="R22" s="91"/>
      <c r="S22" s="89">
        <f>Summary_Employed!S22+Summary_Unemployed!S22+Summary_Inactive!S22</f>
        <v>0</v>
      </c>
      <c r="T22" s="89">
        <f>Summary_Employed!T22+Summary_Unemployed!T22+Summary_Inactive!T22</f>
        <v>0</v>
      </c>
      <c r="U22" s="89">
        <f>Summary_Employed!U22+Summary_Unemployed!U22+Summary_Inactive!U22</f>
        <v>0</v>
      </c>
      <c r="V22" s="90"/>
      <c r="W22" s="89">
        <f>Summary_Employed!W22+Summary_Unemployed!W22+Summary_Inactive!W22</f>
        <v>0</v>
      </c>
      <c r="X22" s="89">
        <f>Summary_Employed!X22+Summary_Unemployed!X22+Summary_Inactive!X22</f>
        <v>0</v>
      </c>
      <c r="Y22" s="90"/>
      <c r="Z22" s="89">
        <f>Summary_Employed!Z22+Summary_Unemployed!Z22+Summary_Inactive!Z22</f>
        <v>0</v>
      </c>
      <c r="AA22" s="89">
        <f>Summary_Employed!AA22+Summary_Unemployed!AA22+Summary_Inactive!AA22</f>
        <v>0</v>
      </c>
      <c r="AB22" s="269">
        <f>Summary_Employed!AB22+Summary_Unemployed!AB22+Summary_Inactive!AB22</f>
        <v>0</v>
      </c>
      <c r="AC22" s="3"/>
      <c r="AD22" s="3"/>
      <c r="AE22" s="3"/>
      <c r="AF22" s="3"/>
      <c r="AG22" s="3"/>
      <c r="AH22" s="3"/>
      <c r="AI22" s="3"/>
      <c r="AJ22" s="3"/>
      <c r="AK22" s="3"/>
      <c r="AL22" s="3"/>
      <c r="AM22" s="3"/>
      <c r="AN22" s="3"/>
      <c r="AO22" s="3"/>
      <c r="AP22" s="3"/>
      <c r="AQ22" s="3"/>
      <c r="AR22" s="3"/>
      <c r="AS22" s="3"/>
    </row>
    <row r="23" spans="1:45" customFormat="1" x14ac:dyDescent="0.2">
      <c r="A23" s="352"/>
      <c r="B23" s="79" t="s">
        <v>91</v>
      </c>
      <c r="C23" s="89">
        <f>Summary_Employed!C23+Summary_Unemployed!C23+Summary_Inactive!C23</f>
        <v>0</v>
      </c>
      <c r="D23" s="89">
        <f>Summary_Employed!D23+Summary_Unemployed!D23+Summary_Inactive!D23</f>
        <v>0</v>
      </c>
      <c r="E23" s="89">
        <f>Summary_Employed!E23+Summary_Unemployed!E23+Summary_Inactive!E23</f>
        <v>0</v>
      </c>
      <c r="F23" s="89">
        <f>Summary_Employed!F23+Summary_Unemployed!F23+Summary_Inactive!F23</f>
        <v>0</v>
      </c>
      <c r="G23" s="89">
        <f>Summary_Employed!G23+Summary_Unemployed!G23+Summary_Inactive!G23</f>
        <v>0</v>
      </c>
      <c r="H23" s="89">
        <f>Summary_Employed!H23+Summary_Unemployed!H23+Summary_Inactive!H23</f>
        <v>0</v>
      </c>
      <c r="I23" s="89">
        <f>Summary_Employed!I23+Summary_Unemployed!I23+Summary_Inactive!I23</f>
        <v>0</v>
      </c>
      <c r="J23" s="89">
        <f>Summary_Employed!J23+Summary_Unemployed!J23+Summary_Inactive!J23</f>
        <v>0</v>
      </c>
      <c r="K23" s="89">
        <f>Summary_Employed!K23+Summary_Unemployed!K23+Summary_Inactive!K23</f>
        <v>0</v>
      </c>
      <c r="L23" s="89">
        <f>Summary_Employed!L23+Summary_Unemployed!L23+Summary_Inactive!L23</f>
        <v>0</v>
      </c>
      <c r="M23" s="89">
        <f>Summary_Employed!M23+Summary_Unemployed!M23+Summary_Inactive!M23</f>
        <v>0</v>
      </c>
      <c r="N23" s="89">
        <f>Summary_Employed!N23+Summary_Unemployed!N23+Summary_Inactive!N23</f>
        <v>0</v>
      </c>
      <c r="O23" s="89">
        <f>Summary_Employed!O23+Summary_Unemployed!O23+Summary_Inactive!O23</f>
        <v>0</v>
      </c>
      <c r="P23" s="90"/>
      <c r="Q23" s="89">
        <f>Summary_Employed!Q23+Summary_Unemployed!Q23+Summary_Inactive!Q23</f>
        <v>0</v>
      </c>
      <c r="R23" s="91"/>
      <c r="S23" s="89">
        <f>Summary_Employed!S23+Summary_Unemployed!S23+Summary_Inactive!S23</f>
        <v>0</v>
      </c>
      <c r="T23" s="89">
        <f>Summary_Employed!T23+Summary_Unemployed!T23+Summary_Inactive!T23</f>
        <v>0</v>
      </c>
      <c r="U23" s="89">
        <f>Summary_Employed!U23+Summary_Unemployed!U23+Summary_Inactive!U23</f>
        <v>0</v>
      </c>
      <c r="V23" s="90"/>
      <c r="W23" s="89">
        <f>Summary_Employed!W23+Summary_Unemployed!W23+Summary_Inactive!W23</f>
        <v>0</v>
      </c>
      <c r="X23" s="89">
        <f>Summary_Employed!X23+Summary_Unemployed!X23+Summary_Inactive!X23</f>
        <v>0</v>
      </c>
      <c r="Y23" s="90"/>
      <c r="Z23" s="89">
        <f>Summary_Employed!Z23+Summary_Unemployed!Z23+Summary_Inactive!Z23</f>
        <v>0</v>
      </c>
      <c r="AA23" s="89">
        <f>Summary_Employed!AA23+Summary_Unemployed!AA23+Summary_Inactive!AA23</f>
        <v>0</v>
      </c>
      <c r="AB23" s="269">
        <f>Summary_Employed!AB23+Summary_Unemployed!AB23+Summary_Inactive!AB23</f>
        <v>0</v>
      </c>
      <c r="AC23" s="3"/>
      <c r="AD23" s="3"/>
      <c r="AE23" s="3"/>
      <c r="AF23" s="3"/>
      <c r="AG23" s="3"/>
      <c r="AH23" s="3"/>
      <c r="AI23" s="3"/>
      <c r="AJ23" s="3"/>
      <c r="AK23" s="3"/>
      <c r="AL23" s="3"/>
      <c r="AM23" s="3"/>
      <c r="AN23" s="3"/>
      <c r="AO23" s="3"/>
      <c r="AP23" s="3"/>
      <c r="AQ23" s="3"/>
      <c r="AR23" s="3"/>
      <c r="AS23" s="3"/>
    </row>
    <row r="24" spans="1:45" customFormat="1" x14ac:dyDescent="0.2">
      <c r="A24" s="352"/>
      <c r="B24" s="79" t="s">
        <v>92</v>
      </c>
      <c r="C24" s="89">
        <f>Summary_Employed!C24+Summary_Unemployed!C24+Summary_Inactive!C24</f>
        <v>0</v>
      </c>
      <c r="D24" s="89">
        <f>Summary_Employed!D24+Summary_Unemployed!D24+Summary_Inactive!D24</f>
        <v>0</v>
      </c>
      <c r="E24" s="89">
        <f>Summary_Employed!E24+Summary_Unemployed!E24+Summary_Inactive!E24</f>
        <v>0</v>
      </c>
      <c r="F24" s="89">
        <f>Summary_Employed!F24+Summary_Unemployed!F24+Summary_Inactive!F24</f>
        <v>0</v>
      </c>
      <c r="G24" s="89">
        <f>Summary_Employed!G24+Summary_Unemployed!G24+Summary_Inactive!G24</f>
        <v>0</v>
      </c>
      <c r="H24" s="89">
        <f>Summary_Employed!H24+Summary_Unemployed!H24+Summary_Inactive!H24</f>
        <v>0</v>
      </c>
      <c r="I24" s="89">
        <f>Summary_Employed!I24+Summary_Unemployed!I24+Summary_Inactive!I24</f>
        <v>0</v>
      </c>
      <c r="J24" s="89">
        <f>Summary_Employed!J24+Summary_Unemployed!J24+Summary_Inactive!J24</f>
        <v>0</v>
      </c>
      <c r="K24" s="89">
        <f>Summary_Employed!K24+Summary_Unemployed!K24+Summary_Inactive!K24</f>
        <v>0</v>
      </c>
      <c r="L24" s="89">
        <f>Summary_Employed!L24+Summary_Unemployed!L24+Summary_Inactive!L24</f>
        <v>0</v>
      </c>
      <c r="M24" s="89">
        <f>Summary_Employed!M24+Summary_Unemployed!M24+Summary_Inactive!M24</f>
        <v>0</v>
      </c>
      <c r="N24" s="89">
        <f>Summary_Employed!N24+Summary_Unemployed!N24+Summary_Inactive!N24</f>
        <v>0</v>
      </c>
      <c r="O24" s="89">
        <f>Summary_Employed!O24+Summary_Unemployed!O24+Summary_Inactive!O24</f>
        <v>0</v>
      </c>
      <c r="P24" s="90"/>
      <c r="Q24" s="89">
        <f>Summary_Employed!Q24+Summary_Unemployed!Q24+Summary_Inactive!Q24</f>
        <v>0</v>
      </c>
      <c r="R24" s="91"/>
      <c r="S24" s="89">
        <f>Summary_Employed!S24+Summary_Unemployed!S24+Summary_Inactive!S24</f>
        <v>0</v>
      </c>
      <c r="T24" s="89">
        <f>Summary_Employed!T24+Summary_Unemployed!T24+Summary_Inactive!T24</f>
        <v>0</v>
      </c>
      <c r="U24" s="89">
        <f>Summary_Employed!U24+Summary_Unemployed!U24+Summary_Inactive!U24</f>
        <v>0</v>
      </c>
      <c r="V24" s="90"/>
      <c r="W24" s="89">
        <f>Summary_Employed!W24+Summary_Unemployed!W24+Summary_Inactive!W24</f>
        <v>0</v>
      </c>
      <c r="X24" s="89">
        <f>Summary_Employed!X24+Summary_Unemployed!X24+Summary_Inactive!X24</f>
        <v>0</v>
      </c>
      <c r="Y24" s="90"/>
      <c r="Z24" s="89">
        <f>Summary_Employed!Z24+Summary_Unemployed!Z24+Summary_Inactive!Z24</f>
        <v>0</v>
      </c>
      <c r="AA24" s="89">
        <f>Summary_Employed!AA24+Summary_Unemployed!AA24+Summary_Inactive!AA24</f>
        <v>0</v>
      </c>
      <c r="AB24" s="269">
        <f>Summary_Employed!AB24+Summary_Unemployed!AB24+Summary_Inactive!AB24</f>
        <v>0</v>
      </c>
      <c r="AC24" s="3"/>
      <c r="AD24" s="3"/>
      <c r="AE24" s="3"/>
      <c r="AF24" s="3"/>
      <c r="AG24" s="3"/>
      <c r="AH24" s="3"/>
      <c r="AI24" s="3"/>
      <c r="AJ24" s="3"/>
      <c r="AK24" s="3"/>
      <c r="AL24" s="3"/>
      <c r="AM24" s="3"/>
      <c r="AN24" s="3"/>
      <c r="AO24" s="3"/>
      <c r="AP24" s="3"/>
      <c r="AQ24" s="3"/>
      <c r="AR24" s="3"/>
      <c r="AS24" s="3"/>
    </row>
    <row r="25" spans="1:45" customFormat="1" x14ac:dyDescent="0.2">
      <c r="A25" s="352"/>
      <c r="B25" s="79" t="s">
        <v>93</v>
      </c>
      <c r="C25" s="89">
        <f>Summary_Employed!C25+Summary_Unemployed!C25+Summary_Inactive!C25</f>
        <v>0</v>
      </c>
      <c r="D25" s="89">
        <f>Summary_Employed!D25+Summary_Unemployed!D25+Summary_Inactive!D25</f>
        <v>0</v>
      </c>
      <c r="E25" s="89">
        <f>Summary_Employed!E25+Summary_Unemployed!E25+Summary_Inactive!E25</f>
        <v>0</v>
      </c>
      <c r="F25" s="89">
        <f>Summary_Employed!F25+Summary_Unemployed!F25+Summary_Inactive!F25</f>
        <v>0</v>
      </c>
      <c r="G25" s="89">
        <f>Summary_Employed!G25+Summary_Unemployed!G25+Summary_Inactive!G25</f>
        <v>0</v>
      </c>
      <c r="H25" s="89">
        <f>Summary_Employed!H25+Summary_Unemployed!H25+Summary_Inactive!H25</f>
        <v>0</v>
      </c>
      <c r="I25" s="89">
        <f>Summary_Employed!I25+Summary_Unemployed!I25+Summary_Inactive!I25</f>
        <v>0</v>
      </c>
      <c r="J25" s="89">
        <f>Summary_Employed!J25+Summary_Unemployed!J25+Summary_Inactive!J25</f>
        <v>0</v>
      </c>
      <c r="K25" s="89">
        <f>Summary_Employed!K25+Summary_Unemployed!K25+Summary_Inactive!K25</f>
        <v>0</v>
      </c>
      <c r="L25" s="89">
        <f>Summary_Employed!L25+Summary_Unemployed!L25+Summary_Inactive!L25</f>
        <v>0</v>
      </c>
      <c r="M25" s="89">
        <f>Summary_Employed!M25+Summary_Unemployed!M25+Summary_Inactive!M25</f>
        <v>0</v>
      </c>
      <c r="N25" s="89">
        <f>Summary_Employed!N25+Summary_Unemployed!N25+Summary_Inactive!N25</f>
        <v>0</v>
      </c>
      <c r="O25" s="89">
        <f>Summary_Employed!O25+Summary_Unemployed!O25+Summary_Inactive!O25</f>
        <v>0</v>
      </c>
      <c r="P25" s="90"/>
      <c r="Q25" s="89">
        <f>Summary_Employed!Q25+Summary_Unemployed!Q25+Summary_Inactive!Q25</f>
        <v>0</v>
      </c>
      <c r="R25" s="91"/>
      <c r="S25" s="89">
        <f>Summary_Employed!S25+Summary_Unemployed!S25+Summary_Inactive!S25</f>
        <v>0</v>
      </c>
      <c r="T25" s="89">
        <f>Summary_Employed!T25+Summary_Unemployed!T25+Summary_Inactive!T25</f>
        <v>0</v>
      </c>
      <c r="U25" s="89">
        <f>Summary_Employed!U25+Summary_Unemployed!U25+Summary_Inactive!U25</f>
        <v>0</v>
      </c>
      <c r="V25" s="90"/>
      <c r="W25" s="89">
        <f>Summary_Employed!W25+Summary_Unemployed!W25+Summary_Inactive!W25</f>
        <v>0</v>
      </c>
      <c r="X25" s="89">
        <f>Summary_Employed!X25+Summary_Unemployed!X25+Summary_Inactive!X25</f>
        <v>0</v>
      </c>
      <c r="Y25" s="90"/>
      <c r="Z25" s="89">
        <f>Summary_Employed!Z25+Summary_Unemployed!Z25+Summary_Inactive!Z25</f>
        <v>0</v>
      </c>
      <c r="AA25" s="89">
        <f>Summary_Employed!AA25+Summary_Unemployed!AA25+Summary_Inactive!AA25</f>
        <v>0</v>
      </c>
      <c r="AB25" s="269">
        <f>Summary_Employed!AB25+Summary_Unemployed!AB25+Summary_Inactive!AB25</f>
        <v>0</v>
      </c>
      <c r="AC25" s="3"/>
      <c r="AD25" s="3"/>
      <c r="AE25" s="3"/>
      <c r="AF25" s="3"/>
      <c r="AG25" s="3"/>
      <c r="AH25" s="3"/>
      <c r="AI25" s="3"/>
      <c r="AJ25" s="3"/>
      <c r="AK25" s="3"/>
      <c r="AL25" s="3"/>
      <c r="AM25" s="3"/>
      <c r="AN25" s="3"/>
      <c r="AO25" s="3"/>
      <c r="AP25" s="3"/>
      <c r="AQ25" s="3"/>
      <c r="AR25" s="3"/>
      <c r="AS25" s="3"/>
    </row>
    <row r="26" spans="1:45" customFormat="1" x14ac:dyDescent="0.2">
      <c r="A26" s="352"/>
      <c r="B26" s="79" t="s">
        <v>94</v>
      </c>
      <c r="C26" s="89">
        <f>Summary_Employed!C26+Summary_Unemployed!C26+Summary_Inactive!C26</f>
        <v>0</v>
      </c>
      <c r="D26" s="89">
        <f>Summary_Employed!D26+Summary_Unemployed!D26+Summary_Inactive!D26</f>
        <v>0</v>
      </c>
      <c r="E26" s="89">
        <f>Summary_Employed!E26+Summary_Unemployed!E26+Summary_Inactive!E26</f>
        <v>0</v>
      </c>
      <c r="F26" s="89">
        <f>Summary_Employed!F26+Summary_Unemployed!F26+Summary_Inactive!F26</f>
        <v>0</v>
      </c>
      <c r="G26" s="89">
        <f>Summary_Employed!G26+Summary_Unemployed!G26+Summary_Inactive!G26</f>
        <v>0</v>
      </c>
      <c r="H26" s="89">
        <f>Summary_Employed!H26+Summary_Unemployed!H26+Summary_Inactive!H26</f>
        <v>0</v>
      </c>
      <c r="I26" s="89">
        <f>Summary_Employed!I26+Summary_Unemployed!I26+Summary_Inactive!I26</f>
        <v>0</v>
      </c>
      <c r="J26" s="89">
        <f>Summary_Employed!J26+Summary_Unemployed!J26+Summary_Inactive!J26</f>
        <v>0</v>
      </c>
      <c r="K26" s="89">
        <f>Summary_Employed!K26+Summary_Unemployed!K26+Summary_Inactive!K26</f>
        <v>0</v>
      </c>
      <c r="L26" s="89">
        <f>Summary_Employed!L26+Summary_Unemployed!L26+Summary_Inactive!L26</f>
        <v>0</v>
      </c>
      <c r="M26" s="89">
        <f>Summary_Employed!M26+Summary_Unemployed!M26+Summary_Inactive!M26</f>
        <v>0</v>
      </c>
      <c r="N26" s="89">
        <f>Summary_Employed!N26+Summary_Unemployed!N26+Summary_Inactive!N26</f>
        <v>0</v>
      </c>
      <c r="O26" s="89">
        <f>Summary_Employed!O26+Summary_Unemployed!O26+Summary_Inactive!O26</f>
        <v>0</v>
      </c>
      <c r="P26" s="90"/>
      <c r="Q26" s="89">
        <f>Summary_Employed!Q26+Summary_Unemployed!Q26+Summary_Inactive!Q26</f>
        <v>0</v>
      </c>
      <c r="R26" s="91"/>
      <c r="S26" s="89">
        <f>Summary_Employed!S26+Summary_Unemployed!S26+Summary_Inactive!S26</f>
        <v>0</v>
      </c>
      <c r="T26" s="89">
        <f>Summary_Employed!T26+Summary_Unemployed!T26+Summary_Inactive!T26</f>
        <v>0</v>
      </c>
      <c r="U26" s="89">
        <f>Summary_Employed!U26+Summary_Unemployed!U26+Summary_Inactive!U26</f>
        <v>0</v>
      </c>
      <c r="V26" s="90"/>
      <c r="W26" s="89">
        <f>Summary_Employed!W26+Summary_Unemployed!W26+Summary_Inactive!W26</f>
        <v>0</v>
      </c>
      <c r="X26" s="89">
        <f>Summary_Employed!X26+Summary_Unemployed!X26+Summary_Inactive!X26</f>
        <v>0</v>
      </c>
      <c r="Y26" s="90"/>
      <c r="Z26" s="89">
        <f>Summary_Employed!Z26+Summary_Unemployed!Z26+Summary_Inactive!Z26</f>
        <v>0</v>
      </c>
      <c r="AA26" s="89">
        <f>Summary_Employed!AA26+Summary_Unemployed!AA26+Summary_Inactive!AA26</f>
        <v>0</v>
      </c>
      <c r="AB26" s="269">
        <f>Summary_Employed!AB26+Summary_Unemployed!AB26+Summary_Inactive!AB26</f>
        <v>0</v>
      </c>
      <c r="AC26" s="3"/>
      <c r="AD26" s="3"/>
      <c r="AE26" s="3"/>
      <c r="AF26" s="3"/>
      <c r="AG26" s="3"/>
      <c r="AH26" s="3"/>
      <c r="AI26" s="3"/>
      <c r="AJ26" s="3"/>
      <c r="AK26" s="3"/>
      <c r="AL26" s="3"/>
      <c r="AM26" s="3"/>
      <c r="AN26" s="3"/>
      <c r="AO26" s="3"/>
      <c r="AP26" s="3"/>
      <c r="AQ26" s="3"/>
      <c r="AR26" s="3"/>
      <c r="AS26" s="3"/>
    </row>
    <row r="27" spans="1:45" customFormat="1" x14ac:dyDescent="0.2">
      <c r="A27" s="352"/>
      <c r="B27" s="79" t="s">
        <v>95</v>
      </c>
      <c r="C27" s="89">
        <f>Summary_Employed!C27+Summary_Unemployed!C27+Summary_Inactive!C27</f>
        <v>0</v>
      </c>
      <c r="D27" s="89">
        <f>Summary_Employed!D27+Summary_Unemployed!D27+Summary_Inactive!D27</f>
        <v>0</v>
      </c>
      <c r="E27" s="89">
        <f>Summary_Employed!E27+Summary_Unemployed!E27+Summary_Inactive!E27</f>
        <v>0</v>
      </c>
      <c r="F27" s="89">
        <f>Summary_Employed!F27+Summary_Unemployed!F27+Summary_Inactive!F27</f>
        <v>0</v>
      </c>
      <c r="G27" s="89">
        <f>Summary_Employed!G27+Summary_Unemployed!G27+Summary_Inactive!G27</f>
        <v>0</v>
      </c>
      <c r="H27" s="89">
        <f>Summary_Employed!H27+Summary_Unemployed!H27+Summary_Inactive!H27</f>
        <v>0</v>
      </c>
      <c r="I27" s="89">
        <f>Summary_Employed!I27+Summary_Unemployed!I27+Summary_Inactive!I27</f>
        <v>0</v>
      </c>
      <c r="J27" s="89">
        <f>Summary_Employed!J27+Summary_Unemployed!J27+Summary_Inactive!J27</f>
        <v>0</v>
      </c>
      <c r="K27" s="89">
        <f>Summary_Employed!K27+Summary_Unemployed!K27+Summary_Inactive!K27</f>
        <v>0</v>
      </c>
      <c r="L27" s="89">
        <f>Summary_Employed!L27+Summary_Unemployed!L27+Summary_Inactive!L27</f>
        <v>0</v>
      </c>
      <c r="M27" s="89">
        <f>Summary_Employed!M27+Summary_Unemployed!M27+Summary_Inactive!M27</f>
        <v>0</v>
      </c>
      <c r="N27" s="89">
        <f>Summary_Employed!N27+Summary_Unemployed!N27+Summary_Inactive!N27</f>
        <v>0</v>
      </c>
      <c r="O27" s="89">
        <f>Summary_Employed!O27+Summary_Unemployed!O27+Summary_Inactive!O27</f>
        <v>0</v>
      </c>
      <c r="P27" s="90"/>
      <c r="Q27" s="89">
        <f>Summary_Employed!Q27+Summary_Unemployed!Q27+Summary_Inactive!Q27</f>
        <v>0</v>
      </c>
      <c r="R27" s="91"/>
      <c r="S27" s="89">
        <f>Summary_Employed!S27+Summary_Unemployed!S27+Summary_Inactive!S27</f>
        <v>0</v>
      </c>
      <c r="T27" s="89">
        <f>Summary_Employed!T27+Summary_Unemployed!T27+Summary_Inactive!T27</f>
        <v>0</v>
      </c>
      <c r="U27" s="89">
        <f>Summary_Employed!U27+Summary_Unemployed!U27+Summary_Inactive!U27</f>
        <v>0</v>
      </c>
      <c r="V27" s="90"/>
      <c r="W27" s="89">
        <f>Summary_Employed!W27+Summary_Unemployed!W27+Summary_Inactive!W27</f>
        <v>0</v>
      </c>
      <c r="X27" s="89">
        <f>Summary_Employed!X27+Summary_Unemployed!X27+Summary_Inactive!X27</f>
        <v>0</v>
      </c>
      <c r="Y27" s="90"/>
      <c r="Z27" s="89">
        <f>Summary_Employed!Z27+Summary_Unemployed!Z27+Summary_Inactive!Z27</f>
        <v>0</v>
      </c>
      <c r="AA27" s="89">
        <f>Summary_Employed!AA27+Summary_Unemployed!AA27+Summary_Inactive!AA27</f>
        <v>0</v>
      </c>
      <c r="AB27" s="269">
        <f>Summary_Employed!AB27+Summary_Unemployed!AB27+Summary_Inactive!AB27</f>
        <v>0</v>
      </c>
      <c r="AC27" s="3"/>
      <c r="AD27" s="3"/>
      <c r="AE27" s="3"/>
      <c r="AF27" s="3"/>
      <c r="AG27" s="3"/>
      <c r="AH27" s="3"/>
      <c r="AI27" s="3"/>
      <c r="AJ27" s="3"/>
      <c r="AK27" s="3"/>
      <c r="AL27" s="3"/>
      <c r="AM27" s="3"/>
      <c r="AN27" s="3"/>
      <c r="AO27" s="3"/>
      <c r="AP27" s="3"/>
      <c r="AQ27" s="3"/>
      <c r="AR27" s="3"/>
      <c r="AS27" s="3"/>
    </row>
    <row r="28" spans="1:45" customFormat="1" x14ac:dyDescent="0.2">
      <c r="A28" s="352"/>
      <c r="B28" s="79" t="s">
        <v>96</v>
      </c>
      <c r="C28" s="89">
        <f>Summary_Employed!C28+Summary_Unemployed!C28+Summary_Inactive!C28</f>
        <v>0</v>
      </c>
      <c r="D28" s="89">
        <f>Summary_Employed!D28+Summary_Unemployed!D28+Summary_Inactive!D28</f>
        <v>0</v>
      </c>
      <c r="E28" s="89">
        <f>Summary_Employed!E28+Summary_Unemployed!E28+Summary_Inactive!E28</f>
        <v>0</v>
      </c>
      <c r="F28" s="89">
        <f>Summary_Employed!F28+Summary_Unemployed!F28+Summary_Inactive!F28</f>
        <v>0</v>
      </c>
      <c r="G28" s="89">
        <f>Summary_Employed!G28+Summary_Unemployed!G28+Summary_Inactive!G28</f>
        <v>0</v>
      </c>
      <c r="H28" s="89">
        <f>Summary_Employed!H28+Summary_Unemployed!H28+Summary_Inactive!H28</f>
        <v>0</v>
      </c>
      <c r="I28" s="89">
        <f>Summary_Employed!I28+Summary_Unemployed!I28+Summary_Inactive!I28</f>
        <v>0</v>
      </c>
      <c r="J28" s="89">
        <f>Summary_Employed!J28+Summary_Unemployed!J28+Summary_Inactive!J28</f>
        <v>0</v>
      </c>
      <c r="K28" s="89">
        <f>Summary_Employed!K28+Summary_Unemployed!K28+Summary_Inactive!K28</f>
        <v>0</v>
      </c>
      <c r="L28" s="89">
        <f>Summary_Employed!L28+Summary_Unemployed!L28+Summary_Inactive!L28</f>
        <v>0</v>
      </c>
      <c r="M28" s="89">
        <f>Summary_Employed!M28+Summary_Unemployed!M28+Summary_Inactive!M28</f>
        <v>0</v>
      </c>
      <c r="N28" s="89">
        <f>Summary_Employed!N28+Summary_Unemployed!N28+Summary_Inactive!N28</f>
        <v>0</v>
      </c>
      <c r="O28" s="89">
        <f>Summary_Employed!O28+Summary_Unemployed!O28+Summary_Inactive!O28</f>
        <v>0</v>
      </c>
      <c r="P28" s="90"/>
      <c r="Q28" s="89">
        <f>Summary_Employed!Q28+Summary_Unemployed!Q28+Summary_Inactive!Q28</f>
        <v>0</v>
      </c>
      <c r="R28" s="91"/>
      <c r="S28" s="89">
        <f>Summary_Employed!S28+Summary_Unemployed!S28+Summary_Inactive!S28</f>
        <v>0</v>
      </c>
      <c r="T28" s="89">
        <f>Summary_Employed!T28+Summary_Unemployed!T28+Summary_Inactive!T28</f>
        <v>0</v>
      </c>
      <c r="U28" s="89">
        <f>Summary_Employed!U28+Summary_Unemployed!U28+Summary_Inactive!U28</f>
        <v>0</v>
      </c>
      <c r="V28" s="90"/>
      <c r="W28" s="89">
        <f>Summary_Employed!W28+Summary_Unemployed!W28+Summary_Inactive!W28</f>
        <v>0</v>
      </c>
      <c r="X28" s="89">
        <f>Summary_Employed!X28+Summary_Unemployed!X28+Summary_Inactive!X28</f>
        <v>0</v>
      </c>
      <c r="Y28" s="90"/>
      <c r="Z28" s="89">
        <f>Summary_Employed!Z28+Summary_Unemployed!Z28+Summary_Inactive!Z28</f>
        <v>0</v>
      </c>
      <c r="AA28" s="89">
        <f>Summary_Employed!AA28+Summary_Unemployed!AA28+Summary_Inactive!AA28</f>
        <v>0</v>
      </c>
      <c r="AB28" s="269">
        <f>Summary_Employed!AB28+Summary_Unemployed!AB28+Summary_Inactive!AB28</f>
        <v>0</v>
      </c>
      <c r="AC28" s="3"/>
      <c r="AD28" s="3"/>
      <c r="AE28" s="3"/>
      <c r="AF28" s="3"/>
      <c r="AG28" s="3"/>
      <c r="AH28" s="3"/>
      <c r="AI28" s="3"/>
      <c r="AJ28" s="3"/>
      <c r="AK28" s="3"/>
      <c r="AL28" s="3"/>
      <c r="AM28" s="3"/>
      <c r="AN28" s="3"/>
      <c r="AO28" s="3"/>
      <c r="AP28" s="3"/>
      <c r="AQ28" s="3"/>
      <c r="AR28" s="3"/>
      <c r="AS28" s="3"/>
    </row>
    <row r="29" spans="1:45" customFormat="1" x14ac:dyDescent="0.2">
      <c r="A29" s="352"/>
      <c r="B29" s="79" t="s">
        <v>258</v>
      </c>
      <c r="C29" s="225">
        <f>Summary_Employed!C29+Summary_Unemployed!C29+Summary_Inactive!C29</f>
        <v>0</v>
      </c>
      <c r="D29" s="225">
        <f>Summary_Employed!D29+Summary_Unemployed!D29+Summary_Inactive!D29</f>
        <v>0</v>
      </c>
      <c r="E29" s="225">
        <f>Summary_Employed!E29+Summary_Unemployed!E29+Summary_Inactive!E29</f>
        <v>0</v>
      </c>
      <c r="F29" s="225">
        <f>Summary_Employed!F29+Summary_Unemployed!F29+Summary_Inactive!F29</f>
        <v>0</v>
      </c>
      <c r="G29" s="225">
        <f>Summary_Employed!G29+Summary_Unemployed!G29+Summary_Inactive!G29</f>
        <v>0</v>
      </c>
      <c r="H29" s="225">
        <f>Summary_Employed!H29+Summary_Unemployed!H29+Summary_Inactive!H29</f>
        <v>0</v>
      </c>
      <c r="I29" s="225">
        <f>Summary_Employed!I29+Summary_Unemployed!I29+Summary_Inactive!I29</f>
        <v>0</v>
      </c>
      <c r="J29" s="225">
        <f>Summary_Employed!J29+Summary_Unemployed!J29+Summary_Inactive!J29</f>
        <v>0</v>
      </c>
      <c r="K29" s="225">
        <f>Summary_Employed!K29+Summary_Unemployed!K29+Summary_Inactive!K29</f>
        <v>0</v>
      </c>
      <c r="L29" s="225">
        <f>Summary_Employed!L29+Summary_Unemployed!L29+Summary_Inactive!L29</f>
        <v>0</v>
      </c>
      <c r="M29" s="225">
        <f>Summary_Employed!M29+Summary_Unemployed!M29+Summary_Inactive!M29</f>
        <v>0</v>
      </c>
      <c r="N29" s="225">
        <f>Summary_Employed!N29+Summary_Unemployed!N29+Summary_Inactive!N29</f>
        <v>0</v>
      </c>
      <c r="O29" s="225">
        <f>Summary_Employed!O29+Summary_Unemployed!O29+Summary_Inactive!O29</f>
        <v>0</v>
      </c>
      <c r="P29" s="90"/>
      <c r="Q29" s="225">
        <f>Summary_Employed!Q29+Summary_Unemployed!Q29+Summary_Inactive!Q29</f>
        <v>0</v>
      </c>
      <c r="R29" s="91"/>
      <c r="S29" s="225">
        <f>Summary_Employed!S29+Summary_Unemployed!S29+Summary_Inactive!S29</f>
        <v>0</v>
      </c>
      <c r="T29" s="225">
        <f>Summary_Employed!T29+Summary_Unemployed!T29+Summary_Inactive!T29</f>
        <v>0</v>
      </c>
      <c r="U29" s="225">
        <f>Summary_Employed!U29+Summary_Unemployed!U29+Summary_Inactive!U29</f>
        <v>0</v>
      </c>
      <c r="V29" s="90"/>
      <c r="W29" s="225">
        <f>Summary_Employed!W29+Summary_Unemployed!W29+Summary_Inactive!W29</f>
        <v>0</v>
      </c>
      <c r="X29" s="225">
        <f>Summary_Employed!X29+Summary_Unemployed!X29+Summary_Inactive!X29</f>
        <v>0</v>
      </c>
      <c r="Y29" s="90"/>
      <c r="Z29" s="225">
        <f>Summary_Employed!Z29+Summary_Unemployed!Z29+Summary_Inactive!Z29</f>
        <v>0</v>
      </c>
      <c r="AA29" s="225">
        <f>Summary_Employed!AA29+Summary_Unemployed!AA29+Summary_Inactive!AA29</f>
        <v>0</v>
      </c>
      <c r="AB29" s="270">
        <f>Summary_Employed!AB29+Summary_Unemployed!AB29+Summary_Inactive!AB29</f>
        <v>0</v>
      </c>
      <c r="AC29" s="3"/>
      <c r="AD29" s="3"/>
      <c r="AE29" s="3"/>
      <c r="AF29" s="3"/>
      <c r="AG29" s="3"/>
      <c r="AH29" s="3"/>
      <c r="AI29" s="3"/>
      <c r="AJ29" s="3"/>
      <c r="AK29" s="3"/>
      <c r="AL29" s="3"/>
      <c r="AM29" s="3"/>
      <c r="AN29" s="3"/>
      <c r="AO29" s="3"/>
      <c r="AP29" s="3"/>
      <c r="AQ29" s="3"/>
      <c r="AR29" s="3"/>
      <c r="AS29" s="3"/>
    </row>
    <row r="30" spans="1:45" customFormat="1" x14ac:dyDescent="0.2">
      <c r="A30" s="352"/>
      <c r="B30" s="79" t="s">
        <v>260</v>
      </c>
      <c r="C30" s="225">
        <f>Summary_Employed!C30+Summary_Unemployed!C30+Summary_Inactive!C30</f>
        <v>0</v>
      </c>
      <c r="D30" s="225">
        <f>Summary_Employed!D30+Summary_Unemployed!D30+Summary_Inactive!D30</f>
        <v>0</v>
      </c>
      <c r="E30" s="225">
        <f>Summary_Employed!E30+Summary_Unemployed!E30+Summary_Inactive!E30</f>
        <v>0</v>
      </c>
      <c r="F30" s="225">
        <f>Summary_Employed!F30+Summary_Unemployed!F30+Summary_Inactive!F30</f>
        <v>0</v>
      </c>
      <c r="G30" s="225">
        <f>Summary_Employed!G30+Summary_Unemployed!G30+Summary_Inactive!G30</f>
        <v>0</v>
      </c>
      <c r="H30" s="225">
        <f>Summary_Employed!H30+Summary_Unemployed!H30+Summary_Inactive!H30</f>
        <v>0</v>
      </c>
      <c r="I30" s="225">
        <f>Summary_Employed!I30+Summary_Unemployed!I30+Summary_Inactive!I30</f>
        <v>0</v>
      </c>
      <c r="J30" s="225">
        <f>Summary_Employed!J30+Summary_Unemployed!J30+Summary_Inactive!J30</f>
        <v>0</v>
      </c>
      <c r="K30" s="225">
        <f>Summary_Employed!K30+Summary_Unemployed!K30+Summary_Inactive!K30</f>
        <v>0</v>
      </c>
      <c r="L30" s="225">
        <f>Summary_Employed!L30+Summary_Unemployed!L30+Summary_Inactive!L30</f>
        <v>0</v>
      </c>
      <c r="M30" s="225">
        <f>Summary_Employed!M30+Summary_Unemployed!M30+Summary_Inactive!M30</f>
        <v>0</v>
      </c>
      <c r="N30" s="225">
        <f>Summary_Employed!N30+Summary_Unemployed!N30+Summary_Inactive!N30</f>
        <v>0</v>
      </c>
      <c r="O30" s="225">
        <f>Summary_Employed!O30+Summary_Unemployed!O30+Summary_Inactive!O30</f>
        <v>0</v>
      </c>
      <c r="P30" s="90"/>
      <c r="Q30" s="225">
        <f>Summary_Employed!Q30+Summary_Unemployed!Q30+Summary_Inactive!Q30</f>
        <v>0</v>
      </c>
      <c r="R30" s="91"/>
      <c r="S30" s="225">
        <f>Summary_Employed!S30+Summary_Unemployed!S30+Summary_Inactive!S30</f>
        <v>0</v>
      </c>
      <c r="T30" s="225">
        <f>Summary_Employed!T30+Summary_Unemployed!T30+Summary_Inactive!T30</f>
        <v>0</v>
      </c>
      <c r="U30" s="225">
        <f>Summary_Employed!U30+Summary_Unemployed!U30+Summary_Inactive!U30</f>
        <v>0</v>
      </c>
      <c r="V30" s="90"/>
      <c r="W30" s="225">
        <f>Summary_Employed!W30+Summary_Unemployed!W30+Summary_Inactive!W30</f>
        <v>0</v>
      </c>
      <c r="X30" s="225">
        <f>Summary_Employed!X30+Summary_Unemployed!X30+Summary_Inactive!X30</f>
        <v>0</v>
      </c>
      <c r="Y30" s="90"/>
      <c r="Z30" s="225">
        <f>Summary_Employed!Z30+Summary_Unemployed!Z30+Summary_Inactive!Z30</f>
        <v>0</v>
      </c>
      <c r="AA30" s="225">
        <f>Summary_Employed!AA30+Summary_Unemployed!AA30+Summary_Inactive!AA30</f>
        <v>0</v>
      </c>
      <c r="AB30" s="270">
        <f>Summary_Employed!AB30+Summary_Unemployed!AB30+Summary_Inactive!AB30</f>
        <v>0</v>
      </c>
      <c r="AC30" s="3"/>
      <c r="AD30" s="3"/>
      <c r="AE30" s="3"/>
      <c r="AF30" s="3"/>
      <c r="AG30" s="3"/>
      <c r="AH30" s="3"/>
      <c r="AI30" s="3"/>
      <c r="AJ30" s="3"/>
      <c r="AK30" s="3"/>
      <c r="AL30" s="3"/>
      <c r="AM30" s="3"/>
      <c r="AN30" s="3"/>
      <c r="AO30" s="3"/>
      <c r="AP30" s="3"/>
      <c r="AQ30" s="3"/>
      <c r="AR30" s="3"/>
      <c r="AS30" s="3"/>
    </row>
    <row r="31" spans="1:45" customFormat="1" ht="13.5" thickBot="1" x14ac:dyDescent="0.25">
      <c r="A31" s="352"/>
      <c r="B31" s="79" t="s">
        <v>261</v>
      </c>
      <c r="C31" s="92">
        <f>Summary_Employed!C31+Summary_Unemployed!C31+Summary_Inactive!C31</f>
        <v>0</v>
      </c>
      <c r="D31" s="92">
        <f>Summary_Employed!D31+Summary_Unemployed!D31+Summary_Inactive!D31</f>
        <v>0</v>
      </c>
      <c r="E31" s="92">
        <f>Summary_Employed!E31+Summary_Unemployed!E31+Summary_Inactive!E31</f>
        <v>0</v>
      </c>
      <c r="F31" s="92">
        <f>Summary_Employed!F31+Summary_Unemployed!F31+Summary_Inactive!F31</f>
        <v>0</v>
      </c>
      <c r="G31" s="92">
        <f>Summary_Employed!G31+Summary_Unemployed!G31+Summary_Inactive!G31</f>
        <v>0</v>
      </c>
      <c r="H31" s="92">
        <f>Summary_Employed!H31+Summary_Unemployed!H31+Summary_Inactive!H31</f>
        <v>0</v>
      </c>
      <c r="I31" s="92">
        <f>Summary_Employed!I31+Summary_Unemployed!I31+Summary_Inactive!I31</f>
        <v>0</v>
      </c>
      <c r="J31" s="92">
        <f>Summary_Employed!J31+Summary_Unemployed!J31+Summary_Inactive!J31</f>
        <v>0</v>
      </c>
      <c r="K31" s="92">
        <f>Summary_Employed!K31+Summary_Unemployed!K31+Summary_Inactive!K31</f>
        <v>0</v>
      </c>
      <c r="L31" s="92">
        <f>Summary_Employed!L31+Summary_Unemployed!L31+Summary_Inactive!L31</f>
        <v>0</v>
      </c>
      <c r="M31" s="92">
        <f>Summary_Employed!M31+Summary_Unemployed!M31+Summary_Inactive!M31</f>
        <v>0</v>
      </c>
      <c r="N31" s="92">
        <f>Summary_Employed!N31+Summary_Unemployed!N31+Summary_Inactive!N31</f>
        <v>0</v>
      </c>
      <c r="O31" s="92">
        <f>Summary_Employed!O31+Summary_Unemployed!O31+Summary_Inactive!O31</f>
        <v>0</v>
      </c>
      <c r="P31" s="93"/>
      <c r="Q31" s="92">
        <f>Summary_Employed!Q31+Summary_Unemployed!Q31+Summary_Inactive!Q31</f>
        <v>0</v>
      </c>
      <c r="R31" s="94"/>
      <c r="S31" s="92">
        <f>Summary_Employed!S31+Summary_Unemployed!S31+Summary_Inactive!S31</f>
        <v>0</v>
      </c>
      <c r="T31" s="92">
        <f>Summary_Employed!T31+Summary_Unemployed!T31+Summary_Inactive!T31</f>
        <v>0</v>
      </c>
      <c r="U31" s="92">
        <f>Summary_Employed!U31+Summary_Unemployed!U31+Summary_Inactive!U31</f>
        <v>0</v>
      </c>
      <c r="V31" s="93"/>
      <c r="W31" s="92">
        <f>Summary_Employed!W31+Summary_Unemployed!W31+Summary_Inactive!W31</f>
        <v>0</v>
      </c>
      <c r="X31" s="92">
        <f>Summary_Employed!X31+Summary_Unemployed!X31+Summary_Inactive!X31</f>
        <v>0</v>
      </c>
      <c r="Y31" s="93"/>
      <c r="Z31" s="92">
        <f>Summary_Employed!Z31+Summary_Unemployed!Z31+Summary_Inactive!Z31</f>
        <v>0</v>
      </c>
      <c r="AA31" s="92">
        <f>Summary_Employed!AA31+Summary_Unemployed!AA31+Summary_Inactive!AA31</f>
        <v>0</v>
      </c>
      <c r="AB31" s="271">
        <f>Summary_Employed!AB31+Summary_Unemployed!AB31+Summary_Inactive!AB31</f>
        <v>0</v>
      </c>
      <c r="AC31" s="3"/>
      <c r="AD31" s="3"/>
      <c r="AE31" s="3"/>
      <c r="AF31" s="3"/>
      <c r="AG31" s="3"/>
      <c r="AH31" s="3"/>
      <c r="AI31" s="3"/>
      <c r="AJ31" s="3"/>
      <c r="AK31" s="3"/>
      <c r="AL31" s="3"/>
      <c r="AM31" s="3"/>
      <c r="AN31" s="3"/>
      <c r="AO31" s="3"/>
      <c r="AP31" s="3"/>
      <c r="AQ31" s="3"/>
      <c r="AR31" s="3"/>
      <c r="AS31" s="3"/>
    </row>
    <row r="32" spans="1:45" customFormat="1" x14ac:dyDescent="0.2">
      <c r="A32" s="351" t="s">
        <v>133</v>
      </c>
      <c r="B32" s="78" t="s">
        <v>87</v>
      </c>
      <c r="C32" s="86">
        <f>Summary_Employed!C32+Summary_Unemployed!C32+Summary_Inactive!C32</f>
        <v>0</v>
      </c>
      <c r="D32" s="86">
        <f>Summary_Employed!D32+Summary_Unemployed!D32+Summary_Inactive!D32</f>
        <v>0</v>
      </c>
      <c r="E32" s="86">
        <f>Summary_Employed!E32+Summary_Unemployed!E32+Summary_Inactive!E32</f>
        <v>0</v>
      </c>
      <c r="F32" s="86">
        <f>Summary_Employed!F32+Summary_Unemployed!F32+Summary_Inactive!F32</f>
        <v>0</v>
      </c>
      <c r="G32" s="86">
        <f>Summary_Employed!G32+Summary_Unemployed!G32+Summary_Inactive!G32</f>
        <v>0</v>
      </c>
      <c r="H32" s="86">
        <f>Summary_Employed!H32+Summary_Unemployed!H32+Summary_Inactive!H32</f>
        <v>0</v>
      </c>
      <c r="I32" s="86">
        <f>Summary_Employed!I32+Summary_Unemployed!I32+Summary_Inactive!I32</f>
        <v>0</v>
      </c>
      <c r="J32" s="86">
        <f>Summary_Employed!J32+Summary_Unemployed!J32+Summary_Inactive!J32</f>
        <v>0</v>
      </c>
      <c r="K32" s="86">
        <f>Summary_Employed!K32+Summary_Unemployed!K32+Summary_Inactive!K32</f>
        <v>0</v>
      </c>
      <c r="L32" s="86">
        <f>Summary_Employed!L32+Summary_Unemployed!L32+Summary_Inactive!L32</f>
        <v>0</v>
      </c>
      <c r="M32" s="86">
        <f>Summary_Employed!M32+Summary_Unemployed!M32+Summary_Inactive!M32</f>
        <v>0</v>
      </c>
      <c r="N32" s="86">
        <f>Summary_Employed!N32+Summary_Unemployed!N32+Summary_Inactive!N32</f>
        <v>0</v>
      </c>
      <c r="O32" s="86">
        <f>Summary_Employed!O32+Summary_Unemployed!O32+Summary_Inactive!O32</f>
        <v>0</v>
      </c>
      <c r="P32" s="87"/>
      <c r="Q32" s="86">
        <f>Summary_Employed!Q32+Summary_Unemployed!Q32+Summary_Inactive!Q32</f>
        <v>0</v>
      </c>
      <c r="R32" s="88"/>
      <c r="S32" s="86">
        <f>Summary_Employed!S32+Summary_Unemployed!S32+Summary_Inactive!S32</f>
        <v>0</v>
      </c>
      <c r="T32" s="86">
        <f>Summary_Employed!T32+Summary_Unemployed!T32+Summary_Inactive!T32</f>
        <v>0</v>
      </c>
      <c r="U32" s="86">
        <f>Summary_Employed!U32+Summary_Unemployed!U32+Summary_Inactive!U32</f>
        <v>0</v>
      </c>
      <c r="V32" s="87"/>
      <c r="W32" s="86">
        <f>Summary_Employed!W32+Summary_Unemployed!W32+Summary_Inactive!W32</f>
        <v>0</v>
      </c>
      <c r="X32" s="86">
        <f>Summary_Employed!X32+Summary_Unemployed!X32+Summary_Inactive!X32</f>
        <v>0</v>
      </c>
      <c r="Y32" s="87"/>
      <c r="Z32" s="86">
        <f>Summary_Employed!Z32+Summary_Unemployed!Z32+Summary_Inactive!Z32</f>
        <v>0</v>
      </c>
      <c r="AA32" s="86">
        <f>Summary_Employed!AA32+Summary_Unemployed!AA32+Summary_Inactive!AA32</f>
        <v>0</v>
      </c>
      <c r="AB32" s="268">
        <f>Summary_Employed!AB32+Summary_Unemployed!AB32+Summary_Inactive!AB32</f>
        <v>0</v>
      </c>
      <c r="AC32" s="3"/>
      <c r="AD32" s="3"/>
      <c r="AE32" s="3"/>
      <c r="AF32" s="3"/>
      <c r="AG32" s="3"/>
      <c r="AH32" s="3"/>
      <c r="AI32" s="3"/>
      <c r="AJ32" s="3"/>
      <c r="AK32" s="3"/>
      <c r="AL32" s="3"/>
      <c r="AM32" s="3"/>
      <c r="AN32" s="3"/>
      <c r="AO32" s="3"/>
      <c r="AP32" s="3"/>
      <c r="AQ32" s="3"/>
      <c r="AR32" s="3"/>
      <c r="AS32" s="3"/>
    </row>
    <row r="33" spans="1:45" customFormat="1" x14ac:dyDescent="0.2">
      <c r="A33" s="352"/>
      <c r="B33" s="79" t="s">
        <v>88</v>
      </c>
      <c r="C33" s="89">
        <f>Summary_Employed!C33+Summary_Unemployed!C33+Summary_Inactive!C33</f>
        <v>0</v>
      </c>
      <c r="D33" s="89">
        <f>Summary_Employed!D33+Summary_Unemployed!D33+Summary_Inactive!D33</f>
        <v>0</v>
      </c>
      <c r="E33" s="89">
        <f>Summary_Employed!E33+Summary_Unemployed!E33+Summary_Inactive!E33</f>
        <v>0</v>
      </c>
      <c r="F33" s="89">
        <f>Summary_Employed!F33+Summary_Unemployed!F33+Summary_Inactive!F33</f>
        <v>0</v>
      </c>
      <c r="G33" s="89">
        <f>Summary_Employed!G33+Summary_Unemployed!G33+Summary_Inactive!G33</f>
        <v>0</v>
      </c>
      <c r="H33" s="89">
        <f>Summary_Employed!H33+Summary_Unemployed!H33+Summary_Inactive!H33</f>
        <v>0</v>
      </c>
      <c r="I33" s="89">
        <f>Summary_Employed!I33+Summary_Unemployed!I33+Summary_Inactive!I33</f>
        <v>0</v>
      </c>
      <c r="J33" s="89">
        <f>Summary_Employed!J33+Summary_Unemployed!J33+Summary_Inactive!J33</f>
        <v>0</v>
      </c>
      <c r="K33" s="89">
        <f>Summary_Employed!K33+Summary_Unemployed!K33+Summary_Inactive!K33</f>
        <v>0</v>
      </c>
      <c r="L33" s="89">
        <f>Summary_Employed!L33+Summary_Unemployed!L33+Summary_Inactive!L33</f>
        <v>0</v>
      </c>
      <c r="M33" s="89">
        <f>Summary_Employed!M33+Summary_Unemployed!M33+Summary_Inactive!M33</f>
        <v>0</v>
      </c>
      <c r="N33" s="89">
        <f>Summary_Employed!N33+Summary_Unemployed!N33+Summary_Inactive!N33</f>
        <v>0</v>
      </c>
      <c r="O33" s="89">
        <f>Summary_Employed!O33+Summary_Unemployed!O33+Summary_Inactive!O33</f>
        <v>0</v>
      </c>
      <c r="P33" s="90"/>
      <c r="Q33" s="89">
        <f>Summary_Employed!Q33+Summary_Unemployed!Q33+Summary_Inactive!Q33</f>
        <v>0</v>
      </c>
      <c r="R33" s="91"/>
      <c r="S33" s="89">
        <f>Summary_Employed!S33+Summary_Unemployed!S33+Summary_Inactive!S33</f>
        <v>0</v>
      </c>
      <c r="T33" s="89">
        <f>Summary_Employed!T33+Summary_Unemployed!T33+Summary_Inactive!T33</f>
        <v>0</v>
      </c>
      <c r="U33" s="89">
        <f>Summary_Employed!U33+Summary_Unemployed!U33+Summary_Inactive!U33</f>
        <v>0</v>
      </c>
      <c r="V33" s="90"/>
      <c r="W33" s="89">
        <f>Summary_Employed!W33+Summary_Unemployed!W33+Summary_Inactive!W33</f>
        <v>0</v>
      </c>
      <c r="X33" s="89">
        <f>Summary_Employed!X33+Summary_Unemployed!X33+Summary_Inactive!X33</f>
        <v>0</v>
      </c>
      <c r="Y33" s="90"/>
      <c r="Z33" s="89">
        <f>Summary_Employed!Z33+Summary_Unemployed!Z33+Summary_Inactive!Z33</f>
        <v>0</v>
      </c>
      <c r="AA33" s="89">
        <f>Summary_Employed!AA33+Summary_Unemployed!AA33+Summary_Inactive!AA33</f>
        <v>0</v>
      </c>
      <c r="AB33" s="269">
        <f>Summary_Employed!AB33+Summary_Unemployed!AB33+Summary_Inactive!AB33</f>
        <v>0</v>
      </c>
      <c r="AC33" s="3"/>
      <c r="AD33" s="3"/>
      <c r="AE33" s="3"/>
      <c r="AF33" s="3"/>
      <c r="AG33" s="3"/>
      <c r="AH33" s="3"/>
      <c r="AI33" s="3"/>
      <c r="AJ33" s="3"/>
      <c r="AK33" s="3"/>
      <c r="AL33" s="3"/>
      <c r="AM33" s="3"/>
      <c r="AN33" s="3"/>
      <c r="AO33" s="3"/>
      <c r="AP33" s="3"/>
      <c r="AQ33" s="3"/>
      <c r="AR33" s="3"/>
      <c r="AS33" s="3"/>
    </row>
    <row r="34" spans="1:45" customFormat="1" x14ac:dyDescent="0.2">
      <c r="A34" s="352"/>
      <c r="B34" s="79" t="s">
        <v>89</v>
      </c>
      <c r="C34" s="89">
        <f>Summary_Employed!C34+Summary_Unemployed!C34+Summary_Inactive!C34</f>
        <v>0</v>
      </c>
      <c r="D34" s="89">
        <f>Summary_Employed!D34+Summary_Unemployed!D34+Summary_Inactive!D34</f>
        <v>0</v>
      </c>
      <c r="E34" s="89">
        <f>Summary_Employed!E34+Summary_Unemployed!E34+Summary_Inactive!E34</f>
        <v>0</v>
      </c>
      <c r="F34" s="89">
        <f>Summary_Employed!F34+Summary_Unemployed!F34+Summary_Inactive!F34</f>
        <v>0</v>
      </c>
      <c r="G34" s="89">
        <f>Summary_Employed!G34+Summary_Unemployed!G34+Summary_Inactive!G34</f>
        <v>0</v>
      </c>
      <c r="H34" s="89">
        <f>Summary_Employed!H34+Summary_Unemployed!H34+Summary_Inactive!H34</f>
        <v>0</v>
      </c>
      <c r="I34" s="89">
        <f>Summary_Employed!I34+Summary_Unemployed!I34+Summary_Inactive!I34</f>
        <v>0</v>
      </c>
      <c r="J34" s="89">
        <f>Summary_Employed!J34+Summary_Unemployed!J34+Summary_Inactive!J34</f>
        <v>0</v>
      </c>
      <c r="K34" s="89">
        <f>Summary_Employed!K34+Summary_Unemployed!K34+Summary_Inactive!K34</f>
        <v>0</v>
      </c>
      <c r="L34" s="89">
        <f>Summary_Employed!L34+Summary_Unemployed!L34+Summary_Inactive!L34</f>
        <v>0</v>
      </c>
      <c r="M34" s="89">
        <f>Summary_Employed!M34+Summary_Unemployed!M34+Summary_Inactive!M34</f>
        <v>0</v>
      </c>
      <c r="N34" s="89">
        <f>Summary_Employed!N34+Summary_Unemployed!N34+Summary_Inactive!N34</f>
        <v>0</v>
      </c>
      <c r="O34" s="89">
        <f>Summary_Employed!O34+Summary_Unemployed!O34+Summary_Inactive!O34</f>
        <v>0</v>
      </c>
      <c r="P34" s="90"/>
      <c r="Q34" s="89">
        <f>Summary_Employed!Q34+Summary_Unemployed!Q34+Summary_Inactive!Q34</f>
        <v>0</v>
      </c>
      <c r="R34" s="91"/>
      <c r="S34" s="89">
        <f>Summary_Employed!S34+Summary_Unemployed!S34+Summary_Inactive!S34</f>
        <v>0</v>
      </c>
      <c r="T34" s="89">
        <f>Summary_Employed!T34+Summary_Unemployed!T34+Summary_Inactive!T34</f>
        <v>0</v>
      </c>
      <c r="U34" s="89">
        <f>Summary_Employed!U34+Summary_Unemployed!U34+Summary_Inactive!U34</f>
        <v>0</v>
      </c>
      <c r="V34" s="90"/>
      <c r="W34" s="89">
        <f>Summary_Employed!W34+Summary_Unemployed!W34+Summary_Inactive!W34</f>
        <v>0</v>
      </c>
      <c r="X34" s="89">
        <f>Summary_Employed!X34+Summary_Unemployed!X34+Summary_Inactive!X34</f>
        <v>0</v>
      </c>
      <c r="Y34" s="90"/>
      <c r="Z34" s="89">
        <f>Summary_Employed!Z34+Summary_Unemployed!Z34+Summary_Inactive!Z34</f>
        <v>0</v>
      </c>
      <c r="AA34" s="89">
        <f>Summary_Employed!AA34+Summary_Unemployed!AA34+Summary_Inactive!AA34</f>
        <v>0</v>
      </c>
      <c r="AB34" s="269">
        <f>Summary_Employed!AB34+Summary_Unemployed!AB34+Summary_Inactive!AB34</f>
        <v>0</v>
      </c>
      <c r="AC34" s="3"/>
      <c r="AD34" s="3"/>
      <c r="AE34" s="3"/>
      <c r="AF34" s="3"/>
      <c r="AG34" s="3"/>
      <c r="AH34" s="3"/>
      <c r="AI34" s="3"/>
      <c r="AJ34" s="3"/>
      <c r="AK34" s="3"/>
      <c r="AL34" s="3"/>
      <c r="AM34" s="3"/>
      <c r="AN34" s="3"/>
      <c r="AO34" s="3"/>
      <c r="AP34" s="3"/>
      <c r="AQ34" s="3"/>
      <c r="AR34" s="3"/>
      <c r="AS34" s="3"/>
    </row>
    <row r="35" spans="1:45" customFormat="1" x14ac:dyDescent="0.2">
      <c r="A35" s="352"/>
      <c r="B35" s="79" t="s">
        <v>90</v>
      </c>
      <c r="C35" s="89">
        <f>Summary_Employed!C35+Summary_Unemployed!C35+Summary_Inactive!C35</f>
        <v>0</v>
      </c>
      <c r="D35" s="89">
        <f>Summary_Employed!D35+Summary_Unemployed!D35+Summary_Inactive!D35</f>
        <v>0</v>
      </c>
      <c r="E35" s="89">
        <f>Summary_Employed!E35+Summary_Unemployed!E35+Summary_Inactive!E35</f>
        <v>0</v>
      </c>
      <c r="F35" s="89">
        <f>Summary_Employed!F35+Summary_Unemployed!F35+Summary_Inactive!F35</f>
        <v>0</v>
      </c>
      <c r="G35" s="89">
        <f>Summary_Employed!G35+Summary_Unemployed!G35+Summary_Inactive!G35</f>
        <v>0</v>
      </c>
      <c r="H35" s="89">
        <f>Summary_Employed!H35+Summary_Unemployed!H35+Summary_Inactive!H35</f>
        <v>0</v>
      </c>
      <c r="I35" s="89">
        <f>Summary_Employed!I35+Summary_Unemployed!I35+Summary_Inactive!I35</f>
        <v>0</v>
      </c>
      <c r="J35" s="89">
        <f>Summary_Employed!J35+Summary_Unemployed!J35+Summary_Inactive!J35</f>
        <v>0</v>
      </c>
      <c r="K35" s="89">
        <f>Summary_Employed!K35+Summary_Unemployed!K35+Summary_Inactive!K35</f>
        <v>0</v>
      </c>
      <c r="L35" s="89">
        <f>Summary_Employed!L35+Summary_Unemployed!L35+Summary_Inactive!L35</f>
        <v>0</v>
      </c>
      <c r="M35" s="89">
        <f>Summary_Employed!M35+Summary_Unemployed!M35+Summary_Inactive!M35</f>
        <v>0</v>
      </c>
      <c r="N35" s="89">
        <f>Summary_Employed!N35+Summary_Unemployed!N35+Summary_Inactive!N35</f>
        <v>0</v>
      </c>
      <c r="O35" s="89">
        <f>Summary_Employed!O35+Summary_Unemployed!O35+Summary_Inactive!O35</f>
        <v>0</v>
      </c>
      <c r="P35" s="90"/>
      <c r="Q35" s="89">
        <f>Summary_Employed!Q35+Summary_Unemployed!Q35+Summary_Inactive!Q35</f>
        <v>0</v>
      </c>
      <c r="R35" s="91"/>
      <c r="S35" s="89">
        <f>Summary_Employed!S35+Summary_Unemployed!S35+Summary_Inactive!S35</f>
        <v>0</v>
      </c>
      <c r="T35" s="89">
        <f>Summary_Employed!T35+Summary_Unemployed!T35+Summary_Inactive!T35</f>
        <v>0</v>
      </c>
      <c r="U35" s="89">
        <f>Summary_Employed!U35+Summary_Unemployed!U35+Summary_Inactive!U35</f>
        <v>0</v>
      </c>
      <c r="V35" s="90"/>
      <c r="W35" s="89">
        <f>Summary_Employed!W35+Summary_Unemployed!W35+Summary_Inactive!W35</f>
        <v>0</v>
      </c>
      <c r="X35" s="89">
        <f>Summary_Employed!X35+Summary_Unemployed!X35+Summary_Inactive!X35</f>
        <v>0</v>
      </c>
      <c r="Y35" s="90"/>
      <c r="Z35" s="89">
        <f>Summary_Employed!Z35+Summary_Unemployed!Z35+Summary_Inactive!Z35</f>
        <v>0</v>
      </c>
      <c r="AA35" s="89">
        <f>Summary_Employed!AA35+Summary_Unemployed!AA35+Summary_Inactive!AA35</f>
        <v>0</v>
      </c>
      <c r="AB35" s="269">
        <f>Summary_Employed!AB35+Summary_Unemployed!AB35+Summary_Inactive!AB35</f>
        <v>0</v>
      </c>
      <c r="AC35" s="3"/>
      <c r="AD35" s="3"/>
      <c r="AE35" s="3"/>
      <c r="AF35" s="3"/>
      <c r="AG35" s="3"/>
      <c r="AH35" s="3"/>
      <c r="AI35" s="3"/>
      <c r="AJ35" s="3"/>
      <c r="AK35" s="3"/>
      <c r="AL35" s="3"/>
      <c r="AM35" s="3"/>
      <c r="AN35" s="3"/>
      <c r="AO35" s="3"/>
      <c r="AP35" s="3"/>
      <c r="AQ35" s="3"/>
      <c r="AR35" s="3"/>
      <c r="AS35" s="3"/>
    </row>
    <row r="36" spans="1:45" customFormat="1" x14ac:dyDescent="0.2">
      <c r="A36" s="352"/>
      <c r="B36" s="79" t="s">
        <v>91</v>
      </c>
      <c r="C36" s="89">
        <f>Summary_Employed!C36+Summary_Unemployed!C36+Summary_Inactive!C36</f>
        <v>0</v>
      </c>
      <c r="D36" s="89">
        <f>Summary_Employed!D36+Summary_Unemployed!D36+Summary_Inactive!D36</f>
        <v>0</v>
      </c>
      <c r="E36" s="89">
        <f>Summary_Employed!E36+Summary_Unemployed!E36+Summary_Inactive!E36</f>
        <v>0</v>
      </c>
      <c r="F36" s="89">
        <f>Summary_Employed!F36+Summary_Unemployed!F36+Summary_Inactive!F36</f>
        <v>0</v>
      </c>
      <c r="G36" s="89">
        <f>Summary_Employed!G36+Summary_Unemployed!G36+Summary_Inactive!G36</f>
        <v>0</v>
      </c>
      <c r="H36" s="89">
        <f>Summary_Employed!H36+Summary_Unemployed!H36+Summary_Inactive!H36</f>
        <v>0</v>
      </c>
      <c r="I36" s="89">
        <f>Summary_Employed!I36+Summary_Unemployed!I36+Summary_Inactive!I36</f>
        <v>0</v>
      </c>
      <c r="J36" s="89">
        <f>Summary_Employed!J36+Summary_Unemployed!J36+Summary_Inactive!J36</f>
        <v>0</v>
      </c>
      <c r="K36" s="89">
        <f>Summary_Employed!K36+Summary_Unemployed!K36+Summary_Inactive!K36</f>
        <v>0</v>
      </c>
      <c r="L36" s="89">
        <f>Summary_Employed!L36+Summary_Unemployed!L36+Summary_Inactive!L36</f>
        <v>0</v>
      </c>
      <c r="M36" s="89">
        <f>Summary_Employed!M36+Summary_Unemployed!M36+Summary_Inactive!M36</f>
        <v>0</v>
      </c>
      <c r="N36" s="89">
        <f>Summary_Employed!N36+Summary_Unemployed!N36+Summary_Inactive!N36</f>
        <v>0</v>
      </c>
      <c r="O36" s="89">
        <f>Summary_Employed!O36+Summary_Unemployed!O36+Summary_Inactive!O36</f>
        <v>0</v>
      </c>
      <c r="P36" s="90"/>
      <c r="Q36" s="89">
        <f>Summary_Employed!Q36+Summary_Unemployed!Q36+Summary_Inactive!Q36</f>
        <v>0</v>
      </c>
      <c r="R36" s="91"/>
      <c r="S36" s="89">
        <f>Summary_Employed!S36+Summary_Unemployed!S36+Summary_Inactive!S36</f>
        <v>0</v>
      </c>
      <c r="T36" s="89">
        <f>Summary_Employed!T36+Summary_Unemployed!T36+Summary_Inactive!T36</f>
        <v>0</v>
      </c>
      <c r="U36" s="89">
        <f>Summary_Employed!U36+Summary_Unemployed!U36+Summary_Inactive!U36</f>
        <v>0</v>
      </c>
      <c r="V36" s="90"/>
      <c r="W36" s="89">
        <f>Summary_Employed!W36+Summary_Unemployed!W36+Summary_Inactive!W36</f>
        <v>0</v>
      </c>
      <c r="X36" s="89">
        <f>Summary_Employed!X36+Summary_Unemployed!X36+Summary_Inactive!X36</f>
        <v>0</v>
      </c>
      <c r="Y36" s="90"/>
      <c r="Z36" s="89">
        <f>Summary_Employed!Z36+Summary_Unemployed!Z36+Summary_Inactive!Z36</f>
        <v>0</v>
      </c>
      <c r="AA36" s="89">
        <f>Summary_Employed!AA36+Summary_Unemployed!AA36+Summary_Inactive!AA36</f>
        <v>0</v>
      </c>
      <c r="AB36" s="269">
        <f>Summary_Employed!AB36+Summary_Unemployed!AB36+Summary_Inactive!AB36</f>
        <v>0</v>
      </c>
      <c r="AC36" s="3"/>
      <c r="AD36" s="3"/>
      <c r="AE36" s="3"/>
      <c r="AF36" s="3"/>
      <c r="AG36" s="3"/>
      <c r="AH36" s="3"/>
      <c r="AI36" s="3"/>
      <c r="AJ36" s="3"/>
      <c r="AK36" s="3"/>
      <c r="AL36" s="3"/>
      <c r="AM36" s="3"/>
      <c r="AN36" s="3"/>
      <c r="AO36" s="3"/>
      <c r="AP36" s="3"/>
      <c r="AQ36" s="3"/>
      <c r="AR36" s="3"/>
      <c r="AS36" s="3"/>
    </row>
    <row r="37" spans="1:45" customFormat="1" x14ac:dyDescent="0.2">
      <c r="A37" s="352"/>
      <c r="B37" s="79" t="s">
        <v>92</v>
      </c>
      <c r="C37" s="89">
        <f>Summary_Employed!C37+Summary_Unemployed!C37+Summary_Inactive!C37</f>
        <v>0</v>
      </c>
      <c r="D37" s="89">
        <f>Summary_Employed!D37+Summary_Unemployed!D37+Summary_Inactive!D37</f>
        <v>0</v>
      </c>
      <c r="E37" s="89">
        <f>Summary_Employed!E37+Summary_Unemployed!E37+Summary_Inactive!E37</f>
        <v>0</v>
      </c>
      <c r="F37" s="89">
        <f>Summary_Employed!F37+Summary_Unemployed!F37+Summary_Inactive!F37</f>
        <v>0</v>
      </c>
      <c r="G37" s="89">
        <f>Summary_Employed!G37+Summary_Unemployed!G37+Summary_Inactive!G37</f>
        <v>0</v>
      </c>
      <c r="H37" s="89">
        <f>Summary_Employed!H37+Summary_Unemployed!H37+Summary_Inactive!H37</f>
        <v>0</v>
      </c>
      <c r="I37" s="89">
        <f>Summary_Employed!I37+Summary_Unemployed!I37+Summary_Inactive!I37</f>
        <v>0</v>
      </c>
      <c r="J37" s="89">
        <f>Summary_Employed!J37+Summary_Unemployed!J37+Summary_Inactive!J37</f>
        <v>0</v>
      </c>
      <c r="K37" s="89">
        <f>Summary_Employed!K37+Summary_Unemployed!K37+Summary_Inactive!K37</f>
        <v>0</v>
      </c>
      <c r="L37" s="89">
        <f>Summary_Employed!L37+Summary_Unemployed!L37+Summary_Inactive!L37</f>
        <v>0</v>
      </c>
      <c r="M37" s="89">
        <f>Summary_Employed!M37+Summary_Unemployed!M37+Summary_Inactive!M37</f>
        <v>0</v>
      </c>
      <c r="N37" s="89">
        <f>Summary_Employed!N37+Summary_Unemployed!N37+Summary_Inactive!N37</f>
        <v>0</v>
      </c>
      <c r="O37" s="89">
        <f>Summary_Employed!O37+Summary_Unemployed!O37+Summary_Inactive!O37</f>
        <v>0</v>
      </c>
      <c r="P37" s="90"/>
      <c r="Q37" s="89">
        <f>Summary_Employed!Q37+Summary_Unemployed!Q37+Summary_Inactive!Q37</f>
        <v>0</v>
      </c>
      <c r="R37" s="91"/>
      <c r="S37" s="89">
        <f>Summary_Employed!S37+Summary_Unemployed!S37+Summary_Inactive!S37</f>
        <v>0</v>
      </c>
      <c r="T37" s="89">
        <f>Summary_Employed!T37+Summary_Unemployed!T37+Summary_Inactive!T37</f>
        <v>0</v>
      </c>
      <c r="U37" s="89">
        <f>Summary_Employed!U37+Summary_Unemployed!U37+Summary_Inactive!U37</f>
        <v>0</v>
      </c>
      <c r="V37" s="90"/>
      <c r="W37" s="89">
        <f>Summary_Employed!W37+Summary_Unemployed!W37+Summary_Inactive!W37</f>
        <v>0</v>
      </c>
      <c r="X37" s="89">
        <f>Summary_Employed!X37+Summary_Unemployed!X37+Summary_Inactive!X37</f>
        <v>0</v>
      </c>
      <c r="Y37" s="90"/>
      <c r="Z37" s="89">
        <f>Summary_Employed!Z37+Summary_Unemployed!Z37+Summary_Inactive!Z37</f>
        <v>0</v>
      </c>
      <c r="AA37" s="89">
        <f>Summary_Employed!AA37+Summary_Unemployed!AA37+Summary_Inactive!AA37</f>
        <v>0</v>
      </c>
      <c r="AB37" s="269">
        <f>Summary_Employed!AB37+Summary_Unemployed!AB37+Summary_Inactive!AB37</f>
        <v>0</v>
      </c>
      <c r="AC37" s="3"/>
      <c r="AD37" s="3"/>
      <c r="AE37" s="3"/>
      <c r="AF37" s="3"/>
      <c r="AG37" s="3"/>
      <c r="AH37" s="3"/>
      <c r="AI37" s="3"/>
      <c r="AJ37" s="3"/>
      <c r="AK37" s="3"/>
      <c r="AL37" s="3"/>
      <c r="AM37" s="3"/>
      <c r="AN37" s="3"/>
      <c r="AO37" s="3"/>
      <c r="AP37" s="3"/>
      <c r="AQ37" s="3"/>
      <c r="AR37" s="3"/>
      <c r="AS37" s="3"/>
    </row>
    <row r="38" spans="1:45" customFormat="1" x14ac:dyDescent="0.2">
      <c r="A38" s="352"/>
      <c r="B38" s="79" t="s">
        <v>93</v>
      </c>
      <c r="C38" s="89">
        <f>Summary_Employed!C38+Summary_Unemployed!C38+Summary_Inactive!C38</f>
        <v>0</v>
      </c>
      <c r="D38" s="89">
        <f>Summary_Employed!D38+Summary_Unemployed!D38+Summary_Inactive!D38</f>
        <v>0</v>
      </c>
      <c r="E38" s="89">
        <f>Summary_Employed!E38+Summary_Unemployed!E38+Summary_Inactive!E38</f>
        <v>0</v>
      </c>
      <c r="F38" s="89">
        <f>Summary_Employed!F38+Summary_Unemployed!F38+Summary_Inactive!F38</f>
        <v>0</v>
      </c>
      <c r="G38" s="89">
        <f>Summary_Employed!G38+Summary_Unemployed!G38+Summary_Inactive!G38</f>
        <v>0</v>
      </c>
      <c r="H38" s="89">
        <f>Summary_Employed!H38+Summary_Unemployed!H38+Summary_Inactive!H38</f>
        <v>0</v>
      </c>
      <c r="I38" s="89">
        <f>Summary_Employed!I38+Summary_Unemployed!I38+Summary_Inactive!I38</f>
        <v>0</v>
      </c>
      <c r="J38" s="89">
        <f>Summary_Employed!J38+Summary_Unemployed!J38+Summary_Inactive!J38</f>
        <v>0</v>
      </c>
      <c r="K38" s="89">
        <f>Summary_Employed!K38+Summary_Unemployed!K38+Summary_Inactive!K38</f>
        <v>0</v>
      </c>
      <c r="L38" s="89">
        <f>Summary_Employed!L38+Summary_Unemployed!L38+Summary_Inactive!L38</f>
        <v>0</v>
      </c>
      <c r="M38" s="89">
        <f>Summary_Employed!M38+Summary_Unemployed!M38+Summary_Inactive!M38</f>
        <v>0</v>
      </c>
      <c r="N38" s="89">
        <f>Summary_Employed!N38+Summary_Unemployed!N38+Summary_Inactive!N38</f>
        <v>0</v>
      </c>
      <c r="O38" s="89">
        <f>Summary_Employed!O38+Summary_Unemployed!O38+Summary_Inactive!O38</f>
        <v>0</v>
      </c>
      <c r="P38" s="90"/>
      <c r="Q38" s="89">
        <f>Summary_Employed!Q38+Summary_Unemployed!Q38+Summary_Inactive!Q38</f>
        <v>0</v>
      </c>
      <c r="R38" s="91"/>
      <c r="S38" s="89">
        <f>Summary_Employed!S38+Summary_Unemployed!S38+Summary_Inactive!S38</f>
        <v>0</v>
      </c>
      <c r="T38" s="89">
        <f>Summary_Employed!T38+Summary_Unemployed!T38+Summary_Inactive!T38</f>
        <v>0</v>
      </c>
      <c r="U38" s="89">
        <f>Summary_Employed!U38+Summary_Unemployed!U38+Summary_Inactive!U38</f>
        <v>0</v>
      </c>
      <c r="V38" s="90"/>
      <c r="W38" s="89">
        <f>Summary_Employed!W38+Summary_Unemployed!W38+Summary_Inactive!W38</f>
        <v>0</v>
      </c>
      <c r="X38" s="89">
        <f>Summary_Employed!X38+Summary_Unemployed!X38+Summary_Inactive!X38</f>
        <v>0</v>
      </c>
      <c r="Y38" s="90"/>
      <c r="Z38" s="89">
        <f>Summary_Employed!Z38+Summary_Unemployed!Z38+Summary_Inactive!Z38</f>
        <v>0</v>
      </c>
      <c r="AA38" s="89">
        <f>Summary_Employed!AA38+Summary_Unemployed!AA38+Summary_Inactive!AA38</f>
        <v>0</v>
      </c>
      <c r="AB38" s="269">
        <f>Summary_Employed!AB38+Summary_Unemployed!AB38+Summary_Inactive!AB38</f>
        <v>0</v>
      </c>
      <c r="AC38" s="3"/>
      <c r="AD38" s="3"/>
      <c r="AE38" s="3"/>
      <c r="AF38" s="3"/>
      <c r="AG38" s="3"/>
      <c r="AH38" s="3"/>
      <c r="AI38" s="3"/>
      <c r="AJ38" s="3"/>
      <c r="AK38" s="3"/>
      <c r="AL38" s="3"/>
      <c r="AM38" s="3"/>
      <c r="AN38" s="3"/>
      <c r="AO38" s="3"/>
      <c r="AP38" s="3"/>
      <c r="AQ38" s="3"/>
      <c r="AR38" s="3"/>
      <c r="AS38" s="3"/>
    </row>
    <row r="39" spans="1:45" customFormat="1" x14ac:dyDescent="0.2">
      <c r="A39" s="352"/>
      <c r="B39" s="79" t="s">
        <v>94</v>
      </c>
      <c r="C39" s="89">
        <f>Summary_Employed!C39+Summary_Unemployed!C39+Summary_Inactive!C39</f>
        <v>0</v>
      </c>
      <c r="D39" s="89">
        <f>Summary_Employed!D39+Summary_Unemployed!D39+Summary_Inactive!D39</f>
        <v>0</v>
      </c>
      <c r="E39" s="89">
        <f>Summary_Employed!E39+Summary_Unemployed!E39+Summary_Inactive!E39</f>
        <v>0</v>
      </c>
      <c r="F39" s="89">
        <f>Summary_Employed!F39+Summary_Unemployed!F39+Summary_Inactive!F39</f>
        <v>0</v>
      </c>
      <c r="G39" s="89">
        <f>Summary_Employed!G39+Summary_Unemployed!G39+Summary_Inactive!G39</f>
        <v>0</v>
      </c>
      <c r="H39" s="89">
        <f>Summary_Employed!H39+Summary_Unemployed!H39+Summary_Inactive!H39</f>
        <v>0</v>
      </c>
      <c r="I39" s="89">
        <f>Summary_Employed!I39+Summary_Unemployed!I39+Summary_Inactive!I39</f>
        <v>0</v>
      </c>
      <c r="J39" s="89">
        <f>Summary_Employed!J39+Summary_Unemployed!J39+Summary_Inactive!J39</f>
        <v>0</v>
      </c>
      <c r="K39" s="89">
        <f>Summary_Employed!K39+Summary_Unemployed!K39+Summary_Inactive!K39</f>
        <v>0</v>
      </c>
      <c r="L39" s="89">
        <f>Summary_Employed!L39+Summary_Unemployed!L39+Summary_Inactive!L39</f>
        <v>0</v>
      </c>
      <c r="M39" s="89">
        <f>Summary_Employed!M39+Summary_Unemployed!M39+Summary_Inactive!M39</f>
        <v>0</v>
      </c>
      <c r="N39" s="89">
        <f>Summary_Employed!N39+Summary_Unemployed!N39+Summary_Inactive!N39</f>
        <v>0</v>
      </c>
      <c r="O39" s="89">
        <f>Summary_Employed!O39+Summary_Unemployed!O39+Summary_Inactive!O39</f>
        <v>0</v>
      </c>
      <c r="P39" s="90"/>
      <c r="Q39" s="89">
        <f>Summary_Employed!Q39+Summary_Unemployed!Q39+Summary_Inactive!Q39</f>
        <v>0</v>
      </c>
      <c r="R39" s="91"/>
      <c r="S39" s="89">
        <f>Summary_Employed!S39+Summary_Unemployed!S39+Summary_Inactive!S39</f>
        <v>0</v>
      </c>
      <c r="T39" s="89">
        <f>Summary_Employed!T39+Summary_Unemployed!T39+Summary_Inactive!T39</f>
        <v>0</v>
      </c>
      <c r="U39" s="89">
        <f>Summary_Employed!U39+Summary_Unemployed!U39+Summary_Inactive!U39</f>
        <v>0</v>
      </c>
      <c r="V39" s="90"/>
      <c r="W39" s="89">
        <f>Summary_Employed!W39+Summary_Unemployed!W39+Summary_Inactive!W39</f>
        <v>0</v>
      </c>
      <c r="X39" s="89">
        <f>Summary_Employed!X39+Summary_Unemployed!X39+Summary_Inactive!X39</f>
        <v>0</v>
      </c>
      <c r="Y39" s="90"/>
      <c r="Z39" s="89">
        <f>Summary_Employed!Z39+Summary_Unemployed!Z39+Summary_Inactive!Z39</f>
        <v>0</v>
      </c>
      <c r="AA39" s="89">
        <f>Summary_Employed!AA39+Summary_Unemployed!AA39+Summary_Inactive!AA39</f>
        <v>0</v>
      </c>
      <c r="AB39" s="269">
        <f>Summary_Employed!AB39+Summary_Unemployed!AB39+Summary_Inactive!AB39</f>
        <v>0</v>
      </c>
      <c r="AC39" s="3"/>
      <c r="AD39" s="3"/>
      <c r="AE39" s="3"/>
      <c r="AF39" s="3"/>
      <c r="AG39" s="3"/>
      <c r="AH39" s="3"/>
      <c r="AI39" s="3"/>
      <c r="AJ39" s="3"/>
      <c r="AK39" s="3"/>
      <c r="AL39" s="3"/>
      <c r="AM39" s="3"/>
      <c r="AN39" s="3"/>
      <c r="AO39" s="3"/>
      <c r="AP39" s="3"/>
      <c r="AQ39" s="3"/>
      <c r="AR39" s="3"/>
      <c r="AS39" s="3"/>
    </row>
    <row r="40" spans="1:45" customFormat="1" x14ac:dyDescent="0.2">
      <c r="A40" s="352"/>
      <c r="B40" s="79" t="s">
        <v>95</v>
      </c>
      <c r="C40" s="89">
        <f>Summary_Employed!C40+Summary_Unemployed!C40+Summary_Inactive!C40</f>
        <v>0</v>
      </c>
      <c r="D40" s="89">
        <f>Summary_Employed!D40+Summary_Unemployed!D40+Summary_Inactive!D40</f>
        <v>0</v>
      </c>
      <c r="E40" s="89">
        <f>Summary_Employed!E40+Summary_Unemployed!E40+Summary_Inactive!E40</f>
        <v>0</v>
      </c>
      <c r="F40" s="89">
        <f>Summary_Employed!F40+Summary_Unemployed!F40+Summary_Inactive!F40</f>
        <v>0</v>
      </c>
      <c r="G40" s="89">
        <f>Summary_Employed!G40+Summary_Unemployed!G40+Summary_Inactive!G40</f>
        <v>0</v>
      </c>
      <c r="H40" s="89">
        <f>Summary_Employed!H40+Summary_Unemployed!H40+Summary_Inactive!H40</f>
        <v>0</v>
      </c>
      <c r="I40" s="89">
        <f>Summary_Employed!I40+Summary_Unemployed!I40+Summary_Inactive!I40</f>
        <v>0</v>
      </c>
      <c r="J40" s="89">
        <f>Summary_Employed!J40+Summary_Unemployed!J40+Summary_Inactive!J40</f>
        <v>0</v>
      </c>
      <c r="K40" s="89">
        <f>Summary_Employed!K40+Summary_Unemployed!K40+Summary_Inactive!K40</f>
        <v>0</v>
      </c>
      <c r="L40" s="89">
        <f>Summary_Employed!L40+Summary_Unemployed!L40+Summary_Inactive!L40</f>
        <v>0</v>
      </c>
      <c r="M40" s="89">
        <f>Summary_Employed!M40+Summary_Unemployed!M40+Summary_Inactive!M40</f>
        <v>0</v>
      </c>
      <c r="N40" s="89">
        <f>Summary_Employed!N40+Summary_Unemployed!N40+Summary_Inactive!N40</f>
        <v>0</v>
      </c>
      <c r="O40" s="89">
        <f>Summary_Employed!O40+Summary_Unemployed!O40+Summary_Inactive!O40</f>
        <v>0</v>
      </c>
      <c r="P40" s="90"/>
      <c r="Q40" s="89">
        <f>Summary_Employed!Q40+Summary_Unemployed!Q40+Summary_Inactive!Q40</f>
        <v>0</v>
      </c>
      <c r="R40" s="91"/>
      <c r="S40" s="89">
        <f>Summary_Employed!S40+Summary_Unemployed!S40+Summary_Inactive!S40</f>
        <v>0</v>
      </c>
      <c r="T40" s="89">
        <f>Summary_Employed!T40+Summary_Unemployed!T40+Summary_Inactive!T40</f>
        <v>0</v>
      </c>
      <c r="U40" s="89">
        <f>Summary_Employed!U40+Summary_Unemployed!U40+Summary_Inactive!U40</f>
        <v>0</v>
      </c>
      <c r="V40" s="90"/>
      <c r="W40" s="89">
        <f>Summary_Employed!W40+Summary_Unemployed!W40+Summary_Inactive!W40</f>
        <v>0</v>
      </c>
      <c r="X40" s="89">
        <f>Summary_Employed!X40+Summary_Unemployed!X40+Summary_Inactive!X40</f>
        <v>0</v>
      </c>
      <c r="Y40" s="90"/>
      <c r="Z40" s="89">
        <f>Summary_Employed!Z40+Summary_Unemployed!Z40+Summary_Inactive!Z40</f>
        <v>0</v>
      </c>
      <c r="AA40" s="89">
        <f>Summary_Employed!AA40+Summary_Unemployed!AA40+Summary_Inactive!AA40</f>
        <v>0</v>
      </c>
      <c r="AB40" s="269">
        <f>Summary_Employed!AB40+Summary_Unemployed!AB40+Summary_Inactive!AB40</f>
        <v>0</v>
      </c>
      <c r="AC40" s="3"/>
      <c r="AD40" s="3"/>
      <c r="AE40" s="3"/>
      <c r="AF40" s="3"/>
      <c r="AG40" s="3"/>
      <c r="AH40" s="3"/>
      <c r="AI40" s="3"/>
      <c r="AJ40" s="3"/>
      <c r="AK40" s="3"/>
      <c r="AL40" s="3"/>
      <c r="AM40" s="3"/>
      <c r="AN40" s="3"/>
      <c r="AO40" s="3"/>
      <c r="AP40" s="3"/>
      <c r="AQ40" s="3"/>
      <c r="AR40" s="3"/>
      <c r="AS40" s="3"/>
    </row>
    <row r="41" spans="1:45" customFormat="1" x14ac:dyDescent="0.2">
      <c r="A41" s="352"/>
      <c r="B41" s="79" t="s">
        <v>96</v>
      </c>
      <c r="C41" s="89">
        <f>Summary_Employed!C41+Summary_Unemployed!C41+Summary_Inactive!C41</f>
        <v>0</v>
      </c>
      <c r="D41" s="89">
        <f>Summary_Employed!D41+Summary_Unemployed!D41+Summary_Inactive!D41</f>
        <v>0</v>
      </c>
      <c r="E41" s="89">
        <f>Summary_Employed!E41+Summary_Unemployed!E41+Summary_Inactive!E41</f>
        <v>0</v>
      </c>
      <c r="F41" s="89">
        <f>Summary_Employed!F41+Summary_Unemployed!F41+Summary_Inactive!F41</f>
        <v>0</v>
      </c>
      <c r="G41" s="89">
        <f>Summary_Employed!G41+Summary_Unemployed!G41+Summary_Inactive!G41</f>
        <v>0</v>
      </c>
      <c r="H41" s="89">
        <f>Summary_Employed!H41+Summary_Unemployed!H41+Summary_Inactive!H41</f>
        <v>0</v>
      </c>
      <c r="I41" s="89">
        <f>Summary_Employed!I41+Summary_Unemployed!I41+Summary_Inactive!I41</f>
        <v>0</v>
      </c>
      <c r="J41" s="89">
        <f>Summary_Employed!J41+Summary_Unemployed!J41+Summary_Inactive!J41</f>
        <v>0</v>
      </c>
      <c r="K41" s="89">
        <f>Summary_Employed!K41+Summary_Unemployed!K41+Summary_Inactive!K41</f>
        <v>0</v>
      </c>
      <c r="L41" s="89">
        <f>Summary_Employed!L41+Summary_Unemployed!L41+Summary_Inactive!L41</f>
        <v>0</v>
      </c>
      <c r="M41" s="89">
        <f>Summary_Employed!M41+Summary_Unemployed!M41+Summary_Inactive!M41</f>
        <v>0</v>
      </c>
      <c r="N41" s="89">
        <f>Summary_Employed!N41+Summary_Unemployed!N41+Summary_Inactive!N41</f>
        <v>0</v>
      </c>
      <c r="O41" s="89">
        <f>Summary_Employed!O41+Summary_Unemployed!O41+Summary_Inactive!O41</f>
        <v>0</v>
      </c>
      <c r="P41" s="90"/>
      <c r="Q41" s="89">
        <f>Summary_Employed!Q41+Summary_Unemployed!Q41+Summary_Inactive!Q41</f>
        <v>0</v>
      </c>
      <c r="R41" s="91"/>
      <c r="S41" s="89">
        <f>Summary_Employed!S41+Summary_Unemployed!S41+Summary_Inactive!S41</f>
        <v>0</v>
      </c>
      <c r="T41" s="89">
        <f>Summary_Employed!T41+Summary_Unemployed!T41+Summary_Inactive!T41</f>
        <v>0</v>
      </c>
      <c r="U41" s="89">
        <f>Summary_Employed!U41+Summary_Unemployed!U41+Summary_Inactive!U41</f>
        <v>0</v>
      </c>
      <c r="V41" s="90"/>
      <c r="W41" s="89">
        <f>Summary_Employed!W41+Summary_Unemployed!W41+Summary_Inactive!W41</f>
        <v>0</v>
      </c>
      <c r="X41" s="89">
        <f>Summary_Employed!X41+Summary_Unemployed!X41+Summary_Inactive!X41</f>
        <v>0</v>
      </c>
      <c r="Y41" s="90"/>
      <c r="Z41" s="89">
        <f>Summary_Employed!Z41+Summary_Unemployed!Z41+Summary_Inactive!Z41</f>
        <v>0</v>
      </c>
      <c r="AA41" s="89">
        <f>Summary_Employed!AA41+Summary_Unemployed!AA41+Summary_Inactive!AA41</f>
        <v>0</v>
      </c>
      <c r="AB41" s="269">
        <f>Summary_Employed!AB41+Summary_Unemployed!AB41+Summary_Inactive!AB41</f>
        <v>0</v>
      </c>
      <c r="AC41" s="3"/>
      <c r="AD41" s="3"/>
      <c r="AE41" s="3"/>
      <c r="AF41" s="3"/>
      <c r="AG41" s="3"/>
      <c r="AH41" s="3"/>
      <c r="AI41" s="3"/>
      <c r="AJ41" s="3"/>
      <c r="AK41" s="3"/>
      <c r="AL41" s="3"/>
      <c r="AM41" s="3"/>
      <c r="AN41" s="3"/>
      <c r="AO41" s="3"/>
      <c r="AP41" s="3"/>
      <c r="AQ41" s="3"/>
      <c r="AR41" s="3"/>
      <c r="AS41" s="3"/>
    </row>
    <row r="42" spans="1:45" customFormat="1" x14ac:dyDescent="0.2">
      <c r="A42" s="352"/>
      <c r="B42" s="79" t="s">
        <v>258</v>
      </c>
      <c r="C42" s="225">
        <f>Summary_Employed!C42+Summary_Unemployed!C42+Summary_Inactive!C42</f>
        <v>0</v>
      </c>
      <c r="D42" s="225">
        <f>Summary_Employed!D42+Summary_Unemployed!D42+Summary_Inactive!D42</f>
        <v>0</v>
      </c>
      <c r="E42" s="225">
        <f>Summary_Employed!E42+Summary_Unemployed!E42+Summary_Inactive!E42</f>
        <v>0</v>
      </c>
      <c r="F42" s="225">
        <f>Summary_Employed!F42+Summary_Unemployed!F42+Summary_Inactive!F42</f>
        <v>0</v>
      </c>
      <c r="G42" s="225">
        <f>Summary_Employed!G42+Summary_Unemployed!G42+Summary_Inactive!G42</f>
        <v>0</v>
      </c>
      <c r="H42" s="225">
        <f>Summary_Employed!H42+Summary_Unemployed!H42+Summary_Inactive!H42</f>
        <v>0</v>
      </c>
      <c r="I42" s="225">
        <f>Summary_Employed!I42+Summary_Unemployed!I42+Summary_Inactive!I42</f>
        <v>0</v>
      </c>
      <c r="J42" s="225">
        <f>Summary_Employed!J42+Summary_Unemployed!J42+Summary_Inactive!J42</f>
        <v>0</v>
      </c>
      <c r="K42" s="225">
        <f>Summary_Employed!K42+Summary_Unemployed!K42+Summary_Inactive!K42</f>
        <v>0</v>
      </c>
      <c r="L42" s="225">
        <f>Summary_Employed!L42+Summary_Unemployed!L42+Summary_Inactive!L42</f>
        <v>0</v>
      </c>
      <c r="M42" s="225">
        <f>Summary_Employed!M42+Summary_Unemployed!M42+Summary_Inactive!M42</f>
        <v>0</v>
      </c>
      <c r="N42" s="225">
        <f>Summary_Employed!N42+Summary_Unemployed!N42+Summary_Inactive!N42</f>
        <v>0</v>
      </c>
      <c r="O42" s="225">
        <f>Summary_Employed!O42+Summary_Unemployed!O42+Summary_Inactive!O42</f>
        <v>0</v>
      </c>
      <c r="P42" s="90"/>
      <c r="Q42" s="225">
        <f>Summary_Employed!Q42+Summary_Unemployed!Q42+Summary_Inactive!Q42</f>
        <v>0</v>
      </c>
      <c r="R42" s="91"/>
      <c r="S42" s="225">
        <f>Summary_Employed!S42+Summary_Unemployed!S42+Summary_Inactive!S42</f>
        <v>0</v>
      </c>
      <c r="T42" s="225">
        <f>Summary_Employed!T42+Summary_Unemployed!T42+Summary_Inactive!T42</f>
        <v>0</v>
      </c>
      <c r="U42" s="225">
        <f>Summary_Employed!U42+Summary_Unemployed!U42+Summary_Inactive!U42</f>
        <v>0</v>
      </c>
      <c r="V42" s="90"/>
      <c r="W42" s="225">
        <f>Summary_Employed!W42+Summary_Unemployed!W42+Summary_Inactive!W42</f>
        <v>0</v>
      </c>
      <c r="X42" s="225">
        <f>Summary_Employed!X42+Summary_Unemployed!X42+Summary_Inactive!X42</f>
        <v>0</v>
      </c>
      <c r="Y42" s="90"/>
      <c r="Z42" s="225">
        <f>Summary_Employed!Z42+Summary_Unemployed!Z42+Summary_Inactive!Z42</f>
        <v>0</v>
      </c>
      <c r="AA42" s="225">
        <f>Summary_Employed!AA42+Summary_Unemployed!AA42+Summary_Inactive!AA42</f>
        <v>0</v>
      </c>
      <c r="AB42" s="270">
        <f>Summary_Employed!AB42+Summary_Unemployed!AB42+Summary_Inactive!AB42</f>
        <v>0</v>
      </c>
      <c r="AC42" s="3"/>
      <c r="AD42" s="3"/>
      <c r="AE42" s="3"/>
      <c r="AF42" s="3"/>
      <c r="AG42" s="3"/>
      <c r="AH42" s="3"/>
      <c r="AI42" s="3"/>
      <c r="AJ42" s="3"/>
      <c r="AK42" s="3"/>
      <c r="AL42" s="3"/>
      <c r="AM42" s="3"/>
      <c r="AN42" s="3"/>
      <c r="AO42" s="3"/>
      <c r="AP42" s="3"/>
      <c r="AQ42" s="3"/>
      <c r="AR42" s="3"/>
      <c r="AS42" s="3"/>
    </row>
    <row r="43" spans="1:45" customFormat="1" x14ac:dyDescent="0.2">
      <c r="A43" s="352"/>
      <c r="B43" s="79" t="s">
        <v>260</v>
      </c>
      <c r="C43" s="225">
        <f>Summary_Employed!C43+Summary_Unemployed!C43+Summary_Inactive!C43</f>
        <v>0</v>
      </c>
      <c r="D43" s="225">
        <f>Summary_Employed!D43+Summary_Unemployed!D43+Summary_Inactive!D43</f>
        <v>0</v>
      </c>
      <c r="E43" s="225">
        <f>Summary_Employed!E43+Summary_Unemployed!E43+Summary_Inactive!E43</f>
        <v>0</v>
      </c>
      <c r="F43" s="225">
        <f>Summary_Employed!F43+Summary_Unemployed!F43+Summary_Inactive!F43</f>
        <v>0</v>
      </c>
      <c r="G43" s="225">
        <f>Summary_Employed!G43+Summary_Unemployed!G43+Summary_Inactive!G43</f>
        <v>0</v>
      </c>
      <c r="H43" s="225">
        <f>Summary_Employed!H43+Summary_Unemployed!H43+Summary_Inactive!H43</f>
        <v>0</v>
      </c>
      <c r="I43" s="225">
        <f>Summary_Employed!I43+Summary_Unemployed!I43+Summary_Inactive!I43</f>
        <v>0</v>
      </c>
      <c r="J43" s="225">
        <f>Summary_Employed!J43+Summary_Unemployed!J43+Summary_Inactive!J43</f>
        <v>0</v>
      </c>
      <c r="K43" s="225">
        <f>Summary_Employed!K43+Summary_Unemployed!K43+Summary_Inactive!K43</f>
        <v>0</v>
      </c>
      <c r="L43" s="225">
        <f>Summary_Employed!L43+Summary_Unemployed!L43+Summary_Inactive!L43</f>
        <v>0</v>
      </c>
      <c r="M43" s="225">
        <f>Summary_Employed!M43+Summary_Unemployed!M43+Summary_Inactive!M43</f>
        <v>0</v>
      </c>
      <c r="N43" s="225">
        <f>Summary_Employed!N43+Summary_Unemployed!N43+Summary_Inactive!N43</f>
        <v>0</v>
      </c>
      <c r="O43" s="225">
        <f>Summary_Employed!O43+Summary_Unemployed!O43+Summary_Inactive!O43</f>
        <v>0</v>
      </c>
      <c r="P43" s="90"/>
      <c r="Q43" s="225">
        <f>Summary_Employed!Q43+Summary_Unemployed!Q43+Summary_Inactive!Q43</f>
        <v>0</v>
      </c>
      <c r="R43" s="91"/>
      <c r="S43" s="225">
        <f>Summary_Employed!S43+Summary_Unemployed!S43+Summary_Inactive!S43</f>
        <v>0</v>
      </c>
      <c r="T43" s="225">
        <f>Summary_Employed!T43+Summary_Unemployed!T43+Summary_Inactive!T43</f>
        <v>0</v>
      </c>
      <c r="U43" s="225">
        <f>Summary_Employed!U43+Summary_Unemployed!U43+Summary_Inactive!U43</f>
        <v>0</v>
      </c>
      <c r="V43" s="90"/>
      <c r="W43" s="225">
        <f>Summary_Employed!W43+Summary_Unemployed!W43+Summary_Inactive!W43</f>
        <v>0</v>
      </c>
      <c r="X43" s="225">
        <f>Summary_Employed!X43+Summary_Unemployed!X43+Summary_Inactive!X43</f>
        <v>0</v>
      </c>
      <c r="Y43" s="90"/>
      <c r="Z43" s="225">
        <f>Summary_Employed!Z43+Summary_Unemployed!Z43+Summary_Inactive!Z43</f>
        <v>0</v>
      </c>
      <c r="AA43" s="225">
        <f>Summary_Employed!AA43+Summary_Unemployed!AA43+Summary_Inactive!AA43</f>
        <v>0</v>
      </c>
      <c r="AB43" s="270">
        <f>Summary_Employed!AB43+Summary_Unemployed!AB43+Summary_Inactive!AB43</f>
        <v>0</v>
      </c>
      <c r="AC43" s="3"/>
      <c r="AD43" s="3"/>
      <c r="AE43" s="3"/>
      <c r="AF43" s="3"/>
      <c r="AG43" s="3"/>
      <c r="AH43" s="3"/>
      <c r="AI43" s="3"/>
      <c r="AJ43" s="3"/>
      <c r="AK43" s="3"/>
      <c r="AL43" s="3"/>
      <c r="AM43" s="3"/>
      <c r="AN43" s="3"/>
      <c r="AO43" s="3"/>
      <c r="AP43" s="3"/>
      <c r="AQ43" s="3"/>
      <c r="AR43" s="3"/>
      <c r="AS43" s="3"/>
    </row>
    <row r="44" spans="1:45" customFormat="1" ht="13.5" thickBot="1" x14ac:dyDescent="0.25">
      <c r="A44" s="352"/>
      <c r="B44" s="92" t="s">
        <v>261</v>
      </c>
      <c r="C44" s="92">
        <f>Summary_Employed!C44+Summary_Unemployed!C44+Summary_Inactive!C44</f>
        <v>0</v>
      </c>
      <c r="D44" s="92">
        <f>Summary_Employed!D44+Summary_Unemployed!D44+Summary_Inactive!D44</f>
        <v>0</v>
      </c>
      <c r="E44" s="92">
        <f>Summary_Employed!E44+Summary_Unemployed!E44+Summary_Inactive!E44</f>
        <v>0</v>
      </c>
      <c r="F44" s="92">
        <f>Summary_Employed!F44+Summary_Unemployed!F44+Summary_Inactive!F44</f>
        <v>0</v>
      </c>
      <c r="G44" s="92">
        <f>Summary_Employed!G44+Summary_Unemployed!G44+Summary_Inactive!G44</f>
        <v>0</v>
      </c>
      <c r="H44" s="92">
        <f>Summary_Employed!H44+Summary_Unemployed!H44+Summary_Inactive!H44</f>
        <v>0</v>
      </c>
      <c r="I44" s="92">
        <f>Summary_Employed!I44+Summary_Unemployed!I44+Summary_Inactive!I44</f>
        <v>0</v>
      </c>
      <c r="J44" s="92">
        <f>Summary_Employed!J44+Summary_Unemployed!J44+Summary_Inactive!J44</f>
        <v>0</v>
      </c>
      <c r="K44" s="92">
        <f>Summary_Employed!K44+Summary_Unemployed!K44+Summary_Inactive!K44</f>
        <v>0</v>
      </c>
      <c r="L44" s="92">
        <f>Summary_Employed!L44+Summary_Unemployed!L44+Summary_Inactive!L44</f>
        <v>0</v>
      </c>
      <c r="M44" s="92">
        <f>Summary_Employed!M44+Summary_Unemployed!M44+Summary_Inactive!M44</f>
        <v>0</v>
      </c>
      <c r="N44" s="92">
        <f>Summary_Employed!N44+Summary_Unemployed!N44+Summary_Inactive!N44</f>
        <v>0</v>
      </c>
      <c r="O44" s="92">
        <f>Summary_Employed!O44+Summary_Unemployed!O44+Summary_Inactive!O44</f>
        <v>0</v>
      </c>
      <c r="P44" s="93"/>
      <c r="Q44" s="92">
        <f>Summary_Employed!Q44+Summary_Unemployed!Q44+Summary_Inactive!Q44</f>
        <v>0</v>
      </c>
      <c r="R44" s="94"/>
      <c r="S44" s="92">
        <f>Summary_Employed!S44+Summary_Unemployed!S44+Summary_Inactive!S44</f>
        <v>0</v>
      </c>
      <c r="T44" s="92">
        <f>Summary_Employed!T44+Summary_Unemployed!T44+Summary_Inactive!T44</f>
        <v>0</v>
      </c>
      <c r="U44" s="92">
        <f>Summary_Employed!U44+Summary_Unemployed!U44+Summary_Inactive!U44</f>
        <v>0</v>
      </c>
      <c r="V44" s="93"/>
      <c r="W44" s="92">
        <f>Summary_Employed!W44+Summary_Unemployed!W44+Summary_Inactive!W44</f>
        <v>0</v>
      </c>
      <c r="X44" s="92">
        <f>Summary_Employed!X44+Summary_Unemployed!X44+Summary_Inactive!X44</f>
        <v>0</v>
      </c>
      <c r="Y44" s="93"/>
      <c r="Z44" s="92">
        <f>Summary_Employed!Z44+Summary_Unemployed!Z44+Summary_Inactive!Z44</f>
        <v>0</v>
      </c>
      <c r="AA44" s="92">
        <f>Summary_Employed!AA44+Summary_Unemployed!AA44+Summary_Inactive!AA44</f>
        <v>0</v>
      </c>
      <c r="AB44" s="271">
        <f>Summary_Employed!AB44+Summary_Unemployed!AB44+Summary_Inactive!AB44</f>
        <v>0</v>
      </c>
      <c r="AC44" s="3"/>
      <c r="AD44" s="3"/>
      <c r="AE44" s="3"/>
      <c r="AF44" s="3"/>
      <c r="AG44" s="3"/>
      <c r="AH44" s="3"/>
      <c r="AI44" s="3"/>
      <c r="AJ44" s="3"/>
      <c r="AK44" s="3"/>
      <c r="AL44" s="3"/>
      <c r="AM44" s="3"/>
      <c r="AN44" s="3"/>
      <c r="AO44" s="3"/>
      <c r="AP44" s="3"/>
      <c r="AQ44" s="3"/>
      <c r="AR44" s="3"/>
      <c r="AS44" s="3"/>
    </row>
    <row r="45" spans="1:45" x14ac:dyDescent="0.2">
      <c r="A45" s="404" t="s">
        <v>252</v>
      </c>
      <c r="B45" s="209" t="s">
        <v>250</v>
      </c>
      <c r="C45" s="210">
        <f>SUM(C34:C41)</f>
        <v>0</v>
      </c>
      <c r="D45" s="210">
        <f t="shared" ref="D45:AB45" si="0">SUM(D34:D41)</f>
        <v>0</v>
      </c>
      <c r="E45" s="210">
        <f t="shared" si="0"/>
        <v>0</v>
      </c>
      <c r="F45" s="210">
        <f t="shared" si="0"/>
        <v>0</v>
      </c>
      <c r="G45" s="210">
        <f t="shared" si="0"/>
        <v>0</v>
      </c>
      <c r="H45" s="210">
        <f t="shared" si="0"/>
        <v>0</v>
      </c>
      <c r="I45" s="210">
        <f t="shared" si="0"/>
        <v>0</v>
      </c>
      <c r="J45" s="210">
        <f t="shared" si="0"/>
        <v>0</v>
      </c>
      <c r="K45" s="210">
        <f t="shared" si="0"/>
        <v>0</v>
      </c>
      <c r="L45" s="210">
        <f t="shared" si="0"/>
        <v>0</v>
      </c>
      <c r="M45" s="210">
        <f t="shared" si="0"/>
        <v>0</v>
      </c>
      <c r="N45" s="210">
        <f t="shared" si="0"/>
        <v>0</v>
      </c>
      <c r="O45" s="210">
        <f t="shared" si="0"/>
        <v>0</v>
      </c>
      <c r="P45" s="210">
        <f t="shared" si="0"/>
        <v>0</v>
      </c>
      <c r="Q45" s="210">
        <f t="shared" si="0"/>
        <v>0</v>
      </c>
      <c r="R45" s="210">
        <f t="shared" si="0"/>
        <v>0</v>
      </c>
      <c r="S45" s="210">
        <f t="shared" si="0"/>
        <v>0</v>
      </c>
      <c r="T45" s="210">
        <f t="shared" si="0"/>
        <v>0</v>
      </c>
      <c r="U45" s="210">
        <f t="shared" si="0"/>
        <v>0</v>
      </c>
      <c r="V45" s="210">
        <f t="shared" si="0"/>
        <v>0</v>
      </c>
      <c r="W45" s="210">
        <f t="shared" si="0"/>
        <v>0</v>
      </c>
      <c r="X45" s="210">
        <f t="shared" si="0"/>
        <v>0</v>
      </c>
      <c r="Y45" s="210">
        <f t="shared" si="0"/>
        <v>0</v>
      </c>
      <c r="Z45" s="210">
        <f t="shared" si="0"/>
        <v>0</v>
      </c>
      <c r="AA45" s="210">
        <f t="shared" si="0"/>
        <v>0</v>
      </c>
      <c r="AB45" s="264">
        <f t="shared" si="0"/>
        <v>0</v>
      </c>
      <c r="AJ45" s="1"/>
      <c r="AK45" s="1"/>
      <c r="AM45" s="1"/>
      <c r="AQ45" s="1"/>
    </row>
    <row r="46" spans="1:45" x14ac:dyDescent="0.2">
      <c r="A46" s="405"/>
      <c r="B46" s="209" t="s">
        <v>251</v>
      </c>
      <c r="C46" s="210">
        <f>SUM(C34:C35)</f>
        <v>0</v>
      </c>
      <c r="D46" s="210">
        <f t="shared" ref="D46:AB46" si="1">SUM(D34:D35)</f>
        <v>0</v>
      </c>
      <c r="E46" s="210">
        <f t="shared" si="1"/>
        <v>0</v>
      </c>
      <c r="F46" s="210">
        <f t="shared" si="1"/>
        <v>0</v>
      </c>
      <c r="G46" s="210">
        <f t="shared" si="1"/>
        <v>0</v>
      </c>
      <c r="H46" s="210">
        <f t="shared" si="1"/>
        <v>0</v>
      </c>
      <c r="I46" s="210">
        <f t="shared" si="1"/>
        <v>0</v>
      </c>
      <c r="J46" s="210">
        <f t="shared" si="1"/>
        <v>0</v>
      </c>
      <c r="K46" s="210">
        <f t="shared" si="1"/>
        <v>0</v>
      </c>
      <c r="L46" s="210">
        <f t="shared" si="1"/>
        <v>0</v>
      </c>
      <c r="M46" s="210">
        <f t="shared" si="1"/>
        <v>0</v>
      </c>
      <c r="N46" s="210">
        <f t="shared" si="1"/>
        <v>0</v>
      </c>
      <c r="O46" s="210">
        <f t="shared" si="1"/>
        <v>0</v>
      </c>
      <c r="P46" s="210">
        <f t="shared" si="1"/>
        <v>0</v>
      </c>
      <c r="Q46" s="210">
        <f t="shared" si="1"/>
        <v>0</v>
      </c>
      <c r="R46" s="210">
        <f t="shared" si="1"/>
        <v>0</v>
      </c>
      <c r="S46" s="210">
        <f t="shared" si="1"/>
        <v>0</v>
      </c>
      <c r="T46" s="210">
        <f t="shared" si="1"/>
        <v>0</v>
      </c>
      <c r="U46" s="210">
        <f t="shared" si="1"/>
        <v>0</v>
      </c>
      <c r="V46" s="210">
        <f t="shared" si="1"/>
        <v>0</v>
      </c>
      <c r="W46" s="210">
        <f t="shared" si="1"/>
        <v>0</v>
      </c>
      <c r="X46" s="210">
        <f t="shared" si="1"/>
        <v>0</v>
      </c>
      <c r="Y46" s="210">
        <f t="shared" si="1"/>
        <v>0</v>
      </c>
      <c r="Z46" s="210">
        <f t="shared" si="1"/>
        <v>0</v>
      </c>
      <c r="AA46" s="210">
        <f t="shared" si="1"/>
        <v>0</v>
      </c>
      <c r="AB46" s="264">
        <f t="shared" si="1"/>
        <v>0</v>
      </c>
      <c r="AJ46" s="1"/>
      <c r="AK46" s="1"/>
      <c r="AM46" s="1"/>
      <c r="AQ46" s="1"/>
    </row>
    <row r="47" spans="1:45" x14ac:dyDescent="0.2">
      <c r="A47" s="405"/>
      <c r="B47" s="209" t="s">
        <v>254</v>
      </c>
      <c r="C47" s="210">
        <f>SUM(C36:C37)</f>
        <v>0</v>
      </c>
      <c r="D47" s="210">
        <f t="shared" ref="D47:AB47" si="2">SUM(D36:D37)</f>
        <v>0</v>
      </c>
      <c r="E47" s="210">
        <f t="shared" si="2"/>
        <v>0</v>
      </c>
      <c r="F47" s="210">
        <f t="shared" si="2"/>
        <v>0</v>
      </c>
      <c r="G47" s="210">
        <f t="shared" si="2"/>
        <v>0</v>
      </c>
      <c r="H47" s="210">
        <f t="shared" si="2"/>
        <v>0</v>
      </c>
      <c r="I47" s="210">
        <f t="shared" si="2"/>
        <v>0</v>
      </c>
      <c r="J47" s="210">
        <f t="shared" si="2"/>
        <v>0</v>
      </c>
      <c r="K47" s="210">
        <f t="shared" si="2"/>
        <v>0</v>
      </c>
      <c r="L47" s="210">
        <f t="shared" si="2"/>
        <v>0</v>
      </c>
      <c r="M47" s="210">
        <f t="shared" si="2"/>
        <v>0</v>
      </c>
      <c r="N47" s="210">
        <f t="shared" si="2"/>
        <v>0</v>
      </c>
      <c r="O47" s="210">
        <f t="shared" si="2"/>
        <v>0</v>
      </c>
      <c r="P47" s="210">
        <f t="shared" si="2"/>
        <v>0</v>
      </c>
      <c r="Q47" s="210">
        <f t="shared" si="2"/>
        <v>0</v>
      </c>
      <c r="R47" s="210">
        <f t="shared" si="2"/>
        <v>0</v>
      </c>
      <c r="S47" s="210">
        <f t="shared" si="2"/>
        <v>0</v>
      </c>
      <c r="T47" s="210">
        <f t="shared" si="2"/>
        <v>0</v>
      </c>
      <c r="U47" s="210">
        <f t="shared" si="2"/>
        <v>0</v>
      </c>
      <c r="V47" s="210">
        <f t="shared" si="2"/>
        <v>0</v>
      </c>
      <c r="W47" s="210">
        <f t="shared" si="2"/>
        <v>0</v>
      </c>
      <c r="X47" s="210">
        <f t="shared" si="2"/>
        <v>0</v>
      </c>
      <c r="Y47" s="210">
        <f t="shared" si="2"/>
        <v>0</v>
      </c>
      <c r="Z47" s="210">
        <f t="shared" si="2"/>
        <v>0</v>
      </c>
      <c r="AA47" s="210">
        <f t="shared" si="2"/>
        <v>0</v>
      </c>
      <c r="AB47" s="264">
        <f t="shared" si="2"/>
        <v>0</v>
      </c>
      <c r="AJ47" s="1"/>
      <c r="AK47" s="1"/>
      <c r="AM47" s="1"/>
      <c r="AQ47" s="1"/>
    </row>
    <row r="48" spans="1:45" x14ac:dyDescent="0.2">
      <c r="A48" s="405"/>
      <c r="B48" s="209" t="s">
        <v>255</v>
      </c>
      <c r="C48" s="210">
        <f>SUM(C38:C39)</f>
        <v>0</v>
      </c>
      <c r="D48" s="210">
        <f t="shared" ref="D48:AB48" si="3">SUM(D38:D39)</f>
        <v>0</v>
      </c>
      <c r="E48" s="210">
        <f t="shared" si="3"/>
        <v>0</v>
      </c>
      <c r="F48" s="210">
        <f t="shared" si="3"/>
        <v>0</v>
      </c>
      <c r="G48" s="210">
        <f t="shared" si="3"/>
        <v>0</v>
      </c>
      <c r="H48" s="210">
        <f t="shared" si="3"/>
        <v>0</v>
      </c>
      <c r="I48" s="210">
        <f t="shared" si="3"/>
        <v>0</v>
      </c>
      <c r="J48" s="210">
        <f t="shared" si="3"/>
        <v>0</v>
      </c>
      <c r="K48" s="210">
        <f t="shared" si="3"/>
        <v>0</v>
      </c>
      <c r="L48" s="210">
        <f t="shared" si="3"/>
        <v>0</v>
      </c>
      <c r="M48" s="210">
        <f t="shared" si="3"/>
        <v>0</v>
      </c>
      <c r="N48" s="210">
        <f t="shared" si="3"/>
        <v>0</v>
      </c>
      <c r="O48" s="210">
        <f t="shared" si="3"/>
        <v>0</v>
      </c>
      <c r="P48" s="210">
        <f t="shared" si="3"/>
        <v>0</v>
      </c>
      <c r="Q48" s="210">
        <f t="shared" si="3"/>
        <v>0</v>
      </c>
      <c r="R48" s="210">
        <f t="shared" si="3"/>
        <v>0</v>
      </c>
      <c r="S48" s="210">
        <f t="shared" si="3"/>
        <v>0</v>
      </c>
      <c r="T48" s="210">
        <f t="shared" si="3"/>
        <v>0</v>
      </c>
      <c r="U48" s="210">
        <f t="shared" si="3"/>
        <v>0</v>
      </c>
      <c r="V48" s="210">
        <f t="shared" si="3"/>
        <v>0</v>
      </c>
      <c r="W48" s="210">
        <f t="shared" si="3"/>
        <v>0</v>
      </c>
      <c r="X48" s="210">
        <f t="shared" si="3"/>
        <v>0</v>
      </c>
      <c r="Y48" s="210">
        <f t="shared" si="3"/>
        <v>0</v>
      </c>
      <c r="Z48" s="210">
        <f t="shared" si="3"/>
        <v>0</v>
      </c>
      <c r="AA48" s="210">
        <f t="shared" si="3"/>
        <v>0</v>
      </c>
      <c r="AB48" s="264">
        <f t="shared" si="3"/>
        <v>0</v>
      </c>
      <c r="AJ48" s="1"/>
      <c r="AK48" s="1"/>
      <c r="AM48" s="1"/>
      <c r="AQ48" s="1"/>
    </row>
    <row r="49" spans="1:43" x14ac:dyDescent="0.2">
      <c r="A49" s="405"/>
      <c r="B49" s="209" t="s">
        <v>256</v>
      </c>
      <c r="C49" s="210">
        <f>SUM(C40:C41)</f>
        <v>0</v>
      </c>
      <c r="D49" s="210">
        <f t="shared" ref="D49:AB49" si="4">SUM(D40:D41)</f>
        <v>0</v>
      </c>
      <c r="E49" s="210">
        <f t="shared" si="4"/>
        <v>0</v>
      </c>
      <c r="F49" s="210">
        <f t="shared" si="4"/>
        <v>0</v>
      </c>
      <c r="G49" s="210">
        <f t="shared" si="4"/>
        <v>0</v>
      </c>
      <c r="H49" s="210">
        <f t="shared" si="4"/>
        <v>0</v>
      </c>
      <c r="I49" s="210">
        <f t="shared" si="4"/>
        <v>0</v>
      </c>
      <c r="J49" s="210">
        <f t="shared" si="4"/>
        <v>0</v>
      </c>
      <c r="K49" s="210">
        <f t="shared" si="4"/>
        <v>0</v>
      </c>
      <c r="L49" s="210">
        <f t="shared" si="4"/>
        <v>0</v>
      </c>
      <c r="M49" s="210">
        <f t="shared" si="4"/>
        <v>0</v>
      </c>
      <c r="N49" s="210">
        <f t="shared" si="4"/>
        <v>0</v>
      </c>
      <c r="O49" s="210">
        <f t="shared" si="4"/>
        <v>0</v>
      </c>
      <c r="P49" s="210">
        <f t="shared" si="4"/>
        <v>0</v>
      </c>
      <c r="Q49" s="210">
        <f t="shared" si="4"/>
        <v>0</v>
      </c>
      <c r="R49" s="210">
        <f t="shared" si="4"/>
        <v>0</v>
      </c>
      <c r="S49" s="210">
        <f t="shared" si="4"/>
        <v>0</v>
      </c>
      <c r="T49" s="210">
        <f t="shared" si="4"/>
        <v>0</v>
      </c>
      <c r="U49" s="210">
        <f t="shared" si="4"/>
        <v>0</v>
      </c>
      <c r="V49" s="210">
        <f t="shared" si="4"/>
        <v>0</v>
      </c>
      <c r="W49" s="210">
        <f t="shared" si="4"/>
        <v>0</v>
      </c>
      <c r="X49" s="210">
        <f t="shared" si="4"/>
        <v>0</v>
      </c>
      <c r="Y49" s="210">
        <f t="shared" si="4"/>
        <v>0</v>
      </c>
      <c r="Z49" s="210">
        <f t="shared" si="4"/>
        <v>0</v>
      </c>
      <c r="AA49" s="210">
        <f t="shared" si="4"/>
        <v>0</v>
      </c>
      <c r="AB49" s="264">
        <f t="shared" si="4"/>
        <v>0</v>
      </c>
      <c r="AJ49" s="1"/>
      <c r="AK49" s="1"/>
      <c r="AM49" s="1"/>
      <c r="AQ49" s="1"/>
    </row>
    <row r="50" spans="1:43" x14ac:dyDescent="0.2">
      <c r="A50" s="405"/>
      <c r="B50" s="209" t="s">
        <v>263</v>
      </c>
      <c r="C50" s="210">
        <f>SUM(C42:C43)</f>
        <v>0</v>
      </c>
      <c r="D50" s="210">
        <f t="shared" ref="D50:AB50" si="5">SUM(D42:D43)</f>
        <v>0</v>
      </c>
      <c r="E50" s="210">
        <f t="shared" si="5"/>
        <v>0</v>
      </c>
      <c r="F50" s="210">
        <f t="shared" si="5"/>
        <v>0</v>
      </c>
      <c r="G50" s="210">
        <f t="shared" si="5"/>
        <v>0</v>
      </c>
      <c r="H50" s="210">
        <f t="shared" si="5"/>
        <v>0</v>
      </c>
      <c r="I50" s="210">
        <f t="shared" si="5"/>
        <v>0</v>
      </c>
      <c r="J50" s="210">
        <f t="shared" si="5"/>
        <v>0</v>
      </c>
      <c r="K50" s="210">
        <f t="shared" si="5"/>
        <v>0</v>
      </c>
      <c r="L50" s="210">
        <f t="shared" si="5"/>
        <v>0</v>
      </c>
      <c r="M50" s="210">
        <f t="shared" si="5"/>
        <v>0</v>
      </c>
      <c r="N50" s="210">
        <f t="shared" si="5"/>
        <v>0</v>
      </c>
      <c r="O50" s="210">
        <f t="shared" si="5"/>
        <v>0</v>
      </c>
      <c r="P50" s="210">
        <f t="shared" si="5"/>
        <v>0</v>
      </c>
      <c r="Q50" s="210">
        <f t="shared" si="5"/>
        <v>0</v>
      </c>
      <c r="R50" s="210">
        <f t="shared" si="5"/>
        <v>0</v>
      </c>
      <c r="S50" s="210">
        <f t="shared" si="5"/>
        <v>0</v>
      </c>
      <c r="T50" s="210">
        <f t="shared" si="5"/>
        <v>0</v>
      </c>
      <c r="U50" s="210">
        <f t="shared" si="5"/>
        <v>0</v>
      </c>
      <c r="V50" s="210">
        <f t="shared" si="5"/>
        <v>0</v>
      </c>
      <c r="W50" s="210">
        <f t="shared" si="5"/>
        <v>0</v>
      </c>
      <c r="X50" s="210">
        <f t="shared" si="5"/>
        <v>0</v>
      </c>
      <c r="Y50" s="210">
        <f t="shared" si="5"/>
        <v>0</v>
      </c>
      <c r="Z50" s="210">
        <f t="shared" si="5"/>
        <v>0</v>
      </c>
      <c r="AA50" s="210">
        <f t="shared" si="5"/>
        <v>0</v>
      </c>
      <c r="AB50" s="264">
        <f t="shared" si="5"/>
        <v>0</v>
      </c>
      <c r="AJ50" s="1"/>
      <c r="AK50" s="1"/>
      <c r="AM50" s="1"/>
      <c r="AQ50" s="1"/>
    </row>
    <row r="51" spans="1:43" x14ac:dyDescent="0.2">
      <c r="A51" s="406"/>
      <c r="B51" s="209" t="s">
        <v>261</v>
      </c>
      <c r="C51" s="210">
        <f>SUM(C44)</f>
        <v>0</v>
      </c>
      <c r="D51" s="210">
        <f t="shared" ref="D51:AB51" si="6">SUM(D44)</f>
        <v>0</v>
      </c>
      <c r="E51" s="210">
        <f t="shared" si="6"/>
        <v>0</v>
      </c>
      <c r="F51" s="210">
        <f t="shared" si="6"/>
        <v>0</v>
      </c>
      <c r="G51" s="210">
        <f t="shared" si="6"/>
        <v>0</v>
      </c>
      <c r="H51" s="210">
        <f t="shared" si="6"/>
        <v>0</v>
      </c>
      <c r="I51" s="210">
        <f t="shared" si="6"/>
        <v>0</v>
      </c>
      <c r="J51" s="210">
        <f t="shared" si="6"/>
        <v>0</v>
      </c>
      <c r="K51" s="210">
        <f t="shared" si="6"/>
        <v>0</v>
      </c>
      <c r="L51" s="210">
        <f t="shared" si="6"/>
        <v>0</v>
      </c>
      <c r="M51" s="210">
        <f t="shared" si="6"/>
        <v>0</v>
      </c>
      <c r="N51" s="210">
        <f t="shared" si="6"/>
        <v>0</v>
      </c>
      <c r="O51" s="210">
        <f t="shared" si="6"/>
        <v>0</v>
      </c>
      <c r="P51" s="210">
        <f t="shared" si="6"/>
        <v>0</v>
      </c>
      <c r="Q51" s="210">
        <f t="shared" si="6"/>
        <v>0</v>
      </c>
      <c r="R51" s="210">
        <f t="shared" si="6"/>
        <v>0</v>
      </c>
      <c r="S51" s="210">
        <f t="shared" si="6"/>
        <v>0</v>
      </c>
      <c r="T51" s="210">
        <f t="shared" si="6"/>
        <v>0</v>
      </c>
      <c r="U51" s="210">
        <f t="shared" si="6"/>
        <v>0</v>
      </c>
      <c r="V51" s="210">
        <f t="shared" si="6"/>
        <v>0</v>
      </c>
      <c r="W51" s="210">
        <f t="shared" si="6"/>
        <v>0</v>
      </c>
      <c r="X51" s="210">
        <f t="shared" si="6"/>
        <v>0</v>
      </c>
      <c r="Y51" s="210">
        <f t="shared" si="6"/>
        <v>0</v>
      </c>
      <c r="Z51" s="210">
        <f t="shared" si="6"/>
        <v>0</v>
      </c>
      <c r="AA51" s="210">
        <f t="shared" si="6"/>
        <v>0</v>
      </c>
      <c r="AB51" s="264">
        <f t="shared" si="6"/>
        <v>0</v>
      </c>
      <c r="AJ51" s="1"/>
      <c r="AK51" s="1"/>
      <c r="AM51" s="1"/>
      <c r="AQ51" s="1"/>
    </row>
    <row r="52" spans="1:43" x14ac:dyDescent="0.2">
      <c r="A52" s="401" t="s">
        <v>5</v>
      </c>
      <c r="B52" s="209" t="s">
        <v>250</v>
      </c>
      <c r="C52" s="210">
        <f t="shared" ref="C52:AB52" si="7">SUM(C8:C15)</f>
        <v>0</v>
      </c>
      <c r="D52" s="210">
        <f t="shared" si="7"/>
        <v>0</v>
      </c>
      <c r="E52" s="210">
        <f t="shared" si="7"/>
        <v>0</v>
      </c>
      <c r="F52" s="210">
        <f t="shared" si="7"/>
        <v>0</v>
      </c>
      <c r="G52" s="210">
        <f t="shared" si="7"/>
        <v>0</v>
      </c>
      <c r="H52" s="210">
        <f t="shared" si="7"/>
        <v>0</v>
      </c>
      <c r="I52" s="210">
        <f t="shared" si="7"/>
        <v>0</v>
      </c>
      <c r="J52" s="210">
        <f t="shared" si="7"/>
        <v>0</v>
      </c>
      <c r="K52" s="210">
        <f t="shared" si="7"/>
        <v>0</v>
      </c>
      <c r="L52" s="210">
        <f t="shared" si="7"/>
        <v>0</v>
      </c>
      <c r="M52" s="210">
        <f t="shared" si="7"/>
        <v>0</v>
      </c>
      <c r="N52" s="210">
        <f t="shared" si="7"/>
        <v>0</v>
      </c>
      <c r="O52" s="210">
        <f t="shared" si="7"/>
        <v>0</v>
      </c>
      <c r="P52" s="210">
        <f t="shared" si="7"/>
        <v>0</v>
      </c>
      <c r="Q52" s="210">
        <f t="shared" si="7"/>
        <v>0</v>
      </c>
      <c r="R52" s="210">
        <f t="shared" si="7"/>
        <v>0</v>
      </c>
      <c r="S52" s="210">
        <f t="shared" si="7"/>
        <v>0</v>
      </c>
      <c r="T52" s="210">
        <f t="shared" si="7"/>
        <v>0</v>
      </c>
      <c r="U52" s="210">
        <f t="shared" si="7"/>
        <v>0</v>
      </c>
      <c r="V52" s="210">
        <f t="shared" si="7"/>
        <v>0</v>
      </c>
      <c r="W52" s="210">
        <f t="shared" si="7"/>
        <v>0</v>
      </c>
      <c r="X52" s="210">
        <f t="shared" si="7"/>
        <v>0</v>
      </c>
      <c r="Y52" s="210">
        <f t="shared" si="7"/>
        <v>0</v>
      </c>
      <c r="Z52" s="210">
        <f t="shared" si="7"/>
        <v>0</v>
      </c>
      <c r="AA52" s="210">
        <f t="shared" si="7"/>
        <v>0</v>
      </c>
      <c r="AB52" s="264">
        <f t="shared" si="7"/>
        <v>0</v>
      </c>
      <c r="AJ52" s="1"/>
      <c r="AK52" s="1"/>
      <c r="AM52" s="1"/>
      <c r="AQ52" s="1"/>
    </row>
    <row r="53" spans="1:43" x14ac:dyDescent="0.2">
      <c r="A53" s="402"/>
      <c r="B53" s="209" t="s">
        <v>251</v>
      </c>
      <c r="C53" s="210">
        <f t="shared" ref="C53:AB53" si="8">SUM(C8:C9)</f>
        <v>0</v>
      </c>
      <c r="D53" s="210">
        <f t="shared" si="8"/>
        <v>0</v>
      </c>
      <c r="E53" s="210">
        <f t="shared" si="8"/>
        <v>0</v>
      </c>
      <c r="F53" s="210">
        <f t="shared" si="8"/>
        <v>0</v>
      </c>
      <c r="G53" s="210">
        <f t="shared" si="8"/>
        <v>0</v>
      </c>
      <c r="H53" s="210">
        <f t="shared" si="8"/>
        <v>0</v>
      </c>
      <c r="I53" s="210">
        <f t="shared" si="8"/>
        <v>0</v>
      </c>
      <c r="J53" s="210">
        <f t="shared" si="8"/>
        <v>0</v>
      </c>
      <c r="K53" s="210">
        <f t="shared" si="8"/>
        <v>0</v>
      </c>
      <c r="L53" s="210">
        <f t="shared" si="8"/>
        <v>0</v>
      </c>
      <c r="M53" s="210">
        <f t="shared" si="8"/>
        <v>0</v>
      </c>
      <c r="N53" s="210">
        <f t="shared" si="8"/>
        <v>0</v>
      </c>
      <c r="O53" s="210">
        <f t="shared" si="8"/>
        <v>0</v>
      </c>
      <c r="P53" s="210">
        <f t="shared" si="8"/>
        <v>0</v>
      </c>
      <c r="Q53" s="210">
        <f t="shared" si="8"/>
        <v>0</v>
      </c>
      <c r="R53" s="210">
        <f t="shared" si="8"/>
        <v>0</v>
      </c>
      <c r="S53" s="210">
        <f t="shared" si="8"/>
        <v>0</v>
      </c>
      <c r="T53" s="210">
        <f t="shared" si="8"/>
        <v>0</v>
      </c>
      <c r="U53" s="210">
        <f t="shared" si="8"/>
        <v>0</v>
      </c>
      <c r="V53" s="210">
        <f t="shared" si="8"/>
        <v>0</v>
      </c>
      <c r="W53" s="210">
        <f t="shared" si="8"/>
        <v>0</v>
      </c>
      <c r="X53" s="210">
        <f t="shared" si="8"/>
        <v>0</v>
      </c>
      <c r="Y53" s="210">
        <f t="shared" si="8"/>
        <v>0</v>
      </c>
      <c r="Z53" s="210">
        <f t="shared" si="8"/>
        <v>0</v>
      </c>
      <c r="AA53" s="210">
        <f t="shared" si="8"/>
        <v>0</v>
      </c>
      <c r="AB53" s="264">
        <f t="shared" si="8"/>
        <v>0</v>
      </c>
      <c r="AJ53" s="1"/>
      <c r="AK53" s="1"/>
      <c r="AM53" s="1"/>
      <c r="AQ53" s="1"/>
    </row>
    <row r="54" spans="1:43" x14ac:dyDescent="0.2">
      <c r="A54" s="402"/>
      <c r="B54" s="209" t="s">
        <v>254</v>
      </c>
      <c r="C54" s="210">
        <f t="shared" ref="C54:AB54" si="9">SUM(C10:C11)</f>
        <v>0</v>
      </c>
      <c r="D54" s="210">
        <f t="shared" si="9"/>
        <v>0</v>
      </c>
      <c r="E54" s="210">
        <f t="shared" si="9"/>
        <v>0</v>
      </c>
      <c r="F54" s="210">
        <f t="shared" si="9"/>
        <v>0</v>
      </c>
      <c r="G54" s="210">
        <f t="shared" si="9"/>
        <v>0</v>
      </c>
      <c r="H54" s="210">
        <f t="shared" si="9"/>
        <v>0</v>
      </c>
      <c r="I54" s="210">
        <f t="shared" si="9"/>
        <v>0</v>
      </c>
      <c r="J54" s="210">
        <f t="shared" si="9"/>
        <v>0</v>
      </c>
      <c r="K54" s="210">
        <f t="shared" si="9"/>
        <v>0</v>
      </c>
      <c r="L54" s="210">
        <f t="shared" si="9"/>
        <v>0</v>
      </c>
      <c r="M54" s="210">
        <f t="shared" si="9"/>
        <v>0</v>
      </c>
      <c r="N54" s="210">
        <f t="shared" si="9"/>
        <v>0</v>
      </c>
      <c r="O54" s="210">
        <f t="shared" si="9"/>
        <v>0</v>
      </c>
      <c r="P54" s="210">
        <f t="shared" si="9"/>
        <v>0</v>
      </c>
      <c r="Q54" s="210">
        <f t="shared" si="9"/>
        <v>0</v>
      </c>
      <c r="R54" s="210">
        <f t="shared" si="9"/>
        <v>0</v>
      </c>
      <c r="S54" s="210">
        <f t="shared" si="9"/>
        <v>0</v>
      </c>
      <c r="T54" s="210">
        <f t="shared" si="9"/>
        <v>0</v>
      </c>
      <c r="U54" s="210">
        <f t="shared" si="9"/>
        <v>0</v>
      </c>
      <c r="V54" s="210">
        <f t="shared" si="9"/>
        <v>0</v>
      </c>
      <c r="W54" s="210">
        <f t="shared" si="9"/>
        <v>0</v>
      </c>
      <c r="X54" s="210">
        <f t="shared" si="9"/>
        <v>0</v>
      </c>
      <c r="Y54" s="210">
        <f t="shared" si="9"/>
        <v>0</v>
      </c>
      <c r="Z54" s="210">
        <f t="shared" si="9"/>
        <v>0</v>
      </c>
      <c r="AA54" s="210">
        <f t="shared" si="9"/>
        <v>0</v>
      </c>
      <c r="AB54" s="264">
        <f t="shared" si="9"/>
        <v>0</v>
      </c>
      <c r="AJ54" s="1"/>
      <c r="AK54" s="1"/>
      <c r="AM54" s="1"/>
      <c r="AQ54" s="1"/>
    </row>
    <row r="55" spans="1:43" x14ac:dyDescent="0.2">
      <c r="A55" s="402"/>
      <c r="B55" s="209" t="s">
        <v>255</v>
      </c>
      <c r="C55" s="210">
        <f t="shared" ref="C55:AB55" si="10">SUM(C12:C13)</f>
        <v>0</v>
      </c>
      <c r="D55" s="210">
        <f t="shared" si="10"/>
        <v>0</v>
      </c>
      <c r="E55" s="210">
        <f t="shared" si="10"/>
        <v>0</v>
      </c>
      <c r="F55" s="210">
        <f t="shared" si="10"/>
        <v>0</v>
      </c>
      <c r="G55" s="210">
        <f t="shared" si="10"/>
        <v>0</v>
      </c>
      <c r="H55" s="210">
        <f t="shared" si="10"/>
        <v>0</v>
      </c>
      <c r="I55" s="210">
        <f t="shared" si="10"/>
        <v>0</v>
      </c>
      <c r="J55" s="210">
        <f t="shared" si="10"/>
        <v>0</v>
      </c>
      <c r="K55" s="210">
        <f t="shared" si="10"/>
        <v>0</v>
      </c>
      <c r="L55" s="210">
        <f t="shared" si="10"/>
        <v>0</v>
      </c>
      <c r="M55" s="210">
        <f t="shared" si="10"/>
        <v>0</v>
      </c>
      <c r="N55" s="210">
        <f t="shared" si="10"/>
        <v>0</v>
      </c>
      <c r="O55" s="210">
        <f t="shared" si="10"/>
        <v>0</v>
      </c>
      <c r="P55" s="210">
        <f t="shared" si="10"/>
        <v>0</v>
      </c>
      <c r="Q55" s="210">
        <f t="shared" si="10"/>
        <v>0</v>
      </c>
      <c r="R55" s="210">
        <f t="shared" si="10"/>
        <v>0</v>
      </c>
      <c r="S55" s="210">
        <f t="shared" si="10"/>
        <v>0</v>
      </c>
      <c r="T55" s="210">
        <f t="shared" si="10"/>
        <v>0</v>
      </c>
      <c r="U55" s="210">
        <f t="shared" si="10"/>
        <v>0</v>
      </c>
      <c r="V55" s="210">
        <f t="shared" si="10"/>
        <v>0</v>
      </c>
      <c r="W55" s="210">
        <f t="shared" si="10"/>
        <v>0</v>
      </c>
      <c r="X55" s="210">
        <f t="shared" si="10"/>
        <v>0</v>
      </c>
      <c r="Y55" s="210">
        <f t="shared" si="10"/>
        <v>0</v>
      </c>
      <c r="Z55" s="210">
        <f t="shared" si="10"/>
        <v>0</v>
      </c>
      <c r="AA55" s="210">
        <f t="shared" si="10"/>
        <v>0</v>
      </c>
      <c r="AB55" s="264">
        <f t="shared" si="10"/>
        <v>0</v>
      </c>
      <c r="AJ55" s="1"/>
      <c r="AK55" s="1"/>
      <c r="AM55" s="1"/>
      <c r="AQ55" s="1"/>
    </row>
    <row r="56" spans="1:43" x14ac:dyDescent="0.2">
      <c r="A56" s="402"/>
      <c r="B56" s="209" t="s">
        <v>256</v>
      </c>
      <c r="C56" s="210">
        <f>SUM(C14:C15)</f>
        <v>0</v>
      </c>
      <c r="D56" s="210">
        <f t="shared" ref="D56:AB56" si="11">SUM(D14:D15)</f>
        <v>0</v>
      </c>
      <c r="E56" s="210">
        <f t="shared" si="11"/>
        <v>0</v>
      </c>
      <c r="F56" s="210">
        <f t="shared" si="11"/>
        <v>0</v>
      </c>
      <c r="G56" s="210">
        <f t="shared" si="11"/>
        <v>0</v>
      </c>
      <c r="H56" s="210">
        <f t="shared" si="11"/>
        <v>0</v>
      </c>
      <c r="I56" s="210">
        <f t="shared" si="11"/>
        <v>0</v>
      </c>
      <c r="J56" s="210">
        <f t="shared" si="11"/>
        <v>0</v>
      </c>
      <c r="K56" s="210">
        <f t="shared" si="11"/>
        <v>0</v>
      </c>
      <c r="L56" s="210">
        <f t="shared" si="11"/>
        <v>0</v>
      </c>
      <c r="M56" s="210">
        <f t="shared" si="11"/>
        <v>0</v>
      </c>
      <c r="N56" s="210">
        <f t="shared" si="11"/>
        <v>0</v>
      </c>
      <c r="O56" s="210">
        <f t="shared" si="11"/>
        <v>0</v>
      </c>
      <c r="P56" s="210">
        <f t="shared" si="11"/>
        <v>0</v>
      </c>
      <c r="Q56" s="210">
        <f t="shared" si="11"/>
        <v>0</v>
      </c>
      <c r="R56" s="210">
        <f t="shared" si="11"/>
        <v>0</v>
      </c>
      <c r="S56" s="210">
        <f t="shared" si="11"/>
        <v>0</v>
      </c>
      <c r="T56" s="210">
        <f t="shared" si="11"/>
        <v>0</v>
      </c>
      <c r="U56" s="210">
        <f t="shared" si="11"/>
        <v>0</v>
      </c>
      <c r="V56" s="210">
        <f t="shared" si="11"/>
        <v>0</v>
      </c>
      <c r="W56" s="210">
        <f t="shared" si="11"/>
        <v>0</v>
      </c>
      <c r="X56" s="210">
        <f t="shared" si="11"/>
        <v>0</v>
      </c>
      <c r="Y56" s="210">
        <f t="shared" si="11"/>
        <v>0</v>
      </c>
      <c r="Z56" s="210">
        <f t="shared" si="11"/>
        <v>0</v>
      </c>
      <c r="AA56" s="210">
        <f t="shared" si="11"/>
        <v>0</v>
      </c>
      <c r="AB56" s="264">
        <f t="shared" si="11"/>
        <v>0</v>
      </c>
      <c r="AJ56" s="1"/>
      <c r="AK56" s="1"/>
      <c r="AM56" s="1"/>
      <c r="AQ56" s="1"/>
    </row>
    <row r="57" spans="1:43" x14ac:dyDescent="0.2">
      <c r="A57" s="402"/>
      <c r="B57" s="209" t="s">
        <v>263</v>
      </c>
      <c r="C57" s="210">
        <f>SUM(C16:C17)</f>
        <v>0</v>
      </c>
      <c r="D57" s="210">
        <f t="shared" ref="D57:AB57" si="12">SUM(D16:D17)</f>
        <v>0</v>
      </c>
      <c r="E57" s="210">
        <f t="shared" si="12"/>
        <v>0</v>
      </c>
      <c r="F57" s="210">
        <f t="shared" si="12"/>
        <v>0</v>
      </c>
      <c r="G57" s="210">
        <f t="shared" si="12"/>
        <v>0</v>
      </c>
      <c r="H57" s="210">
        <f t="shared" si="12"/>
        <v>0</v>
      </c>
      <c r="I57" s="210">
        <f t="shared" si="12"/>
        <v>0</v>
      </c>
      <c r="J57" s="210">
        <f t="shared" si="12"/>
        <v>0</v>
      </c>
      <c r="K57" s="210">
        <f t="shared" si="12"/>
        <v>0</v>
      </c>
      <c r="L57" s="210">
        <f t="shared" si="12"/>
        <v>0</v>
      </c>
      <c r="M57" s="210">
        <f t="shared" si="12"/>
        <v>0</v>
      </c>
      <c r="N57" s="210">
        <f t="shared" si="12"/>
        <v>0</v>
      </c>
      <c r="O57" s="210">
        <f t="shared" si="12"/>
        <v>0</v>
      </c>
      <c r="P57" s="210">
        <f t="shared" si="12"/>
        <v>0</v>
      </c>
      <c r="Q57" s="210">
        <f t="shared" si="12"/>
        <v>0</v>
      </c>
      <c r="R57" s="210">
        <f t="shared" si="12"/>
        <v>0</v>
      </c>
      <c r="S57" s="210">
        <f t="shared" si="12"/>
        <v>0</v>
      </c>
      <c r="T57" s="210">
        <f t="shared" si="12"/>
        <v>0</v>
      </c>
      <c r="U57" s="210">
        <f t="shared" si="12"/>
        <v>0</v>
      </c>
      <c r="V57" s="210">
        <f t="shared" si="12"/>
        <v>0</v>
      </c>
      <c r="W57" s="210">
        <f t="shared" si="12"/>
        <v>0</v>
      </c>
      <c r="X57" s="210">
        <f t="shared" si="12"/>
        <v>0</v>
      </c>
      <c r="Y57" s="210">
        <f t="shared" si="12"/>
        <v>0</v>
      </c>
      <c r="Z57" s="210">
        <f t="shared" si="12"/>
        <v>0</v>
      </c>
      <c r="AA57" s="210">
        <f t="shared" si="12"/>
        <v>0</v>
      </c>
      <c r="AB57" s="264">
        <f t="shared" si="12"/>
        <v>0</v>
      </c>
      <c r="AJ57" s="1"/>
      <c r="AK57" s="1"/>
      <c r="AM57" s="1"/>
      <c r="AQ57" s="1"/>
    </row>
    <row r="58" spans="1:43" x14ac:dyDescent="0.2">
      <c r="A58" s="407"/>
      <c r="B58" s="209" t="s">
        <v>261</v>
      </c>
      <c r="C58" s="210">
        <f>SUM(C18)</f>
        <v>0</v>
      </c>
      <c r="D58" s="210">
        <f t="shared" ref="D58:AB58" si="13">SUM(D18)</f>
        <v>0</v>
      </c>
      <c r="E58" s="210">
        <f t="shared" si="13"/>
        <v>0</v>
      </c>
      <c r="F58" s="210">
        <f t="shared" si="13"/>
        <v>0</v>
      </c>
      <c r="G58" s="210">
        <f t="shared" si="13"/>
        <v>0</v>
      </c>
      <c r="H58" s="210">
        <f t="shared" si="13"/>
        <v>0</v>
      </c>
      <c r="I58" s="210">
        <f t="shared" si="13"/>
        <v>0</v>
      </c>
      <c r="J58" s="210">
        <f t="shared" si="13"/>
        <v>0</v>
      </c>
      <c r="K58" s="210">
        <f t="shared" si="13"/>
        <v>0</v>
      </c>
      <c r="L58" s="210">
        <f t="shared" si="13"/>
        <v>0</v>
      </c>
      <c r="M58" s="210">
        <f t="shared" si="13"/>
        <v>0</v>
      </c>
      <c r="N58" s="210">
        <f t="shared" si="13"/>
        <v>0</v>
      </c>
      <c r="O58" s="210">
        <f t="shared" si="13"/>
        <v>0</v>
      </c>
      <c r="P58" s="210">
        <f t="shared" si="13"/>
        <v>0</v>
      </c>
      <c r="Q58" s="210">
        <f t="shared" si="13"/>
        <v>0</v>
      </c>
      <c r="R58" s="210">
        <f t="shared" si="13"/>
        <v>0</v>
      </c>
      <c r="S58" s="210">
        <f t="shared" si="13"/>
        <v>0</v>
      </c>
      <c r="T58" s="210">
        <f t="shared" si="13"/>
        <v>0</v>
      </c>
      <c r="U58" s="210">
        <f t="shared" si="13"/>
        <v>0</v>
      </c>
      <c r="V58" s="210">
        <f t="shared" si="13"/>
        <v>0</v>
      </c>
      <c r="W58" s="210">
        <f t="shared" si="13"/>
        <v>0</v>
      </c>
      <c r="X58" s="210">
        <f t="shared" si="13"/>
        <v>0</v>
      </c>
      <c r="Y58" s="210">
        <f t="shared" si="13"/>
        <v>0</v>
      </c>
      <c r="Z58" s="210">
        <f t="shared" si="13"/>
        <v>0</v>
      </c>
      <c r="AA58" s="210">
        <f t="shared" si="13"/>
        <v>0</v>
      </c>
      <c r="AB58" s="264">
        <f t="shared" si="13"/>
        <v>0</v>
      </c>
      <c r="AJ58" s="1"/>
      <c r="AK58" s="1"/>
      <c r="AM58" s="1"/>
      <c r="AQ58" s="1"/>
    </row>
    <row r="59" spans="1:43" x14ac:dyDescent="0.2">
      <c r="A59" s="401" t="s">
        <v>6</v>
      </c>
      <c r="B59" s="209" t="s">
        <v>250</v>
      </c>
      <c r="C59" s="210">
        <f>SUM(C21:C28)</f>
        <v>0</v>
      </c>
      <c r="D59" s="210">
        <f t="shared" ref="D59:AB59" si="14">SUM(D21:D28)</f>
        <v>0</v>
      </c>
      <c r="E59" s="210">
        <f t="shared" si="14"/>
        <v>0</v>
      </c>
      <c r="F59" s="210">
        <f t="shared" si="14"/>
        <v>0</v>
      </c>
      <c r="G59" s="210">
        <f t="shared" si="14"/>
        <v>0</v>
      </c>
      <c r="H59" s="210">
        <f t="shared" si="14"/>
        <v>0</v>
      </c>
      <c r="I59" s="210">
        <f t="shared" si="14"/>
        <v>0</v>
      </c>
      <c r="J59" s="210">
        <f t="shared" si="14"/>
        <v>0</v>
      </c>
      <c r="K59" s="210">
        <f t="shared" si="14"/>
        <v>0</v>
      </c>
      <c r="L59" s="210">
        <f t="shared" si="14"/>
        <v>0</v>
      </c>
      <c r="M59" s="210">
        <f t="shared" si="14"/>
        <v>0</v>
      </c>
      <c r="N59" s="210">
        <f t="shared" si="14"/>
        <v>0</v>
      </c>
      <c r="O59" s="210">
        <f t="shared" si="14"/>
        <v>0</v>
      </c>
      <c r="P59" s="210">
        <f t="shared" si="14"/>
        <v>0</v>
      </c>
      <c r="Q59" s="210">
        <f t="shared" si="14"/>
        <v>0</v>
      </c>
      <c r="R59" s="210">
        <f t="shared" si="14"/>
        <v>0</v>
      </c>
      <c r="S59" s="210">
        <f t="shared" si="14"/>
        <v>0</v>
      </c>
      <c r="T59" s="210">
        <f t="shared" si="14"/>
        <v>0</v>
      </c>
      <c r="U59" s="210">
        <f t="shared" si="14"/>
        <v>0</v>
      </c>
      <c r="V59" s="210">
        <f t="shared" si="14"/>
        <v>0</v>
      </c>
      <c r="W59" s="210">
        <f t="shared" si="14"/>
        <v>0</v>
      </c>
      <c r="X59" s="210">
        <f t="shared" si="14"/>
        <v>0</v>
      </c>
      <c r="Y59" s="210">
        <f t="shared" si="14"/>
        <v>0</v>
      </c>
      <c r="Z59" s="210">
        <f t="shared" si="14"/>
        <v>0</v>
      </c>
      <c r="AA59" s="210">
        <f t="shared" si="14"/>
        <v>0</v>
      </c>
      <c r="AB59" s="264">
        <f t="shared" si="14"/>
        <v>0</v>
      </c>
      <c r="AJ59" s="1"/>
      <c r="AK59" s="1"/>
      <c r="AM59" s="1"/>
      <c r="AQ59" s="1"/>
    </row>
    <row r="60" spans="1:43" x14ac:dyDescent="0.2">
      <c r="A60" s="402"/>
      <c r="B60" s="209" t="s">
        <v>251</v>
      </c>
      <c r="C60" s="210">
        <f>SUM(C21:C22)</f>
        <v>0</v>
      </c>
      <c r="D60" s="210">
        <f t="shared" ref="D60:AB60" si="15">SUM(D21:D22)</f>
        <v>0</v>
      </c>
      <c r="E60" s="210">
        <f t="shared" si="15"/>
        <v>0</v>
      </c>
      <c r="F60" s="210">
        <f t="shared" si="15"/>
        <v>0</v>
      </c>
      <c r="G60" s="210">
        <f t="shared" si="15"/>
        <v>0</v>
      </c>
      <c r="H60" s="210">
        <f t="shared" si="15"/>
        <v>0</v>
      </c>
      <c r="I60" s="210">
        <f t="shared" si="15"/>
        <v>0</v>
      </c>
      <c r="J60" s="210">
        <f t="shared" si="15"/>
        <v>0</v>
      </c>
      <c r="K60" s="210">
        <f t="shared" si="15"/>
        <v>0</v>
      </c>
      <c r="L60" s="210">
        <f t="shared" si="15"/>
        <v>0</v>
      </c>
      <c r="M60" s="210">
        <f t="shared" si="15"/>
        <v>0</v>
      </c>
      <c r="N60" s="210">
        <f t="shared" si="15"/>
        <v>0</v>
      </c>
      <c r="O60" s="210">
        <f t="shared" si="15"/>
        <v>0</v>
      </c>
      <c r="P60" s="210">
        <f t="shared" si="15"/>
        <v>0</v>
      </c>
      <c r="Q60" s="210">
        <f t="shared" si="15"/>
        <v>0</v>
      </c>
      <c r="R60" s="210">
        <f t="shared" si="15"/>
        <v>0</v>
      </c>
      <c r="S60" s="210">
        <f t="shared" si="15"/>
        <v>0</v>
      </c>
      <c r="T60" s="210">
        <f t="shared" si="15"/>
        <v>0</v>
      </c>
      <c r="U60" s="210">
        <f t="shared" si="15"/>
        <v>0</v>
      </c>
      <c r="V60" s="210">
        <f t="shared" si="15"/>
        <v>0</v>
      </c>
      <c r="W60" s="210">
        <f t="shared" si="15"/>
        <v>0</v>
      </c>
      <c r="X60" s="210">
        <f t="shared" si="15"/>
        <v>0</v>
      </c>
      <c r="Y60" s="210">
        <f t="shared" si="15"/>
        <v>0</v>
      </c>
      <c r="Z60" s="210">
        <f t="shared" si="15"/>
        <v>0</v>
      </c>
      <c r="AA60" s="210">
        <f t="shared" si="15"/>
        <v>0</v>
      </c>
      <c r="AB60" s="264">
        <f t="shared" si="15"/>
        <v>0</v>
      </c>
      <c r="AJ60" s="1"/>
      <c r="AK60" s="1"/>
      <c r="AM60" s="1"/>
      <c r="AQ60" s="1"/>
    </row>
    <row r="61" spans="1:43" x14ac:dyDescent="0.2">
      <c r="A61" s="402"/>
      <c r="B61" s="209" t="s">
        <v>254</v>
      </c>
      <c r="C61" s="210">
        <f>SUM(C23:C24)</f>
        <v>0</v>
      </c>
      <c r="D61" s="210">
        <f t="shared" ref="D61:AB61" si="16">SUM(D23:D24)</f>
        <v>0</v>
      </c>
      <c r="E61" s="210">
        <f t="shared" si="16"/>
        <v>0</v>
      </c>
      <c r="F61" s="210">
        <f t="shared" si="16"/>
        <v>0</v>
      </c>
      <c r="G61" s="210">
        <f t="shared" si="16"/>
        <v>0</v>
      </c>
      <c r="H61" s="210">
        <f t="shared" si="16"/>
        <v>0</v>
      </c>
      <c r="I61" s="210">
        <f t="shared" si="16"/>
        <v>0</v>
      </c>
      <c r="J61" s="210">
        <f t="shared" si="16"/>
        <v>0</v>
      </c>
      <c r="K61" s="210">
        <f t="shared" si="16"/>
        <v>0</v>
      </c>
      <c r="L61" s="210">
        <f t="shared" si="16"/>
        <v>0</v>
      </c>
      <c r="M61" s="210">
        <f t="shared" si="16"/>
        <v>0</v>
      </c>
      <c r="N61" s="210">
        <f t="shared" si="16"/>
        <v>0</v>
      </c>
      <c r="O61" s="210">
        <f t="shared" si="16"/>
        <v>0</v>
      </c>
      <c r="P61" s="210">
        <f t="shared" si="16"/>
        <v>0</v>
      </c>
      <c r="Q61" s="210">
        <f t="shared" si="16"/>
        <v>0</v>
      </c>
      <c r="R61" s="210">
        <f t="shared" si="16"/>
        <v>0</v>
      </c>
      <c r="S61" s="210">
        <f t="shared" si="16"/>
        <v>0</v>
      </c>
      <c r="T61" s="210">
        <f t="shared" si="16"/>
        <v>0</v>
      </c>
      <c r="U61" s="210">
        <f t="shared" si="16"/>
        <v>0</v>
      </c>
      <c r="V61" s="210">
        <f t="shared" si="16"/>
        <v>0</v>
      </c>
      <c r="W61" s="210">
        <f t="shared" si="16"/>
        <v>0</v>
      </c>
      <c r="X61" s="210">
        <f t="shared" si="16"/>
        <v>0</v>
      </c>
      <c r="Y61" s="210">
        <f t="shared" si="16"/>
        <v>0</v>
      </c>
      <c r="Z61" s="210">
        <f t="shared" si="16"/>
        <v>0</v>
      </c>
      <c r="AA61" s="210">
        <f t="shared" si="16"/>
        <v>0</v>
      </c>
      <c r="AB61" s="264">
        <f t="shared" si="16"/>
        <v>0</v>
      </c>
      <c r="AJ61" s="1"/>
      <c r="AK61" s="1"/>
      <c r="AM61" s="1"/>
      <c r="AQ61" s="1"/>
    </row>
    <row r="62" spans="1:43" x14ac:dyDescent="0.2">
      <c r="A62" s="402"/>
      <c r="B62" s="209" t="s">
        <v>255</v>
      </c>
      <c r="C62" s="210">
        <f>SUM(C25:C26)</f>
        <v>0</v>
      </c>
      <c r="D62" s="210">
        <f t="shared" ref="D62:AB62" si="17">SUM(D25:D26)</f>
        <v>0</v>
      </c>
      <c r="E62" s="210">
        <f t="shared" si="17"/>
        <v>0</v>
      </c>
      <c r="F62" s="210">
        <f t="shared" si="17"/>
        <v>0</v>
      </c>
      <c r="G62" s="210">
        <f t="shared" si="17"/>
        <v>0</v>
      </c>
      <c r="H62" s="210">
        <f t="shared" si="17"/>
        <v>0</v>
      </c>
      <c r="I62" s="210">
        <f t="shared" si="17"/>
        <v>0</v>
      </c>
      <c r="J62" s="210">
        <f t="shared" si="17"/>
        <v>0</v>
      </c>
      <c r="K62" s="210">
        <f t="shared" si="17"/>
        <v>0</v>
      </c>
      <c r="L62" s="210">
        <f t="shared" si="17"/>
        <v>0</v>
      </c>
      <c r="M62" s="210">
        <f t="shared" si="17"/>
        <v>0</v>
      </c>
      <c r="N62" s="210">
        <f t="shared" si="17"/>
        <v>0</v>
      </c>
      <c r="O62" s="210">
        <f t="shared" si="17"/>
        <v>0</v>
      </c>
      <c r="P62" s="210">
        <f t="shared" si="17"/>
        <v>0</v>
      </c>
      <c r="Q62" s="210">
        <f t="shared" si="17"/>
        <v>0</v>
      </c>
      <c r="R62" s="210">
        <f t="shared" si="17"/>
        <v>0</v>
      </c>
      <c r="S62" s="210">
        <f t="shared" si="17"/>
        <v>0</v>
      </c>
      <c r="T62" s="210">
        <f t="shared" si="17"/>
        <v>0</v>
      </c>
      <c r="U62" s="210">
        <f t="shared" si="17"/>
        <v>0</v>
      </c>
      <c r="V62" s="210">
        <f t="shared" si="17"/>
        <v>0</v>
      </c>
      <c r="W62" s="210">
        <f t="shared" si="17"/>
        <v>0</v>
      </c>
      <c r="X62" s="210">
        <f t="shared" si="17"/>
        <v>0</v>
      </c>
      <c r="Y62" s="210">
        <f t="shared" si="17"/>
        <v>0</v>
      </c>
      <c r="Z62" s="210">
        <f t="shared" si="17"/>
        <v>0</v>
      </c>
      <c r="AA62" s="210">
        <f t="shared" si="17"/>
        <v>0</v>
      </c>
      <c r="AB62" s="264">
        <f t="shared" si="17"/>
        <v>0</v>
      </c>
      <c r="AJ62" s="1"/>
      <c r="AK62" s="1"/>
      <c r="AM62" s="1"/>
      <c r="AQ62" s="1"/>
    </row>
    <row r="63" spans="1:43" x14ac:dyDescent="0.2">
      <c r="A63" s="402"/>
      <c r="B63" s="209" t="s">
        <v>256</v>
      </c>
      <c r="C63" s="210">
        <f>SUM(C27:C28)</f>
        <v>0</v>
      </c>
      <c r="D63" s="210">
        <f t="shared" ref="D63:AB63" si="18">SUM(D27:D28)</f>
        <v>0</v>
      </c>
      <c r="E63" s="210">
        <f t="shared" si="18"/>
        <v>0</v>
      </c>
      <c r="F63" s="210">
        <f t="shared" si="18"/>
        <v>0</v>
      </c>
      <c r="G63" s="210">
        <f t="shared" si="18"/>
        <v>0</v>
      </c>
      <c r="H63" s="210">
        <f t="shared" si="18"/>
        <v>0</v>
      </c>
      <c r="I63" s="210">
        <f t="shared" si="18"/>
        <v>0</v>
      </c>
      <c r="J63" s="210">
        <f t="shared" si="18"/>
        <v>0</v>
      </c>
      <c r="K63" s="210">
        <f t="shared" si="18"/>
        <v>0</v>
      </c>
      <c r="L63" s="210">
        <f t="shared" si="18"/>
        <v>0</v>
      </c>
      <c r="M63" s="210">
        <f t="shared" si="18"/>
        <v>0</v>
      </c>
      <c r="N63" s="210">
        <f t="shared" si="18"/>
        <v>0</v>
      </c>
      <c r="O63" s="210">
        <f t="shared" si="18"/>
        <v>0</v>
      </c>
      <c r="P63" s="210">
        <f t="shared" si="18"/>
        <v>0</v>
      </c>
      <c r="Q63" s="210">
        <f t="shared" si="18"/>
        <v>0</v>
      </c>
      <c r="R63" s="210">
        <f t="shared" si="18"/>
        <v>0</v>
      </c>
      <c r="S63" s="210">
        <f t="shared" si="18"/>
        <v>0</v>
      </c>
      <c r="T63" s="210">
        <f t="shared" si="18"/>
        <v>0</v>
      </c>
      <c r="U63" s="210">
        <f t="shared" si="18"/>
        <v>0</v>
      </c>
      <c r="V63" s="210">
        <f t="shared" si="18"/>
        <v>0</v>
      </c>
      <c r="W63" s="210">
        <f t="shared" si="18"/>
        <v>0</v>
      </c>
      <c r="X63" s="210">
        <f t="shared" si="18"/>
        <v>0</v>
      </c>
      <c r="Y63" s="210">
        <f t="shared" si="18"/>
        <v>0</v>
      </c>
      <c r="Z63" s="210">
        <f t="shared" si="18"/>
        <v>0</v>
      </c>
      <c r="AA63" s="210">
        <f t="shared" si="18"/>
        <v>0</v>
      </c>
      <c r="AB63" s="264">
        <f t="shared" si="18"/>
        <v>0</v>
      </c>
      <c r="AJ63" s="1"/>
      <c r="AK63" s="1"/>
      <c r="AM63" s="1"/>
      <c r="AQ63" s="1"/>
    </row>
    <row r="64" spans="1:43" x14ac:dyDescent="0.2">
      <c r="A64" s="402"/>
      <c r="B64" s="209" t="s">
        <v>263</v>
      </c>
      <c r="C64" s="210">
        <f>SUM(C29:C30)</f>
        <v>0</v>
      </c>
      <c r="D64" s="210">
        <f t="shared" ref="D64:AB64" si="19">SUM(D29:D30)</f>
        <v>0</v>
      </c>
      <c r="E64" s="210">
        <f t="shared" si="19"/>
        <v>0</v>
      </c>
      <c r="F64" s="210">
        <f t="shared" si="19"/>
        <v>0</v>
      </c>
      <c r="G64" s="210">
        <f t="shared" si="19"/>
        <v>0</v>
      </c>
      <c r="H64" s="210">
        <f t="shared" si="19"/>
        <v>0</v>
      </c>
      <c r="I64" s="210">
        <f t="shared" si="19"/>
        <v>0</v>
      </c>
      <c r="J64" s="210">
        <f t="shared" si="19"/>
        <v>0</v>
      </c>
      <c r="K64" s="210">
        <f t="shared" si="19"/>
        <v>0</v>
      </c>
      <c r="L64" s="210">
        <f t="shared" si="19"/>
        <v>0</v>
      </c>
      <c r="M64" s="210">
        <f t="shared" si="19"/>
        <v>0</v>
      </c>
      <c r="N64" s="210">
        <f t="shared" si="19"/>
        <v>0</v>
      </c>
      <c r="O64" s="210">
        <f t="shared" si="19"/>
        <v>0</v>
      </c>
      <c r="P64" s="210">
        <f t="shared" si="19"/>
        <v>0</v>
      </c>
      <c r="Q64" s="210">
        <f t="shared" si="19"/>
        <v>0</v>
      </c>
      <c r="R64" s="210">
        <f t="shared" si="19"/>
        <v>0</v>
      </c>
      <c r="S64" s="210">
        <f t="shared" si="19"/>
        <v>0</v>
      </c>
      <c r="T64" s="210">
        <f t="shared" si="19"/>
        <v>0</v>
      </c>
      <c r="U64" s="210">
        <f t="shared" si="19"/>
        <v>0</v>
      </c>
      <c r="V64" s="210">
        <f t="shared" si="19"/>
        <v>0</v>
      </c>
      <c r="W64" s="210">
        <f t="shared" si="19"/>
        <v>0</v>
      </c>
      <c r="X64" s="210">
        <f t="shared" si="19"/>
        <v>0</v>
      </c>
      <c r="Y64" s="210">
        <f t="shared" si="19"/>
        <v>0</v>
      </c>
      <c r="Z64" s="210">
        <f t="shared" si="19"/>
        <v>0</v>
      </c>
      <c r="AA64" s="210">
        <f t="shared" si="19"/>
        <v>0</v>
      </c>
      <c r="AB64" s="264">
        <f t="shared" si="19"/>
        <v>0</v>
      </c>
      <c r="AJ64" s="1"/>
      <c r="AK64" s="1"/>
      <c r="AM64" s="1"/>
      <c r="AQ64" s="1"/>
    </row>
    <row r="65" spans="1:45" x14ac:dyDescent="0.2">
      <c r="A65" s="402"/>
      <c r="B65" s="209" t="s">
        <v>261</v>
      </c>
      <c r="C65" s="210">
        <f>SUM(C31)</f>
        <v>0</v>
      </c>
      <c r="D65" s="210">
        <f t="shared" ref="D65:AB65" si="20">SUM(D31)</f>
        <v>0</v>
      </c>
      <c r="E65" s="210">
        <f t="shared" si="20"/>
        <v>0</v>
      </c>
      <c r="F65" s="210">
        <f t="shared" si="20"/>
        <v>0</v>
      </c>
      <c r="G65" s="210">
        <f t="shared" si="20"/>
        <v>0</v>
      </c>
      <c r="H65" s="210">
        <f t="shared" si="20"/>
        <v>0</v>
      </c>
      <c r="I65" s="210">
        <f t="shared" si="20"/>
        <v>0</v>
      </c>
      <c r="J65" s="210">
        <f t="shared" si="20"/>
        <v>0</v>
      </c>
      <c r="K65" s="210">
        <f t="shared" si="20"/>
        <v>0</v>
      </c>
      <c r="L65" s="210">
        <f t="shared" si="20"/>
        <v>0</v>
      </c>
      <c r="M65" s="210">
        <f t="shared" si="20"/>
        <v>0</v>
      </c>
      <c r="N65" s="210">
        <f t="shared" si="20"/>
        <v>0</v>
      </c>
      <c r="O65" s="210">
        <f t="shared" si="20"/>
        <v>0</v>
      </c>
      <c r="P65" s="210">
        <f t="shared" si="20"/>
        <v>0</v>
      </c>
      <c r="Q65" s="210">
        <f t="shared" si="20"/>
        <v>0</v>
      </c>
      <c r="R65" s="210">
        <f t="shared" si="20"/>
        <v>0</v>
      </c>
      <c r="S65" s="210">
        <f t="shared" si="20"/>
        <v>0</v>
      </c>
      <c r="T65" s="210">
        <f t="shared" si="20"/>
        <v>0</v>
      </c>
      <c r="U65" s="210">
        <f t="shared" si="20"/>
        <v>0</v>
      </c>
      <c r="V65" s="210">
        <f t="shared" si="20"/>
        <v>0</v>
      </c>
      <c r="W65" s="210">
        <f t="shared" si="20"/>
        <v>0</v>
      </c>
      <c r="X65" s="210">
        <f t="shared" si="20"/>
        <v>0</v>
      </c>
      <c r="Y65" s="210">
        <f t="shared" si="20"/>
        <v>0</v>
      </c>
      <c r="Z65" s="210">
        <f t="shared" si="20"/>
        <v>0</v>
      </c>
      <c r="AA65" s="210">
        <f t="shared" si="20"/>
        <v>0</v>
      </c>
      <c r="AB65" s="264">
        <f t="shared" si="20"/>
        <v>0</v>
      </c>
      <c r="AJ65" s="1"/>
      <c r="AK65" s="1"/>
      <c r="AM65" s="1"/>
      <c r="AQ65" s="1"/>
    </row>
    <row r="66" spans="1:45" x14ac:dyDescent="0.2">
      <c r="A66" s="139"/>
      <c r="AB66" s="272"/>
    </row>
    <row r="67" spans="1:45" customFormat="1" ht="13.5" thickBot="1" x14ac:dyDescent="0.25">
      <c r="A67" s="139"/>
      <c r="B67" s="1"/>
      <c r="C67" s="372" t="s">
        <v>131</v>
      </c>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408"/>
      <c r="AC67" s="3"/>
      <c r="AD67" s="3"/>
      <c r="AE67" s="3"/>
      <c r="AF67" s="3"/>
      <c r="AG67" s="3"/>
      <c r="AH67" s="3"/>
      <c r="AI67" s="3"/>
      <c r="AJ67" s="3"/>
      <c r="AK67" s="3"/>
      <c r="AL67" s="3"/>
      <c r="AM67" s="3"/>
      <c r="AN67" s="3"/>
      <c r="AO67" s="3"/>
      <c r="AP67" s="3"/>
      <c r="AQ67" s="3"/>
      <c r="AR67" s="3"/>
      <c r="AS67" s="3"/>
    </row>
    <row r="68" spans="1:45" customFormat="1" ht="33.75" customHeight="1" x14ac:dyDescent="0.2">
      <c r="A68" s="354"/>
      <c r="B68" s="361" t="s">
        <v>11</v>
      </c>
      <c r="C68" s="363" t="s">
        <v>125</v>
      </c>
      <c r="D68" s="363" t="s">
        <v>126</v>
      </c>
      <c r="E68" s="365" t="s">
        <v>0</v>
      </c>
      <c r="F68" s="366"/>
      <c r="G68" s="376" t="s">
        <v>1</v>
      </c>
      <c r="H68" s="377"/>
      <c r="I68" s="363" t="s">
        <v>2</v>
      </c>
      <c r="J68" s="378" t="s">
        <v>3</v>
      </c>
      <c r="K68" s="378"/>
      <c r="L68" s="378"/>
      <c r="M68" s="378"/>
      <c r="N68" s="369" t="s">
        <v>120</v>
      </c>
      <c r="O68" s="363" t="s">
        <v>221</v>
      </c>
      <c r="P68" s="4"/>
      <c r="Q68" s="363" t="s">
        <v>7</v>
      </c>
      <c r="R68" s="4"/>
      <c r="S68" s="363" t="s">
        <v>116</v>
      </c>
      <c r="T68" s="363" t="s">
        <v>117</v>
      </c>
      <c r="U68" s="363" t="s">
        <v>3</v>
      </c>
      <c r="V68" s="4"/>
      <c r="W68" s="373" t="s">
        <v>117</v>
      </c>
      <c r="X68" s="373"/>
      <c r="Y68" s="4"/>
      <c r="Z68" s="374" t="s">
        <v>104</v>
      </c>
      <c r="AA68" s="374"/>
      <c r="AB68" s="375"/>
      <c r="AC68" s="3"/>
      <c r="AD68" s="3"/>
      <c r="AE68" s="3"/>
      <c r="AF68" s="3"/>
      <c r="AG68" s="3"/>
      <c r="AH68" s="3"/>
      <c r="AI68" s="3"/>
      <c r="AJ68" s="3"/>
      <c r="AK68" s="3"/>
      <c r="AL68" s="3"/>
      <c r="AM68" s="3"/>
      <c r="AN68" s="3"/>
      <c r="AO68" s="3"/>
      <c r="AP68" s="3"/>
      <c r="AQ68" s="3"/>
      <c r="AR68" s="3"/>
      <c r="AS68" s="3"/>
    </row>
    <row r="69" spans="1:45" customFormat="1" ht="66.75" customHeight="1" thickBot="1" x14ac:dyDescent="0.25">
      <c r="A69" s="355"/>
      <c r="B69" s="362"/>
      <c r="C69" s="364"/>
      <c r="D69" s="364"/>
      <c r="E69" s="254" t="s">
        <v>98</v>
      </c>
      <c r="F69" s="254" t="s">
        <v>100</v>
      </c>
      <c r="G69" s="64" t="s">
        <v>98</v>
      </c>
      <c r="H69" s="254" t="s">
        <v>100</v>
      </c>
      <c r="I69" s="371"/>
      <c r="J69" s="254" t="s">
        <v>127</v>
      </c>
      <c r="K69" s="254" t="s">
        <v>128</v>
      </c>
      <c r="L69" s="254" t="s">
        <v>129</v>
      </c>
      <c r="M69" s="254" t="s">
        <v>130</v>
      </c>
      <c r="N69" s="370"/>
      <c r="O69" s="371"/>
      <c r="P69" s="65"/>
      <c r="Q69" s="364"/>
      <c r="R69" s="65"/>
      <c r="S69" s="364"/>
      <c r="T69" s="364"/>
      <c r="U69" s="364"/>
      <c r="V69" s="65"/>
      <c r="W69" s="254" t="s">
        <v>9</v>
      </c>
      <c r="X69" s="254" t="s">
        <v>10</v>
      </c>
      <c r="Y69" s="65"/>
      <c r="Z69" s="69" t="s">
        <v>101</v>
      </c>
      <c r="AA69" s="69" t="s">
        <v>102</v>
      </c>
      <c r="AB69" s="70" t="s">
        <v>103</v>
      </c>
      <c r="AC69" s="3"/>
      <c r="AD69" s="3"/>
      <c r="AE69" s="3"/>
      <c r="AF69" s="3"/>
      <c r="AG69" s="3"/>
      <c r="AH69" s="3"/>
      <c r="AI69" s="3"/>
      <c r="AJ69" s="3"/>
      <c r="AK69" s="3"/>
      <c r="AL69" s="3"/>
      <c r="AM69" s="3"/>
      <c r="AN69" s="3"/>
      <c r="AO69" s="3"/>
      <c r="AP69" s="3"/>
      <c r="AQ69" s="3"/>
      <c r="AR69" s="3"/>
      <c r="AS69" s="3"/>
    </row>
    <row r="70" spans="1:45" customFormat="1" ht="87" hidden="1" customHeight="1" thickBot="1" x14ac:dyDescent="0.25">
      <c r="A70" s="81" t="s">
        <v>105</v>
      </c>
      <c r="B70" s="235"/>
      <c r="C70" s="71" t="s">
        <v>106</v>
      </c>
      <c r="D70" s="71" t="s">
        <v>97</v>
      </c>
      <c r="E70" s="71" t="s">
        <v>108</v>
      </c>
      <c r="F70" s="71" t="s">
        <v>107</v>
      </c>
      <c r="G70" s="71" t="s">
        <v>109</v>
      </c>
      <c r="H70" s="71" t="s">
        <v>110</v>
      </c>
      <c r="I70" s="72" t="s">
        <v>111</v>
      </c>
      <c r="J70" s="71" t="s">
        <v>112</v>
      </c>
      <c r="K70" s="71" t="s">
        <v>113</v>
      </c>
      <c r="L70" s="71" t="s">
        <v>114</v>
      </c>
      <c r="M70" s="71" t="s">
        <v>115</v>
      </c>
      <c r="N70" s="75" t="s">
        <v>121</v>
      </c>
      <c r="O70" s="76"/>
      <c r="P70" s="72"/>
      <c r="Q70" s="73" t="str">
        <f>CONCATENATE(H70&amp;", "&amp;I70&amp;", "&amp;J70&amp;", "&amp;K70&amp;", "&amp;L70&amp;", "&amp;M70)</f>
        <v>343, 344, 353, 354, 443, 444, 453, 454, 540, 550, 560, 640, 650, 660, 740, 750, 760, 840, 850, 860</v>
      </c>
      <c r="R70" s="72"/>
      <c r="S70" s="73" t="str">
        <f>CONCATENATE(C70&amp;", "&amp;D70&amp;", "&amp;E70&amp;", "&amp;F70&amp;", "&amp;G70)</f>
        <v>010, 020, 030, 100, 242, 252, 243, 244, 253, 254, 342, 352</v>
      </c>
      <c r="T70" s="73" t="str">
        <f>CONCATENATE(H70&amp;", "&amp;I70)</f>
        <v>343, 344, 353, 354, 443, 444, 453, 454</v>
      </c>
      <c r="U70" s="73" t="str">
        <f>CONCATENATE(J70&amp;", "&amp;K70&amp;", "&amp;L70&amp;", "&amp;M70)</f>
        <v>540, 550, 560, 640, 650, 660, 740, 750, 760, 840, 850, 860</v>
      </c>
      <c r="V70" s="72"/>
      <c r="W70" s="71" t="s">
        <v>118</v>
      </c>
      <c r="X70" s="71" t="s">
        <v>119</v>
      </c>
      <c r="Y70" s="72"/>
      <c r="Z70" s="77" t="s">
        <v>122</v>
      </c>
      <c r="AA70" s="77" t="s">
        <v>123</v>
      </c>
      <c r="AB70" s="74" t="s">
        <v>124</v>
      </c>
      <c r="AC70" s="3"/>
      <c r="AD70" s="3"/>
      <c r="AE70" s="3"/>
      <c r="AF70" s="3"/>
      <c r="AG70" s="3"/>
      <c r="AH70" s="3"/>
      <c r="AI70" s="3"/>
      <c r="AJ70" s="3"/>
      <c r="AK70" s="3"/>
      <c r="AL70" s="3"/>
      <c r="AM70" s="3"/>
      <c r="AN70" s="3"/>
      <c r="AO70" s="3"/>
      <c r="AP70" s="3"/>
      <c r="AQ70" s="3"/>
      <c r="AR70" s="3"/>
      <c r="AS70" s="3"/>
    </row>
    <row r="71" spans="1:45" customFormat="1" ht="12.75" customHeight="1" x14ac:dyDescent="0.2">
      <c r="A71" s="409" t="s">
        <v>5</v>
      </c>
      <c r="B71" s="231" t="s">
        <v>87</v>
      </c>
      <c r="C71" s="231">
        <f>Summary_Employed!C71+Summary_Unemployed!C71+Summary_Inactive!C71</f>
        <v>0</v>
      </c>
      <c r="D71" s="86">
        <f>Summary_Employed!D71+Summary_Unemployed!D71+Summary_Inactive!D71</f>
        <v>0</v>
      </c>
      <c r="E71" s="86">
        <f>Summary_Employed!E71+Summary_Unemployed!E71+Summary_Inactive!E71</f>
        <v>0</v>
      </c>
      <c r="F71" s="86">
        <f>Summary_Employed!F71+Summary_Unemployed!F71+Summary_Inactive!F71</f>
        <v>0</v>
      </c>
      <c r="G71" s="86">
        <f>Summary_Employed!G71+Summary_Unemployed!G71+Summary_Inactive!G71</f>
        <v>0</v>
      </c>
      <c r="H71" s="86">
        <f>Summary_Employed!H71+Summary_Unemployed!H71+Summary_Inactive!H71</f>
        <v>0</v>
      </c>
      <c r="I71" s="86">
        <f>Summary_Employed!I71+Summary_Unemployed!I71+Summary_Inactive!I71</f>
        <v>0</v>
      </c>
      <c r="J71" s="86">
        <f>Summary_Employed!J71+Summary_Unemployed!J71+Summary_Inactive!J71</f>
        <v>0</v>
      </c>
      <c r="K71" s="86">
        <f>Summary_Employed!K71+Summary_Unemployed!K71+Summary_Inactive!K71</f>
        <v>0</v>
      </c>
      <c r="L71" s="86">
        <f>Summary_Employed!L71+Summary_Unemployed!L71+Summary_Inactive!L71</f>
        <v>0</v>
      </c>
      <c r="M71" s="86">
        <f>Summary_Employed!M71+Summary_Unemployed!M71+Summary_Inactive!M71</f>
        <v>0</v>
      </c>
      <c r="N71" s="86">
        <f>Summary_Employed!N71+Summary_Unemployed!N71+Summary_Inactive!N71</f>
        <v>0</v>
      </c>
      <c r="O71" s="86">
        <f>Summary_Employed!O71+Summary_Unemployed!O71+Summary_Inactive!O71</f>
        <v>0</v>
      </c>
      <c r="P71" s="87"/>
      <c r="Q71" s="86">
        <f>Summary_Employed!Q71+Summary_Unemployed!Q71+Summary_Inactive!Q71</f>
        <v>0</v>
      </c>
      <c r="R71" s="88"/>
      <c r="S71" s="86">
        <f>Summary_Employed!S71+Summary_Unemployed!S71+Summary_Inactive!S71</f>
        <v>0</v>
      </c>
      <c r="T71" s="86">
        <f>Summary_Employed!T71+Summary_Unemployed!T71+Summary_Inactive!T71</f>
        <v>0</v>
      </c>
      <c r="U71" s="86">
        <f>Summary_Employed!U71+Summary_Unemployed!U71+Summary_Inactive!U71</f>
        <v>0</v>
      </c>
      <c r="V71" s="87"/>
      <c r="W71" s="86">
        <f>Summary_Employed!W71+Summary_Unemployed!W71+Summary_Inactive!W71</f>
        <v>0</v>
      </c>
      <c r="X71" s="86">
        <f>Summary_Employed!X71+Summary_Unemployed!X71+Summary_Inactive!X71</f>
        <v>0</v>
      </c>
      <c r="Y71" s="87"/>
      <c r="Z71" s="86">
        <f>Summary_Employed!Z71+Summary_Unemployed!Z71+Summary_Inactive!Z71</f>
        <v>0</v>
      </c>
      <c r="AA71" s="86">
        <f>Summary_Employed!AA71+Summary_Unemployed!AA71+Summary_Inactive!AA71</f>
        <v>0</v>
      </c>
      <c r="AB71" s="268">
        <f>Summary_Employed!AB71+Summary_Unemployed!AB71+Summary_Inactive!AB71</f>
        <v>0</v>
      </c>
      <c r="AC71" s="3"/>
      <c r="AD71" s="3"/>
      <c r="AE71" s="3"/>
      <c r="AF71" s="3"/>
      <c r="AG71" s="3"/>
      <c r="AH71" s="3"/>
      <c r="AI71" s="3"/>
      <c r="AJ71" s="3"/>
      <c r="AK71" s="3"/>
      <c r="AL71" s="3"/>
      <c r="AM71" s="3"/>
      <c r="AN71" s="3"/>
      <c r="AO71" s="3"/>
      <c r="AP71" s="3"/>
      <c r="AQ71" s="3"/>
      <c r="AR71" s="3"/>
      <c r="AS71" s="3"/>
    </row>
    <row r="72" spans="1:45" customFormat="1" x14ac:dyDescent="0.2">
      <c r="A72" s="410"/>
      <c r="B72" s="236" t="s">
        <v>88</v>
      </c>
      <c r="C72" s="232">
        <f>Summary_Employed!C72+Summary_Unemployed!C72+Summary_Inactive!C72</f>
        <v>0</v>
      </c>
      <c r="D72" s="89">
        <f>Summary_Employed!D72+Summary_Unemployed!D72+Summary_Inactive!D72</f>
        <v>0</v>
      </c>
      <c r="E72" s="89">
        <f>Summary_Employed!E72+Summary_Unemployed!E72+Summary_Inactive!E72</f>
        <v>0</v>
      </c>
      <c r="F72" s="89">
        <f>Summary_Employed!F72+Summary_Unemployed!F72+Summary_Inactive!F72</f>
        <v>0</v>
      </c>
      <c r="G72" s="89">
        <f>Summary_Employed!G72+Summary_Unemployed!G72+Summary_Inactive!G72</f>
        <v>0</v>
      </c>
      <c r="H72" s="89">
        <f>Summary_Employed!H72+Summary_Unemployed!H72+Summary_Inactive!H72</f>
        <v>0</v>
      </c>
      <c r="I72" s="89">
        <f>Summary_Employed!I72+Summary_Unemployed!I72+Summary_Inactive!I72</f>
        <v>0</v>
      </c>
      <c r="J72" s="89">
        <f>Summary_Employed!J72+Summary_Unemployed!J72+Summary_Inactive!J72</f>
        <v>0</v>
      </c>
      <c r="K72" s="89">
        <f>Summary_Employed!K72+Summary_Unemployed!K72+Summary_Inactive!K72</f>
        <v>0</v>
      </c>
      <c r="L72" s="89">
        <f>Summary_Employed!L72+Summary_Unemployed!L72+Summary_Inactive!L72</f>
        <v>0</v>
      </c>
      <c r="M72" s="89">
        <f>Summary_Employed!M72+Summary_Unemployed!M72+Summary_Inactive!M72</f>
        <v>0</v>
      </c>
      <c r="N72" s="89">
        <f>Summary_Employed!N72+Summary_Unemployed!N72+Summary_Inactive!N72</f>
        <v>0</v>
      </c>
      <c r="O72" s="89">
        <f>Summary_Employed!O72+Summary_Unemployed!O72+Summary_Inactive!O72</f>
        <v>0</v>
      </c>
      <c r="P72" s="90"/>
      <c r="Q72" s="89">
        <f>Summary_Employed!Q72+Summary_Unemployed!Q72+Summary_Inactive!Q72</f>
        <v>0</v>
      </c>
      <c r="R72" s="91"/>
      <c r="S72" s="89">
        <f>Summary_Employed!S72+Summary_Unemployed!S72+Summary_Inactive!S72</f>
        <v>0</v>
      </c>
      <c r="T72" s="89">
        <f>Summary_Employed!T72+Summary_Unemployed!T72+Summary_Inactive!T72</f>
        <v>0</v>
      </c>
      <c r="U72" s="89">
        <f>Summary_Employed!U72+Summary_Unemployed!U72+Summary_Inactive!U72</f>
        <v>0</v>
      </c>
      <c r="V72" s="90"/>
      <c r="W72" s="89">
        <f>Summary_Employed!W72+Summary_Unemployed!W72+Summary_Inactive!W72</f>
        <v>0</v>
      </c>
      <c r="X72" s="89">
        <f>Summary_Employed!X72+Summary_Unemployed!X72+Summary_Inactive!X72</f>
        <v>0</v>
      </c>
      <c r="Y72" s="90"/>
      <c r="Z72" s="89">
        <f>Summary_Employed!Z72+Summary_Unemployed!Z72+Summary_Inactive!Z72</f>
        <v>0</v>
      </c>
      <c r="AA72" s="89">
        <f>Summary_Employed!AA72+Summary_Unemployed!AA72+Summary_Inactive!AA72</f>
        <v>0</v>
      </c>
      <c r="AB72" s="269">
        <f>Summary_Employed!AB72+Summary_Unemployed!AB72+Summary_Inactive!AB72</f>
        <v>0</v>
      </c>
      <c r="AC72" s="3"/>
      <c r="AD72" s="3"/>
      <c r="AE72" s="3"/>
      <c r="AF72" s="3"/>
      <c r="AG72" s="3"/>
      <c r="AH72" s="3"/>
      <c r="AI72" s="3"/>
      <c r="AJ72" s="3"/>
      <c r="AK72" s="3"/>
      <c r="AL72" s="3"/>
      <c r="AM72" s="3"/>
      <c r="AN72" s="3"/>
      <c r="AO72" s="3"/>
      <c r="AP72" s="3"/>
      <c r="AQ72" s="3"/>
      <c r="AR72" s="3"/>
      <c r="AS72" s="3"/>
    </row>
    <row r="73" spans="1:45" customFormat="1" x14ac:dyDescent="0.2">
      <c r="A73" s="410"/>
      <c r="B73" s="236" t="s">
        <v>89</v>
      </c>
      <c r="C73" s="232">
        <f>Summary_Employed!C73+Summary_Unemployed!C73+Summary_Inactive!C73</f>
        <v>0</v>
      </c>
      <c r="D73" s="89">
        <f>Summary_Employed!D73+Summary_Unemployed!D73+Summary_Inactive!D73</f>
        <v>0</v>
      </c>
      <c r="E73" s="89">
        <f>Summary_Employed!E73+Summary_Unemployed!E73+Summary_Inactive!E73</f>
        <v>0</v>
      </c>
      <c r="F73" s="89">
        <f>Summary_Employed!F73+Summary_Unemployed!F73+Summary_Inactive!F73</f>
        <v>0</v>
      </c>
      <c r="G73" s="89">
        <f>Summary_Employed!G73+Summary_Unemployed!G73+Summary_Inactive!G73</f>
        <v>0</v>
      </c>
      <c r="H73" s="89">
        <f>Summary_Employed!H73+Summary_Unemployed!H73+Summary_Inactive!H73</f>
        <v>0</v>
      </c>
      <c r="I73" s="89">
        <f>Summary_Employed!I73+Summary_Unemployed!I73+Summary_Inactive!I73</f>
        <v>0</v>
      </c>
      <c r="J73" s="89">
        <f>Summary_Employed!J73+Summary_Unemployed!J73+Summary_Inactive!J73</f>
        <v>0</v>
      </c>
      <c r="K73" s="89">
        <f>Summary_Employed!K73+Summary_Unemployed!K73+Summary_Inactive!K73</f>
        <v>0</v>
      </c>
      <c r="L73" s="89">
        <f>Summary_Employed!L73+Summary_Unemployed!L73+Summary_Inactive!L73</f>
        <v>0</v>
      </c>
      <c r="M73" s="89">
        <f>Summary_Employed!M73+Summary_Unemployed!M73+Summary_Inactive!M73</f>
        <v>0</v>
      </c>
      <c r="N73" s="89">
        <f>Summary_Employed!N73+Summary_Unemployed!N73+Summary_Inactive!N73</f>
        <v>0</v>
      </c>
      <c r="O73" s="89">
        <f>Summary_Employed!O73+Summary_Unemployed!O73+Summary_Inactive!O73</f>
        <v>0</v>
      </c>
      <c r="P73" s="90"/>
      <c r="Q73" s="89">
        <f>Summary_Employed!Q73+Summary_Unemployed!Q73+Summary_Inactive!Q73</f>
        <v>0</v>
      </c>
      <c r="R73" s="91"/>
      <c r="S73" s="89">
        <f>Summary_Employed!S73+Summary_Unemployed!S73+Summary_Inactive!S73</f>
        <v>0</v>
      </c>
      <c r="T73" s="89">
        <f>Summary_Employed!T73+Summary_Unemployed!T73+Summary_Inactive!T73</f>
        <v>0</v>
      </c>
      <c r="U73" s="89">
        <f>Summary_Employed!U73+Summary_Unemployed!U73+Summary_Inactive!U73</f>
        <v>0</v>
      </c>
      <c r="V73" s="90"/>
      <c r="W73" s="89">
        <f>Summary_Employed!W73+Summary_Unemployed!W73+Summary_Inactive!W73</f>
        <v>0</v>
      </c>
      <c r="X73" s="89">
        <f>Summary_Employed!X73+Summary_Unemployed!X73+Summary_Inactive!X73</f>
        <v>0</v>
      </c>
      <c r="Y73" s="90"/>
      <c r="Z73" s="89">
        <f>Summary_Employed!Z73+Summary_Unemployed!Z73+Summary_Inactive!Z73</f>
        <v>0</v>
      </c>
      <c r="AA73" s="89">
        <f>Summary_Employed!AA73+Summary_Unemployed!AA73+Summary_Inactive!AA73</f>
        <v>0</v>
      </c>
      <c r="AB73" s="269">
        <f>Summary_Employed!AB73+Summary_Unemployed!AB73+Summary_Inactive!AB73</f>
        <v>0</v>
      </c>
      <c r="AC73" s="3"/>
      <c r="AD73" s="3"/>
      <c r="AE73" s="3"/>
      <c r="AF73" s="3"/>
      <c r="AG73" s="3"/>
      <c r="AH73" s="3"/>
      <c r="AI73" s="3"/>
      <c r="AJ73" s="3"/>
      <c r="AK73" s="3"/>
      <c r="AL73" s="3"/>
      <c r="AM73" s="3"/>
      <c r="AN73" s="3"/>
      <c r="AO73" s="3"/>
      <c r="AP73" s="3"/>
      <c r="AQ73" s="3"/>
      <c r="AR73" s="3"/>
      <c r="AS73" s="3"/>
    </row>
    <row r="74" spans="1:45" customFormat="1" x14ac:dyDescent="0.2">
      <c r="A74" s="410"/>
      <c r="B74" s="236" t="s">
        <v>90</v>
      </c>
      <c r="C74" s="232">
        <f>Summary_Employed!C74+Summary_Unemployed!C74+Summary_Inactive!C74</f>
        <v>0</v>
      </c>
      <c r="D74" s="89">
        <f>Summary_Employed!D74+Summary_Unemployed!D74+Summary_Inactive!D74</f>
        <v>0</v>
      </c>
      <c r="E74" s="89">
        <f>Summary_Employed!E74+Summary_Unemployed!E74+Summary_Inactive!E74</f>
        <v>0</v>
      </c>
      <c r="F74" s="89">
        <f>Summary_Employed!F74+Summary_Unemployed!F74+Summary_Inactive!F74</f>
        <v>0</v>
      </c>
      <c r="G74" s="89">
        <f>Summary_Employed!G74+Summary_Unemployed!G74+Summary_Inactive!G74</f>
        <v>0</v>
      </c>
      <c r="H74" s="89">
        <f>Summary_Employed!H74+Summary_Unemployed!H74+Summary_Inactive!H74</f>
        <v>0</v>
      </c>
      <c r="I74" s="89">
        <f>Summary_Employed!I74+Summary_Unemployed!I74+Summary_Inactive!I74</f>
        <v>0</v>
      </c>
      <c r="J74" s="89">
        <f>Summary_Employed!J74+Summary_Unemployed!J74+Summary_Inactive!J74</f>
        <v>0</v>
      </c>
      <c r="K74" s="89">
        <f>Summary_Employed!K74+Summary_Unemployed!K74+Summary_Inactive!K74</f>
        <v>0</v>
      </c>
      <c r="L74" s="89">
        <f>Summary_Employed!L74+Summary_Unemployed!L74+Summary_Inactive!L74</f>
        <v>0</v>
      </c>
      <c r="M74" s="89">
        <f>Summary_Employed!M74+Summary_Unemployed!M74+Summary_Inactive!M74</f>
        <v>0</v>
      </c>
      <c r="N74" s="89">
        <f>Summary_Employed!N74+Summary_Unemployed!N74+Summary_Inactive!N74</f>
        <v>0</v>
      </c>
      <c r="O74" s="89">
        <f>Summary_Employed!O74+Summary_Unemployed!O74+Summary_Inactive!O74</f>
        <v>0</v>
      </c>
      <c r="P74" s="90"/>
      <c r="Q74" s="89">
        <f>Summary_Employed!Q74+Summary_Unemployed!Q74+Summary_Inactive!Q74</f>
        <v>0</v>
      </c>
      <c r="R74" s="91"/>
      <c r="S74" s="89">
        <f>Summary_Employed!S74+Summary_Unemployed!S74+Summary_Inactive!S74</f>
        <v>0</v>
      </c>
      <c r="T74" s="89">
        <f>Summary_Employed!T74+Summary_Unemployed!T74+Summary_Inactive!T74</f>
        <v>0</v>
      </c>
      <c r="U74" s="89">
        <f>Summary_Employed!U74+Summary_Unemployed!U74+Summary_Inactive!U74</f>
        <v>0</v>
      </c>
      <c r="V74" s="90"/>
      <c r="W74" s="89">
        <f>Summary_Employed!W74+Summary_Unemployed!W74+Summary_Inactive!W74</f>
        <v>0</v>
      </c>
      <c r="X74" s="89">
        <f>Summary_Employed!X74+Summary_Unemployed!X74+Summary_Inactive!X74</f>
        <v>0</v>
      </c>
      <c r="Y74" s="90"/>
      <c r="Z74" s="89">
        <f>Summary_Employed!Z74+Summary_Unemployed!Z74+Summary_Inactive!Z74</f>
        <v>0</v>
      </c>
      <c r="AA74" s="89">
        <f>Summary_Employed!AA74+Summary_Unemployed!AA74+Summary_Inactive!AA74</f>
        <v>0</v>
      </c>
      <c r="AB74" s="269">
        <f>Summary_Employed!AB74+Summary_Unemployed!AB74+Summary_Inactive!AB74</f>
        <v>0</v>
      </c>
      <c r="AC74" s="3"/>
      <c r="AD74" s="3"/>
      <c r="AE74" s="3"/>
      <c r="AF74" s="3"/>
      <c r="AG74" s="3"/>
      <c r="AH74" s="3"/>
      <c r="AI74" s="3"/>
      <c r="AJ74" s="3"/>
      <c r="AK74" s="3"/>
      <c r="AL74" s="3"/>
      <c r="AM74" s="3"/>
      <c r="AN74" s="3"/>
      <c r="AO74" s="3"/>
      <c r="AP74" s="3"/>
      <c r="AQ74" s="3"/>
      <c r="AR74" s="3"/>
      <c r="AS74" s="3"/>
    </row>
    <row r="75" spans="1:45" customFormat="1" x14ac:dyDescent="0.2">
      <c r="A75" s="410"/>
      <c r="B75" s="236" t="s">
        <v>91</v>
      </c>
      <c r="C75" s="232">
        <f>Summary_Employed!C75+Summary_Unemployed!C75+Summary_Inactive!C75</f>
        <v>0</v>
      </c>
      <c r="D75" s="89">
        <f>Summary_Employed!D75+Summary_Unemployed!D75+Summary_Inactive!D75</f>
        <v>0</v>
      </c>
      <c r="E75" s="89">
        <f>Summary_Employed!E75+Summary_Unemployed!E75+Summary_Inactive!E75</f>
        <v>0</v>
      </c>
      <c r="F75" s="89">
        <f>Summary_Employed!F75+Summary_Unemployed!F75+Summary_Inactive!F75</f>
        <v>0</v>
      </c>
      <c r="G75" s="89">
        <f>Summary_Employed!G75+Summary_Unemployed!G75+Summary_Inactive!G75</f>
        <v>0</v>
      </c>
      <c r="H75" s="89">
        <f>Summary_Employed!H75+Summary_Unemployed!H75+Summary_Inactive!H75</f>
        <v>0</v>
      </c>
      <c r="I75" s="89">
        <f>Summary_Employed!I75+Summary_Unemployed!I75+Summary_Inactive!I75</f>
        <v>0</v>
      </c>
      <c r="J75" s="89">
        <f>Summary_Employed!J75+Summary_Unemployed!J75+Summary_Inactive!J75</f>
        <v>0</v>
      </c>
      <c r="K75" s="89">
        <f>Summary_Employed!K75+Summary_Unemployed!K75+Summary_Inactive!K75</f>
        <v>0</v>
      </c>
      <c r="L75" s="89">
        <f>Summary_Employed!L75+Summary_Unemployed!L75+Summary_Inactive!L75</f>
        <v>0</v>
      </c>
      <c r="M75" s="89">
        <f>Summary_Employed!M75+Summary_Unemployed!M75+Summary_Inactive!M75</f>
        <v>0</v>
      </c>
      <c r="N75" s="89">
        <f>Summary_Employed!N75+Summary_Unemployed!N75+Summary_Inactive!N75</f>
        <v>0</v>
      </c>
      <c r="O75" s="89">
        <f>Summary_Employed!O75+Summary_Unemployed!O75+Summary_Inactive!O75</f>
        <v>0</v>
      </c>
      <c r="P75" s="90"/>
      <c r="Q75" s="89">
        <f>Summary_Employed!Q75+Summary_Unemployed!Q75+Summary_Inactive!Q75</f>
        <v>0</v>
      </c>
      <c r="R75" s="91"/>
      <c r="S75" s="89">
        <f>Summary_Employed!S75+Summary_Unemployed!S75+Summary_Inactive!S75</f>
        <v>0</v>
      </c>
      <c r="T75" s="89">
        <f>Summary_Employed!T75+Summary_Unemployed!T75+Summary_Inactive!T75</f>
        <v>0</v>
      </c>
      <c r="U75" s="89">
        <f>Summary_Employed!U75+Summary_Unemployed!U75+Summary_Inactive!U75</f>
        <v>0</v>
      </c>
      <c r="V75" s="90"/>
      <c r="W75" s="89">
        <f>Summary_Employed!W75+Summary_Unemployed!W75+Summary_Inactive!W75</f>
        <v>0</v>
      </c>
      <c r="X75" s="89">
        <f>Summary_Employed!X75+Summary_Unemployed!X75+Summary_Inactive!X75</f>
        <v>0</v>
      </c>
      <c r="Y75" s="90"/>
      <c r="Z75" s="89">
        <f>Summary_Employed!Z75+Summary_Unemployed!Z75+Summary_Inactive!Z75</f>
        <v>0</v>
      </c>
      <c r="AA75" s="89">
        <f>Summary_Employed!AA75+Summary_Unemployed!AA75+Summary_Inactive!AA75</f>
        <v>0</v>
      </c>
      <c r="AB75" s="269">
        <f>Summary_Employed!AB75+Summary_Unemployed!AB75+Summary_Inactive!AB75</f>
        <v>0</v>
      </c>
      <c r="AC75" s="3"/>
      <c r="AD75" s="3"/>
      <c r="AE75" s="3"/>
      <c r="AF75" s="3"/>
      <c r="AG75" s="3"/>
      <c r="AH75" s="3"/>
      <c r="AI75" s="3"/>
      <c r="AJ75" s="3"/>
      <c r="AK75" s="3"/>
      <c r="AL75" s="3"/>
      <c r="AM75" s="3"/>
      <c r="AN75" s="3"/>
      <c r="AO75" s="3"/>
      <c r="AP75" s="3"/>
      <c r="AQ75" s="3"/>
      <c r="AR75" s="3"/>
      <c r="AS75" s="3"/>
    </row>
    <row r="76" spans="1:45" customFormat="1" x14ac:dyDescent="0.2">
      <c r="A76" s="410"/>
      <c r="B76" s="236" t="s">
        <v>92</v>
      </c>
      <c r="C76" s="232">
        <f>Summary_Employed!C76+Summary_Unemployed!C76+Summary_Inactive!C76</f>
        <v>0</v>
      </c>
      <c r="D76" s="89">
        <f>Summary_Employed!D76+Summary_Unemployed!D76+Summary_Inactive!D76</f>
        <v>0</v>
      </c>
      <c r="E76" s="89">
        <f>Summary_Employed!E76+Summary_Unemployed!E76+Summary_Inactive!E76</f>
        <v>0</v>
      </c>
      <c r="F76" s="89">
        <f>Summary_Employed!F76+Summary_Unemployed!F76+Summary_Inactive!F76</f>
        <v>0</v>
      </c>
      <c r="G76" s="89">
        <f>Summary_Employed!G76+Summary_Unemployed!G76+Summary_Inactive!G76</f>
        <v>0</v>
      </c>
      <c r="H76" s="89">
        <f>Summary_Employed!H76+Summary_Unemployed!H76+Summary_Inactive!H76</f>
        <v>0</v>
      </c>
      <c r="I76" s="89">
        <f>Summary_Employed!I76+Summary_Unemployed!I76+Summary_Inactive!I76</f>
        <v>0</v>
      </c>
      <c r="J76" s="89">
        <f>Summary_Employed!J76+Summary_Unemployed!J76+Summary_Inactive!J76</f>
        <v>0</v>
      </c>
      <c r="K76" s="89">
        <f>Summary_Employed!K76+Summary_Unemployed!K76+Summary_Inactive!K76</f>
        <v>0</v>
      </c>
      <c r="L76" s="89">
        <f>Summary_Employed!L76+Summary_Unemployed!L76+Summary_Inactive!L76</f>
        <v>0</v>
      </c>
      <c r="M76" s="89">
        <f>Summary_Employed!M76+Summary_Unemployed!M76+Summary_Inactive!M76</f>
        <v>0</v>
      </c>
      <c r="N76" s="89">
        <f>Summary_Employed!N76+Summary_Unemployed!N76+Summary_Inactive!N76</f>
        <v>0</v>
      </c>
      <c r="O76" s="89">
        <f>Summary_Employed!O76+Summary_Unemployed!O76+Summary_Inactive!O76</f>
        <v>0</v>
      </c>
      <c r="P76" s="90"/>
      <c r="Q76" s="89">
        <f>Summary_Employed!Q76+Summary_Unemployed!Q76+Summary_Inactive!Q76</f>
        <v>0</v>
      </c>
      <c r="R76" s="91"/>
      <c r="S76" s="89">
        <f>Summary_Employed!S76+Summary_Unemployed!S76+Summary_Inactive!S76</f>
        <v>0</v>
      </c>
      <c r="T76" s="89">
        <f>Summary_Employed!T76+Summary_Unemployed!T76+Summary_Inactive!T76</f>
        <v>0</v>
      </c>
      <c r="U76" s="89">
        <f>Summary_Employed!U76+Summary_Unemployed!U76+Summary_Inactive!U76</f>
        <v>0</v>
      </c>
      <c r="V76" s="90"/>
      <c r="W76" s="89">
        <f>Summary_Employed!W76+Summary_Unemployed!W76+Summary_Inactive!W76</f>
        <v>0</v>
      </c>
      <c r="X76" s="89">
        <f>Summary_Employed!X76+Summary_Unemployed!X76+Summary_Inactive!X76</f>
        <v>0</v>
      </c>
      <c r="Y76" s="90"/>
      <c r="Z76" s="89">
        <f>Summary_Employed!Z76+Summary_Unemployed!Z76+Summary_Inactive!Z76</f>
        <v>0</v>
      </c>
      <c r="AA76" s="89">
        <f>Summary_Employed!AA76+Summary_Unemployed!AA76+Summary_Inactive!AA76</f>
        <v>0</v>
      </c>
      <c r="AB76" s="269">
        <f>Summary_Employed!AB76+Summary_Unemployed!AB76+Summary_Inactive!AB76</f>
        <v>0</v>
      </c>
      <c r="AC76" s="3"/>
      <c r="AD76" s="3"/>
      <c r="AE76" s="3"/>
      <c r="AF76" s="3"/>
      <c r="AG76" s="3"/>
      <c r="AH76" s="3"/>
      <c r="AI76" s="3"/>
      <c r="AJ76" s="3"/>
      <c r="AK76" s="3"/>
      <c r="AL76" s="3"/>
      <c r="AM76" s="3"/>
      <c r="AN76" s="3"/>
      <c r="AO76" s="3"/>
      <c r="AP76" s="3"/>
      <c r="AQ76" s="3"/>
      <c r="AR76" s="3"/>
      <c r="AS76" s="3"/>
    </row>
    <row r="77" spans="1:45" customFormat="1" x14ac:dyDescent="0.2">
      <c r="A77" s="410"/>
      <c r="B77" s="236" t="s">
        <v>93</v>
      </c>
      <c r="C77" s="232">
        <f>Summary_Employed!C77+Summary_Unemployed!C77+Summary_Inactive!C77</f>
        <v>0</v>
      </c>
      <c r="D77" s="89">
        <f>Summary_Employed!D77+Summary_Unemployed!D77+Summary_Inactive!D77</f>
        <v>0</v>
      </c>
      <c r="E77" s="89">
        <f>Summary_Employed!E77+Summary_Unemployed!E77+Summary_Inactive!E77</f>
        <v>0</v>
      </c>
      <c r="F77" s="89">
        <f>Summary_Employed!F77+Summary_Unemployed!F77+Summary_Inactive!F77</f>
        <v>0</v>
      </c>
      <c r="G77" s="89">
        <f>Summary_Employed!G77+Summary_Unemployed!G77+Summary_Inactive!G77</f>
        <v>0</v>
      </c>
      <c r="H77" s="89">
        <f>Summary_Employed!H77+Summary_Unemployed!H77+Summary_Inactive!H77</f>
        <v>0</v>
      </c>
      <c r="I77" s="89">
        <f>Summary_Employed!I77+Summary_Unemployed!I77+Summary_Inactive!I77</f>
        <v>0</v>
      </c>
      <c r="J77" s="89">
        <f>Summary_Employed!J77+Summary_Unemployed!J77+Summary_Inactive!J77</f>
        <v>0</v>
      </c>
      <c r="K77" s="89">
        <f>Summary_Employed!K77+Summary_Unemployed!K77+Summary_Inactive!K77</f>
        <v>0</v>
      </c>
      <c r="L77" s="89">
        <f>Summary_Employed!L77+Summary_Unemployed!L77+Summary_Inactive!L77</f>
        <v>0</v>
      </c>
      <c r="M77" s="89">
        <f>Summary_Employed!M77+Summary_Unemployed!M77+Summary_Inactive!M77</f>
        <v>0</v>
      </c>
      <c r="N77" s="89">
        <f>Summary_Employed!N77+Summary_Unemployed!N77+Summary_Inactive!N77</f>
        <v>0</v>
      </c>
      <c r="O77" s="89">
        <f>Summary_Employed!O77+Summary_Unemployed!O77+Summary_Inactive!O77</f>
        <v>0</v>
      </c>
      <c r="P77" s="90"/>
      <c r="Q77" s="89">
        <f>Summary_Employed!Q77+Summary_Unemployed!Q77+Summary_Inactive!Q77</f>
        <v>0</v>
      </c>
      <c r="R77" s="91"/>
      <c r="S77" s="89">
        <f>Summary_Employed!S77+Summary_Unemployed!S77+Summary_Inactive!S77</f>
        <v>0</v>
      </c>
      <c r="T77" s="89">
        <f>Summary_Employed!T77+Summary_Unemployed!T77+Summary_Inactive!T77</f>
        <v>0</v>
      </c>
      <c r="U77" s="89">
        <f>Summary_Employed!U77+Summary_Unemployed!U77+Summary_Inactive!U77</f>
        <v>0</v>
      </c>
      <c r="V77" s="90"/>
      <c r="W77" s="89">
        <f>Summary_Employed!W77+Summary_Unemployed!W77+Summary_Inactive!W77</f>
        <v>0</v>
      </c>
      <c r="X77" s="89">
        <f>Summary_Employed!X77+Summary_Unemployed!X77+Summary_Inactive!X77</f>
        <v>0</v>
      </c>
      <c r="Y77" s="90"/>
      <c r="Z77" s="89">
        <f>Summary_Employed!Z77+Summary_Unemployed!Z77+Summary_Inactive!Z77</f>
        <v>0</v>
      </c>
      <c r="AA77" s="89">
        <f>Summary_Employed!AA77+Summary_Unemployed!AA77+Summary_Inactive!AA77</f>
        <v>0</v>
      </c>
      <c r="AB77" s="269">
        <f>Summary_Employed!AB77+Summary_Unemployed!AB77+Summary_Inactive!AB77</f>
        <v>0</v>
      </c>
      <c r="AC77" s="3"/>
      <c r="AD77" s="3"/>
      <c r="AE77" s="3"/>
      <c r="AF77" s="3"/>
      <c r="AG77" s="3"/>
      <c r="AH77" s="3"/>
      <c r="AI77" s="3"/>
      <c r="AJ77" s="3"/>
      <c r="AK77" s="3"/>
      <c r="AL77" s="3"/>
      <c r="AM77" s="3"/>
      <c r="AN77" s="3"/>
      <c r="AO77" s="3"/>
      <c r="AP77" s="3"/>
      <c r="AQ77" s="3"/>
      <c r="AR77" s="3"/>
      <c r="AS77" s="3"/>
    </row>
    <row r="78" spans="1:45" customFormat="1" x14ac:dyDescent="0.2">
      <c r="A78" s="410"/>
      <c r="B78" s="236" t="s">
        <v>94</v>
      </c>
      <c r="C78" s="232">
        <f>Summary_Employed!C78+Summary_Unemployed!C78+Summary_Inactive!C78</f>
        <v>0</v>
      </c>
      <c r="D78" s="89">
        <f>Summary_Employed!D78+Summary_Unemployed!D78+Summary_Inactive!D78</f>
        <v>0</v>
      </c>
      <c r="E78" s="89">
        <f>Summary_Employed!E78+Summary_Unemployed!E78+Summary_Inactive!E78</f>
        <v>0</v>
      </c>
      <c r="F78" s="89">
        <f>Summary_Employed!F78+Summary_Unemployed!F78+Summary_Inactive!F78</f>
        <v>0</v>
      </c>
      <c r="G78" s="89">
        <f>Summary_Employed!G78+Summary_Unemployed!G78+Summary_Inactive!G78</f>
        <v>0</v>
      </c>
      <c r="H78" s="89">
        <f>Summary_Employed!H78+Summary_Unemployed!H78+Summary_Inactive!H78</f>
        <v>0</v>
      </c>
      <c r="I78" s="89">
        <f>Summary_Employed!I78+Summary_Unemployed!I78+Summary_Inactive!I78</f>
        <v>0</v>
      </c>
      <c r="J78" s="89">
        <f>Summary_Employed!J78+Summary_Unemployed!J78+Summary_Inactive!J78</f>
        <v>0</v>
      </c>
      <c r="K78" s="89">
        <f>Summary_Employed!K78+Summary_Unemployed!K78+Summary_Inactive!K78</f>
        <v>0</v>
      </c>
      <c r="L78" s="89">
        <f>Summary_Employed!L78+Summary_Unemployed!L78+Summary_Inactive!L78</f>
        <v>0</v>
      </c>
      <c r="M78" s="89">
        <f>Summary_Employed!M78+Summary_Unemployed!M78+Summary_Inactive!M78</f>
        <v>0</v>
      </c>
      <c r="N78" s="89">
        <f>Summary_Employed!N78+Summary_Unemployed!N78+Summary_Inactive!N78</f>
        <v>0</v>
      </c>
      <c r="O78" s="89">
        <f>Summary_Employed!O78+Summary_Unemployed!O78+Summary_Inactive!O78</f>
        <v>0</v>
      </c>
      <c r="P78" s="90"/>
      <c r="Q78" s="89">
        <f>Summary_Employed!Q78+Summary_Unemployed!Q78+Summary_Inactive!Q78</f>
        <v>0</v>
      </c>
      <c r="R78" s="91"/>
      <c r="S78" s="89">
        <f>Summary_Employed!S78+Summary_Unemployed!S78+Summary_Inactive!S78</f>
        <v>0</v>
      </c>
      <c r="T78" s="89">
        <f>Summary_Employed!T78+Summary_Unemployed!T78+Summary_Inactive!T78</f>
        <v>0</v>
      </c>
      <c r="U78" s="89">
        <f>Summary_Employed!U78+Summary_Unemployed!U78+Summary_Inactive!U78</f>
        <v>0</v>
      </c>
      <c r="V78" s="90"/>
      <c r="W78" s="89">
        <f>Summary_Employed!W78+Summary_Unemployed!W78+Summary_Inactive!W78</f>
        <v>0</v>
      </c>
      <c r="X78" s="89">
        <f>Summary_Employed!X78+Summary_Unemployed!X78+Summary_Inactive!X78</f>
        <v>0</v>
      </c>
      <c r="Y78" s="90"/>
      <c r="Z78" s="89">
        <f>Summary_Employed!Z78+Summary_Unemployed!Z78+Summary_Inactive!Z78</f>
        <v>0</v>
      </c>
      <c r="AA78" s="89">
        <f>Summary_Employed!AA78+Summary_Unemployed!AA78+Summary_Inactive!AA78</f>
        <v>0</v>
      </c>
      <c r="AB78" s="269">
        <f>Summary_Employed!AB78+Summary_Unemployed!AB78+Summary_Inactive!AB78</f>
        <v>0</v>
      </c>
      <c r="AC78" s="3"/>
      <c r="AD78" s="3"/>
      <c r="AE78" s="3"/>
      <c r="AF78" s="3"/>
      <c r="AG78" s="3"/>
      <c r="AH78" s="3"/>
      <c r="AI78" s="3"/>
      <c r="AJ78" s="3"/>
      <c r="AK78" s="3"/>
      <c r="AL78" s="3"/>
      <c r="AM78" s="3"/>
      <c r="AN78" s="3"/>
      <c r="AO78" s="3"/>
      <c r="AP78" s="3"/>
      <c r="AQ78" s="3"/>
      <c r="AR78" s="3"/>
      <c r="AS78" s="3"/>
    </row>
    <row r="79" spans="1:45" customFormat="1" x14ac:dyDescent="0.2">
      <c r="A79" s="410"/>
      <c r="B79" s="236" t="s">
        <v>95</v>
      </c>
      <c r="C79" s="232">
        <f>Summary_Employed!C79+Summary_Unemployed!C79+Summary_Inactive!C79</f>
        <v>0</v>
      </c>
      <c r="D79" s="89">
        <f>Summary_Employed!D79+Summary_Unemployed!D79+Summary_Inactive!D79</f>
        <v>0</v>
      </c>
      <c r="E79" s="89">
        <f>Summary_Employed!E79+Summary_Unemployed!E79+Summary_Inactive!E79</f>
        <v>0</v>
      </c>
      <c r="F79" s="89">
        <f>Summary_Employed!F79+Summary_Unemployed!F79+Summary_Inactive!F79</f>
        <v>0</v>
      </c>
      <c r="G79" s="89">
        <f>Summary_Employed!G79+Summary_Unemployed!G79+Summary_Inactive!G79</f>
        <v>0</v>
      </c>
      <c r="H79" s="89">
        <f>Summary_Employed!H79+Summary_Unemployed!H79+Summary_Inactive!H79</f>
        <v>0</v>
      </c>
      <c r="I79" s="89">
        <f>Summary_Employed!I79+Summary_Unemployed!I79+Summary_Inactive!I79</f>
        <v>0</v>
      </c>
      <c r="J79" s="89">
        <f>Summary_Employed!J79+Summary_Unemployed!J79+Summary_Inactive!J79</f>
        <v>0</v>
      </c>
      <c r="K79" s="89">
        <f>Summary_Employed!K79+Summary_Unemployed!K79+Summary_Inactive!K79</f>
        <v>0</v>
      </c>
      <c r="L79" s="89">
        <f>Summary_Employed!L79+Summary_Unemployed!L79+Summary_Inactive!L79</f>
        <v>0</v>
      </c>
      <c r="M79" s="89">
        <f>Summary_Employed!M79+Summary_Unemployed!M79+Summary_Inactive!M79</f>
        <v>0</v>
      </c>
      <c r="N79" s="89">
        <f>Summary_Employed!N79+Summary_Unemployed!N79+Summary_Inactive!N79</f>
        <v>0</v>
      </c>
      <c r="O79" s="89">
        <f>Summary_Employed!O79+Summary_Unemployed!O79+Summary_Inactive!O79</f>
        <v>0</v>
      </c>
      <c r="P79" s="90"/>
      <c r="Q79" s="89">
        <f>Summary_Employed!Q79+Summary_Unemployed!Q79+Summary_Inactive!Q79</f>
        <v>0</v>
      </c>
      <c r="R79" s="91"/>
      <c r="S79" s="89">
        <f>Summary_Employed!S79+Summary_Unemployed!S79+Summary_Inactive!S79</f>
        <v>0</v>
      </c>
      <c r="T79" s="89">
        <f>Summary_Employed!T79+Summary_Unemployed!T79+Summary_Inactive!T79</f>
        <v>0</v>
      </c>
      <c r="U79" s="89">
        <f>Summary_Employed!U79+Summary_Unemployed!U79+Summary_Inactive!U79</f>
        <v>0</v>
      </c>
      <c r="V79" s="90"/>
      <c r="W79" s="89">
        <f>Summary_Employed!W79+Summary_Unemployed!W79+Summary_Inactive!W79</f>
        <v>0</v>
      </c>
      <c r="X79" s="89">
        <f>Summary_Employed!X79+Summary_Unemployed!X79+Summary_Inactive!X79</f>
        <v>0</v>
      </c>
      <c r="Y79" s="90"/>
      <c r="Z79" s="89">
        <f>Summary_Employed!Z79+Summary_Unemployed!Z79+Summary_Inactive!Z79</f>
        <v>0</v>
      </c>
      <c r="AA79" s="89">
        <f>Summary_Employed!AA79+Summary_Unemployed!AA79+Summary_Inactive!AA79</f>
        <v>0</v>
      </c>
      <c r="AB79" s="269">
        <f>Summary_Employed!AB79+Summary_Unemployed!AB79+Summary_Inactive!AB79</f>
        <v>0</v>
      </c>
      <c r="AC79" s="3"/>
      <c r="AD79" s="3"/>
      <c r="AE79" s="3"/>
      <c r="AF79" s="3"/>
      <c r="AG79" s="3"/>
      <c r="AH79" s="3"/>
      <c r="AI79" s="3"/>
      <c r="AJ79" s="3"/>
      <c r="AK79" s="3"/>
      <c r="AL79" s="3"/>
      <c r="AM79" s="3"/>
      <c r="AN79" s="3"/>
      <c r="AO79" s="3"/>
      <c r="AP79" s="3"/>
      <c r="AQ79" s="3"/>
      <c r="AR79" s="3"/>
      <c r="AS79" s="3"/>
    </row>
    <row r="80" spans="1:45" customFormat="1" x14ac:dyDescent="0.2">
      <c r="A80" s="410"/>
      <c r="B80" s="236" t="s">
        <v>96</v>
      </c>
      <c r="C80" s="232">
        <f>Summary_Employed!C80+Summary_Unemployed!C80+Summary_Inactive!C80</f>
        <v>0</v>
      </c>
      <c r="D80" s="89">
        <f>Summary_Employed!D80+Summary_Unemployed!D80+Summary_Inactive!D80</f>
        <v>0</v>
      </c>
      <c r="E80" s="89">
        <f>Summary_Employed!E80+Summary_Unemployed!E80+Summary_Inactive!E80</f>
        <v>0</v>
      </c>
      <c r="F80" s="89">
        <f>Summary_Employed!F80+Summary_Unemployed!F80+Summary_Inactive!F80</f>
        <v>0</v>
      </c>
      <c r="G80" s="89">
        <f>Summary_Employed!G80+Summary_Unemployed!G80+Summary_Inactive!G80</f>
        <v>0</v>
      </c>
      <c r="H80" s="89">
        <f>Summary_Employed!H80+Summary_Unemployed!H80+Summary_Inactive!H80</f>
        <v>0</v>
      </c>
      <c r="I80" s="89">
        <f>Summary_Employed!I80+Summary_Unemployed!I80+Summary_Inactive!I80</f>
        <v>0</v>
      </c>
      <c r="J80" s="89">
        <f>Summary_Employed!J80+Summary_Unemployed!J80+Summary_Inactive!J80</f>
        <v>0</v>
      </c>
      <c r="K80" s="89">
        <f>Summary_Employed!K80+Summary_Unemployed!K80+Summary_Inactive!K80</f>
        <v>0</v>
      </c>
      <c r="L80" s="89">
        <f>Summary_Employed!L80+Summary_Unemployed!L80+Summary_Inactive!L80</f>
        <v>0</v>
      </c>
      <c r="M80" s="89">
        <f>Summary_Employed!M80+Summary_Unemployed!M80+Summary_Inactive!M80</f>
        <v>0</v>
      </c>
      <c r="N80" s="89">
        <f>Summary_Employed!N80+Summary_Unemployed!N80+Summary_Inactive!N80</f>
        <v>0</v>
      </c>
      <c r="O80" s="89">
        <f>Summary_Employed!O80+Summary_Unemployed!O80+Summary_Inactive!O80</f>
        <v>0</v>
      </c>
      <c r="P80" s="90"/>
      <c r="Q80" s="89">
        <f>Summary_Employed!Q80+Summary_Unemployed!Q80+Summary_Inactive!Q80</f>
        <v>0</v>
      </c>
      <c r="R80" s="91"/>
      <c r="S80" s="89">
        <f>Summary_Employed!S80+Summary_Unemployed!S80+Summary_Inactive!S80</f>
        <v>0</v>
      </c>
      <c r="T80" s="89">
        <f>Summary_Employed!T80+Summary_Unemployed!T80+Summary_Inactive!T80</f>
        <v>0</v>
      </c>
      <c r="U80" s="89">
        <f>Summary_Employed!U80+Summary_Unemployed!U80+Summary_Inactive!U80</f>
        <v>0</v>
      </c>
      <c r="V80" s="90"/>
      <c r="W80" s="89">
        <f>Summary_Employed!W80+Summary_Unemployed!W80+Summary_Inactive!W80</f>
        <v>0</v>
      </c>
      <c r="X80" s="89">
        <f>Summary_Employed!X80+Summary_Unemployed!X80+Summary_Inactive!X80</f>
        <v>0</v>
      </c>
      <c r="Y80" s="90"/>
      <c r="Z80" s="89">
        <f>Summary_Employed!Z80+Summary_Unemployed!Z80+Summary_Inactive!Z80</f>
        <v>0</v>
      </c>
      <c r="AA80" s="89">
        <f>Summary_Employed!AA80+Summary_Unemployed!AA80+Summary_Inactive!AA80</f>
        <v>0</v>
      </c>
      <c r="AB80" s="269">
        <f>Summary_Employed!AB80+Summary_Unemployed!AB80+Summary_Inactive!AB80</f>
        <v>0</v>
      </c>
      <c r="AC80" s="3"/>
      <c r="AD80" s="3"/>
      <c r="AE80" s="3"/>
      <c r="AF80" s="3"/>
      <c r="AG80" s="3"/>
      <c r="AH80" s="3"/>
      <c r="AI80" s="3"/>
      <c r="AJ80" s="3"/>
      <c r="AK80" s="3"/>
      <c r="AL80" s="3"/>
      <c r="AM80" s="3"/>
      <c r="AN80" s="3"/>
      <c r="AO80" s="3"/>
      <c r="AP80" s="3"/>
      <c r="AQ80" s="3"/>
      <c r="AR80" s="3"/>
      <c r="AS80" s="3"/>
    </row>
    <row r="81" spans="1:45" customFormat="1" x14ac:dyDescent="0.2">
      <c r="A81" s="410"/>
      <c r="B81" s="236" t="s">
        <v>258</v>
      </c>
      <c r="C81" s="233">
        <f>Summary_Employed!C81+Summary_Unemployed!C81+Summary_Inactive!C81</f>
        <v>0</v>
      </c>
      <c r="D81" s="225">
        <f>Summary_Employed!D81+Summary_Unemployed!D81+Summary_Inactive!D81</f>
        <v>0</v>
      </c>
      <c r="E81" s="225">
        <f>Summary_Employed!E81+Summary_Unemployed!E81+Summary_Inactive!E81</f>
        <v>0</v>
      </c>
      <c r="F81" s="225">
        <f>Summary_Employed!F81+Summary_Unemployed!F81+Summary_Inactive!F81</f>
        <v>0</v>
      </c>
      <c r="G81" s="225">
        <f>Summary_Employed!G81+Summary_Unemployed!G81+Summary_Inactive!G81</f>
        <v>0</v>
      </c>
      <c r="H81" s="225">
        <f>Summary_Employed!H81+Summary_Unemployed!H81+Summary_Inactive!H81</f>
        <v>0</v>
      </c>
      <c r="I81" s="225">
        <f>Summary_Employed!I81+Summary_Unemployed!I81+Summary_Inactive!I81</f>
        <v>0</v>
      </c>
      <c r="J81" s="225">
        <f>Summary_Employed!J81+Summary_Unemployed!J81+Summary_Inactive!J81</f>
        <v>0</v>
      </c>
      <c r="K81" s="225">
        <f>Summary_Employed!K81+Summary_Unemployed!K81+Summary_Inactive!K81</f>
        <v>0</v>
      </c>
      <c r="L81" s="225">
        <f>Summary_Employed!L81+Summary_Unemployed!L81+Summary_Inactive!L81</f>
        <v>0</v>
      </c>
      <c r="M81" s="225">
        <f>Summary_Employed!M81+Summary_Unemployed!M81+Summary_Inactive!M81</f>
        <v>0</v>
      </c>
      <c r="N81" s="225">
        <f>Summary_Employed!N81+Summary_Unemployed!N81+Summary_Inactive!N81</f>
        <v>0</v>
      </c>
      <c r="O81" s="225">
        <f>Summary_Employed!O81+Summary_Unemployed!O81+Summary_Inactive!O81</f>
        <v>0</v>
      </c>
      <c r="P81" s="90"/>
      <c r="Q81" s="225">
        <f>Summary_Employed!Q81+Summary_Unemployed!Q81+Summary_Inactive!Q81</f>
        <v>0</v>
      </c>
      <c r="R81" s="91"/>
      <c r="S81" s="225">
        <f>Summary_Employed!S81+Summary_Unemployed!S81+Summary_Inactive!S81</f>
        <v>0</v>
      </c>
      <c r="T81" s="225">
        <f>Summary_Employed!T81+Summary_Unemployed!T81+Summary_Inactive!T81</f>
        <v>0</v>
      </c>
      <c r="U81" s="225">
        <f>Summary_Employed!U81+Summary_Unemployed!U81+Summary_Inactive!U81</f>
        <v>0</v>
      </c>
      <c r="V81" s="90"/>
      <c r="W81" s="225">
        <f>Summary_Employed!W81+Summary_Unemployed!W81+Summary_Inactive!W81</f>
        <v>0</v>
      </c>
      <c r="X81" s="225">
        <f>Summary_Employed!X81+Summary_Unemployed!X81+Summary_Inactive!X81</f>
        <v>0</v>
      </c>
      <c r="Y81" s="90"/>
      <c r="Z81" s="225">
        <f>Summary_Employed!Z81+Summary_Unemployed!Z81+Summary_Inactive!Z81</f>
        <v>0</v>
      </c>
      <c r="AA81" s="225">
        <f>Summary_Employed!AA81+Summary_Unemployed!AA81+Summary_Inactive!AA81</f>
        <v>0</v>
      </c>
      <c r="AB81" s="270">
        <f>Summary_Employed!AB81+Summary_Unemployed!AB81+Summary_Inactive!AB81</f>
        <v>0</v>
      </c>
      <c r="AC81" s="3"/>
      <c r="AD81" s="3"/>
      <c r="AE81" s="3"/>
      <c r="AF81" s="3"/>
      <c r="AG81" s="3"/>
      <c r="AH81" s="3"/>
      <c r="AI81" s="3"/>
      <c r="AJ81" s="3"/>
      <c r="AK81" s="3"/>
      <c r="AL81" s="3"/>
      <c r="AM81" s="3"/>
      <c r="AN81" s="3"/>
      <c r="AO81" s="3"/>
      <c r="AP81" s="3"/>
      <c r="AQ81" s="3"/>
      <c r="AR81" s="3"/>
      <c r="AS81" s="3"/>
    </row>
    <row r="82" spans="1:45" customFormat="1" x14ac:dyDescent="0.2">
      <c r="A82" s="410"/>
      <c r="B82" s="236" t="s">
        <v>260</v>
      </c>
      <c r="C82" s="233">
        <f>Summary_Employed!C82+Summary_Unemployed!C82+Summary_Inactive!C82</f>
        <v>0</v>
      </c>
      <c r="D82" s="225">
        <f>Summary_Employed!D82+Summary_Unemployed!D82+Summary_Inactive!D82</f>
        <v>0</v>
      </c>
      <c r="E82" s="225">
        <f>Summary_Employed!E82+Summary_Unemployed!E82+Summary_Inactive!E82</f>
        <v>0</v>
      </c>
      <c r="F82" s="225">
        <f>Summary_Employed!F82+Summary_Unemployed!F82+Summary_Inactive!F82</f>
        <v>0</v>
      </c>
      <c r="G82" s="225">
        <f>Summary_Employed!G82+Summary_Unemployed!G82+Summary_Inactive!G82</f>
        <v>0</v>
      </c>
      <c r="H82" s="225">
        <f>Summary_Employed!H82+Summary_Unemployed!H82+Summary_Inactive!H82</f>
        <v>0</v>
      </c>
      <c r="I82" s="225">
        <f>Summary_Employed!I82+Summary_Unemployed!I82+Summary_Inactive!I82</f>
        <v>0</v>
      </c>
      <c r="J82" s="225">
        <f>Summary_Employed!J82+Summary_Unemployed!J82+Summary_Inactive!J82</f>
        <v>0</v>
      </c>
      <c r="K82" s="225">
        <f>Summary_Employed!K82+Summary_Unemployed!K82+Summary_Inactive!K82</f>
        <v>0</v>
      </c>
      <c r="L82" s="225">
        <f>Summary_Employed!L82+Summary_Unemployed!L82+Summary_Inactive!L82</f>
        <v>0</v>
      </c>
      <c r="M82" s="225">
        <f>Summary_Employed!M82+Summary_Unemployed!M82+Summary_Inactive!M82</f>
        <v>0</v>
      </c>
      <c r="N82" s="225">
        <f>Summary_Employed!N82+Summary_Unemployed!N82+Summary_Inactive!N82</f>
        <v>0</v>
      </c>
      <c r="O82" s="225">
        <f>Summary_Employed!O82+Summary_Unemployed!O82+Summary_Inactive!O82</f>
        <v>0</v>
      </c>
      <c r="P82" s="90"/>
      <c r="Q82" s="225">
        <f>Summary_Employed!Q82+Summary_Unemployed!Q82+Summary_Inactive!Q82</f>
        <v>0</v>
      </c>
      <c r="R82" s="91"/>
      <c r="S82" s="225">
        <f>Summary_Employed!S82+Summary_Unemployed!S82+Summary_Inactive!S82</f>
        <v>0</v>
      </c>
      <c r="T82" s="225">
        <f>Summary_Employed!T82+Summary_Unemployed!T82+Summary_Inactive!T82</f>
        <v>0</v>
      </c>
      <c r="U82" s="225">
        <f>Summary_Employed!U82+Summary_Unemployed!U82+Summary_Inactive!U82</f>
        <v>0</v>
      </c>
      <c r="V82" s="90"/>
      <c r="W82" s="225">
        <f>Summary_Employed!W82+Summary_Unemployed!W82+Summary_Inactive!W82</f>
        <v>0</v>
      </c>
      <c r="X82" s="225">
        <f>Summary_Employed!X82+Summary_Unemployed!X82+Summary_Inactive!X82</f>
        <v>0</v>
      </c>
      <c r="Y82" s="90"/>
      <c r="Z82" s="225">
        <f>Summary_Employed!Z82+Summary_Unemployed!Z82+Summary_Inactive!Z82</f>
        <v>0</v>
      </c>
      <c r="AA82" s="225">
        <f>Summary_Employed!AA82+Summary_Unemployed!AA82+Summary_Inactive!AA82</f>
        <v>0</v>
      </c>
      <c r="AB82" s="270">
        <f>Summary_Employed!AB82+Summary_Unemployed!AB82+Summary_Inactive!AB82</f>
        <v>0</v>
      </c>
      <c r="AC82" s="3"/>
      <c r="AD82" s="3"/>
      <c r="AE82" s="3"/>
      <c r="AF82" s="3"/>
      <c r="AG82" s="3"/>
      <c r="AH82" s="3"/>
      <c r="AI82" s="3"/>
      <c r="AJ82" s="3"/>
      <c r="AK82" s="3"/>
      <c r="AL82" s="3"/>
      <c r="AM82" s="3"/>
      <c r="AN82" s="3"/>
      <c r="AO82" s="3"/>
      <c r="AP82" s="3"/>
      <c r="AQ82" s="3"/>
      <c r="AR82" s="3"/>
      <c r="AS82" s="3"/>
    </row>
    <row r="83" spans="1:45" customFormat="1" ht="13.5" thickBot="1" x14ac:dyDescent="0.25">
      <c r="A83" s="410"/>
      <c r="B83" s="237" t="s">
        <v>261</v>
      </c>
      <c r="C83" s="234">
        <f>Summary_Employed!C83+Summary_Unemployed!C83+Summary_Inactive!C83</f>
        <v>0</v>
      </c>
      <c r="D83" s="92">
        <f>Summary_Employed!D83+Summary_Unemployed!D83+Summary_Inactive!D83</f>
        <v>0</v>
      </c>
      <c r="E83" s="92">
        <f>Summary_Employed!E83+Summary_Unemployed!E83+Summary_Inactive!E83</f>
        <v>0</v>
      </c>
      <c r="F83" s="92">
        <f>Summary_Employed!F83+Summary_Unemployed!F83+Summary_Inactive!F83</f>
        <v>0</v>
      </c>
      <c r="G83" s="92">
        <f>Summary_Employed!G83+Summary_Unemployed!G83+Summary_Inactive!G83</f>
        <v>0</v>
      </c>
      <c r="H83" s="92">
        <f>Summary_Employed!H83+Summary_Unemployed!H83+Summary_Inactive!H83</f>
        <v>0</v>
      </c>
      <c r="I83" s="92">
        <f>Summary_Employed!I83+Summary_Unemployed!I83+Summary_Inactive!I83</f>
        <v>0</v>
      </c>
      <c r="J83" s="92">
        <f>Summary_Employed!J83+Summary_Unemployed!J83+Summary_Inactive!J83</f>
        <v>0</v>
      </c>
      <c r="K83" s="92">
        <f>Summary_Employed!K83+Summary_Unemployed!K83+Summary_Inactive!K83</f>
        <v>0</v>
      </c>
      <c r="L83" s="92">
        <f>Summary_Employed!L83+Summary_Unemployed!L83+Summary_Inactive!L83</f>
        <v>0</v>
      </c>
      <c r="M83" s="92">
        <f>Summary_Employed!M83+Summary_Unemployed!M83+Summary_Inactive!M83</f>
        <v>0</v>
      </c>
      <c r="N83" s="92">
        <f>Summary_Employed!N83+Summary_Unemployed!N83+Summary_Inactive!N83</f>
        <v>0</v>
      </c>
      <c r="O83" s="92">
        <f>Summary_Employed!O83+Summary_Unemployed!O83+Summary_Inactive!O83</f>
        <v>0</v>
      </c>
      <c r="P83" s="93"/>
      <c r="Q83" s="92">
        <f>Summary_Employed!Q83+Summary_Unemployed!Q83+Summary_Inactive!Q83</f>
        <v>0</v>
      </c>
      <c r="R83" s="94"/>
      <c r="S83" s="92">
        <f>Summary_Employed!S83+Summary_Unemployed!S83+Summary_Inactive!S83</f>
        <v>0</v>
      </c>
      <c r="T83" s="92">
        <f>Summary_Employed!T83+Summary_Unemployed!T83+Summary_Inactive!T83</f>
        <v>0</v>
      </c>
      <c r="U83" s="92">
        <f>Summary_Employed!U83+Summary_Unemployed!U83+Summary_Inactive!U83</f>
        <v>0</v>
      </c>
      <c r="V83" s="93"/>
      <c r="W83" s="92">
        <f>Summary_Employed!W83+Summary_Unemployed!W83+Summary_Inactive!W83</f>
        <v>0</v>
      </c>
      <c r="X83" s="92">
        <f>Summary_Employed!X83+Summary_Unemployed!X83+Summary_Inactive!X83</f>
        <v>0</v>
      </c>
      <c r="Y83" s="93"/>
      <c r="Z83" s="92">
        <f>Summary_Employed!Z83+Summary_Unemployed!Z83+Summary_Inactive!Z83</f>
        <v>0</v>
      </c>
      <c r="AA83" s="92">
        <f>Summary_Employed!AA83+Summary_Unemployed!AA83+Summary_Inactive!AA83</f>
        <v>0</v>
      </c>
      <c r="AB83" s="271">
        <f>Summary_Employed!AB83+Summary_Unemployed!AB83+Summary_Inactive!AB83</f>
        <v>0</v>
      </c>
      <c r="AC83" s="3"/>
      <c r="AD83" s="3"/>
      <c r="AE83" s="3"/>
      <c r="AF83" s="3"/>
      <c r="AG83" s="3"/>
      <c r="AH83" s="3"/>
      <c r="AI83" s="3"/>
      <c r="AJ83" s="3"/>
      <c r="AK83" s="3"/>
      <c r="AL83" s="3"/>
      <c r="AM83" s="3"/>
      <c r="AN83" s="3"/>
      <c r="AO83" s="3"/>
      <c r="AP83" s="3"/>
      <c r="AQ83" s="3"/>
      <c r="AR83" s="3"/>
      <c r="AS83" s="3"/>
    </row>
    <row r="84" spans="1:45" customFormat="1" ht="12.75" customHeight="1" x14ac:dyDescent="0.2">
      <c r="A84" s="351" t="s">
        <v>6</v>
      </c>
      <c r="B84" s="79" t="s">
        <v>87</v>
      </c>
      <c r="C84" s="86">
        <f>Summary_Employed!C84+Summary_Unemployed!C84+Summary_Inactive!C84</f>
        <v>0</v>
      </c>
      <c r="D84" s="86">
        <f>Summary_Employed!D84+Summary_Unemployed!D84+Summary_Inactive!D84</f>
        <v>0</v>
      </c>
      <c r="E84" s="86">
        <f>Summary_Employed!E84+Summary_Unemployed!E84+Summary_Inactive!E84</f>
        <v>0</v>
      </c>
      <c r="F84" s="86">
        <f>Summary_Employed!F84+Summary_Unemployed!F84+Summary_Inactive!F84</f>
        <v>0</v>
      </c>
      <c r="G84" s="86">
        <f>Summary_Employed!G84+Summary_Unemployed!G84+Summary_Inactive!G84</f>
        <v>0</v>
      </c>
      <c r="H84" s="86">
        <f>Summary_Employed!H84+Summary_Unemployed!H84+Summary_Inactive!H84</f>
        <v>0</v>
      </c>
      <c r="I84" s="86">
        <f>Summary_Employed!I84+Summary_Unemployed!I84+Summary_Inactive!I84</f>
        <v>0</v>
      </c>
      <c r="J84" s="86">
        <f>Summary_Employed!J84+Summary_Unemployed!J84+Summary_Inactive!J84</f>
        <v>0</v>
      </c>
      <c r="K84" s="86">
        <f>Summary_Employed!K84+Summary_Unemployed!K84+Summary_Inactive!K84</f>
        <v>0</v>
      </c>
      <c r="L84" s="86">
        <f>Summary_Employed!L84+Summary_Unemployed!L84+Summary_Inactive!L84</f>
        <v>0</v>
      </c>
      <c r="M84" s="86">
        <f>Summary_Employed!M84+Summary_Unemployed!M84+Summary_Inactive!M84</f>
        <v>0</v>
      </c>
      <c r="N84" s="86">
        <f>Summary_Employed!N84+Summary_Unemployed!N84+Summary_Inactive!N84</f>
        <v>0</v>
      </c>
      <c r="O84" s="86">
        <f>Summary_Employed!O84+Summary_Unemployed!O84+Summary_Inactive!O84</f>
        <v>0</v>
      </c>
      <c r="P84" s="87"/>
      <c r="Q84" s="86">
        <f>Summary_Employed!Q84+Summary_Unemployed!Q84+Summary_Inactive!Q84</f>
        <v>0</v>
      </c>
      <c r="R84" s="88"/>
      <c r="S84" s="86">
        <f>Summary_Employed!S84+Summary_Unemployed!S84+Summary_Inactive!S84</f>
        <v>0</v>
      </c>
      <c r="T84" s="86">
        <f>Summary_Employed!T84+Summary_Unemployed!T84+Summary_Inactive!T84</f>
        <v>0</v>
      </c>
      <c r="U84" s="86">
        <f>Summary_Employed!U84+Summary_Unemployed!U84+Summary_Inactive!U84</f>
        <v>0</v>
      </c>
      <c r="V84" s="87"/>
      <c r="W84" s="86">
        <f>Summary_Employed!W84+Summary_Unemployed!W84+Summary_Inactive!W84</f>
        <v>0</v>
      </c>
      <c r="X84" s="86">
        <f>Summary_Employed!X84+Summary_Unemployed!X84+Summary_Inactive!X84</f>
        <v>0</v>
      </c>
      <c r="Y84" s="87"/>
      <c r="Z84" s="86">
        <f>Summary_Employed!Z84+Summary_Unemployed!Z84+Summary_Inactive!Z84</f>
        <v>0</v>
      </c>
      <c r="AA84" s="86">
        <f>Summary_Employed!AA84+Summary_Unemployed!AA84+Summary_Inactive!AA84</f>
        <v>0</v>
      </c>
      <c r="AB84" s="268">
        <f>Summary_Employed!AB84+Summary_Unemployed!AB84+Summary_Inactive!AB84</f>
        <v>0</v>
      </c>
      <c r="AC84" s="3"/>
      <c r="AD84" s="3"/>
      <c r="AE84" s="3"/>
      <c r="AF84" s="3"/>
      <c r="AG84" s="3"/>
      <c r="AH84" s="3"/>
      <c r="AI84" s="3"/>
      <c r="AJ84" s="3"/>
      <c r="AK84" s="3"/>
      <c r="AL84" s="3"/>
      <c r="AM84" s="3"/>
      <c r="AN84" s="3"/>
      <c r="AO84" s="3"/>
      <c r="AP84" s="3"/>
      <c r="AQ84" s="3"/>
      <c r="AR84" s="3"/>
      <c r="AS84" s="3"/>
    </row>
    <row r="85" spans="1:45" customFormat="1" x14ac:dyDescent="0.2">
      <c r="A85" s="352"/>
      <c r="B85" s="79" t="s">
        <v>88</v>
      </c>
      <c r="C85" s="89">
        <f>Summary_Employed!C85+Summary_Unemployed!C85+Summary_Inactive!C85</f>
        <v>0</v>
      </c>
      <c r="D85" s="89">
        <f>Summary_Employed!D85+Summary_Unemployed!D85+Summary_Inactive!D85</f>
        <v>0</v>
      </c>
      <c r="E85" s="89">
        <f>Summary_Employed!E85+Summary_Unemployed!E85+Summary_Inactive!E85</f>
        <v>0</v>
      </c>
      <c r="F85" s="89">
        <f>Summary_Employed!F85+Summary_Unemployed!F85+Summary_Inactive!F85</f>
        <v>0</v>
      </c>
      <c r="G85" s="89">
        <f>Summary_Employed!G85+Summary_Unemployed!G85+Summary_Inactive!G85</f>
        <v>0</v>
      </c>
      <c r="H85" s="89">
        <f>Summary_Employed!H85+Summary_Unemployed!H85+Summary_Inactive!H85</f>
        <v>0</v>
      </c>
      <c r="I85" s="89">
        <f>Summary_Employed!I85+Summary_Unemployed!I85+Summary_Inactive!I85</f>
        <v>0</v>
      </c>
      <c r="J85" s="89">
        <f>Summary_Employed!J85+Summary_Unemployed!J85+Summary_Inactive!J85</f>
        <v>0</v>
      </c>
      <c r="K85" s="89">
        <f>Summary_Employed!K85+Summary_Unemployed!K85+Summary_Inactive!K85</f>
        <v>0</v>
      </c>
      <c r="L85" s="89">
        <f>Summary_Employed!L85+Summary_Unemployed!L85+Summary_Inactive!L85</f>
        <v>0</v>
      </c>
      <c r="M85" s="89">
        <f>Summary_Employed!M85+Summary_Unemployed!M85+Summary_Inactive!M85</f>
        <v>0</v>
      </c>
      <c r="N85" s="89">
        <f>Summary_Employed!N85+Summary_Unemployed!N85+Summary_Inactive!N85</f>
        <v>0</v>
      </c>
      <c r="O85" s="89">
        <f>Summary_Employed!O85+Summary_Unemployed!O85+Summary_Inactive!O85</f>
        <v>0</v>
      </c>
      <c r="P85" s="90"/>
      <c r="Q85" s="89">
        <f>Summary_Employed!Q85+Summary_Unemployed!Q85+Summary_Inactive!Q85</f>
        <v>0</v>
      </c>
      <c r="R85" s="91"/>
      <c r="S85" s="89">
        <f>Summary_Employed!S85+Summary_Unemployed!S85+Summary_Inactive!S85</f>
        <v>0</v>
      </c>
      <c r="T85" s="89">
        <f>Summary_Employed!T85+Summary_Unemployed!T85+Summary_Inactive!T85</f>
        <v>0</v>
      </c>
      <c r="U85" s="89">
        <f>Summary_Employed!U85+Summary_Unemployed!U85+Summary_Inactive!U85</f>
        <v>0</v>
      </c>
      <c r="V85" s="90"/>
      <c r="W85" s="89">
        <f>Summary_Employed!W85+Summary_Unemployed!W85+Summary_Inactive!W85</f>
        <v>0</v>
      </c>
      <c r="X85" s="89">
        <f>Summary_Employed!X85+Summary_Unemployed!X85+Summary_Inactive!X85</f>
        <v>0</v>
      </c>
      <c r="Y85" s="90"/>
      <c r="Z85" s="89">
        <f>Summary_Employed!Z85+Summary_Unemployed!Z85+Summary_Inactive!Z85</f>
        <v>0</v>
      </c>
      <c r="AA85" s="89">
        <f>Summary_Employed!AA85+Summary_Unemployed!AA85+Summary_Inactive!AA85</f>
        <v>0</v>
      </c>
      <c r="AB85" s="269">
        <f>Summary_Employed!AB85+Summary_Unemployed!AB85+Summary_Inactive!AB85</f>
        <v>0</v>
      </c>
      <c r="AC85" s="3"/>
      <c r="AD85" s="3"/>
      <c r="AE85" s="3"/>
      <c r="AF85" s="3"/>
      <c r="AG85" s="3"/>
      <c r="AH85" s="3"/>
      <c r="AI85" s="3"/>
      <c r="AJ85" s="3"/>
      <c r="AK85" s="3"/>
      <c r="AL85" s="3"/>
      <c r="AM85" s="3"/>
      <c r="AN85" s="3"/>
      <c r="AO85" s="3"/>
      <c r="AP85" s="3"/>
      <c r="AQ85" s="3"/>
      <c r="AR85" s="3"/>
      <c r="AS85" s="3"/>
    </row>
    <row r="86" spans="1:45" customFormat="1" x14ac:dyDescent="0.2">
      <c r="A86" s="352"/>
      <c r="B86" s="79" t="s">
        <v>89</v>
      </c>
      <c r="C86" s="89">
        <f>Summary_Employed!C86+Summary_Unemployed!C86+Summary_Inactive!C86</f>
        <v>0</v>
      </c>
      <c r="D86" s="89">
        <f>Summary_Employed!D86+Summary_Unemployed!D86+Summary_Inactive!D86</f>
        <v>0</v>
      </c>
      <c r="E86" s="89">
        <f>Summary_Employed!E86+Summary_Unemployed!E86+Summary_Inactive!E86</f>
        <v>0</v>
      </c>
      <c r="F86" s="89">
        <f>Summary_Employed!F86+Summary_Unemployed!F86+Summary_Inactive!F86</f>
        <v>0</v>
      </c>
      <c r="G86" s="89">
        <f>Summary_Employed!G86+Summary_Unemployed!G86+Summary_Inactive!G86</f>
        <v>0</v>
      </c>
      <c r="H86" s="89">
        <f>Summary_Employed!H86+Summary_Unemployed!H86+Summary_Inactive!H86</f>
        <v>0</v>
      </c>
      <c r="I86" s="89">
        <f>Summary_Employed!I86+Summary_Unemployed!I86+Summary_Inactive!I86</f>
        <v>0</v>
      </c>
      <c r="J86" s="89">
        <f>Summary_Employed!J86+Summary_Unemployed!J86+Summary_Inactive!J86</f>
        <v>0</v>
      </c>
      <c r="K86" s="89">
        <f>Summary_Employed!K86+Summary_Unemployed!K86+Summary_Inactive!K86</f>
        <v>0</v>
      </c>
      <c r="L86" s="89">
        <f>Summary_Employed!L86+Summary_Unemployed!L86+Summary_Inactive!L86</f>
        <v>0</v>
      </c>
      <c r="M86" s="89">
        <f>Summary_Employed!M86+Summary_Unemployed!M86+Summary_Inactive!M86</f>
        <v>0</v>
      </c>
      <c r="N86" s="89">
        <f>Summary_Employed!N86+Summary_Unemployed!N86+Summary_Inactive!N86</f>
        <v>0</v>
      </c>
      <c r="O86" s="89">
        <f>Summary_Employed!O86+Summary_Unemployed!O86+Summary_Inactive!O86</f>
        <v>0</v>
      </c>
      <c r="P86" s="90"/>
      <c r="Q86" s="89">
        <f>Summary_Employed!Q86+Summary_Unemployed!Q86+Summary_Inactive!Q86</f>
        <v>0</v>
      </c>
      <c r="R86" s="91"/>
      <c r="S86" s="89">
        <f>Summary_Employed!S86+Summary_Unemployed!S86+Summary_Inactive!S86</f>
        <v>0</v>
      </c>
      <c r="T86" s="89">
        <f>Summary_Employed!T86+Summary_Unemployed!T86+Summary_Inactive!T86</f>
        <v>0</v>
      </c>
      <c r="U86" s="89">
        <f>Summary_Employed!U86+Summary_Unemployed!U86+Summary_Inactive!U86</f>
        <v>0</v>
      </c>
      <c r="V86" s="90"/>
      <c r="W86" s="89">
        <f>Summary_Employed!W86+Summary_Unemployed!W86+Summary_Inactive!W86</f>
        <v>0</v>
      </c>
      <c r="X86" s="89">
        <f>Summary_Employed!X86+Summary_Unemployed!X86+Summary_Inactive!X86</f>
        <v>0</v>
      </c>
      <c r="Y86" s="90"/>
      <c r="Z86" s="89">
        <f>Summary_Employed!Z86+Summary_Unemployed!Z86+Summary_Inactive!Z86</f>
        <v>0</v>
      </c>
      <c r="AA86" s="89">
        <f>Summary_Employed!AA86+Summary_Unemployed!AA86+Summary_Inactive!AA86</f>
        <v>0</v>
      </c>
      <c r="AB86" s="269">
        <f>Summary_Employed!AB86+Summary_Unemployed!AB86+Summary_Inactive!AB86</f>
        <v>0</v>
      </c>
      <c r="AC86" s="3"/>
      <c r="AD86" s="3"/>
      <c r="AE86" s="3"/>
      <c r="AF86" s="3"/>
      <c r="AG86" s="3"/>
      <c r="AH86" s="3"/>
      <c r="AI86" s="3"/>
      <c r="AJ86" s="3"/>
      <c r="AK86" s="3"/>
      <c r="AL86" s="3"/>
      <c r="AM86" s="3"/>
      <c r="AN86" s="3"/>
      <c r="AO86" s="3"/>
      <c r="AP86" s="3"/>
      <c r="AQ86" s="3"/>
      <c r="AR86" s="3"/>
      <c r="AS86" s="3"/>
    </row>
    <row r="87" spans="1:45" customFormat="1" x14ac:dyDescent="0.2">
      <c r="A87" s="352"/>
      <c r="B87" s="79" t="s">
        <v>90</v>
      </c>
      <c r="C87" s="89">
        <f>Summary_Employed!C87+Summary_Unemployed!C87+Summary_Inactive!C87</f>
        <v>0</v>
      </c>
      <c r="D87" s="89">
        <f>Summary_Employed!D87+Summary_Unemployed!D87+Summary_Inactive!D87</f>
        <v>0</v>
      </c>
      <c r="E87" s="89">
        <f>Summary_Employed!E87+Summary_Unemployed!E87+Summary_Inactive!E87</f>
        <v>0</v>
      </c>
      <c r="F87" s="89">
        <f>Summary_Employed!F87+Summary_Unemployed!F87+Summary_Inactive!F87</f>
        <v>0</v>
      </c>
      <c r="G87" s="89">
        <f>Summary_Employed!G87+Summary_Unemployed!G87+Summary_Inactive!G87</f>
        <v>0</v>
      </c>
      <c r="H87" s="89">
        <f>Summary_Employed!H87+Summary_Unemployed!H87+Summary_Inactive!H87</f>
        <v>0</v>
      </c>
      <c r="I87" s="89">
        <f>Summary_Employed!I87+Summary_Unemployed!I87+Summary_Inactive!I87</f>
        <v>0</v>
      </c>
      <c r="J87" s="89">
        <f>Summary_Employed!J87+Summary_Unemployed!J87+Summary_Inactive!J87</f>
        <v>0</v>
      </c>
      <c r="K87" s="89">
        <f>Summary_Employed!K87+Summary_Unemployed!K87+Summary_Inactive!K87</f>
        <v>0</v>
      </c>
      <c r="L87" s="89">
        <f>Summary_Employed!L87+Summary_Unemployed!L87+Summary_Inactive!L87</f>
        <v>0</v>
      </c>
      <c r="M87" s="89">
        <f>Summary_Employed!M87+Summary_Unemployed!M87+Summary_Inactive!M87</f>
        <v>0</v>
      </c>
      <c r="N87" s="89">
        <f>Summary_Employed!N87+Summary_Unemployed!N87+Summary_Inactive!N87</f>
        <v>0</v>
      </c>
      <c r="O87" s="89">
        <f>Summary_Employed!O87+Summary_Unemployed!O87+Summary_Inactive!O87</f>
        <v>0</v>
      </c>
      <c r="P87" s="90"/>
      <c r="Q87" s="89">
        <f>Summary_Employed!Q87+Summary_Unemployed!Q87+Summary_Inactive!Q87</f>
        <v>0</v>
      </c>
      <c r="R87" s="91"/>
      <c r="S87" s="89">
        <f>Summary_Employed!S87+Summary_Unemployed!S87+Summary_Inactive!S87</f>
        <v>0</v>
      </c>
      <c r="T87" s="89">
        <f>Summary_Employed!T87+Summary_Unemployed!T87+Summary_Inactive!T87</f>
        <v>0</v>
      </c>
      <c r="U87" s="89">
        <f>Summary_Employed!U87+Summary_Unemployed!U87+Summary_Inactive!U87</f>
        <v>0</v>
      </c>
      <c r="V87" s="90"/>
      <c r="W87" s="89">
        <f>Summary_Employed!W87+Summary_Unemployed!W87+Summary_Inactive!W87</f>
        <v>0</v>
      </c>
      <c r="X87" s="89">
        <f>Summary_Employed!X87+Summary_Unemployed!X87+Summary_Inactive!X87</f>
        <v>0</v>
      </c>
      <c r="Y87" s="90"/>
      <c r="Z87" s="89">
        <f>Summary_Employed!Z87+Summary_Unemployed!Z87+Summary_Inactive!Z87</f>
        <v>0</v>
      </c>
      <c r="AA87" s="89">
        <f>Summary_Employed!AA87+Summary_Unemployed!AA87+Summary_Inactive!AA87</f>
        <v>0</v>
      </c>
      <c r="AB87" s="269">
        <f>Summary_Employed!AB87+Summary_Unemployed!AB87+Summary_Inactive!AB87</f>
        <v>0</v>
      </c>
      <c r="AC87" s="3"/>
      <c r="AD87" s="3"/>
      <c r="AE87" s="3"/>
      <c r="AF87" s="3"/>
      <c r="AG87" s="3"/>
      <c r="AH87" s="3"/>
      <c r="AI87" s="3"/>
      <c r="AJ87" s="3"/>
      <c r="AK87" s="3"/>
      <c r="AL87" s="3"/>
      <c r="AM87" s="3"/>
      <c r="AN87" s="3"/>
      <c r="AO87" s="3"/>
      <c r="AP87" s="3"/>
      <c r="AQ87" s="3"/>
      <c r="AR87" s="3"/>
      <c r="AS87" s="3"/>
    </row>
    <row r="88" spans="1:45" customFormat="1" x14ac:dyDescent="0.2">
      <c r="A88" s="352"/>
      <c r="B88" s="79" t="s">
        <v>91</v>
      </c>
      <c r="C88" s="89">
        <f>Summary_Employed!C88+Summary_Unemployed!C88+Summary_Inactive!C88</f>
        <v>0</v>
      </c>
      <c r="D88" s="89">
        <f>Summary_Employed!D88+Summary_Unemployed!D88+Summary_Inactive!D88</f>
        <v>0</v>
      </c>
      <c r="E88" s="89">
        <f>Summary_Employed!E88+Summary_Unemployed!E88+Summary_Inactive!E88</f>
        <v>0</v>
      </c>
      <c r="F88" s="89">
        <f>Summary_Employed!F88+Summary_Unemployed!F88+Summary_Inactive!F88</f>
        <v>0</v>
      </c>
      <c r="G88" s="89">
        <f>Summary_Employed!G88+Summary_Unemployed!G88+Summary_Inactive!G88</f>
        <v>0</v>
      </c>
      <c r="H88" s="89">
        <f>Summary_Employed!H88+Summary_Unemployed!H88+Summary_Inactive!H88</f>
        <v>0</v>
      </c>
      <c r="I88" s="89">
        <f>Summary_Employed!I88+Summary_Unemployed!I88+Summary_Inactive!I88</f>
        <v>0</v>
      </c>
      <c r="J88" s="89">
        <f>Summary_Employed!J88+Summary_Unemployed!J88+Summary_Inactive!J88</f>
        <v>0</v>
      </c>
      <c r="K88" s="89">
        <f>Summary_Employed!K88+Summary_Unemployed!K88+Summary_Inactive!K88</f>
        <v>0</v>
      </c>
      <c r="L88" s="89">
        <f>Summary_Employed!L88+Summary_Unemployed!L88+Summary_Inactive!L88</f>
        <v>0</v>
      </c>
      <c r="M88" s="89">
        <f>Summary_Employed!M88+Summary_Unemployed!M88+Summary_Inactive!M88</f>
        <v>0</v>
      </c>
      <c r="N88" s="89">
        <f>Summary_Employed!N88+Summary_Unemployed!N88+Summary_Inactive!N88</f>
        <v>0</v>
      </c>
      <c r="O88" s="89">
        <f>Summary_Employed!O88+Summary_Unemployed!O88+Summary_Inactive!O88</f>
        <v>0</v>
      </c>
      <c r="P88" s="90"/>
      <c r="Q88" s="89">
        <f>Summary_Employed!Q88+Summary_Unemployed!Q88+Summary_Inactive!Q88</f>
        <v>0</v>
      </c>
      <c r="R88" s="91"/>
      <c r="S88" s="89">
        <f>Summary_Employed!S88+Summary_Unemployed!S88+Summary_Inactive!S88</f>
        <v>0</v>
      </c>
      <c r="T88" s="89">
        <f>Summary_Employed!T88+Summary_Unemployed!T88+Summary_Inactive!T88</f>
        <v>0</v>
      </c>
      <c r="U88" s="89">
        <f>Summary_Employed!U88+Summary_Unemployed!U88+Summary_Inactive!U88</f>
        <v>0</v>
      </c>
      <c r="V88" s="90"/>
      <c r="W88" s="89">
        <f>Summary_Employed!W88+Summary_Unemployed!W88+Summary_Inactive!W88</f>
        <v>0</v>
      </c>
      <c r="X88" s="89">
        <f>Summary_Employed!X88+Summary_Unemployed!X88+Summary_Inactive!X88</f>
        <v>0</v>
      </c>
      <c r="Y88" s="90"/>
      <c r="Z88" s="89">
        <f>Summary_Employed!Z88+Summary_Unemployed!Z88+Summary_Inactive!Z88</f>
        <v>0</v>
      </c>
      <c r="AA88" s="89">
        <f>Summary_Employed!AA88+Summary_Unemployed!AA88+Summary_Inactive!AA88</f>
        <v>0</v>
      </c>
      <c r="AB88" s="269">
        <f>Summary_Employed!AB88+Summary_Unemployed!AB88+Summary_Inactive!AB88</f>
        <v>0</v>
      </c>
      <c r="AC88" s="3"/>
      <c r="AD88" s="3"/>
      <c r="AE88" s="3"/>
      <c r="AF88" s="3"/>
      <c r="AG88" s="3"/>
      <c r="AH88" s="3"/>
      <c r="AI88" s="3"/>
      <c r="AJ88" s="3"/>
      <c r="AK88" s="3"/>
      <c r="AL88" s="3"/>
      <c r="AM88" s="3"/>
      <c r="AN88" s="3"/>
      <c r="AO88" s="3"/>
      <c r="AP88" s="3"/>
      <c r="AQ88" s="3"/>
      <c r="AR88" s="3"/>
      <c r="AS88" s="3"/>
    </row>
    <row r="89" spans="1:45" customFormat="1" x14ac:dyDescent="0.2">
      <c r="A89" s="352"/>
      <c r="B89" s="79" t="s">
        <v>92</v>
      </c>
      <c r="C89" s="89">
        <f>Summary_Employed!C89+Summary_Unemployed!C89+Summary_Inactive!C89</f>
        <v>0</v>
      </c>
      <c r="D89" s="89">
        <f>Summary_Employed!D89+Summary_Unemployed!D89+Summary_Inactive!D89</f>
        <v>0</v>
      </c>
      <c r="E89" s="89">
        <f>Summary_Employed!E89+Summary_Unemployed!E89+Summary_Inactive!E89</f>
        <v>0</v>
      </c>
      <c r="F89" s="89">
        <f>Summary_Employed!F89+Summary_Unemployed!F89+Summary_Inactive!F89</f>
        <v>0</v>
      </c>
      <c r="G89" s="89">
        <f>Summary_Employed!G89+Summary_Unemployed!G89+Summary_Inactive!G89</f>
        <v>0</v>
      </c>
      <c r="H89" s="89">
        <f>Summary_Employed!H89+Summary_Unemployed!H89+Summary_Inactive!H89</f>
        <v>0</v>
      </c>
      <c r="I89" s="89">
        <f>Summary_Employed!I89+Summary_Unemployed!I89+Summary_Inactive!I89</f>
        <v>0</v>
      </c>
      <c r="J89" s="89">
        <f>Summary_Employed!J89+Summary_Unemployed!J89+Summary_Inactive!J89</f>
        <v>0</v>
      </c>
      <c r="K89" s="89">
        <f>Summary_Employed!K89+Summary_Unemployed!K89+Summary_Inactive!K89</f>
        <v>0</v>
      </c>
      <c r="L89" s="89">
        <f>Summary_Employed!L89+Summary_Unemployed!L89+Summary_Inactive!L89</f>
        <v>0</v>
      </c>
      <c r="M89" s="89">
        <f>Summary_Employed!M89+Summary_Unemployed!M89+Summary_Inactive!M89</f>
        <v>0</v>
      </c>
      <c r="N89" s="89">
        <f>Summary_Employed!N89+Summary_Unemployed!N89+Summary_Inactive!N89</f>
        <v>0</v>
      </c>
      <c r="O89" s="89">
        <f>Summary_Employed!O89+Summary_Unemployed!O89+Summary_Inactive!O89</f>
        <v>0</v>
      </c>
      <c r="P89" s="90"/>
      <c r="Q89" s="89">
        <f>Summary_Employed!Q89+Summary_Unemployed!Q89+Summary_Inactive!Q89</f>
        <v>0</v>
      </c>
      <c r="R89" s="91"/>
      <c r="S89" s="89">
        <f>Summary_Employed!S89+Summary_Unemployed!S89+Summary_Inactive!S89</f>
        <v>0</v>
      </c>
      <c r="T89" s="89">
        <f>Summary_Employed!T89+Summary_Unemployed!T89+Summary_Inactive!T89</f>
        <v>0</v>
      </c>
      <c r="U89" s="89">
        <f>Summary_Employed!U89+Summary_Unemployed!U89+Summary_Inactive!U89</f>
        <v>0</v>
      </c>
      <c r="V89" s="90"/>
      <c r="W89" s="89">
        <f>Summary_Employed!W89+Summary_Unemployed!W89+Summary_Inactive!W89</f>
        <v>0</v>
      </c>
      <c r="X89" s="89">
        <f>Summary_Employed!X89+Summary_Unemployed!X89+Summary_Inactive!X89</f>
        <v>0</v>
      </c>
      <c r="Y89" s="90"/>
      <c r="Z89" s="89">
        <f>Summary_Employed!Z89+Summary_Unemployed!Z89+Summary_Inactive!Z89</f>
        <v>0</v>
      </c>
      <c r="AA89" s="89">
        <f>Summary_Employed!AA89+Summary_Unemployed!AA89+Summary_Inactive!AA89</f>
        <v>0</v>
      </c>
      <c r="AB89" s="269">
        <f>Summary_Employed!AB89+Summary_Unemployed!AB89+Summary_Inactive!AB89</f>
        <v>0</v>
      </c>
      <c r="AC89" s="3"/>
      <c r="AD89" s="3"/>
      <c r="AE89" s="3"/>
      <c r="AF89" s="3"/>
      <c r="AG89" s="3"/>
      <c r="AH89" s="3"/>
      <c r="AI89" s="3"/>
      <c r="AJ89" s="3"/>
      <c r="AK89" s="3"/>
      <c r="AL89" s="3"/>
      <c r="AM89" s="3"/>
      <c r="AN89" s="3"/>
      <c r="AO89" s="3"/>
      <c r="AP89" s="3"/>
      <c r="AQ89" s="3"/>
      <c r="AR89" s="3"/>
      <c r="AS89" s="3"/>
    </row>
    <row r="90" spans="1:45" customFormat="1" x14ac:dyDescent="0.2">
      <c r="A90" s="352"/>
      <c r="B90" s="79" t="s">
        <v>93</v>
      </c>
      <c r="C90" s="89">
        <f>Summary_Employed!C90+Summary_Unemployed!C90+Summary_Inactive!C90</f>
        <v>0</v>
      </c>
      <c r="D90" s="89">
        <f>Summary_Employed!D90+Summary_Unemployed!D90+Summary_Inactive!D90</f>
        <v>0</v>
      </c>
      <c r="E90" s="89">
        <f>Summary_Employed!E90+Summary_Unemployed!E90+Summary_Inactive!E90</f>
        <v>0</v>
      </c>
      <c r="F90" s="89">
        <f>Summary_Employed!F90+Summary_Unemployed!F90+Summary_Inactive!F90</f>
        <v>0</v>
      </c>
      <c r="G90" s="89">
        <f>Summary_Employed!G90+Summary_Unemployed!G90+Summary_Inactive!G90</f>
        <v>0</v>
      </c>
      <c r="H90" s="89">
        <f>Summary_Employed!H90+Summary_Unemployed!H90+Summary_Inactive!H90</f>
        <v>0</v>
      </c>
      <c r="I90" s="89">
        <f>Summary_Employed!I90+Summary_Unemployed!I90+Summary_Inactive!I90</f>
        <v>0</v>
      </c>
      <c r="J90" s="89">
        <f>Summary_Employed!J90+Summary_Unemployed!J90+Summary_Inactive!J90</f>
        <v>0</v>
      </c>
      <c r="K90" s="89">
        <f>Summary_Employed!K90+Summary_Unemployed!K90+Summary_Inactive!K90</f>
        <v>0</v>
      </c>
      <c r="L90" s="89">
        <f>Summary_Employed!L90+Summary_Unemployed!L90+Summary_Inactive!L90</f>
        <v>0</v>
      </c>
      <c r="M90" s="89">
        <f>Summary_Employed!M90+Summary_Unemployed!M90+Summary_Inactive!M90</f>
        <v>0</v>
      </c>
      <c r="N90" s="89">
        <f>Summary_Employed!N90+Summary_Unemployed!N90+Summary_Inactive!N90</f>
        <v>0</v>
      </c>
      <c r="O90" s="89">
        <f>Summary_Employed!O90+Summary_Unemployed!O90+Summary_Inactive!O90</f>
        <v>0</v>
      </c>
      <c r="P90" s="90"/>
      <c r="Q90" s="89">
        <f>Summary_Employed!Q90+Summary_Unemployed!Q90+Summary_Inactive!Q90</f>
        <v>0</v>
      </c>
      <c r="R90" s="91"/>
      <c r="S90" s="89">
        <f>Summary_Employed!S90+Summary_Unemployed!S90+Summary_Inactive!S90</f>
        <v>0</v>
      </c>
      <c r="T90" s="89">
        <f>Summary_Employed!T90+Summary_Unemployed!T90+Summary_Inactive!T90</f>
        <v>0</v>
      </c>
      <c r="U90" s="89">
        <f>Summary_Employed!U90+Summary_Unemployed!U90+Summary_Inactive!U90</f>
        <v>0</v>
      </c>
      <c r="V90" s="90"/>
      <c r="W90" s="89">
        <f>Summary_Employed!W90+Summary_Unemployed!W90+Summary_Inactive!W90</f>
        <v>0</v>
      </c>
      <c r="X90" s="89">
        <f>Summary_Employed!X90+Summary_Unemployed!X90+Summary_Inactive!X90</f>
        <v>0</v>
      </c>
      <c r="Y90" s="90"/>
      <c r="Z90" s="89">
        <f>Summary_Employed!Z90+Summary_Unemployed!Z90+Summary_Inactive!Z90</f>
        <v>0</v>
      </c>
      <c r="AA90" s="89">
        <f>Summary_Employed!AA90+Summary_Unemployed!AA90+Summary_Inactive!AA90</f>
        <v>0</v>
      </c>
      <c r="AB90" s="269">
        <f>Summary_Employed!AB90+Summary_Unemployed!AB90+Summary_Inactive!AB90</f>
        <v>0</v>
      </c>
      <c r="AC90" s="3"/>
      <c r="AD90" s="3"/>
      <c r="AE90" s="3"/>
      <c r="AF90" s="3"/>
      <c r="AG90" s="3"/>
      <c r="AH90" s="3"/>
      <c r="AI90" s="3"/>
      <c r="AJ90" s="3"/>
      <c r="AK90" s="3"/>
      <c r="AL90" s="3"/>
      <c r="AM90" s="3"/>
      <c r="AN90" s="3"/>
      <c r="AO90" s="3"/>
      <c r="AP90" s="3"/>
      <c r="AQ90" s="3"/>
      <c r="AR90" s="3"/>
      <c r="AS90" s="3"/>
    </row>
    <row r="91" spans="1:45" customFormat="1" x14ac:dyDescent="0.2">
      <c r="A91" s="352"/>
      <c r="B91" s="79" t="s">
        <v>94</v>
      </c>
      <c r="C91" s="89">
        <f>Summary_Employed!C91+Summary_Unemployed!C91+Summary_Inactive!C91</f>
        <v>0</v>
      </c>
      <c r="D91" s="89">
        <f>Summary_Employed!D91+Summary_Unemployed!D91+Summary_Inactive!D91</f>
        <v>0</v>
      </c>
      <c r="E91" s="89">
        <f>Summary_Employed!E91+Summary_Unemployed!E91+Summary_Inactive!E91</f>
        <v>0</v>
      </c>
      <c r="F91" s="89">
        <f>Summary_Employed!F91+Summary_Unemployed!F91+Summary_Inactive!F91</f>
        <v>0</v>
      </c>
      <c r="G91" s="89">
        <f>Summary_Employed!G91+Summary_Unemployed!G91+Summary_Inactive!G91</f>
        <v>0</v>
      </c>
      <c r="H91" s="89">
        <f>Summary_Employed!H91+Summary_Unemployed!H91+Summary_Inactive!H91</f>
        <v>0</v>
      </c>
      <c r="I91" s="89">
        <f>Summary_Employed!I91+Summary_Unemployed!I91+Summary_Inactive!I91</f>
        <v>0</v>
      </c>
      <c r="J91" s="89">
        <f>Summary_Employed!J91+Summary_Unemployed!J91+Summary_Inactive!J91</f>
        <v>0</v>
      </c>
      <c r="K91" s="89">
        <f>Summary_Employed!K91+Summary_Unemployed!K91+Summary_Inactive!K91</f>
        <v>0</v>
      </c>
      <c r="L91" s="89">
        <f>Summary_Employed!L91+Summary_Unemployed!L91+Summary_Inactive!L91</f>
        <v>0</v>
      </c>
      <c r="M91" s="89">
        <f>Summary_Employed!M91+Summary_Unemployed!M91+Summary_Inactive!M91</f>
        <v>0</v>
      </c>
      <c r="N91" s="89">
        <f>Summary_Employed!N91+Summary_Unemployed!N91+Summary_Inactive!N91</f>
        <v>0</v>
      </c>
      <c r="O91" s="89">
        <f>Summary_Employed!O91+Summary_Unemployed!O91+Summary_Inactive!O91</f>
        <v>0</v>
      </c>
      <c r="P91" s="90"/>
      <c r="Q91" s="89">
        <f>Summary_Employed!Q91+Summary_Unemployed!Q91+Summary_Inactive!Q91</f>
        <v>0</v>
      </c>
      <c r="R91" s="91"/>
      <c r="S91" s="89">
        <f>Summary_Employed!S91+Summary_Unemployed!S91+Summary_Inactive!S91</f>
        <v>0</v>
      </c>
      <c r="T91" s="89">
        <f>Summary_Employed!T91+Summary_Unemployed!T91+Summary_Inactive!T91</f>
        <v>0</v>
      </c>
      <c r="U91" s="89">
        <f>Summary_Employed!U91+Summary_Unemployed!U91+Summary_Inactive!U91</f>
        <v>0</v>
      </c>
      <c r="V91" s="90"/>
      <c r="W91" s="89">
        <f>Summary_Employed!W91+Summary_Unemployed!W91+Summary_Inactive!W91</f>
        <v>0</v>
      </c>
      <c r="X91" s="89">
        <f>Summary_Employed!X91+Summary_Unemployed!X91+Summary_Inactive!X91</f>
        <v>0</v>
      </c>
      <c r="Y91" s="90"/>
      <c r="Z91" s="89">
        <f>Summary_Employed!Z91+Summary_Unemployed!Z91+Summary_Inactive!Z91</f>
        <v>0</v>
      </c>
      <c r="AA91" s="89">
        <f>Summary_Employed!AA91+Summary_Unemployed!AA91+Summary_Inactive!AA91</f>
        <v>0</v>
      </c>
      <c r="AB91" s="269">
        <f>Summary_Employed!AB91+Summary_Unemployed!AB91+Summary_Inactive!AB91</f>
        <v>0</v>
      </c>
      <c r="AC91" s="3"/>
      <c r="AD91" s="3"/>
      <c r="AE91" s="3"/>
      <c r="AF91" s="3"/>
      <c r="AG91" s="3"/>
      <c r="AH91" s="3"/>
      <c r="AI91" s="3"/>
      <c r="AJ91" s="3"/>
      <c r="AK91" s="3"/>
      <c r="AL91" s="3"/>
      <c r="AM91" s="3"/>
      <c r="AN91" s="3"/>
      <c r="AO91" s="3"/>
      <c r="AP91" s="3"/>
      <c r="AQ91" s="3"/>
      <c r="AR91" s="3"/>
      <c r="AS91" s="3"/>
    </row>
    <row r="92" spans="1:45" customFormat="1" x14ac:dyDescent="0.2">
      <c r="A92" s="352"/>
      <c r="B92" s="79" t="s">
        <v>95</v>
      </c>
      <c r="C92" s="89">
        <f>Summary_Employed!C92+Summary_Unemployed!C92+Summary_Inactive!C92</f>
        <v>0</v>
      </c>
      <c r="D92" s="89">
        <f>Summary_Employed!D92+Summary_Unemployed!D92+Summary_Inactive!D92</f>
        <v>0</v>
      </c>
      <c r="E92" s="89">
        <f>Summary_Employed!E92+Summary_Unemployed!E92+Summary_Inactive!E92</f>
        <v>0</v>
      </c>
      <c r="F92" s="89">
        <f>Summary_Employed!F92+Summary_Unemployed!F92+Summary_Inactive!F92</f>
        <v>0</v>
      </c>
      <c r="G92" s="89">
        <f>Summary_Employed!G92+Summary_Unemployed!G92+Summary_Inactive!G92</f>
        <v>0</v>
      </c>
      <c r="H92" s="89">
        <f>Summary_Employed!H92+Summary_Unemployed!H92+Summary_Inactive!H92</f>
        <v>0</v>
      </c>
      <c r="I92" s="89">
        <f>Summary_Employed!I92+Summary_Unemployed!I92+Summary_Inactive!I92</f>
        <v>0</v>
      </c>
      <c r="J92" s="89">
        <f>Summary_Employed!J92+Summary_Unemployed!J92+Summary_Inactive!J92</f>
        <v>0</v>
      </c>
      <c r="K92" s="89">
        <f>Summary_Employed!K92+Summary_Unemployed!K92+Summary_Inactive!K92</f>
        <v>0</v>
      </c>
      <c r="L92" s="89">
        <f>Summary_Employed!L92+Summary_Unemployed!L92+Summary_Inactive!L92</f>
        <v>0</v>
      </c>
      <c r="M92" s="89">
        <f>Summary_Employed!M92+Summary_Unemployed!M92+Summary_Inactive!M92</f>
        <v>0</v>
      </c>
      <c r="N92" s="89">
        <f>Summary_Employed!N92+Summary_Unemployed!N92+Summary_Inactive!N92</f>
        <v>0</v>
      </c>
      <c r="O92" s="89">
        <f>Summary_Employed!O92+Summary_Unemployed!O92+Summary_Inactive!O92</f>
        <v>0</v>
      </c>
      <c r="P92" s="90"/>
      <c r="Q92" s="89">
        <f>Summary_Employed!Q92+Summary_Unemployed!Q92+Summary_Inactive!Q92</f>
        <v>0</v>
      </c>
      <c r="R92" s="91"/>
      <c r="S92" s="89">
        <f>Summary_Employed!S92+Summary_Unemployed!S92+Summary_Inactive!S92</f>
        <v>0</v>
      </c>
      <c r="T92" s="89">
        <f>Summary_Employed!T92+Summary_Unemployed!T92+Summary_Inactive!T92</f>
        <v>0</v>
      </c>
      <c r="U92" s="89">
        <f>Summary_Employed!U92+Summary_Unemployed!U92+Summary_Inactive!U92</f>
        <v>0</v>
      </c>
      <c r="V92" s="90"/>
      <c r="W92" s="89">
        <f>Summary_Employed!W92+Summary_Unemployed!W92+Summary_Inactive!W92</f>
        <v>0</v>
      </c>
      <c r="X92" s="89">
        <f>Summary_Employed!X92+Summary_Unemployed!X92+Summary_Inactive!X92</f>
        <v>0</v>
      </c>
      <c r="Y92" s="90"/>
      <c r="Z92" s="89">
        <f>Summary_Employed!Z92+Summary_Unemployed!Z92+Summary_Inactive!Z92</f>
        <v>0</v>
      </c>
      <c r="AA92" s="89">
        <f>Summary_Employed!AA92+Summary_Unemployed!AA92+Summary_Inactive!AA92</f>
        <v>0</v>
      </c>
      <c r="AB92" s="269">
        <f>Summary_Employed!AB92+Summary_Unemployed!AB92+Summary_Inactive!AB92</f>
        <v>0</v>
      </c>
      <c r="AC92" s="3"/>
      <c r="AD92" s="3"/>
      <c r="AE92" s="3"/>
      <c r="AF92" s="3"/>
      <c r="AG92" s="3"/>
      <c r="AH92" s="3"/>
      <c r="AI92" s="3"/>
      <c r="AJ92" s="3"/>
      <c r="AK92" s="3"/>
      <c r="AL92" s="3"/>
      <c r="AM92" s="3"/>
      <c r="AN92" s="3"/>
      <c r="AO92" s="3"/>
      <c r="AP92" s="3"/>
      <c r="AQ92" s="3"/>
      <c r="AR92" s="3"/>
      <c r="AS92" s="3"/>
    </row>
    <row r="93" spans="1:45" customFormat="1" x14ac:dyDescent="0.2">
      <c r="A93" s="352"/>
      <c r="B93" s="79" t="s">
        <v>96</v>
      </c>
      <c r="C93" s="89">
        <f>Summary_Employed!C93+Summary_Unemployed!C93+Summary_Inactive!C93</f>
        <v>0</v>
      </c>
      <c r="D93" s="89">
        <f>Summary_Employed!D93+Summary_Unemployed!D93+Summary_Inactive!D93</f>
        <v>0</v>
      </c>
      <c r="E93" s="89">
        <f>Summary_Employed!E93+Summary_Unemployed!E93+Summary_Inactive!E93</f>
        <v>0</v>
      </c>
      <c r="F93" s="89">
        <f>Summary_Employed!F93+Summary_Unemployed!F93+Summary_Inactive!F93</f>
        <v>0</v>
      </c>
      <c r="G93" s="89">
        <f>Summary_Employed!G93+Summary_Unemployed!G93+Summary_Inactive!G93</f>
        <v>0</v>
      </c>
      <c r="H93" s="89">
        <f>Summary_Employed!H93+Summary_Unemployed!H93+Summary_Inactive!H93</f>
        <v>0</v>
      </c>
      <c r="I93" s="89">
        <f>Summary_Employed!I93+Summary_Unemployed!I93+Summary_Inactive!I93</f>
        <v>0</v>
      </c>
      <c r="J93" s="89">
        <f>Summary_Employed!J93+Summary_Unemployed!J93+Summary_Inactive!J93</f>
        <v>0</v>
      </c>
      <c r="K93" s="89">
        <f>Summary_Employed!K93+Summary_Unemployed!K93+Summary_Inactive!K93</f>
        <v>0</v>
      </c>
      <c r="L93" s="89">
        <f>Summary_Employed!L93+Summary_Unemployed!L93+Summary_Inactive!L93</f>
        <v>0</v>
      </c>
      <c r="M93" s="89">
        <f>Summary_Employed!M93+Summary_Unemployed!M93+Summary_Inactive!M93</f>
        <v>0</v>
      </c>
      <c r="N93" s="89">
        <f>Summary_Employed!N93+Summary_Unemployed!N93+Summary_Inactive!N93</f>
        <v>0</v>
      </c>
      <c r="O93" s="89">
        <f>Summary_Employed!O93+Summary_Unemployed!O93+Summary_Inactive!O93</f>
        <v>0</v>
      </c>
      <c r="P93" s="90"/>
      <c r="Q93" s="89">
        <f>Summary_Employed!Q93+Summary_Unemployed!Q93+Summary_Inactive!Q93</f>
        <v>0</v>
      </c>
      <c r="R93" s="91"/>
      <c r="S93" s="89">
        <f>Summary_Employed!S93+Summary_Unemployed!S93+Summary_Inactive!S93</f>
        <v>0</v>
      </c>
      <c r="T93" s="89">
        <f>Summary_Employed!T93+Summary_Unemployed!T93+Summary_Inactive!T93</f>
        <v>0</v>
      </c>
      <c r="U93" s="89">
        <f>Summary_Employed!U93+Summary_Unemployed!U93+Summary_Inactive!U93</f>
        <v>0</v>
      </c>
      <c r="V93" s="90"/>
      <c r="W93" s="89">
        <f>Summary_Employed!W93+Summary_Unemployed!W93+Summary_Inactive!W93</f>
        <v>0</v>
      </c>
      <c r="X93" s="89">
        <f>Summary_Employed!X93+Summary_Unemployed!X93+Summary_Inactive!X93</f>
        <v>0</v>
      </c>
      <c r="Y93" s="90"/>
      <c r="Z93" s="89">
        <f>Summary_Employed!Z93+Summary_Unemployed!Z93+Summary_Inactive!Z93</f>
        <v>0</v>
      </c>
      <c r="AA93" s="89">
        <f>Summary_Employed!AA93+Summary_Unemployed!AA93+Summary_Inactive!AA93</f>
        <v>0</v>
      </c>
      <c r="AB93" s="269">
        <f>Summary_Employed!AB93+Summary_Unemployed!AB93+Summary_Inactive!AB93</f>
        <v>0</v>
      </c>
      <c r="AC93" s="3"/>
      <c r="AD93" s="3"/>
      <c r="AE93" s="3"/>
      <c r="AF93" s="3"/>
      <c r="AG93" s="3"/>
      <c r="AH93" s="3"/>
      <c r="AI93" s="3"/>
      <c r="AJ93" s="3"/>
      <c r="AK93" s="3"/>
      <c r="AL93" s="3"/>
      <c r="AM93" s="3"/>
      <c r="AN93" s="3"/>
      <c r="AO93" s="3"/>
      <c r="AP93" s="3"/>
      <c r="AQ93" s="3"/>
      <c r="AR93" s="3"/>
      <c r="AS93" s="3"/>
    </row>
    <row r="94" spans="1:45" customFormat="1" x14ac:dyDescent="0.2">
      <c r="A94" s="352"/>
      <c r="B94" s="236" t="s">
        <v>258</v>
      </c>
      <c r="C94" s="233">
        <f>Summary_Employed!C94+Summary_Unemployed!C94+Summary_Inactive!C94</f>
        <v>0</v>
      </c>
      <c r="D94" s="225">
        <f>Summary_Employed!D94+Summary_Unemployed!D94+Summary_Inactive!D94</f>
        <v>0</v>
      </c>
      <c r="E94" s="225">
        <f>Summary_Employed!E94+Summary_Unemployed!E94+Summary_Inactive!E94</f>
        <v>0</v>
      </c>
      <c r="F94" s="225">
        <f>Summary_Employed!F94+Summary_Unemployed!F94+Summary_Inactive!F94</f>
        <v>0</v>
      </c>
      <c r="G94" s="225">
        <f>Summary_Employed!G94+Summary_Unemployed!G94+Summary_Inactive!G94</f>
        <v>0</v>
      </c>
      <c r="H94" s="225">
        <f>Summary_Employed!H94+Summary_Unemployed!H94+Summary_Inactive!H94</f>
        <v>0</v>
      </c>
      <c r="I94" s="225">
        <f>Summary_Employed!I94+Summary_Unemployed!I94+Summary_Inactive!I94</f>
        <v>0</v>
      </c>
      <c r="J94" s="225">
        <f>Summary_Employed!J94+Summary_Unemployed!J94+Summary_Inactive!J94</f>
        <v>0</v>
      </c>
      <c r="K94" s="225">
        <f>Summary_Employed!K94+Summary_Unemployed!K94+Summary_Inactive!K94</f>
        <v>0</v>
      </c>
      <c r="L94" s="225">
        <f>Summary_Employed!L94+Summary_Unemployed!L94+Summary_Inactive!L94</f>
        <v>0</v>
      </c>
      <c r="M94" s="225">
        <f>Summary_Employed!M94+Summary_Unemployed!M94+Summary_Inactive!M94</f>
        <v>0</v>
      </c>
      <c r="N94" s="225">
        <f>Summary_Employed!N94+Summary_Unemployed!N94+Summary_Inactive!N94</f>
        <v>0</v>
      </c>
      <c r="O94" s="225">
        <f>Summary_Employed!O94+Summary_Unemployed!O94+Summary_Inactive!O94</f>
        <v>0</v>
      </c>
      <c r="P94" s="90"/>
      <c r="Q94" s="225">
        <f>Summary_Employed!Q94+Summary_Unemployed!Q94+Summary_Inactive!Q94</f>
        <v>0</v>
      </c>
      <c r="R94" s="91"/>
      <c r="S94" s="225">
        <f>Summary_Employed!S94+Summary_Unemployed!S94+Summary_Inactive!S94</f>
        <v>0</v>
      </c>
      <c r="T94" s="225">
        <f>Summary_Employed!T94+Summary_Unemployed!T94+Summary_Inactive!T94</f>
        <v>0</v>
      </c>
      <c r="U94" s="225">
        <f>Summary_Employed!U94+Summary_Unemployed!U94+Summary_Inactive!U94</f>
        <v>0</v>
      </c>
      <c r="V94" s="90"/>
      <c r="W94" s="225">
        <f>Summary_Employed!W94+Summary_Unemployed!W94+Summary_Inactive!W94</f>
        <v>0</v>
      </c>
      <c r="X94" s="225">
        <f>Summary_Employed!X94+Summary_Unemployed!X94+Summary_Inactive!X94</f>
        <v>0</v>
      </c>
      <c r="Y94" s="90"/>
      <c r="Z94" s="225">
        <f>Summary_Employed!Z94+Summary_Unemployed!Z94+Summary_Inactive!Z94</f>
        <v>0</v>
      </c>
      <c r="AA94" s="225">
        <f>Summary_Employed!AA94+Summary_Unemployed!AA94+Summary_Inactive!AA94</f>
        <v>0</v>
      </c>
      <c r="AB94" s="270">
        <f>Summary_Employed!AB94+Summary_Unemployed!AB94+Summary_Inactive!AB94</f>
        <v>0</v>
      </c>
      <c r="AC94" s="3"/>
      <c r="AD94" s="3"/>
      <c r="AE94" s="3"/>
      <c r="AF94" s="3"/>
      <c r="AG94" s="3"/>
      <c r="AH94" s="3"/>
      <c r="AI94" s="3"/>
      <c r="AJ94" s="3"/>
      <c r="AK94" s="3"/>
      <c r="AL94" s="3"/>
      <c r="AM94" s="3"/>
      <c r="AN94" s="3"/>
      <c r="AO94" s="3"/>
      <c r="AP94" s="3"/>
      <c r="AQ94" s="3"/>
      <c r="AR94" s="3"/>
      <c r="AS94" s="3"/>
    </row>
    <row r="95" spans="1:45" customFormat="1" x14ac:dyDescent="0.2">
      <c r="A95" s="352"/>
      <c r="B95" s="236" t="s">
        <v>260</v>
      </c>
      <c r="C95" s="233">
        <f>Summary_Employed!C95+Summary_Unemployed!C95+Summary_Inactive!C95</f>
        <v>0</v>
      </c>
      <c r="D95" s="225">
        <f>Summary_Employed!D95+Summary_Unemployed!D95+Summary_Inactive!D95</f>
        <v>0</v>
      </c>
      <c r="E95" s="225">
        <f>Summary_Employed!E95+Summary_Unemployed!E95+Summary_Inactive!E95</f>
        <v>0</v>
      </c>
      <c r="F95" s="225">
        <f>Summary_Employed!F95+Summary_Unemployed!F95+Summary_Inactive!F95</f>
        <v>0</v>
      </c>
      <c r="G95" s="225">
        <f>Summary_Employed!G95+Summary_Unemployed!G95+Summary_Inactive!G95</f>
        <v>0</v>
      </c>
      <c r="H95" s="225">
        <f>Summary_Employed!H95+Summary_Unemployed!H95+Summary_Inactive!H95</f>
        <v>0</v>
      </c>
      <c r="I95" s="225">
        <f>Summary_Employed!I95+Summary_Unemployed!I95+Summary_Inactive!I95</f>
        <v>0</v>
      </c>
      <c r="J95" s="225">
        <f>Summary_Employed!J95+Summary_Unemployed!J95+Summary_Inactive!J95</f>
        <v>0</v>
      </c>
      <c r="K95" s="225">
        <f>Summary_Employed!K95+Summary_Unemployed!K95+Summary_Inactive!K95</f>
        <v>0</v>
      </c>
      <c r="L95" s="225">
        <f>Summary_Employed!L95+Summary_Unemployed!L95+Summary_Inactive!L95</f>
        <v>0</v>
      </c>
      <c r="M95" s="225">
        <f>Summary_Employed!M95+Summary_Unemployed!M95+Summary_Inactive!M95</f>
        <v>0</v>
      </c>
      <c r="N95" s="225">
        <f>Summary_Employed!N95+Summary_Unemployed!N95+Summary_Inactive!N95</f>
        <v>0</v>
      </c>
      <c r="O95" s="225">
        <f>Summary_Employed!O95+Summary_Unemployed!O95+Summary_Inactive!O95</f>
        <v>0</v>
      </c>
      <c r="P95" s="90"/>
      <c r="Q95" s="225">
        <f>Summary_Employed!Q95+Summary_Unemployed!Q95+Summary_Inactive!Q95</f>
        <v>0</v>
      </c>
      <c r="R95" s="91"/>
      <c r="S95" s="225">
        <f>Summary_Employed!S95+Summary_Unemployed!S95+Summary_Inactive!S95</f>
        <v>0</v>
      </c>
      <c r="T95" s="225">
        <f>Summary_Employed!T95+Summary_Unemployed!T95+Summary_Inactive!T95</f>
        <v>0</v>
      </c>
      <c r="U95" s="225">
        <f>Summary_Employed!U95+Summary_Unemployed!U95+Summary_Inactive!U95</f>
        <v>0</v>
      </c>
      <c r="V95" s="90"/>
      <c r="W95" s="225">
        <f>Summary_Employed!W95+Summary_Unemployed!W95+Summary_Inactive!W95</f>
        <v>0</v>
      </c>
      <c r="X95" s="225">
        <f>Summary_Employed!X95+Summary_Unemployed!X95+Summary_Inactive!X95</f>
        <v>0</v>
      </c>
      <c r="Y95" s="90"/>
      <c r="Z95" s="225">
        <f>Summary_Employed!Z95+Summary_Unemployed!Z95+Summary_Inactive!Z95</f>
        <v>0</v>
      </c>
      <c r="AA95" s="225">
        <f>Summary_Employed!AA95+Summary_Unemployed!AA95+Summary_Inactive!AA95</f>
        <v>0</v>
      </c>
      <c r="AB95" s="270">
        <f>Summary_Employed!AB95+Summary_Unemployed!AB95+Summary_Inactive!AB95</f>
        <v>0</v>
      </c>
      <c r="AC95" s="3"/>
      <c r="AD95" s="3"/>
      <c r="AE95" s="3"/>
      <c r="AF95" s="3"/>
      <c r="AG95" s="3"/>
      <c r="AH95" s="3"/>
      <c r="AI95" s="3"/>
      <c r="AJ95" s="3"/>
      <c r="AK95" s="3"/>
      <c r="AL95" s="3"/>
      <c r="AM95" s="3"/>
      <c r="AN95" s="3"/>
      <c r="AO95" s="3"/>
      <c r="AP95" s="3"/>
      <c r="AQ95" s="3"/>
      <c r="AR95" s="3"/>
      <c r="AS95" s="3"/>
    </row>
    <row r="96" spans="1:45" customFormat="1" ht="13.5" thickBot="1" x14ac:dyDescent="0.25">
      <c r="A96" s="352"/>
      <c r="B96" s="237" t="s">
        <v>261</v>
      </c>
      <c r="C96" s="234">
        <f>Summary_Employed!C96+Summary_Unemployed!C96+Summary_Inactive!C96</f>
        <v>0</v>
      </c>
      <c r="D96" s="92">
        <f>Summary_Employed!D96+Summary_Unemployed!D96+Summary_Inactive!D96</f>
        <v>0</v>
      </c>
      <c r="E96" s="92">
        <f>Summary_Employed!E96+Summary_Unemployed!E96+Summary_Inactive!E96</f>
        <v>0</v>
      </c>
      <c r="F96" s="92">
        <f>Summary_Employed!F96+Summary_Unemployed!F96+Summary_Inactive!F96</f>
        <v>0</v>
      </c>
      <c r="G96" s="92">
        <f>Summary_Employed!G96+Summary_Unemployed!G96+Summary_Inactive!G96</f>
        <v>0</v>
      </c>
      <c r="H96" s="92">
        <f>Summary_Employed!H96+Summary_Unemployed!H96+Summary_Inactive!H96</f>
        <v>0</v>
      </c>
      <c r="I96" s="92">
        <f>Summary_Employed!I96+Summary_Unemployed!I96+Summary_Inactive!I96</f>
        <v>0</v>
      </c>
      <c r="J96" s="92">
        <f>Summary_Employed!J96+Summary_Unemployed!J96+Summary_Inactive!J96</f>
        <v>0</v>
      </c>
      <c r="K96" s="92">
        <f>Summary_Employed!K96+Summary_Unemployed!K96+Summary_Inactive!K96</f>
        <v>0</v>
      </c>
      <c r="L96" s="92">
        <f>Summary_Employed!L96+Summary_Unemployed!L96+Summary_Inactive!L96</f>
        <v>0</v>
      </c>
      <c r="M96" s="92">
        <f>Summary_Employed!M96+Summary_Unemployed!M96+Summary_Inactive!M96</f>
        <v>0</v>
      </c>
      <c r="N96" s="92">
        <f>Summary_Employed!N96+Summary_Unemployed!N96+Summary_Inactive!N96</f>
        <v>0</v>
      </c>
      <c r="O96" s="92">
        <f>Summary_Employed!O96+Summary_Unemployed!O96+Summary_Inactive!O96</f>
        <v>0</v>
      </c>
      <c r="P96" s="93"/>
      <c r="Q96" s="92">
        <f>Summary_Employed!Q96+Summary_Unemployed!Q96+Summary_Inactive!Q96</f>
        <v>0</v>
      </c>
      <c r="R96" s="94"/>
      <c r="S96" s="92">
        <f>Summary_Employed!S96+Summary_Unemployed!S96+Summary_Inactive!S96</f>
        <v>0</v>
      </c>
      <c r="T96" s="92">
        <f>Summary_Employed!T96+Summary_Unemployed!T96+Summary_Inactive!T96</f>
        <v>0</v>
      </c>
      <c r="U96" s="92">
        <f>Summary_Employed!U96+Summary_Unemployed!U96+Summary_Inactive!U96</f>
        <v>0</v>
      </c>
      <c r="V96" s="93"/>
      <c r="W96" s="92">
        <f>Summary_Employed!W96+Summary_Unemployed!W96+Summary_Inactive!W96</f>
        <v>0</v>
      </c>
      <c r="X96" s="92">
        <f>Summary_Employed!X96+Summary_Unemployed!X96+Summary_Inactive!X96</f>
        <v>0</v>
      </c>
      <c r="Y96" s="93"/>
      <c r="Z96" s="92">
        <f>Summary_Employed!Z96+Summary_Unemployed!Z96+Summary_Inactive!Z96</f>
        <v>0</v>
      </c>
      <c r="AA96" s="92">
        <f>Summary_Employed!AA96+Summary_Unemployed!AA96+Summary_Inactive!AA96</f>
        <v>0</v>
      </c>
      <c r="AB96" s="271">
        <f>Summary_Employed!AB96+Summary_Unemployed!AB96+Summary_Inactive!AB96</f>
        <v>0</v>
      </c>
      <c r="AC96" s="3"/>
      <c r="AD96" s="3"/>
      <c r="AE96" s="3"/>
      <c r="AF96" s="3"/>
      <c r="AG96" s="3"/>
      <c r="AH96" s="3"/>
      <c r="AI96" s="3"/>
      <c r="AJ96" s="3"/>
      <c r="AK96" s="3"/>
      <c r="AL96" s="3"/>
      <c r="AM96" s="3"/>
      <c r="AN96" s="3"/>
      <c r="AO96" s="3"/>
      <c r="AP96" s="3"/>
      <c r="AQ96" s="3"/>
      <c r="AR96" s="3"/>
      <c r="AS96" s="3"/>
    </row>
    <row r="97" spans="1:45" x14ac:dyDescent="0.2">
      <c r="A97" s="351" t="s">
        <v>133</v>
      </c>
      <c r="B97" s="78" t="s">
        <v>87</v>
      </c>
      <c r="C97" s="86">
        <f>Summary_Employed!C97+Summary_Unemployed!C97+Summary_Inactive!C97</f>
        <v>0</v>
      </c>
      <c r="D97" s="86">
        <f>Summary_Employed!D97+Summary_Unemployed!D97+Summary_Inactive!D97</f>
        <v>0</v>
      </c>
      <c r="E97" s="86">
        <f>Summary_Employed!E97+Summary_Unemployed!E97+Summary_Inactive!E97</f>
        <v>0</v>
      </c>
      <c r="F97" s="86">
        <f>Summary_Employed!F97+Summary_Unemployed!F97+Summary_Inactive!F97</f>
        <v>0</v>
      </c>
      <c r="G97" s="86">
        <f>Summary_Employed!G97+Summary_Unemployed!G97+Summary_Inactive!G97</f>
        <v>0</v>
      </c>
      <c r="H97" s="86">
        <f>Summary_Employed!H97+Summary_Unemployed!H97+Summary_Inactive!H97</f>
        <v>0</v>
      </c>
      <c r="I97" s="86">
        <f>Summary_Employed!I97+Summary_Unemployed!I97+Summary_Inactive!I97</f>
        <v>0</v>
      </c>
      <c r="J97" s="86">
        <f>Summary_Employed!J97+Summary_Unemployed!J97+Summary_Inactive!J97</f>
        <v>0</v>
      </c>
      <c r="K97" s="86">
        <f>Summary_Employed!K97+Summary_Unemployed!K97+Summary_Inactive!K97</f>
        <v>0</v>
      </c>
      <c r="L97" s="86">
        <f>Summary_Employed!L97+Summary_Unemployed!L97+Summary_Inactive!L97</f>
        <v>0</v>
      </c>
      <c r="M97" s="86">
        <f>Summary_Employed!M97+Summary_Unemployed!M97+Summary_Inactive!M97</f>
        <v>0</v>
      </c>
      <c r="N97" s="86">
        <f>Summary_Employed!N97+Summary_Unemployed!N97+Summary_Inactive!N97</f>
        <v>0</v>
      </c>
      <c r="O97" s="86">
        <f>Summary_Employed!O97+Summary_Unemployed!O97+Summary_Inactive!O97</f>
        <v>0</v>
      </c>
      <c r="P97" s="87"/>
      <c r="Q97" s="86">
        <f>Summary_Employed!Q97+Summary_Unemployed!Q97+Summary_Inactive!Q97</f>
        <v>0</v>
      </c>
      <c r="R97" s="88"/>
      <c r="S97" s="86">
        <f>Summary_Employed!S97+Summary_Unemployed!S97+Summary_Inactive!S97</f>
        <v>0</v>
      </c>
      <c r="T97" s="86">
        <f>Summary_Employed!T97+Summary_Unemployed!T97+Summary_Inactive!T97</f>
        <v>0</v>
      </c>
      <c r="U97" s="86">
        <f>Summary_Employed!U97+Summary_Unemployed!U97+Summary_Inactive!U97</f>
        <v>0</v>
      </c>
      <c r="V97" s="87"/>
      <c r="W97" s="86">
        <f>Summary_Employed!W97+Summary_Unemployed!W97+Summary_Inactive!W97</f>
        <v>0</v>
      </c>
      <c r="X97" s="86">
        <f>Summary_Employed!X97+Summary_Unemployed!X97+Summary_Inactive!X97</f>
        <v>0</v>
      </c>
      <c r="Y97" s="87"/>
      <c r="Z97" s="86">
        <f>Summary_Employed!Z97+Summary_Unemployed!Z97+Summary_Inactive!Z97</f>
        <v>0</v>
      </c>
      <c r="AA97" s="86">
        <f>Summary_Employed!AA97+Summary_Unemployed!AA97+Summary_Inactive!AA97</f>
        <v>0</v>
      </c>
      <c r="AB97" s="268">
        <f>Summary_Employed!AB97+Summary_Unemployed!AB97+Summary_Inactive!AB97</f>
        <v>0</v>
      </c>
    </row>
    <row r="98" spans="1:45" x14ac:dyDescent="0.2">
      <c r="A98" s="352"/>
      <c r="B98" s="79" t="s">
        <v>88</v>
      </c>
      <c r="C98" s="89">
        <f>Summary_Employed!C98+Summary_Unemployed!C98+Summary_Inactive!C98</f>
        <v>0</v>
      </c>
      <c r="D98" s="89">
        <f>Summary_Employed!D98+Summary_Unemployed!D98+Summary_Inactive!D98</f>
        <v>0</v>
      </c>
      <c r="E98" s="89">
        <f>Summary_Employed!E98+Summary_Unemployed!E98+Summary_Inactive!E98</f>
        <v>0</v>
      </c>
      <c r="F98" s="89">
        <f>Summary_Employed!F98+Summary_Unemployed!F98+Summary_Inactive!F98</f>
        <v>0</v>
      </c>
      <c r="G98" s="89">
        <f>Summary_Employed!G98+Summary_Unemployed!G98+Summary_Inactive!G98</f>
        <v>0</v>
      </c>
      <c r="H98" s="89">
        <f>Summary_Employed!H98+Summary_Unemployed!H98+Summary_Inactive!H98</f>
        <v>0</v>
      </c>
      <c r="I98" s="89">
        <f>Summary_Employed!I98+Summary_Unemployed!I98+Summary_Inactive!I98</f>
        <v>0</v>
      </c>
      <c r="J98" s="89">
        <f>Summary_Employed!J98+Summary_Unemployed!J98+Summary_Inactive!J98</f>
        <v>0</v>
      </c>
      <c r="K98" s="89">
        <f>Summary_Employed!K98+Summary_Unemployed!K98+Summary_Inactive!K98</f>
        <v>0</v>
      </c>
      <c r="L98" s="89">
        <f>Summary_Employed!L98+Summary_Unemployed!L98+Summary_Inactive!L98</f>
        <v>0</v>
      </c>
      <c r="M98" s="89">
        <f>Summary_Employed!M98+Summary_Unemployed!M98+Summary_Inactive!M98</f>
        <v>0</v>
      </c>
      <c r="N98" s="89">
        <f>Summary_Employed!N98+Summary_Unemployed!N98+Summary_Inactive!N98</f>
        <v>0</v>
      </c>
      <c r="O98" s="89">
        <f>Summary_Employed!O98+Summary_Unemployed!O98+Summary_Inactive!O98</f>
        <v>0</v>
      </c>
      <c r="P98" s="90"/>
      <c r="Q98" s="89">
        <f>Summary_Employed!Q98+Summary_Unemployed!Q98+Summary_Inactive!Q98</f>
        <v>0</v>
      </c>
      <c r="R98" s="91"/>
      <c r="S98" s="89">
        <f>Summary_Employed!S98+Summary_Unemployed!S98+Summary_Inactive!S98</f>
        <v>0</v>
      </c>
      <c r="T98" s="89">
        <f>Summary_Employed!T98+Summary_Unemployed!T98+Summary_Inactive!T98</f>
        <v>0</v>
      </c>
      <c r="U98" s="89">
        <f>Summary_Employed!U98+Summary_Unemployed!U98+Summary_Inactive!U98</f>
        <v>0</v>
      </c>
      <c r="V98" s="90"/>
      <c r="W98" s="89">
        <f>Summary_Employed!W98+Summary_Unemployed!W98+Summary_Inactive!W98</f>
        <v>0</v>
      </c>
      <c r="X98" s="89">
        <f>Summary_Employed!X98+Summary_Unemployed!X98+Summary_Inactive!X98</f>
        <v>0</v>
      </c>
      <c r="Y98" s="90"/>
      <c r="Z98" s="89">
        <f>Summary_Employed!Z98+Summary_Unemployed!Z98+Summary_Inactive!Z98</f>
        <v>0</v>
      </c>
      <c r="AA98" s="89">
        <f>Summary_Employed!AA98+Summary_Unemployed!AA98+Summary_Inactive!AA98</f>
        <v>0</v>
      </c>
      <c r="AB98" s="269">
        <f>Summary_Employed!AB98+Summary_Unemployed!AB98+Summary_Inactive!AB98</f>
        <v>0</v>
      </c>
    </row>
    <row r="99" spans="1:45" x14ac:dyDescent="0.2">
      <c r="A99" s="352"/>
      <c r="B99" s="79" t="s">
        <v>89</v>
      </c>
      <c r="C99" s="89">
        <f>Summary_Employed!C99+Summary_Unemployed!C99+Summary_Inactive!C99</f>
        <v>0</v>
      </c>
      <c r="D99" s="89">
        <f>Summary_Employed!D99+Summary_Unemployed!D99+Summary_Inactive!D99</f>
        <v>0</v>
      </c>
      <c r="E99" s="89">
        <f>Summary_Employed!E99+Summary_Unemployed!E99+Summary_Inactive!E99</f>
        <v>0</v>
      </c>
      <c r="F99" s="89">
        <f>Summary_Employed!F99+Summary_Unemployed!F99+Summary_Inactive!F99</f>
        <v>0</v>
      </c>
      <c r="G99" s="89">
        <f>Summary_Employed!G99+Summary_Unemployed!G99+Summary_Inactive!G99</f>
        <v>0</v>
      </c>
      <c r="H99" s="89">
        <f>Summary_Employed!H99+Summary_Unemployed!H99+Summary_Inactive!H99</f>
        <v>0</v>
      </c>
      <c r="I99" s="89">
        <f>Summary_Employed!I99+Summary_Unemployed!I99+Summary_Inactive!I99</f>
        <v>0</v>
      </c>
      <c r="J99" s="89">
        <f>Summary_Employed!J99+Summary_Unemployed!J99+Summary_Inactive!J99</f>
        <v>0</v>
      </c>
      <c r="K99" s="89">
        <f>Summary_Employed!K99+Summary_Unemployed!K99+Summary_Inactive!K99</f>
        <v>0</v>
      </c>
      <c r="L99" s="89">
        <f>Summary_Employed!L99+Summary_Unemployed!L99+Summary_Inactive!L99</f>
        <v>0</v>
      </c>
      <c r="M99" s="89">
        <f>Summary_Employed!M99+Summary_Unemployed!M99+Summary_Inactive!M99</f>
        <v>0</v>
      </c>
      <c r="N99" s="89">
        <f>Summary_Employed!N99+Summary_Unemployed!N99+Summary_Inactive!N99</f>
        <v>0</v>
      </c>
      <c r="O99" s="89">
        <f>Summary_Employed!O99+Summary_Unemployed!O99+Summary_Inactive!O99</f>
        <v>0</v>
      </c>
      <c r="P99" s="90"/>
      <c r="Q99" s="89">
        <f>Summary_Employed!Q99+Summary_Unemployed!Q99+Summary_Inactive!Q99</f>
        <v>0</v>
      </c>
      <c r="R99" s="91"/>
      <c r="S99" s="89">
        <f>Summary_Employed!S99+Summary_Unemployed!S99+Summary_Inactive!S99</f>
        <v>0</v>
      </c>
      <c r="T99" s="89">
        <f>Summary_Employed!T99+Summary_Unemployed!T99+Summary_Inactive!T99</f>
        <v>0</v>
      </c>
      <c r="U99" s="89">
        <f>Summary_Employed!U99+Summary_Unemployed!U99+Summary_Inactive!U99</f>
        <v>0</v>
      </c>
      <c r="V99" s="90"/>
      <c r="W99" s="89">
        <f>Summary_Employed!W99+Summary_Unemployed!W99+Summary_Inactive!W99</f>
        <v>0</v>
      </c>
      <c r="X99" s="89">
        <f>Summary_Employed!X99+Summary_Unemployed!X99+Summary_Inactive!X99</f>
        <v>0</v>
      </c>
      <c r="Y99" s="90"/>
      <c r="Z99" s="89">
        <f>Summary_Employed!Z99+Summary_Unemployed!Z99+Summary_Inactive!Z99</f>
        <v>0</v>
      </c>
      <c r="AA99" s="89">
        <f>Summary_Employed!AA99+Summary_Unemployed!AA99+Summary_Inactive!AA99</f>
        <v>0</v>
      </c>
      <c r="AB99" s="269">
        <f>Summary_Employed!AB99+Summary_Unemployed!AB99+Summary_Inactive!AB99</f>
        <v>0</v>
      </c>
    </row>
    <row r="100" spans="1:45" x14ac:dyDescent="0.2">
      <c r="A100" s="352"/>
      <c r="B100" s="79" t="s">
        <v>90</v>
      </c>
      <c r="C100" s="89">
        <f>Summary_Employed!C100+Summary_Unemployed!C100+Summary_Inactive!C100</f>
        <v>0</v>
      </c>
      <c r="D100" s="89">
        <f>Summary_Employed!D100+Summary_Unemployed!D100+Summary_Inactive!D100</f>
        <v>0</v>
      </c>
      <c r="E100" s="89">
        <f>Summary_Employed!E100+Summary_Unemployed!E100+Summary_Inactive!E100</f>
        <v>0</v>
      </c>
      <c r="F100" s="89">
        <f>Summary_Employed!F100+Summary_Unemployed!F100+Summary_Inactive!F100</f>
        <v>0</v>
      </c>
      <c r="G100" s="89">
        <f>Summary_Employed!G100+Summary_Unemployed!G100+Summary_Inactive!G100</f>
        <v>0</v>
      </c>
      <c r="H100" s="89">
        <f>Summary_Employed!H100+Summary_Unemployed!H100+Summary_Inactive!H100</f>
        <v>0</v>
      </c>
      <c r="I100" s="89">
        <f>Summary_Employed!I100+Summary_Unemployed!I100+Summary_Inactive!I100</f>
        <v>0</v>
      </c>
      <c r="J100" s="89">
        <f>Summary_Employed!J100+Summary_Unemployed!J100+Summary_Inactive!J100</f>
        <v>0</v>
      </c>
      <c r="K100" s="89">
        <f>Summary_Employed!K100+Summary_Unemployed!K100+Summary_Inactive!K100</f>
        <v>0</v>
      </c>
      <c r="L100" s="89">
        <f>Summary_Employed!L100+Summary_Unemployed!L100+Summary_Inactive!L100</f>
        <v>0</v>
      </c>
      <c r="M100" s="89">
        <f>Summary_Employed!M100+Summary_Unemployed!M100+Summary_Inactive!M100</f>
        <v>0</v>
      </c>
      <c r="N100" s="89">
        <f>Summary_Employed!N100+Summary_Unemployed!N100+Summary_Inactive!N100</f>
        <v>0</v>
      </c>
      <c r="O100" s="89">
        <f>Summary_Employed!O100+Summary_Unemployed!O100+Summary_Inactive!O100</f>
        <v>0</v>
      </c>
      <c r="P100" s="90"/>
      <c r="Q100" s="89">
        <f>Summary_Employed!Q100+Summary_Unemployed!Q100+Summary_Inactive!Q100</f>
        <v>0</v>
      </c>
      <c r="R100" s="91"/>
      <c r="S100" s="89">
        <f>Summary_Employed!S100+Summary_Unemployed!S100+Summary_Inactive!S100</f>
        <v>0</v>
      </c>
      <c r="T100" s="89">
        <f>Summary_Employed!T100+Summary_Unemployed!T100+Summary_Inactive!T100</f>
        <v>0</v>
      </c>
      <c r="U100" s="89">
        <f>Summary_Employed!U100+Summary_Unemployed!U100+Summary_Inactive!U100</f>
        <v>0</v>
      </c>
      <c r="V100" s="90"/>
      <c r="W100" s="89">
        <f>Summary_Employed!W100+Summary_Unemployed!W100+Summary_Inactive!W100</f>
        <v>0</v>
      </c>
      <c r="X100" s="89">
        <f>Summary_Employed!X100+Summary_Unemployed!X100+Summary_Inactive!X100</f>
        <v>0</v>
      </c>
      <c r="Y100" s="90"/>
      <c r="Z100" s="89">
        <f>Summary_Employed!Z100+Summary_Unemployed!Z100+Summary_Inactive!Z100</f>
        <v>0</v>
      </c>
      <c r="AA100" s="89">
        <f>Summary_Employed!AA100+Summary_Unemployed!AA100+Summary_Inactive!AA100</f>
        <v>0</v>
      </c>
      <c r="AB100" s="269">
        <f>Summary_Employed!AB100+Summary_Unemployed!AB100+Summary_Inactive!AB100</f>
        <v>0</v>
      </c>
    </row>
    <row r="101" spans="1:45" x14ac:dyDescent="0.2">
      <c r="A101" s="352"/>
      <c r="B101" s="79" t="s">
        <v>91</v>
      </c>
      <c r="C101" s="89">
        <f>Summary_Employed!C101+Summary_Unemployed!C101+Summary_Inactive!C101</f>
        <v>0</v>
      </c>
      <c r="D101" s="89">
        <f>Summary_Employed!D101+Summary_Unemployed!D101+Summary_Inactive!D101</f>
        <v>0</v>
      </c>
      <c r="E101" s="89">
        <f>Summary_Employed!E101+Summary_Unemployed!E101+Summary_Inactive!E101</f>
        <v>0</v>
      </c>
      <c r="F101" s="89">
        <f>Summary_Employed!F101+Summary_Unemployed!F101+Summary_Inactive!F101</f>
        <v>0</v>
      </c>
      <c r="G101" s="89">
        <f>Summary_Employed!G101+Summary_Unemployed!G101+Summary_Inactive!G101</f>
        <v>0</v>
      </c>
      <c r="H101" s="89">
        <f>Summary_Employed!H101+Summary_Unemployed!H101+Summary_Inactive!H101</f>
        <v>0</v>
      </c>
      <c r="I101" s="89">
        <f>Summary_Employed!I101+Summary_Unemployed!I101+Summary_Inactive!I101</f>
        <v>0</v>
      </c>
      <c r="J101" s="89">
        <f>Summary_Employed!J101+Summary_Unemployed!J101+Summary_Inactive!J101</f>
        <v>0</v>
      </c>
      <c r="K101" s="89">
        <f>Summary_Employed!K101+Summary_Unemployed!K101+Summary_Inactive!K101</f>
        <v>0</v>
      </c>
      <c r="L101" s="89">
        <f>Summary_Employed!L101+Summary_Unemployed!L101+Summary_Inactive!L101</f>
        <v>0</v>
      </c>
      <c r="M101" s="89">
        <f>Summary_Employed!M101+Summary_Unemployed!M101+Summary_Inactive!M101</f>
        <v>0</v>
      </c>
      <c r="N101" s="89">
        <f>Summary_Employed!N101+Summary_Unemployed!N101+Summary_Inactive!N101</f>
        <v>0</v>
      </c>
      <c r="O101" s="89">
        <f>Summary_Employed!O101+Summary_Unemployed!O101+Summary_Inactive!O101</f>
        <v>0</v>
      </c>
      <c r="P101" s="90"/>
      <c r="Q101" s="89">
        <f>Summary_Employed!Q101+Summary_Unemployed!Q101+Summary_Inactive!Q101</f>
        <v>0</v>
      </c>
      <c r="R101" s="91"/>
      <c r="S101" s="89">
        <f>Summary_Employed!S101+Summary_Unemployed!S101+Summary_Inactive!S101</f>
        <v>0</v>
      </c>
      <c r="T101" s="89">
        <f>Summary_Employed!T101+Summary_Unemployed!T101+Summary_Inactive!T101</f>
        <v>0</v>
      </c>
      <c r="U101" s="89">
        <f>Summary_Employed!U101+Summary_Unemployed!U101+Summary_Inactive!U101</f>
        <v>0</v>
      </c>
      <c r="V101" s="90"/>
      <c r="W101" s="89">
        <f>Summary_Employed!W101+Summary_Unemployed!W101+Summary_Inactive!W101</f>
        <v>0</v>
      </c>
      <c r="X101" s="89">
        <f>Summary_Employed!X101+Summary_Unemployed!X101+Summary_Inactive!X101</f>
        <v>0</v>
      </c>
      <c r="Y101" s="90"/>
      <c r="Z101" s="89">
        <f>Summary_Employed!Z101+Summary_Unemployed!Z101+Summary_Inactive!Z101</f>
        <v>0</v>
      </c>
      <c r="AA101" s="89">
        <f>Summary_Employed!AA101+Summary_Unemployed!AA101+Summary_Inactive!AA101</f>
        <v>0</v>
      </c>
      <c r="AB101" s="269">
        <f>Summary_Employed!AB101+Summary_Unemployed!AB101+Summary_Inactive!AB101</f>
        <v>0</v>
      </c>
    </row>
    <row r="102" spans="1:45" x14ac:dyDescent="0.2">
      <c r="A102" s="352"/>
      <c r="B102" s="79" t="s">
        <v>92</v>
      </c>
      <c r="C102" s="89">
        <f>Summary_Employed!C102+Summary_Unemployed!C102+Summary_Inactive!C102</f>
        <v>0</v>
      </c>
      <c r="D102" s="89">
        <f>Summary_Employed!D102+Summary_Unemployed!D102+Summary_Inactive!D102</f>
        <v>0</v>
      </c>
      <c r="E102" s="89">
        <f>Summary_Employed!E102+Summary_Unemployed!E102+Summary_Inactive!E102</f>
        <v>0</v>
      </c>
      <c r="F102" s="89">
        <f>Summary_Employed!F102+Summary_Unemployed!F102+Summary_Inactive!F102</f>
        <v>0</v>
      </c>
      <c r="G102" s="89">
        <f>Summary_Employed!G102+Summary_Unemployed!G102+Summary_Inactive!G102</f>
        <v>0</v>
      </c>
      <c r="H102" s="89">
        <f>Summary_Employed!H102+Summary_Unemployed!H102+Summary_Inactive!H102</f>
        <v>0</v>
      </c>
      <c r="I102" s="89">
        <f>Summary_Employed!I102+Summary_Unemployed!I102+Summary_Inactive!I102</f>
        <v>0</v>
      </c>
      <c r="J102" s="89">
        <f>Summary_Employed!J102+Summary_Unemployed!J102+Summary_Inactive!J102</f>
        <v>0</v>
      </c>
      <c r="K102" s="89">
        <f>Summary_Employed!K102+Summary_Unemployed!K102+Summary_Inactive!K102</f>
        <v>0</v>
      </c>
      <c r="L102" s="89">
        <f>Summary_Employed!L102+Summary_Unemployed!L102+Summary_Inactive!L102</f>
        <v>0</v>
      </c>
      <c r="M102" s="89">
        <f>Summary_Employed!M102+Summary_Unemployed!M102+Summary_Inactive!M102</f>
        <v>0</v>
      </c>
      <c r="N102" s="89">
        <f>Summary_Employed!N102+Summary_Unemployed!N102+Summary_Inactive!N102</f>
        <v>0</v>
      </c>
      <c r="O102" s="89">
        <f>Summary_Employed!O102+Summary_Unemployed!O102+Summary_Inactive!O102</f>
        <v>0</v>
      </c>
      <c r="P102" s="90"/>
      <c r="Q102" s="89">
        <f>Summary_Employed!Q102+Summary_Unemployed!Q102+Summary_Inactive!Q102</f>
        <v>0</v>
      </c>
      <c r="R102" s="91"/>
      <c r="S102" s="89">
        <f>Summary_Employed!S102+Summary_Unemployed!S102+Summary_Inactive!S102</f>
        <v>0</v>
      </c>
      <c r="T102" s="89">
        <f>Summary_Employed!T102+Summary_Unemployed!T102+Summary_Inactive!T102</f>
        <v>0</v>
      </c>
      <c r="U102" s="89">
        <f>Summary_Employed!U102+Summary_Unemployed!U102+Summary_Inactive!U102</f>
        <v>0</v>
      </c>
      <c r="V102" s="90"/>
      <c r="W102" s="89">
        <f>Summary_Employed!W102+Summary_Unemployed!W102+Summary_Inactive!W102</f>
        <v>0</v>
      </c>
      <c r="X102" s="89">
        <f>Summary_Employed!X102+Summary_Unemployed!X102+Summary_Inactive!X102</f>
        <v>0</v>
      </c>
      <c r="Y102" s="90"/>
      <c r="Z102" s="89">
        <f>Summary_Employed!Z102+Summary_Unemployed!Z102+Summary_Inactive!Z102</f>
        <v>0</v>
      </c>
      <c r="AA102" s="89">
        <f>Summary_Employed!AA102+Summary_Unemployed!AA102+Summary_Inactive!AA102</f>
        <v>0</v>
      </c>
      <c r="AB102" s="269">
        <f>Summary_Employed!AB102+Summary_Unemployed!AB102+Summary_Inactive!AB102</f>
        <v>0</v>
      </c>
    </row>
    <row r="103" spans="1:45" x14ac:dyDescent="0.2">
      <c r="A103" s="352"/>
      <c r="B103" s="79" t="s">
        <v>93</v>
      </c>
      <c r="C103" s="89">
        <f>Summary_Employed!C103+Summary_Unemployed!C103+Summary_Inactive!C103</f>
        <v>0</v>
      </c>
      <c r="D103" s="89">
        <f>Summary_Employed!D103+Summary_Unemployed!D103+Summary_Inactive!D103</f>
        <v>0</v>
      </c>
      <c r="E103" s="89">
        <f>Summary_Employed!E103+Summary_Unemployed!E103+Summary_Inactive!E103</f>
        <v>0</v>
      </c>
      <c r="F103" s="89">
        <f>Summary_Employed!F103+Summary_Unemployed!F103+Summary_Inactive!F103</f>
        <v>0</v>
      </c>
      <c r="G103" s="89">
        <f>Summary_Employed!G103+Summary_Unemployed!G103+Summary_Inactive!G103</f>
        <v>0</v>
      </c>
      <c r="H103" s="89">
        <f>Summary_Employed!H103+Summary_Unemployed!H103+Summary_Inactive!H103</f>
        <v>0</v>
      </c>
      <c r="I103" s="89">
        <f>Summary_Employed!I103+Summary_Unemployed!I103+Summary_Inactive!I103</f>
        <v>0</v>
      </c>
      <c r="J103" s="89">
        <f>Summary_Employed!J103+Summary_Unemployed!J103+Summary_Inactive!J103</f>
        <v>0</v>
      </c>
      <c r="K103" s="89">
        <f>Summary_Employed!K103+Summary_Unemployed!K103+Summary_Inactive!K103</f>
        <v>0</v>
      </c>
      <c r="L103" s="89">
        <f>Summary_Employed!L103+Summary_Unemployed!L103+Summary_Inactive!L103</f>
        <v>0</v>
      </c>
      <c r="M103" s="89">
        <f>Summary_Employed!M103+Summary_Unemployed!M103+Summary_Inactive!M103</f>
        <v>0</v>
      </c>
      <c r="N103" s="89">
        <f>Summary_Employed!N103+Summary_Unemployed!N103+Summary_Inactive!N103</f>
        <v>0</v>
      </c>
      <c r="O103" s="89">
        <f>Summary_Employed!O103+Summary_Unemployed!O103+Summary_Inactive!O103</f>
        <v>0</v>
      </c>
      <c r="P103" s="90"/>
      <c r="Q103" s="89">
        <f>Summary_Employed!Q103+Summary_Unemployed!Q103+Summary_Inactive!Q103</f>
        <v>0</v>
      </c>
      <c r="R103" s="91"/>
      <c r="S103" s="89">
        <f>Summary_Employed!S103+Summary_Unemployed!S103+Summary_Inactive!S103</f>
        <v>0</v>
      </c>
      <c r="T103" s="89">
        <f>Summary_Employed!T103+Summary_Unemployed!T103+Summary_Inactive!T103</f>
        <v>0</v>
      </c>
      <c r="U103" s="89">
        <f>Summary_Employed!U103+Summary_Unemployed!U103+Summary_Inactive!U103</f>
        <v>0</v>
      </c>
      <c r="V103" s="90"/>
      <c r="W103" s="89">
        <f>Summary_Employed!W103+Summary_Unemployed!W103+Summary_Inactive!W103</f>
        <v>0</v>
      </c>
      <c r="X103" s="89">
        <f>Summary_Employed!X103+Summary_Unemployed!X103+Summary_Inactive!X103</f>
        <v>0</v>
      </c>
      <c r="Y103" s="90"/>
      <c r="Z103" s="89">
        <f>Summary_Employed!Z103+Summary_Unemployed!Z103+Summary_Inactive!Z103</f>
        <v>0</v>
      </c>
      <c r="AA103" s="89">
        <f>Summary_Employed!AA103+Summary_Unemployed!AA103+Summary_Inactive!AA103</f>
        <v>0</v>
      </c>
      <c r="AB103" s="269">
        <f>Summary_Employed!AB103+Summary_Unemployed!AB103+Summary_Inactive!AB103</f>
        <v>0</v>
      </c>
    </row>
    <row r="104" spans="1:45" x14ac:dyDescent="0.2">
      <c r="A104" s="352"/>
      <c r="B104" s="79" t="s">
        <v>94</v>
      </c>
      <c r="C104" s="89">
        <f>Summary_Employed!C104+Summary_Unemployed!C104+Summary_Inactive!C104</f>
        <v>0</v>
      </c>
      <c r="D104" s="89">
        <f>Summary_Employed!D104+Summary_Unemployed!D104+Summary_Inactive!D104</f>
        <v>0</v>
      </c>
      <c r="E104" s="89">
        <f>Summary_Employed!E104+Summary_Unemployed!E104+Summary_Inactive!E104</f>
        <v>0</v>
      </c>
      <c r="F104" s="89">
        <f>Summary_Employed!F104+Summary_Unemployed!F104+Summary_Inactive!F104</f>
        <v>0</v>
      </c>
      <c r="G104" s="89">
        <f>Summary_Employed!G104+Summary_Unemployed!G104+Summary_Inactive!G104</f>
        <v>0</v>
      </c>
      <c r="H104" s="89">
        <f>Summary_Employed!H104+Summary_Unemployed!H104+Summary_Inactive!H104</f>
        <v>0</v>
      </c>
      <c r="I104" s="89">
        <f>Summary_Employed!I104+Summary_Unemployed!I104+Summary_Inactive!I104</f>
        <v>0</v>
      </c>
      <c r="J104" s="89">
        <f>Summary_Employed!J104+Summary_Unemployed!J104+Summary_Inactive!J104</f>
        <v>0</v>
      </c>
      <c r="K104" s="89">
        <f>Summary_Employed!K104+Summary_Unemployed!K104+Summary_Inactive!K104</f>
        <v>0</v>
      </c>
      <c r="L104" s="89">
        <f>Summary_Employed!L104+Summary_Unemployed!L104+Summary_Inactive!L104</f>
        <v>0</v>
      </c>
      <c r="M104" s="89">
        <f>Summary_Employed!M104+Summary_Unemployed!M104+Summary_Inactive!M104</f>
        <v>0</v>
      </c>
      <c r="N104" s="89">
        <f>Summary_Employed!N104+Summary_Unemployed!N104+Summary_Inactive!N104</f>
        <v>0</v>
      </c>
      <c r="O104" s="89">
        <f>Summary_Employed!O104+Summary_Unemployed!O104+Summary_Inactive!O104</f>
        <v>0</v>
      </c>
      <c r="P104" s="90"/>
      <c r="Q104" s="89">
        <f>Summary_Employed!Q104+Summary_Unemployed!Q104+Summary_Inactive!Q104</f>
        <v>0</v>
      </c>
      <c r="R104" s="91"/>
      <c r="S104" s="89">
        <f>Summary_Employed!S104+Summary_Unemployed!S104+Summary_Inactive!S104</f>
        <v>0</v>
      </c>
      <c r="T104" s="89">
        <f>Summary_Employed!T104+Summary_Unemployed!T104+Summary_Inactive!T104</f>
        <v>0</v>
      </c>
      <c r="U104" s="89">
        <f>Summary_Employed!U104+Summary_Unemployed!U104+Summary_Inactive!U104</f>
        <v>0</v>
      </c>
      <c r="V104" s="90"/>
      <c r="W104" s="89">
        <f>Summary_Employed!W104+Summary_Unemployed!W104+Summary_Inactive!W104</f>
        <v>0</v>
      </c>
      <c r="X104" s="89">
        <f>Summary_Employed!X104+Summary_Unemployed!X104+Summary_Inactive!X104</f>
        <v>0</v>
      </c>
      <c r="Y104" s="90"/>
      <c r="Z104" s="89">
        <f>Summary_Employed!Z104+Summary_Unemployed!Z104+Summary_Inactive!Z104</f>
        <v>0</v>
      </c>
      <c r="AA104" s="89">
        <f>Summary_Employed!AA104+Summary_Unemployed!AA104+Summary_Inactive!AA104</f>
        <v>0</v>
      </c>
      <c r="AB104" s="269">
        <f>Summary_Employed!AB104+Summary_Unemployed!AB104+Summary_Inactive!AB104</f>
        <v>0</v>
      </c>
    </row>
    <row r="105" spans="1:45" x14ac:dyDescent="0.2">
      <c r="A105" s="352"/>
      <c r="B105" s="79" t="s">
        <v>95</v>
      </c>
      <c r="C105" s="89">
        <f>Summary_Employed!C105+Summary_Unemployed!C105+Summary_Inactive!C105</f>
        <v>0</v>
      </c>
      <c r="D105" s="89">
        <f>Summary_Employed!D105+Summary_Unemployed!D105+Summary_Inactive!D105</f>
        <v>0</v>
      </c>
      <c r="E105" s="89">
        <f>Summary_Employed!E105+Summary_Unemployed!E105+Summary_Inactive!E105</f>
        <v>0</v>
      </c>
      <c r="F105" s="89">
        <f>Summary_Employed!F105+Summary_Unemployed!F105+Summary_Inactive!F105</f>
        <v>0</v>
      </c>
      <c r="G105" s="89">
        <f>Summary_Employed!G105+Summary_Unemployed!G105+Summary_Inactive!G105</f>
        <v>0</v>
      </c>
      <c r="H105" s="89">
        <f>Summary_Employed!H105+Summary_Unemployed!H105+Summary_Inactive!H105</f>
        <v>0</v>
      </c>
      <c r="I105" s="89">
        <f>Summary_Employed!I105+Summary_Unemployed!I105+Summary_Inactive!I105</f>
        <v>0</v>
      </c>
      <c r="J105" s="89">
        <f>Summary_Employed!J105+Summary_Unemployed!J105+Summary_Inactive!J105</f>
        <v>0</v>
      </c>
      <c r="K105" s="89">
        <f>Summary_Employed!K105+Summary_Unemployed!K105+Summary_Inactive!K105</f>
        <v>0</v>
      </c>
      <c r="L105" s="89">
        <f>Summary_Employed!L105+Summary_Unemployed!L105+Summary_Inactive!L105</f>
        <v>0</v>
      </c>
      <c r="M105" s="89">
        <f>Summary_Employed!M105+Summary_Unemployed!M105+Summary_Inactive!M105</f>
        <v>0</v>
      </c>
      <c r="N105" s="89">
        <f>Summary_Employed!N105+Summary_Unemployed!N105+Summary_Inactive!N105</f>
        <v>0</v>
      </c>
      <c r="O105" s="89">
        <f>Summary_Employed!O105+Summary_Unemployed!O105+Summary_Inactive!O105</f>
        <v>0</v>
      </c>
      <c r="P105" s="90"/>
      <c r="Q105" s="89">
        <f>Summary_Employed!Q105+Summary_Unemployed!Q105+Summary_Inactive!Q105</f>
        <v>0</v>
      </c>
      <c r="R105" s="91"/>
      <c r="S105" s="89">
        <f>Summary_Employed!S105+Summary_Unemployed!S105+Summary_Inactive!S105</f>
        <v>0</v>
      </c>
      <c r="T105" s="89">
        <f>Summary_Employed!T105+Summary_Unemployed!T105+Summary_Inactive!T105</f>
        <v>0</v>
      </c>
      <c r="U105" s="89">
        <f>Summary_Employed!U105+Summary_Unemployed!U105+Summary_Inactive!U105</f>
        <v>0</v>
      </c>
      <c r="V105" s="90"/>
      <c r="W105" s="89">
        <f>Summary_Employed!W105+Summary_Unemployed!W105+Summary_Inactive!W105</f>
        <v>0</v>
      </c>
      <c r="X105" s="89">
        <f>Summary_Employed!X105+Summary_Unemployed!X105+Summary_Inactive!X105</f>
        <v>0</v>
      </c>
      <c r="Y105" s="90"/>
      <c r="Z105" s="89">
        <f>Summary_Employed!Z105+Summary_Unemployed!Z105+Summary_Inactive!Z105</f>
        <v>0</v>
      </c>
      <c r="AA105" s="89">
        <f>Summary_Employed!AA105+Summary_Unemployed!AA105+Summary_Inactive!AA105</f>
        <v>0</v>
      </c>
      <c r="AB105" s="269">
        <f>Summary_Employed!AB105+Summary_Unemployed!AB105+Summary_Inactive!AB105</f>
        <v>0</v>
      </c>
    </row>
    <row r="106" spans="1:45" x14ac:dyDescent="0.2">
      <c r="A106" s="352"/>
      <c r="B106" s="79" t="s">
        <v>96</v>
      </c>
      <c r="C106" s="89">
        <f>Summary_Employed!C106+Summary_Unemployed!C106+Summary_Inactive!C106</f>
        <v>0</v>
      </c>
      <c r="D106" s="89">
        <f>Summary_Employed!D106+Summary_Unemployed!D106+Summary_Inactive!D106</f>
        <v>0</v>
      </c>
      <c r="E106" s="89">
        <f>Summary_Employed!E106+Summary_Unemployed!E106+Summary_Inactive!E106</f>
        <v>0</v>
      </c>
      <c r="F106" s="89">
        <f>Summary_Employed!F106+Summary_Unemployed!F106+Summary_Inactive!F106</f>
        <v>0</v>
      </c>
      <c r="G106" s="89">
        <f>Summary_Employed!G106+Summary_Unemployed!G106+Summary_Inactive!G106</f>
        <v>0</v>
      </c>
      <c r="H106" s="89">
        <f>Summary_Employed!H106+Summary_Unemployed!H106+Summary_Inactive!H106</f>
        <v>0</v>
      </c>
      <c r="I106" s="89">
        <f>Summary_Employed!I106+Summary_Unemployed!I106+Summary_Inactive!I106</f>
        <v>0</v>
      </c>
      <c r="J106" s="89">
        <f>Summary_Employed!J106+Summary_Unemployed!J106+Summary_Inactive!J106</f>
        <v>0</v>
      </c>
      <c r="K106" s="89">
        <f>Summary_Employed!K106+Summary_Unemployed!K106+Summary_Inactive!K106</f>
        <v>0</v>
      </c>
      <c r="L106" s="89">
        <f>Summary_Employed!L106+Summary_Unemployed!L106+Summary_Inactive!L106</f>
        <v>0</v>
      </c>
      <c r="M106" s="89">
        <f>Summary_Employed!M106+Summary_Unemployed!M106+Summary_Inactive!M106</f>
        <v>0</v>
      </c>
      <c r="N106" s="89">
        <f>Summary_Employed!N106+Summary_Unemployed!N106+Summary_Inactive!N106</f>
        <v>0</v>
      </c>
      <c r="O106" s="89">
        <f>Summary_Employed!O106+Summary_Unemployed!O106+Summary_Inactive!O106</f>
        <v>0</v>
      </c>
      <c r="P106" s="90"/>
      <c r="Q106" s="89">
        <f>Summary_Employed!Q106+Summary_Unemployed!Q106+Summary_Inactive!Q106</f>
        <v>0</v>
      </c>
      <c r="R106" s="91"/>
      <c r="S106" s="89">
        <f>Summary_Employed!S106+Summary_Unemployed!S106+Summary_Inactive!S106</f>
        <v>0</v>
      </c>
      <c r="T106" s="89">
        <f>Summary_Employed!T106+Summary_Unemployed!T106+Summary_Inactive!T106</f>
        <v>0</v>
      </c>
      <c r="U106" s="89">
        <f>Summary_Employed!U106+Summary_Unemployed!U106+Summary_Inactive!U106</f>
        <v>0</v>
      </c>
      <c r="V106" s="90"/>
      <c r="W106" s="89">
        <f>Summary_Employed!W106+Summary_Unemployed!W106+Summary_Inactive!W106</f>
        <v>0</v>
      </c>
      <c r="X106" s="89">
        <f>Summary_Employed!X106+Summary_Unemployed!X106+Summary_Inactive!X106</f>
        <v>0</v>
      </c>
      <c r="Y106" s="90"/>
      <c r="Z106" s="89">
        <f>Summary_Employed!Z106+Summary_Unemployed!Z106+Summary_Inactive!Z106</f>
        <v>0</v>
      </c>
      <c r="AA106" s="89">
        <f>Summary_Employed!AA106+Summary_Unemployed!AA106+Summary_Inactive!AA106</f>
        <v>0</v>
      </c>
      <c r="AB106" s="269">
        <f>Summary_Employed!AB106+Summary_Unemployed!AB106+Summary_Inactive!AB106</f>
        <v>0</v>
      </c>
    </row>
    <row r="107" spans="1:45" customFormat="1" x14ac:dyDescent="0.2">
      <c r="A107" s="352"/>
      <c r="B107" s="236" t="s">
        <v>258</v>
      </c>
      <c r="C107" s="233">
        <f>Summary_Employed!C107+Summary_Unemployed!C107+Summary_Inactive!C107</f>
        <v>0</v>
      </c>
      <c r="D107" s="225">
        <f>Summary_Employed!D107+Summary_Unemployed!D107+Summary_Inactive!D107</f>
        <v>0</v>
      </c>
      <c r="E107" s="225">
        <f>Summary_Employed!E107+Summary_Unemployed!E107+Summary_Inactive!E107</f>
        <v>0</v>
      </c>
      <c r="F107" s="225">
        <f>Summary_Employed!F107+Summary_Unemployed!F107+Summary_Inactive!F107</f>
        <v>0</v>
      </c>
      <c r="G107" s="225">
        <f>Summary_Employed!G107+Summary_Unemployed!G107+Summary_Inactive!G107</f>
        <v>0</v>
      </c>
      <c r="H107" s="225">
        <f>Summary_Employed!H107+Summary_Unemployed!H107+Summary_Inactive!H107</f>
        <v>0</v>
      </c>
      <c r="I107" s="225">
        <f>Summary_Employed!I107+Summary_Unemployed!I107+Summary_Inactive!I107</f>
        <v>0</v>
      </c>
      <c r="J107" s="225">
        <f>Summary_Employed!J107+Summary_Unemployed!J107+Summary_Inactive!J107</f>
        <v>0</v>
      </c>
      <c r="K107" s="225">
        <f>Summary_Employed!K107+Summary_Unemployed!K107+Summary_Inactive!K107</f>
        <v>0</v>
      </c>
      <c r="L107" s="225">
        <f>Summary_Employed!L107+Summary_Unemployed!L107+Summary_Inactive!L107</f>
        <v>0</v>
      </c>
      <c r="M107" s="225">
        <f>Summary_Employed!M107+Summary_Unemployed!M107+Summary_Inactive!M107</f>
        <v>0</v>
      </c>
      <c r="N107" s="225">
        <f>Summary_Employed!N107+Summary_Unemployed!N107+Summary_Inactive!N107</f>
        <v>0</v>
      </c>
      <c r="O107" s="225">
        <f>Summary_Employed!O107+Summary_Unemployed!O107+Summary_Inactive!O107</f>
        <v>0</v>
      </c>
      <c r="P107" s="90"/>
      <c r="Q107" s="225">
        <f>Summary_Employed!Q107+Summary_Unemployed!Q107+Summary_Inactive!Q107</f>
        <v>0</v>
      </c>
      <c r="R107" s="91"/>
      <c r="S107" s="225">
        <f>Summary_Employed!S107+Summary_Unemployed!S107+Summary_Inactive!S107</f>
        <v>0</v>
      </c>
      <c r="T107" s="225">
        <f>Summary_Employed!T107+Summary_Unemployed!T107+Summary_Inactive!T107</f>
        <v>0</v>
      </c>
      <c r="U107" s="225">
        <f>Summary_Employed!U107+Summary_Unemployed!U107+Summary_Inactive!U107</f>
        <v>0</v>
      </c>
      <c r="V107" s="90"/>
      <c r="W107" s="225">
        <f>Summary_Employed!W107+Summary_Unemployed!W107+Summary_Inactive!W107</f>
        <v>0</v>
      </c>
      <c r="X107" s="225">
        <f>Summary_Employed!X107+Summary_Unemployed!X107+Summary_Inactive!X107</f>
        <v>0</v>
      </c>
      <c r="Y107" s="90"/>
      <c r="Z107" s="225">
        <f>Summary_Employed!Z107+Summary_Unemployed!Z107+Summary_Inactive!Z107</f>
        <v>0</v>
      </c>
      <c r="AA107" s="225">
        <f>Summary_Employed!AA107+Summary_Unemployed!AA107+Summary_Inactive!AA107</f>
        <v>0</v>
      </c>
      <c r="AB107" s="270">
        <f>Summary_Employed!AB107+Summary_Unemployed!AB107+Summary_Inactive!AB107</f>
        <v>0</v>
      </c>
      <c r="AC107" s="3"/>
      <c r="AD107" s="3"/>
      <c r="AE107" s="3"/>
      <c r="AF107" s="3"/>
      <c r="AG107" s="3"/>
      <c r="AH107" s="3"/>
      <c r="AI107" s="3"/>
      <c r="AJ107" s="3"/>
      <c r="AK107" s="3"/>
      <c r="AL107" s="3"/>
      <c r="AM107" s="3"/>
      <c r="AN107" s="3"/>
      <c r="AO107" s="3"/>
      <c r="AP107" s="3"/>
      <c r="AQ107" s="3"/>
      <c r="AR107" s="3"/>
      <c r="AS107" s="3"/>
    </row>
    <row r="108" spans="1:45" customFormat="1" x14ac:dyDescent="0.2">
      <c r="A108" s="352"/>
      <c r="B108" s="236" t="s">
        <v>260</v>
      </c>
      <c r="C108" s="233">
        <f>Summary_Employed!C108+Summary_Unemployed!C108+Summary_Inactive!C108</f>
        <v>0</v>
      </c>
      <c r="D108" s="225">
        <f>Summary_Employed!D108+Summary_Unemployed!D108+Summary_Inactive!D108</f>
        <v>0</v>
      </c>
      <c r="E108" s="225">
        <f>Summary_Employed!E108+Summary_Unemployed!E108+Summary_Inactive!E108</f>
        <v>0</v>
      </c>
      <c r="F108" s="225">
        <f>Summary_Employed!F108+Summary_Unemployed!F108+Summary_Inactive!F108</f>
        <v>0</v>
      </c>
      <c r="G108" s="225">
        <f>Summary_Employed!G108+Summary_Unemployed!G108+Summary_Inactive!G108</f>
        <v>0</v>
      </c>
      <c r="H108" s="225">
        <f>Summary_Employed!H108+Summary_Unemployed!H108+Summary_Inactive!H108</f>
        <v>0</v>
      </c>
      <c r="I108" s="225">
        <f>Summary_Employed!I108+Summary_Unemployed!I108+Summary_Inactive!I108</f>
        <v>0</v>
      </c>
      <c r="J108" s="225">
        <f>Summary_Employed!J108+Summary_Unemployed!J108+Summary_Inactive!J108</f>
        <v>0</v>
      </c>
      <c r="K108" s="225">
        <f>Summary_Employed!K108+Summary_Unemployed!K108+Summary_Inactive!K108</f>
        <v>0</v>
      </c>
      <c r="L108" s="225">
        <f>Summary_Employed!L108+Summary_Unemployed!L108+Summary_Inactive!L108</f>
        <v>0</v>
      </c>
      <c r="M108" s="225">
        <f>Summary_Employed!M108+Summary_Unemployed!M108+Summary_Inactive!M108</f>
        <v>0</v>
      </c>
      <c r="N108" s="225">
        <f>Summary_Employed!N108+Summary_Unemployed!N108+Summary_Inactive!N108</f>
        <v>0</v>
      </c>
      <c r="O108" s="225">
        <f>Summary_Employed!O108+Summary_Unemployed!O108+Summary_Inactive!O108</f>
        <v>0</v>
      </c>
      <c r="P108" s="90"/>
      <c r="Q108" s="225">
        <f>Summary_Employed!Q108+Summary_Unemployed!Q108+Summary_Inactive!Q108</f>
        <v>0</v>
      </c>
      <c r="R108" s="91"/>
      <c r="S108" s="225">
        <f>Summary_Employed!S108+Summary_Unemployed!S108+Summary_Inactive!S108</f>
        <v>0</v>
      </c>
      <c r="T108" s="225">
        <f>Summary_Employed!T108+Summary_Unemployed!T108+Summary_Inactive!T108</f>
        <v>0</v>
      </c>
      <c r="U108" s="225">
        <f>Summary_Employed!U108+Summary_Unemployed!U108+Summary_Inactive!U108</f>
        <v>0</v>
      </c>
      <c r="V108" s="90"/>
      <c r="W108" s="225">
        <f>Summary_Employed!W108+Summary_Unemployed!W108+Summary_Inactive!W108</f>
        <v>0</v>
      </c>
      <c r="X108" s="225">
        <f>Summary_Employed!X108+Summary_Unemployed!X108+Summary_Inactive!X108</f>
        <v>0</v>
      </c>
      <c r="Y108" s="90"/>
      <c r="Z108" s="225">
        <f>Summary_Employed!Z108+Summary_Unemployed!Z108+Summary_Inactive!Z108</f>
        <v>0</v>
      </c>
      <c r="AA108" s="225">
        <f>Summary_Employed!AA108+Summary_Unemployed!AA108+Summary_Inactive!AA108</f>
        <v>0</v>
      </c>
      <c r="AB108" s="270">
        <f>Summary_Employed!AB108+Summary_Unemployed!AB108+Summary_Inactive!AB108</f>
        <v>0</v>
      </c>
      <c r="AC108" s="3"/>
      <c r="AD108" s="3"/>
      <c r="AE108" s="3"/>
      <c r="AF108" s="3"/>
      <c r="AG108" s="3"/>
      <c r="AH108" s="3"/>
      <c r="AI108" s="3"/>
      <c r="AJ108" s="3"/>
      <c r="AK108" s="3"/>
      <c r="AL108" s="3"/>
      <c r="AM108" s="3"/>
      <c r="AN108" s="3"/>
      <c r="AO108" s="3"/>
      <c r="AP108" s="3"/>
      <c r="AQ108" s="3"/>
      <c r="AR108" s="3"/>
      <c r="AS108" s="3"/>
    </row>
    <row r="109" spans="1:45" customFormat="1" ht="13.5" thickBot="1" x14ac:dyDescent="0.25">
      <c r="A109" s="353"/>
      <c r="B109" s="237" t="s">
        <v>261</v>
      </c>
      <c r="C109" s="234">
        <f>Summary_Employed!C109+Summary_Unemployed!C109+Summary_Inactive!C109</f>
        <v>0</v>
      </c>
      <c r="D109" s="92">
        <f>Summary_Employed!D109+Summary_Unemployed!D109+Summary_Inactive!D109</f>
        <v>0</v>
      </c>
      <c r="E109" s="92">
        <f>Summary_Employed!E109+Summary_Unemployed!E109+Summary_Inactive!E109</f>
        <v>0</v>
      </c>
      <c r="F109" s="92">
        <f>Summary_Employed!F109+Summary_Unemployed!F109+Summary_Inactive!F109</f>
        <v>0</v>
      </c>
      <c r="G109" s="92">
        <f>Summary_Employed!G109+Summary_Unemployed!G109+Summary_Inactive!G109</f>
        <v>0</v>
      </c>
      <c r="H109" s="92">
        <f>Summary_Employed!H109+Summary_Unemployed!H109+Summary_Inactive!H109</f>
        <v>0</v>
      </c>
      <c r="I109" s="92">
        <f>Summary_Employed!I109+Summary_Unemployed!I109+Summary_Inactive!I109</f>
        <v>0</v>
      </c>
      <c r="J109" s="92">
        <f>Summary_Employed!J109+Summary_Unemployed!J109+Summary_Inactive!J109</f>
        <v>0</v>
      </c>
      <c r="K109" s="92">
        <f>Summary_Employed!K109+Summary_Unemployed!K109+Summary_Inactive!K109</f>
        <v>0</v>
      </c>
      <c r="L109" s="92">
        <f>Summary_Employed!L109+Summary_Unemployed!L109+Summary_Inactive!L109</f>
        <v>0</v>
      </c>
      <c r="M109" s="92">
        <f>Summary_Employed!M109+Summary_Unemployed!M109+Summary_Inactive!M109</f>
        <v>0</v>
      </c>
      <c r="N109" s="92">
        <f>Summary_Employed!N109+Summary_Unemployed!N109+Summary_Inactive!N109</f>
        <v>0</v>
      </c>
      <c r="O109" s="92">
        <f>Summary_Employed!O109+Summary_Unemployed!O109+Summary_Inactive!O109</f>
        <v>0</v>
      </c>
      <c r="P109" s="93"/>
      <c r="Q109" s="92">
        <f>Summary_Employed!Q109+Summary_Unemployed!Q109+Summary_Inactive!Q109</f>
        <v>0</v>
      </c>
      <c r="R109" s="94"/>
      <c r="S109" s="92">
        <f>Summary_Employed!S109+Summary_Unemployed!S109+Summary_Inactive!S109</f>
        <v>0</v>
      </c>
      <c r="T109" s="92">
        <f>Summary_Employed!T109+Summary_Unemployed!T109+Summary_Inactive!T109</f>
        <v>0</v>
      </c>
      <c r="U109" s="92">
        <f>Summary_Employed!U109+Summary_Unemployed!U109+Summary_Inactive!U109</f>
        <v>0</v>
      </c>
      <c r="V109" s="93"/>
      <c r="W109" s="92">
        <f>Summary_Employed!W109+Summary_Unemployed!W109+Summary_Inactive!W109</f>
        <v>0</v>
      </c>
      <c r="X109" s="92">
        <f>Summary_Employed!X109+Summary_Unemployed!X109+Summary_Inactive!X109</f>
        <v>0</v>
      </c>
      <c r="Y109" s="93"/>
      <c r="Z109" s="92">
        <f>Summary_Employed!Z109+Summary_Unemployed!Z109+Summary_Inactive!Z109</f>
        <v>0</v>
      </c>
      <c r="AA109" s="92">
        <f>Summary_Employed!AA109+Summary_Unemployed!AA109+Summary_Inactive!AA109</f>
        <v>0</v>
      </c>
      <c r="AB109" s="271">
        <f>Summary_Employed!AB109+Summary_Unemployed!AB109+Summary_Inactive!AB109</f>
        <v>0</v>
      </c>
      <c r="AC109" s="3"/>
      <c r="AD109" s="3"/>
      <c r="AE109" s="3"/>
      <c r="AF109" s="3"/>
      <c r="AG109" s="3"/>
      <c r="AH109" s="3"/>
      <c r="AI109" s="3"/>
      <c r="AJ109" s="3"/>
      <c r="AK109" s="3"/>
      <c r="AL109" s="3"/>
      <c r="AM109" s="3"/>
      <c r="AN109" s="3"/>
      <c r="AO109" s="3"/>
      <c r="AP109" s="3"/>
      <c r="AQ109" s="3"/>
      <c r="AR109" s="3"/>
      <c r="AS109" s="3"/>
    </row>
  </sheetData>
  <sortState xmlns:xlrd2="http://schemas.microsoft.com/office/spreadsheetml/2017/richdata2" ref="B13:AC27">
    <sortCondition ref="B13:B27"/>
  </sortState>
  <mergeCells count="38">
    <mergeCell ref="A84:A96"/>
    <mergeCell ref="S68:S69"/>
    <mergeCell ref="T68:T69"/>
    <mergeCell ref="A68:A69"/>
    <mergeCell ref="B68:B69"/>
    <mergeCell ref="C68:C69"/>
    <mergeCell ref="D68:D69"/>
    <mergeCell ref="E68:F68"/>
    <mergeCell ref="A97:A109"/>
    <mergeCell ref="C3:AB3"/>
    <mergeCell ref="A6:A18"/>
    <mergeCell ref="A19:A31"/>
    <mergeCell ref="C67:AB67"/>
    <mergeCell ref="A32:A44"/>
    <mergeCell ref="U68:U69"/>
    <mergeCell ref="W68:X68"/>
    <mergeCell ref="Z68:AB68"/>
    <mergeCell ref="G68:H68"/>
    <mergeCell ref="I68:I69"/>
    <mergeCell ref="J68:M68"/>
    <mergeCell ref="N68:N69"/>
    <mergeCell ref="O68:O69"/>
    <mergeCell ref="Q68:Q69"/>
    <mergeCell ref="A71:A83"/>
    <mergeCell ref="A59:A65"/>
    <mergeCell ref="V1:W1"/>
    <mergeCell ref="X1:Y1"/>
    <mergeCell ref="M1:N1"/>
    <mergeCell ref="O1:P1"/>
    <mergeCell ref="Q1:R1"/>
    <mergeCell ref="T1:U1"/>
    <mergeCell ref="C1:D1"/>
    <mergeCell ref="E1:F1"/>
    <mergeCell ref="G1:H1"/>
    <mergeCell ref="I1:J1"/>
    <mergeCell ref="K1:L1"/>
    <mergeCell ref="A45:A51"/>
    <mergeCell ref="A52:A58"/>
  </mergeCells>
  <pageMargins left="0.70866141732283472" right="0.70866141732283472" top="0.74803149606299213" bottom="0.74803149606299213" header="0.31496062992125984" footer="0.31496062992125984"/>
  <pageSetup paperSize="9" scale="53" orientation="landscape" r:id="rId1"/>
  <headerFooter>
    <oddFooter>&amp;R&amp;A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2:R61"/>
  <sheetViews>
    <sheetView zoomScaleNormal="100" zoomScaleSheetLayoutView="100" workbookViewId="0"/>
  </sheetViews>
  <sheetFormatPr defaultColWidth="9.140625" defaultRowHeight="12.75" x14ac:dyDescent="0.2"/>
  <cols>
    <col min="1" max="1" width="17.42578125" style="273" customWidth="1"/>
    <col min="2" max="16" width="12.5703125" style="273" customWidth="1"/>
    <col min="17" max="17" width="12.5703125" style="273" hidden="1" customWidth="1"/>
    <col min="18" max="19" width="12.5703125" style="273" customWidth="1"/>
    <col min="20" max="16384" width="9.140625" style="273"/>
  </cols>
  <sheetData>
    <row r="2" spans="1:17" x14ac:dyDescent="0.2">
      <c r="A2" s="219" t="s">
        <v>247</v>
      </c>
      <c r="B2" s="222" t="s">
        <v>250</v>
      </c>
    </row>
    <row r="3" spans="1:17" s="224" customFormat="1" x14ac:dyDescent="0.2">
      <c r="A3" s="220" t="s">
        <v>257</v>
      </c>
      <c r="B3" s="221"/>
    </row>
    <row r="5" spans="1:17" x14ac:dyDescent="0.2">
      <c r="A5" s="109" t="s">
        <v>246</v>
      </c>
      <c r="B5" s="112"/>
      <c r="C5" s="112"/>
      <c r="D5" s="112"/>
      <c r="E5" s="112"/>
      <c r="F5" s="112"/>
      <c r="G5" s="112"/>
      <c r="H5" s="112"/>
      <c r="I5" s="112"/>
      <c r="J5" s="112"/>
      <c r="K5" s="112"/>
      <c r="L5" s="112"/>
    </row>
    <row r="6" spans="1:17" ht="13.5" thickBot="1" x14ac:dyDescent="0.25">
      <c r="A6" s="113" t="s">
        <v>143</v>
      </c>
      <c r="B6" s="114"/>
      <c r="C6" s="112"/>
      <c r="D6" s="112"/>
      <c r="E6" s="112"/>
      <c r="F6" s="112"/>
      <c r="G6" s="112"/>
      <c r="H6" s="112"/>
      <c r="I6" s="112"/>
      <c r="J6" s="112"/>
      <c r="K6" s="112"/>
      <c r="L6" s="112"/>
    </row>
    <row r="7" spans="1:17" ht="39" customHeight="1" x14ac:dyDescent="0.2">
      <c r="A7" s="215"/>
      <c r="B7" s="411" t="s">
        <v>144</v>
      </c>
      <c r="C7" s="412"/>
      <c r="D7" s="412"/>
      <c r="E7" s="412"/>
      <c r="F7" s="412"/>
      <c r="G7" s="411" t="s">
        <v>145</v>
      </c>
      <c r="H7" s="413"/>
      <c r="I7" s="411" t="s">
        <v>8</v>
      </c>
      <c r="J7" s="412"/>
      <c r="K7" s="412"/>
      <c r="L7" s="412"/>
      <c r="M7" s="413"/>
      <c r="N7" s="414" t="s">
        <v>4</v>
      </c>
    </row>
    <row r="8" spans="1:17" ht="61.5" customHeight="1" x14ac:dyDescent="0.2">
      <c r="A8" s="216"/>
      <c r="B8" s="107" t="s">
        <v>135</v>
      </c>
      <c r="C8" s="107" t="s">
        <v>136</v>
      </c>
      <c r="D8" s="288" t="s">
        <v>137</v>
      </c>
      <c r="E8" s="288" t="s">
        <v>138</v>
      </c>
      <c r="F8" s="288" t="s">
        <v>139</v>
      </c>
      <c r="G8" s="288" t="s">
        <v>141</v>
      </c>
      <c r="H8" s="107" t="s">
        <v>142</v>
      </c>
      <c r="I8" s="288" t="s">
        <v>164</v>
      </c>
      <c r="J8" s="288" t="s">
        <v>128</v>
      </c>
      <c r="K8" s="118" t="s">
        <v>129</v>
      </c>
      <c r="L8" s="289" t="s">
        <v>130</v>
      </c>
      <c r="M8" s="118" t="s">
        <v>253</v>
      </c>
      <c r="N8" s="415"/>
      <c r="Q8" s="287" t="s">
        <v>249</v>
      </c>
    </row>
    <row r="9" spans="1:17" x14ac:dyDescent="0.2">
      <c r="A9" s="217"/>
      <c r="B9" s="116">
        <v>1</v>
      </c>
      <c r="C9" s="116">
        <f t="shared" ref="C9:N9" si="0">B9+1</f>
        <v>2</v>
      </c>
      <c r="D9" s="116">
        <f t="shared" si="0"/>
        <v>3</v>
      </c>
      <c r="E9" s="117">
        <f t="shared" si="0"/>
        <v>4</v>
      </c>
      <c r="F9" s="117">
        <f t="shared" si="0"/>
        <v>5</v>
      </c>
      <c r="G9" s="117">
        <f t="shared" si="0"/>
        <v>6</v>
      </c>
      <c r="H9" s="116">
        <f t="shared" si="0"/>
        <v>7</v>
      </c>
      <c r="I9" s="116">
        <f t="shared" si="0"/>
        <v>8</v>
      </c>
      <c r="J9" s="116">
        <f t="shared" si="0"/>
        <v>9</v>
      </c>
      <c r="K9" s="116">
        <f t="shared" si="0"/>
        <v>10</v>
      </c>
      <c r="L9" s="117">
        <f t="shared" si="0"/>
        <v>11</v>
      </c>
      <c r="M9" s="117">
        <f t="shared" si="0"/>
        <v>12</v>
      </c>
      <c r="N9" s="137">
        <f t="shared" si="0"/>
        <v>13</v>
      </c>
      <c r="Q9" s="273" t="s">
        <v>250</v>
      </c>
    </row>
    <row r="10" spans="1:17" x14ac:dyDescent="0.2">
      <c r="A10" s="139"/>
      <c r="B10" s="115"/>
      <c r="C10" s="115"/>
      <c r="D10" s="115"/>
      <c r="E10" s="115"/>
      <c r="F10" s="115"/>
      <c r="G10" s="115"/>
      <c r="H10" s="115"/>
      <c r="I10" s="115"/>
      <c r="J10" s="115"/>
      <c r="K10" s="115"/>
      <c r="L10" s="115"/>
      <c r="M10" s="211"/>
      <c r="N10" s="141"/>
      <c r="Q10" s="273" t="s">
        <v>251</v>
      </c>
    </row>
    <row r="11" spans="1:17" x14ac:dyDescent="0.2">
      <c r="A11" s="139" t="s">
        <v>146</v>
      </c>
      <c r="B11" s="291" t="e">
        <f>IF($B$2="25-64",Summary_Population!C45/Summary_Population!$O45*100,IF(Summary_Indicators!$B$2="25-34",Summary_Population!C46/Summary_Population!$O46*100,IF(Summary_Indicators!$B$2="35-44",Summary_Population!C47/Summary_Population!$O47*100,IF(Summary_Indicators!$B$2="45-54",Summary_Population!C48/Summary_Population!$O48*100,IF(Summary_Indicators!$B$2="55-64",Summary_Population!C49/Summary_Population!$O49*100)))))</f>
        <v>#DIV/0!</v>
      </c>
      <c r="C11" s="291" t="e">
        <f>IF($B$2="25-64",Summary_Population!D45/Summary_Population!$O45*100,IF(Summary_Indicators!$B$2="25-34",Summary_Population!D46/Summary_Population!$O46*100,IF(Summary_Indicators!$B$2="35-44",Summary_Population!D47/Summary_Population!$O47*100,IF(Summary_Indicators!$B$2="45-54",Summary_Population!D48/Summary_Population!$O48*100,IF(Summary_Indicators!$B$2="55-64",Summary_Population!D49/Summary_Population!$O49*100)))))</f>
        <v>#DIV/0!</v>
      </c>
      <c r="D11" s="291" t="e">
        <f>IF($B$2="25-64",Summary_Population!E45/Summary_Population!$O45*100,IF(Summary_Indicators!$B$2="25-34",Summary_Population!E46/Summary_Population!$O46*100,IF(Summary_Indicators!$B$2="35-44",Summary_Population!E47/Summary_Population!$O47*100,IF(Summary_Indicators!$B$2="45-54",Summary_Population!E48/Summary_Population!$O48*100,IF(Summary_Indicators!$B$2="55-64",Summary_Population!E49/Summary_Population!$O49*100)))))</f>
        <v>#DIV/0!</v>
      </c>
      <c r="E11" s="291" t="e">
        <f>IF($B$2="25-64",Summary_Population!F45/Summary_Population!$O45*100,IF(Summary_Indicators!$B$2="25-34",Summary_Population!F46/Summary_Population!$O46*100,IF(Summary_Indicators!$B$2="35-44",Summary_Population!F47/Summary_Population!$O47*100,IF(Summary_Indicators!$B$2="45-54",Summary_Population!F48/Summary_Population!$O48*100,IF(Summary_Indicators!$B$2="55-64",Summary_Population!F49/Summary_Population!$O49*100)))))</f>
        <v>#DIV/0!</v>
      </c>
      <c r="F11" s="291" t="e">
        <f>IF($B$2="25-64",Summary_Population!G45/Summary_Population!$O45*100,IF(Summary_Indicators!$B$2="25-34",Summary_Population!G46/Summary_Population!$O46*100,IF(Summary_Indicators!$B$2="35-44",Summary_Population!G47/Summary_Population!$O47*100,IF(Summary_Indicators!$B$2="45-54",Summary_Population!G48/Summary_Population!$O48*100,IF(Summary_Indicators!$B$2="55-64",Summary_Population!G49/Summary_Population!$O49*100)))))</f>
        <v>#DIV/0!</v>
      </c>
      <c r="G11" s="291" t="e">
        <f>IF($B$2="25-64",Summary_Population!H45/Summary_Population!$O45*100,IF(Summary_Indicators!$B$2="25-34",Summary_Population!H46/Summary_Population!$O46*100,IF(Summary_Indicators!$B$2="35-44",Summary_Population!H47/Summary_Population!$O47*100,IF(Summary_Indicators!$B$2="45-54",Summary_Population!H48/Summary_Population!$O48*100,IF(Summary_Indicators!$B$2="55-64",Summary_Population!H49/Summary_Population!$O49*100)))))</f>
        <v>#DIV/0!</v>
      </c>
      <c r="H11" s="291" t="e">
        <f>IF($B$2="25-64",Summary_Population!I45/Summary_Population!$O45*100,IF(Summary_Indicators!$B$2="25-34",Summary_Population!I46/Summary_Population!$O46*100,IF(Summary_Indicators!$B$2="35-44",Summary_Population!I47/Summary_Population!$O47*100,IF(Summary_Indicators!$B$2="45-54",Summary_Population!I48/Summary_Population!$O48*100,IF(Summary_Indicators!$B$2="55-64",Summary_Population!I49/Summary_Population!$O49*100)))))</f>
        <v>#DIV/0!</v>
      </c>
      <c r="I11" s="291" t="e">
        <f>IF($B$2="25-64",Summary_Population!J45/Summary_Population!$O45*100,IF(Summary_Indicators!$B$2="25-34",Summary_Population!J46/Summary_Population!$O46*100,IF(Summary_Indicators!$B$2="35-44",Summary_Population!J47/Summary_Population!$O47*100,IF(Summary_Indicators!$B$2="45-54",Summary_Population!J48/Summary_Population!$O48*100,IF(Summary_Indicators!$B$2="55-64",Summary_Population!J49/Summary_Population!$O49*100)))))</f>
        <v>#DIV/0!</v>
      </c>
      <c r="J11" s="291" t="e">
        <f>IF($B$2="25-64",Summary_Population!K45/Summary_Population!$O45*100,IF(Summary_Indicators!$B$2="25-34",Summary_Population!K46/Summary_Population!$O46*100,IF(Summary_Indicators!$B$2="35-44",Summary_Population!K47/Summary_Population!$O47*100,IF(Summary_Indicators!$B$2="45-54",Summary_Population!K48/Summary_Population!$O48*100,IF(Summary_Indicators!$B$2="55-64",Summary_Population!K49/Summary_Population!$O49*100)))))</f>
        <v>#DIV/0!</v>
      </c>
      <c r="K11" s="291" t="e">
        <f>IF($B$2="25-64",Summary_Population!L45/Summary_Population!$O45*100,IF(Summary_Indicators!$B$2="25-34",Summary_Population!L46/Summary_Population!$O46*100,IF(Summary_Indicators!$B$2="35-44",Summary_Population!L47/Summary_Population!$O47*100,IF(Summary_Indicators!$B$2="45-54",Summary_Population!L48/Summary_Population!$O48*100,IF(Summary_Indicators!$B$2="55-64",Summary_Population!L49/Summary_Population!$O49*100)))))</f>
        <v>#DIV/0!</v>
      </c>
      <c r="L11" s="291" t="e">
        <f>IF($B$2="25-64",Summary_Population!M45/Summary_Population!$O45*100,IF(Summary_Indicators!$B$2="25-34",Summary_Population!M46/Summary_Population!$O46*100,IF(Summary_Indicators!$B$2="35-44",Summary_Population!M47/Summary_Population!$O47*100,IF(Summary_Indicators!$B$2="45-54",Summary_Population!M48/Summary_Population!$O48*100,IF(Summary_Indicators!$B$2="55-64",Summary_Population!M49/Summary_Population!$O49*100)))))</f>
        <v>#DIV/0!</v>
      </c>
      <c r="M11" s="291" t="e">
        <f>IF($B$2="25-64",Summary_Population!U45/Summary_Population!$O45*100,IF(Summary_Indicators!$B$2="25-34",Summary_Population!U46/Summary_Population!$O46*100,IF(Summary_Indicators!$B$2="35-44",Summary_Population!U47/Summary_Population!$O47*100,IF(Summary_Indicators!$B$2="45-54",Summary_Population!U48/Summary_Population!$O48*100,IF(Summary_Indicators!$B$2="55-64",Summary_Population!U49/Summary_Population!$O49*100)))))</f>
        <v>#DIV/0!</v>
      </c>
      <c r="N11" s="276" t="e">
        <f>IF($B$2="25-64",Summary_Population!O45/Summary_Population!$O45*100,IF(Summary_Indicators!$B$2="25-34",Summary_Population!O46/Summary_Population!$O46*100,IF(Summary_Indicators!$B$2="35-44",Summary_Population!O47/Summary_Population!$O47*100,IF(Summary_Indicators!$B$2="45-54",Summary_Population!O48/Summary_Population!$O48*100,IF(Summary_Indicators!$B$2="55-64",Summary_Population!O49/Summary_Population!$O49*100)))))</f>
        <v>#DIV/0!</v>
      </c>
      <c r="Q11" s="273" t="s">
        <v>254</v>
      </c>
    </row>
    <row r="12" spans="1:17" x14ac:dyDescent="0.2">
      <c r="A12" s="139" t="s">
        <v>5</v>
      </c>
      <c r="B12" s="291" t="e">
        <f>IF($B$2="25-64",Summary_Population!C52/Summary_Population!$O52*100,IF(Summary_Indicators!$B$2="25-34",Summary_Population!C53/Summary_Population!$O53*100,IF($B$2="35-44",Summary_Population!C54/Summary_Population!$O54*100,IF($B$2="45-54",Summary_Population!C55/Summary_Population!$O55*100,IF($B$2="55-64",Summary_Population!C56/Summary_Population!$O56*100)))))</f>
        <v>#DIV/0!</v>
      </c>
      <c r="C12" s="291" t="e">
        <f>IF($B$2="25-64",Summary_Population!D52/Summary_Population!$O52*100,IF(Summary_Indicators!$B$2="25-34",Summary_Population!D53/Summary_Population!$O53*100,IF($B$2="35-44",Summary_Population!D54/Summary_Population!$O54*100,IF($B$2="45-54",Summary_Population!D55/Summary_Population!$O55*100,IF($B$2="55-64",Summary_Population!D56/Summary_Population!$O56*100)))))</f>
        <v>#DIV/0!</v>
      </c>
      <c r="D12" s="291" t="e">
        <f>IF($B$2="25-64",Summary_Population!E52/Summary_Population!$O52*100,IF(Summary_Indicators!$B$2="25-34",Summary_Population!E53/Summary_Population!$O53*100,IF($B$2="35-44",Summary_Population!E54/Summary_Population!$O54*100,IF($B$2="45-54",Summary_Population!E55/Summary_Population!$O55*100,IF($B$2="55-64",Summary_Population!E56/Summary_Population!$O56*100)))))</f>
        <v>#DIV/0!</v>
      </c>
      <c r="E12" s="291" t="e">
        <f>IF($B$2="25-64",Summary_Population!F52/Summary_Population!$O52*100,IF(Summary_Indicators!$B$2="25-34",Summary_Population!F53/Summary_Population!$O53*100,IF($B$2="35-44",Summary_Population!F54/Summary_Population!$O54*100,IF($B$2="45-54",Summary_Population!F55/Summary_Population!$O55*100,IF($B$2="55-64",Summary_Population!F56/Summary_Population!$O56*100)))))</f>
        <v>#DIV/0!</v>
      </c>
      <c r="F12" s="291" t="e">
        <f>IF($B$2="25-64",Summary_Population!G52/Summary_Population!$O52*100,IF(Summary_Indicators!$B$2="25-34",Summary_Population!G53/Summary_Population!$O53*100,IF($B$2="35-44",Summary_Population!G54/Summary_Population!$O54*100,IF($B$2="45-54",Summary_Population!G55/Summary_Population!$O55*100,IF($B$2="55-64",Summary_Population!G56/Summary_Population!$O56*100)))))</f>
        <v>#DIV/0!</v>
      </c>
      <c r="G12" s="291" t="e">
        <f>IF($B$2="25-64",Summary_Population!H52/Summary_Population!$O52*100,IF(Summary_Indicators!$B$2="25-34",Summary_Population!H53/Summary_Population!$O53*100,IF($B$2="35-44",Summary_Population!H54/Summary_Population!$O54*100,IF($B$2="45-54",Summary_Population!H55/Summary_Population!$O55*100,IF($B$2="55-64",Summary_Population!H56/Summary_Population!$O56*100)))))</f>
        <v>#DIV/0!</v>
      </c>
      <c r="H12" s="291" t="e">
        <f>IF($B$2="25-64",Summary_Population!I52/Summary_Population!$O52*100,IF(Summary_Indicators!$B$2="25-34",Summary_Population!I53/Summary_Population!$O53*100,IF($B$2="35-44",Summary_Population!I54/Summary_Population!$O54*100,IF($B$2="45-54",Summary_Population!I55/Summary_Population!$O55*100,IF($B$2="55-64",Summary_Population!I56/Summary_Population!$O56*100)))))</f>
        <v>#DIV/0!</v>
      </c>
      <c r="I12" s="291" t="e">
        <f>IF($B$2="25-64",Summary_Population!J52/Summary_Population!$O52*100,IF(Summary_Indicators!$B$2="25-34",Summary_Population!J53/Summary_Population!$O53*100,IF($B$2="35-44",Summary_Population!J54/Summary_Population!$O54*100,IF($B$2="45-54",Summary_Population!J55/Summary_Population!$O55*100,IF($B$2="55-64",Summary_Population!J56/Summary_Population!$O56*100)))))</f>
        <v>#DIV/0!</v>
      </c>
      <c r="J12" s="291" t="e">
        <f>IF($B$2="25-64",Summary_Population!K52/Summary_Population!$O52*100,IF(Summary_Indicators!$B$2="25-34",Summary_Population!K53/Summary_Population!$O53*100,IF($B$2="35-44",Summary_Population!K54/Summary_Population!$O54*100,IF($B$2="45-54",Summary_Population!K55/Summary_Population!$O55*100,IF($B$2="55-64",Summary_Population!K56/Summary_Population!$O56*100)))))</f>
        <v>#DIV/0!</v>
      </c>
      <c r="K12" s="291" t="e">
        <f>IF($B$2="25-64",Summary_Population!L52/Summary_Population!$O52*100,IF(Summary_Indicators!$B$2="25-34",Summary_Population!L53/Summary_Population!$O53*100,IF($B$2="35-44",Summary_Population!L54/Summary_Population!$O54*100,IF($B$2="45-54",Summary_Population!L55/Summary_Population!$O55*100,IF($B$2="55-64",Summary_Population!L56/Summary_Population!$O56*100)))))</f>
        <v>#DIV/0!</v>
      </c>
      <c r="L12" s="291" t="e">
        <f>IF($B$2="25-64",Summary_Population!M52/Summary_Population!$O52*100,IF(Summary_Indicators!$B$2="25-34",Summary_Population!M53/Summary_Population!$O53*100,IF($B$2="35-44",Summary_Population!M54/Summary_Population!$O54*100,IF($B$2="45-54",Summary_Population!M55/Summary_Population!$O55*100,IF($B$2="55-64",Summary_Population!M56/Summary_Population!$O56*100)))))</f>
        <v>#DIV/0!</v>
      </c>
      <c r="M12" s="291" t="e">
        <f>IF($B$2="25-64",Summary_Population!U52/Summary_Population!$O52*100,IF(Summary_Indicators!$B$2="25-34",Summary_Population!U53/Summary_Population!$O53*100,IF($B$2="35-44",Summary_Population!U54/Summary_Population!$O54*100,IF($B$2="45-54",Summary_Population!U55/Summary_Population!$O55*100,IF($B$2="55-64",Summary_Population!U56/Summary_Population!$O56*100)))))</f>
        <v>#DIV/0!</v>
      </c>
      <c r="N12" s="276" t="e">
        <f>IF($B$2="25-64",Summary_Population!O52/Summary_Population!$O52*100,IF(Summary_Indicators!$B$2="25-34",Summary_Population!O53/Summary_Population!$O53*100,IF($B$2="35-44",Summary_Population!O54/Summary_Population!$O54*100,IF($B$2="45-54",Summary_Population!O55/Summary_Population!$O55*100,IF($B$2="55-64",Summary_Population!O56/Summary_Population!$O56*100)))))</f>
        <v>#DIV/0!</v>
      </c>
      <c r="Q12" s="273" t="s">
        <v>255</v>
      </c>
    </row>
    <row r="13" spans="1:17" ht="13.5" thickBot="1" x14ac:dyDescent="0.25">
      <c r="A13" s="140" t="s">
        <v>6</v>
      </c>
      <c r="B13" s="292" t="e">
        <f>IF($B$2="25-64",Summary_Population!C59/Summary_Population!$O59*100,IF(Summary_Indicators!$B$2="25-34",Summary_Population!C60/Summary_Population!$O60*100,IF($B$2="35-44",Summary_Population!C61/Summary_Population!$O61*100,IF($B$2="45-54",Summary_Population!C62/Summary_Population!$O62*100,IF($B$2="55-64",Summary_Population!C63/Summary_Population!$O63*100)))))</f>
        <v>#DIV/0!</v>
      </c>
      <c r="C13" s="292" t="e">
        <f>IF($B$2="25-64",Summary_Population!D59/Summary_Population!$O59*100,IF(Summary_Indicators!$B$2="25-34",Summary_Population!D60/Summary_Population!$O60*100,IF($B$2="35-44",Summary_Population!D61/Summary_Population!$O61*100,IF($B$2="45-54",Summary_Population!D62/Summary_Population!$O62*100,IF($B$2="55-64",Summary_Population!D63/Summary_Population!$O63*100)))))</f>
        <v>#DIV/0!</v>
      </c>
      <c r="D13" s="292" t="e">
        <f>IF($B$2="25-64",Summary_Population!E59/Summary_Population!$O59*100,IF(Summary_Indicators!$B$2="25-34",Summary_Population!E60/Summary_Population!$O60*100,IF($B$2="35-44",Summary_Population!E61/Summary_Population!$O61*100,IF($B$2="45-54",Summary_Population!E62/Summary_Population!$O62*100,IF($B$2="55-64",Summary_Population!E63/Summary_Population!$O63*100)))))</f>
        <v>#DIV/0!</v>
      </c>
      <c r="E13" s="292" t="e">
        <f>IF($B$2="25-64",Summary_Population!F59/Summary_Population!$O59*100,IF(Summary_Indicators!$B$2="25-34",Summary_Population!F60/Summary_Population!$O60*100,IF($B$2="35-44",Summary_Population!F61/Summary_Population!$O61*100,IF($B$2="45-54",Summary_Population!F62/Summary_Population!$O62*100,IF($B$2="55-64",Summary_Population!F63/Summary_Population!$O63*100)))))</f>
        <v>#DIV/0!</v>
      </c>
      <c r="F13" s="292" t="e">
        <f>IF($B$2="25-64",Summary_Population!G59/Summary_Population!$O59*100,IF(Summary_Indicators!$B$2="25-34",Summary_Population!G60/Summary_Population!$O60*100,IF($B$2="35-44",Summary_Population!G61/Summary_Population!$O61*100,IF($B$2="45-54",Summary_Population!G62/Summary_Population!$O62*100,IF($B$2="55-64",Summary_Population!G63/Summary_Population!$O63*100)))))</f>
        <v>#DIV/0!</v>
      </c>
      <c r="G13" s="292" t="e">
        <f>IF($B$2="25-64",Summary_Population!H59/Summary_Population!$O59*100,IF(Summary_Indicators!$B$2="25-34",Summary_Population!H60/Summary_Population!$O60*100,IF($B$2="35-44",Summary_Population!H61/Summary_Population!$O61*100,IF($B$2="45-54",Summary_Population!H62/Summary_Population!$O62*100,IF($B$2="55-64",Summary_Population!H63/Summary_Population!$O63*100)))))</f>
        <v>#DIV/0!</v>
      </c>
      <c r="H13" s="292" t="e">
        <f>IF($B$2="25-64",Summary_Population!I59/Summary_Population!$O59*100,IF(Summary_Indicators!$B$2="25-34",Summary_Population!I60/Summary_Population!$O60*100,IF($B$2="35-44",Summary_Population!I61/Summary_Population!$O61*100,IF($B$2="45-54",Summary_Population!I62/Summary_Population!$O62*100,IF($B$2="55-64",Summary_Population!I63/Summary_Population!$O63*100)))))</f>
        <v>#DIV/0!</v>
      </c>
      <c r="I13" s="292" t="e">
        <f>IF($B$2="25-64",Summary_Population!J59/Summary_Population!$O59*100,IF(Summary_Indicators!$B$2="25-34",Summary_Population!J60/Summary_Population!$O60*100,IF($B$2="35-44",Summary_Population!J61/Summary_Population!$O61*100,IF($B$2="45-54",Summary_Population!J62/Summary_Population!$O62*100,IF($B$2="55-64",Summary_Population!J63/Summary_Population!$O63*100)))))</f>
        <v>#DIV/0!</v>
      </c>
      <c r="J13" s="292" t="e">
        <f>IF($B$2="25-64",Summary_Population!K59/Summary_Population!$O59*100,IF(Summary_Indicators!$B$2="25-34",Summary_Population!K60/Summary_Population!$O60*100,IF($B$2="35-44",Summary_Population!K61/Summary_Population!$O61*100,IF($B$2="45-54",Summary_Population!K62/Summary_Population!$O62*100,IF($B$2="55-64",Summary_Population!K63/Summary_Population!$O63*100)))))</f>
        <v>#DIV/0!</v>
      </c>
      <c r="K13" s="292" t="e">
        <f>IF($B$2="25-64",Summary_Population!L59/Summary_Population!$O59*100,IF(Summary_Indicators!$B$2="25-34",Summary_Population!L60/Summary_Population!$O60*100,IF($B$2="35-44",Summary_Population!L61/Summary_Population!$O61*100,IF($B$2="45-54",Summary_Population!L62/Summary_Population!$O62*100,IF($B$2="55-64",Summary_Population!L63/Summary_Population!$O63*100)))))</f>
        <v>#DIV/0!</v>
      </c>
      <c r="L13" s="292" t="e">
        <f>IF($B$2="25-64",Summary_Population!M59/Summary_Population!$O59*100,IF(Summary_Indicators!$B$2="25-34",Summary_Population!M60/Summary_Population!$O60*100,IF($B$2="35-44",Summary_Population!M61/Summary_Population!$O61*100,IF($B$2="45-54",Summary_Population!M62/Summary_Population!$O62*100,IF($B$2="55-64",Summary_Population!M63/Summary_Population!$O63*100)))))</f>
        <v>#DIV/0!</v>
      </c>
      <c r="M13" s="292" t="e">
        <f>IF($B$2="25-64",Summary_Population!U59/Summary_Population!$O59*100,IF(Summary_Indicators!$B$2="25-34",Summary_Population!U60/Summary_Population!$O60*100,IF($B$2="35-44",Summary_Population!U61/Summary_Population!$O61*100,IF($B$2="45-54",Summary_Population!U62/Summary_Population!$O62*100,IF($B$2="55-64",Summary_Population!U63/Summary_Population!$O63*100)))))</f>
        <v>#DIV/0!</v>
      </c>
      <c r="N13" s="277" t="e">
        <f>IF($B$2="25-64",Summary_Population!O59/Summary_Population!$O59*100,IF(Summary_Indicators!$B$2="25-34",Summary_Population!O60/Summary_Population!$O60*100,IF($B$2="35-44",Summary_Population!O61/Summary_Population!$O61*100,IF($B$2="45-54",Summary_Population!O62/Summary_Population!$O62*100,IF($B$2="55-64",Summary_Population!O63/Summary_Population!$O63*100)))))</f>
        <v>#DIV/0!</v>
      </c>
      <c r="Q13" s="273" t="s">
        <v>256</v>
      </c>
    </row>
    <row r="15" spans="1:17" x14ac:dyDescent="0.2">
      <c r="A15" s="109"/>
      <c r="B15" s="110"/>
      <c r="C15" s="110"/>
      <c r="D15" s="110"/>
      <c r="E15" s="110"/>
      <c r="F15" s="110"/>
      <c r="G15" s="110"/>
      <c r="H15" s="110"/>
      <c r="I15" s="110"/>
      <c r="J15" s="110"/>
      <c r="K15" s="110"/>
      <c r="L15" s="110"/>
      <c r="M15" s="110"/>
      <c r="N15" s="110"/>
      <c r="O15" s="110"/>
      <c r="P15" s="110"/>
    </row>
    <row r="16" spans="1:17" ht="15.75" thickBot="1" x14ac:dyDescent="0.3">
      <c r="A16" s="223" t="s">
        <v>176</v>
      </c>
      <c r="B16" s="111"/>
      <c r="C16" s="111"/>
      <c r="D16" s="111"/>
      <c r="E16" s="111"/>
      <c r="F16" s="111"/>
      <c r="G16" s="111"/>
      <c r="H16" s="111"/>
      <c r="I16" s="111"/>
      <c r="J16" s="111"/>
      <c r="K16" s="112"/>
      <c r="L16" s="112"/>
      <c r="M16" s="112"/>
      <c r="N16" s="112"/>
      <c r="O16" s="218"/>
      <c r="P16" s="112"/>
    </row>
    <row r="17" spans="1:18" ht="12.75" customHeight="1" x14ac:dyDescent="0.2">
      <c r="A17" s="416"/>
      <c r="B17" s="418" t="s">
        <v>147</v>
      </c>
      <c r="C17" s="419"/>
      <c r="D17" s="414"/>
    </row>
    <row r="18" spans="1:18" x14ac:dyDescent="0.2">
      <c r="A18" s="417"/>
      <c r="B18" s="420"/>
      <c r="C18" s="421"/>
      <c r="D18" s="415"/>
    </row>
    <row r="19" spans="1:18" ht="25.5" customHeight="1" x14ac:dyDescent="0.2">
      <c r="A19" s="417"/>
      <c r="B19" s="120" t="s">
        <v>10</v>
      </c>
      <c r="C19" s="120" t="s">
        <v>9</v>
      </c>
      <c r="D19" s="171" t="s">
        <v>148</v>
      </c>
    </row>
    <row r="20" spans="1:18" x14ac:dyDescent="0.2">
      <c r="A20" s="214"/>
      <c r="B20" s="116">
        <v>1</v>
      </c>
      <c r="C20" s="116">
        <v>2</v>
      </c>
      <c r="D20" s="137">
        <v>3</v>
      </c>
    </row>
    <row r="21" spans="1:18" x14ac:dyDescent="0.2">
      <c r="A21" s="121"/>
      <c r="B21" s="115"/>
      <c r="C21" s="115"/>
      <c r="D21" s="141"/>
    </row>
    <row r="22" spans="1:18" x14ac:dyDescent="0.2">
      <c r="A22" s="139" t="s">
        <v>146</v>
      </c>
      <c r="B22" s="291" t="e">
        <f>IF($B$2="25-64",Summary_Population!X45/Summary_Population!$O45*100,IF(Summary_Indicators!$B$2="25-34",Summary_Population!X46/Summary_Population!$O46*100,IF(Summary_Indicators!$B$2="35-44",Summary_Population!X47/Summary_Population!$O47*100,IF(Summary_Indicators!$B$2="45-54",Summary_Population!X48/Summary_Population!$O48*100,IF(Summary_Indicators!$B$2="55-64",Summary_Population!X49/Summary_Population!$O49*100)))))</f>
        <v>#DIV/0!</v>
      </c>
      <c r="C22" s="291" t="e">
        <f>IF($B$2="25-64",Summary_Population!W45/Summary_Population!$O45*100,IF(Summary_Indicators!$B$2="25-34",Summary_Population!W46/Summary_Population!$O46*100,IF(Summary_Indicators!$B$2="35-44",Summary_Population!W47/Summary_Population!$O47*100,IF(Summary_Indicators!$B$2="45-54",Summary_Population!W48/Summary_Population!$O48*100,IF(Summary_Indicators!$B$2="55-64",Summary_Population!W49/Summary_Population!$O49*100)))))</f>
        <v>#DIV/0!</v>
      </c>
      <c r="D22" s="293" t="e">
        <f>IF($B$2="25-64",Summary_Population!T45/Summary_Population!$O45*100,IF(Summary_Indicators!$B$2="25-34",Summary_Population!T46/Summary_Population!$O46*100,IF(Summary_Indicators!$B$2="35-44",Summary_Population!T47/Summary_Population!$O47*100,IF(Summary_Indicators!$B$2="45-54",Summary_Population!T48/Summary_Population!$O48*100,IF(Summary_Indicators!$B$2="55-64",Summary_Population!T49/Summary_Population!$O49*100)))))</f>
        <v>#DIV/0!</v>
      </c>
    </row>
    <row r="23" spans="1:18" x14ac:dyDescent="0.2">
      <c r="A23" s="139" t="s">
        <v>5</v>
      </c>
      <c r="B23" s="291" t="e">
        <f>IF($B$2="25-64",Summary_Population!X52/Summary_Population!$O52*100,IF(Summary_Indicators!$B$2="25-34",Summary_Population!X53/Summary_Population!$O53*100,IF(Summary_Indicators!$B$2="35-44",Summary_Population!X54/Summary_Population!$O54*100,IF(Summary_Indicators!$B$2="45-54",Summary_Population!X55/Summary_Population!$O55*100,IF(Summary_Indicators!$B$2="55-64",Summary_Population!X56/Summary_Population!$O56*100)))))</f>
        <v>#DIV/0!</v>
      </c>
      <c r="C23" s="291" t="e">
        <f>IF($B$2="25-64",Summary_Population!W52/Summary_Population!$O52*100,IF(Summary_Indicators!$B$2="25-34",Summary_Population!W53/Summary_Population!$O53*100,IF(Summary_Indicators!$B$2="35-44",Summary_Population!W54/Summary_Population!$O54*100,IF(Summary_Indicators!$B$2="45-54",Summary_Population!W55/Summary_Population!$O55*100,IF(Summary_Indicators!$B$2="55-64",Summary_Population!W56/Summary_Population!$O56*100)))))</f>
        <v>#DIV/0!</v>
      </c>
      <c r="D23" s="293" t="e">
        <f>IF($B$2="25-64",Summary_Population!T52/Summary_Population!$O52*100,IF(Summary_Indicators!$B$2="25-34",Summary_Population!T53/Summary_Population!$O53*100,IF(Summary_Indicators!$B$2="35-44",Summary_Population!T54/Summary_Population!$O54*100,IF(Summary_Indicators!$B$2="45-54",Summary_Population!T55/Summary_Population!$O55*100,IF(Summary_Indicators!$B$2="55-64",Summary_Population!T56/Summary_Population!$O56*100)))))</f>
        <v>#DIV/0!</v>
      </c>
    </row>
    <row r="24" spans="1:18" ht="13.5" thickBot="1" x14ac:dyDescent="0.25">
      <c r="A24" s="140" t="s">
        <v>6</v>
      </c>
      <c r="B24" s="294" t="e">
        <f>IF($B$2="25-64",Summary_Population!X59/Summary_Population!$O59*100,IF(Summary_Indicators!$B$2="25-34",Summary_Population!X60/Summary_Population!$O60*100,IF(Summary_Indicators!$B$2="35-44",Summary_Population!X61/Summary_Population!$O61*100,IF(Summary_Indicators!$B$2="45-54",Summary_Population!X62/Summary_Population!$O62*100,IF(Summary_Indicators!$B$2="55-64",Summary_Population!X63/Summary_Population!$O63*100)))))</f>
        <v>#DIV/0!</v>
      </c>
      <c r="C24" s="294" t="e">
        <f>IF($B$2="25-64",Summary_Population!W59/Summary_Population!$O59*100,IF(Summary_Indicators!$B$2="25-34",Summary_Population!W60/Summary_Population!$O60*100,IF(Summary_Indicators!$B$2="35-44",Summary_Population!W61/Summary_Population!$O61*100,IF(Summary_Indicators!$B$2="45-54",Summary_Population!W62/Summary_Population!$O62*100,IF(Summary_Indicators!$B$2="55-64",Summary_Population!W63/Summary_Population!$O63*100)))))</f>
        <v>#DIV/0!</v>
      </c>
      <c r="D24" s="295" t="e">
        <f>IF($B$2="25-64",Summary_Population!T59/Summary_Population!$O59*100,IF(Summary_Indicators!$B$2="25-34",Summary_Population!T60/Summary_Population!$O60*100,IF(Summary_Indicators!$B$2="35-44",Summary_Population!T61/Summary_Population!$O61*100,IF(Summary_Indicators!$B$2="45-54",Summary_Population!T62/Summary_Population!$O62*100,IF(Summary_Indicators!$B$2="55-64",Summary_Population!T63/Summary_Population!$O63*100)))))</f>
        <v>#DIV/0!</v>
      </c>
    </row>
    <row r="26" spans="1:18" ht="12.75" customHeight="1" x14ac:dyDescent="0.2"/>
    <row r="27" spans="1:18" x14ac:dyDescent="0.2">
      <c r="A27" s="112" t="s">
        <v>153</v>
      </c>
      <c r="B27" s="206"/>
      <c r="C27" s="206"/>
      <c r="D27" s="206"/>
      <c r="E27" s="206"/>
      <c r="F27" s="206"/>
      <c r="G27" s="206"/>
      <c r="H27" s="206"/>
      <c r="I27" s="206"/>
      <c r="J27" s="206"/>
      <c r="K27" s="206"/>
      <c r="L27" s="206"/>
      <c r="M27" s="110"/>
      <c r="N27" s="110"/>
      <c r="O27" s="110"/>
      <c r="P27" s="110"/>
      <c r="Q27" s="132"/>
      <c r="R27" s="132"/>
    </row>
    <row r="28" spans="1:18" ht="13.5" thickBot="1" x14ac:dyDescent="0.25">
      <c r="A28" s="279" t="s">
        <v>289</v>
      </c>
      <c r="B28" s="119"/>
      <c r="C28" s="119"/>
      <c r="D28" s="119"/>
      <c r="E28" s="119"/>
      <c r="F28" s="119"/>
      <c r="G28" s="119"/>
      <c r="H28" s="119"/>
      <c r="I28" s="119"/>
      <c r="J28" s="119"/>
      <c r="K28" s="119"/>
      <c r="L28" s="119"/>
      <c r="M28" s="119"/>
      <c r="N28" s="119"/>
      <c r="O28" s="119"/>
      <c r="P28" s="119"/>
      <c r="Q28" s="132"/>
      <c r="R28" s="132"/>
    </row>
    <row r="29" spans="1:18" ht="33.75" customHeight="1" x14ac:dyDescent="0.2">
      <c r="A29" s="416"/>
      <c r="B29" s="411" t="s">
        <v>144</v>
      </c>
      <c r="C29" s="412"/>
      <c r="D29" s="412"/>
      <c r="E29" s="412"/>
      <c r="F29" s="412"/>
      <c r="G29" s="411" t="s">
        <v>145</v>
      </c>
      <c r="H29" s="413"/>
      <c r="I29" s="411" t="s">
        <v>8</v>
      </c>
      <c r="J29" s="412"/>
      <c r="K29" s="412"/>
      <c r="L29" s="412"/>
      <c r="M29" s="413"/>
      <c r="N29" s="414" t="s">
        <v>4</v>
      </c>
    </row>
    <row r="30" spans="1:18" ht="69.75" customHeight="1" x14ac:dyDescent="0.2">
      <c r="A30" s="417"/>
      <c r="B30" s="107" t="s">
        <v>135</v>
      </c>
      <c r="C30" s="107" t="s">
        <v>136</v>
      </c>
      <c r="D30" s="288" t="s">
        <v>137</v>
      </c>
      <c r="E30" s="288" t="s">
        <v>138</v>
      </c>
      <c r="F30" s="288" t="s">
        <v>139</v>
      </c>
      <c r="G30" s="288" t="s">
        <v>141</v>
      </c>
      <c r="H30" s="107" t="s">
        <v>142</v>
      </c>
      <c r="I30" s="288" t="s">
        <v>164</v>
      </c>
      <c r="J30" s="288" t="s">
        <v>128</v>
      </c>
      <c r="K30" s="118" t="s">
        <v>129</v>
      </c>
      <c r="L30" s="289" t="s">
        <v>130</v>
      </c>
      <c r="M30" s="118" t="s">
        <v>253</v>
      </c>
      <c r="N30" s="415"/>
    </row>
    <row r="31" spans="1:18" x14ac:dyDescent="0.2">
      <c r="A31" s="213"/>
      <c r="B31" s="116">
        <v>1</v>
      </c>
      <c r="C31" s="116">
        <f t="shared" ref="C31:N31" si="1">B31+1</f>
        <v>2</v>
      </c>
      <c r="D31" s="116">
        <f t="shared" si="1"/>
        <v>3</v>
      </c>
      <c r="E31" s="117">
        <f t="shared" si="1"/>
        <v>4</v>
      </c>
      <c r="F31" s="117">
        <f t="shared" si="1"/>
        <v>5</v>
      </c>
      <c r="G31" s="117">
        <f t="shared" si="1"/>
        <v>6</v>
      </c>
      <c r="H31" s="116">
        <f t="shared" si="1"/>
        <v>7</v>
      </c>
      <c r="I31" s="116">
        <f t="shared" si="1"/>
        <v>8</v>
      </c>
      <c r="J31" s="116">
        <f t="shared" si="1"/>
        <v>9</v>
      </c>
      <c r="K31" s="116">
        <f t="shared" si="1"/>
        <v>10</v>
      </c>
      <c r="L31" s="117">
        <f t="shared" si="1"/>
        <v>11</v>
      </c>
      <c r="M31" s="117">
        <f t="shared" si="1"/>
        <v>12</v>
      </c>
      <c r="N31" s="137">
        <f t="shared" si="1"/>
        <v>13</v>
      </c>
    </row>
    <row r="32" spans="1:18" x14ac:dyDescent="0.2">
      <c r="A32" s="121"/>
      <c r="B32" s="115"/>
      <c r="C32" s="115"/>
      <c r="D32" s="115"/>
      <c r="E32" s="115"/>
      <c r="F32" s="115"/>
      <c r="G32" s="115"/>
      <c r="H32" s="115"/>
      <c r="I32" s="115"/>
      <c r="J32" s="115"/>
      <c r="K32" s="115"/>
      <c r="L32" s="115"/>
      <c r="M32" s="211"/>
      <c r="N32" s="141"/>
    </row>
    <row r="33" spans="1:14" x14ac:dyDescent="0.2">
      <c r="A33" s="139" t="s">
        <v>146</v>
      </c>
      <c r="B33" s="228" t="e">
        <f>IF($B$2="25-64",Summary_Employed!C45/Summary_Population!C45*100,IF(Summary_Indicators!$B$2="25-34",Summary_Employed!C46/Summary_Population!C46*100,IF($B$2="35-44",Summary_Employed!C47/Summary_Population!C47*100,IF($B$2="45-54",Summary_Employed!C48/Summary_Population!C48*100,IF($B$2="55-64",Summary_Employed!C49/Summary_Population!C49*100)))))</f>
        <v>#DIV/0!</v>
      </c>
      <c r="C33" s="296" t="e">
        <f>IF($B$2="25-64",Summary_Employed!D45/Summary_Population!D45*100,IF(Summary_Indicators!$B$2="25-34",Summary_Employed!D46/Summary_Population!D46*100,IF($B$2="35-44",Summary_Employed!D47/Summary_Population!D47*100,IF($B$2="45-54",Summary_Employed!D48/Summary_Population!D48*100,IF($B$2="55-64",Summary_Employed!D49/Summary_Population!D49*100)))))</f>
        <v>#DIV/0!</v>
      </c>
      <c r="D33" s="228" t="e">
        <f>IF($B$2="25-64",Summary_Employed!E45/Summary_Population!E45*100,IF(Summary_Indicators!$B$2="25-34",Summary_Employed!E46/Summary_Population!E46*100,IF($B$2="35-44",Summary_Employed!E47/Summary_Population!E47*100,IF($B$2="45-54",Summary_Employed!E48/Summary_Population!E48*100,IF($B$2="55-64",Summary_Employed!E49/Summary_Population!E49*100)))))</f>
        <v>#DIV/0!</v>
      </c>
      <c r="E33" s="296" t="e">
        <f>IF($B$2="25-64",Summary_Employed!F45/Summary_Population!F45*100,IF(Summary_Indicators!$B$2="25-34",Summary_Employed!F46/Summary_Population!F46*100,IF($B$2="35-44",Summary_Employed!F47/Summary_Population!F47*100,IF($B$2="45-54",Summary_Employed!F48/Summary_Population!F48*100,IF($B$2="55-64",Summary_Employed!F49/Summary_Population!F49*100)))))</f>
        <v>#DIV/0!</v>
      </c>
      <c r="F33" s="228" t="e">
        <f>IF($B$2="25-64",Summary_Employed!G45/Summary_Population!G45*100,IF(Summary_Indicators!$B$2="25-34",Summary_Employed!G46/Summary_Population!G46*100,IF($B$2="35-44",Summary_Employed!G47/Summary_Population!G47*100,IF($B$2="45-54",Summary_Employed!G48/Summary_Population!G48*100,IF($B$2="55-64",Summary_Employed!G49/Summary_Population!G49*100)))))</f>
        <v>#DIV/0!</v>
      </c>
      <c r="G33" s="296" t="e">
        <f>IF($B$2="25-64",Summary_Employed!H45/Summary_Population!H45*100,IF(Summary_Indicators!$B$2="25-34",Summary_Employed!H46/Summary_Population!H46*100,IF($B$2="35-44",Summary_Employed!H47/Summary_Population!H47*100,IF($B$2="45-54",Summary_Employed!H48/Summary_Population!H48*100,IF($B$2="55-64",Summary_Employed!H49/Summary_Population!H49*100)))))</f>
        <v>#DIV/0!</v>
      </c>
      <c r="H33" s="296" t="e">
        <f>IF($B$2="25-64",Summary_Employed!I45/Summary_Population!I45*100,IF(Summary_Indicators!$B$2="25-34",Summary_Employed!I46/Summary_Population!I46*100,IF($B$2="35-44",Summary_Employed!I47/Summary_Population!I47*100,IF($B$2="45-54",Summary_Employed!I48/Summary_Population!I48*100,IF($B$2="55-64",Summary_Employed!I49/Summary_Population!I49*100)))))</f>
        <v>#DIV/0!</v>
      </c>
      <c r="I33" s="296" t="e">
        <f>IF($B$2="25-64",Summary_Employed!J45/Summary_Population!J45*100,IF(Summary_Indicators!$B$2="25-34",Summary_Employed!J46/Summary_Population!J46*100,IF($B$2="35-44",Summary_Employed!J47/Summary_Population!J47*100,IF($B$2="45-54",Summary_Employed!J48/Summary_Population!J48*100,IF($B$2="55-64",Summary_Employed!J49/Summary_Population!J49*100)))))</f>
        <v>#DIV/0!</v>
      </c>
      <c r="J33" s="296" t="e">
        <f>IF($B$2="25-64",Summary_Employed!K45/Summary_Population!K45*100,IF(Summary_Indicators!$B$2="25-34",Summary_Employed!K46/Summary_Population!K46*100,IF($B$2="35-44",Summary_Employed!K47/Summary_Population!K47*100,IF($B$2="45-54",Summary_Employed!K48/Summary_Population!K48*100,IF($B$2="55-64",Summary_Employed!K49/Summary_Population!K49*100)))))</f>
        <v>#DIV/0!</v>
      </c>
      <c r="K33" s="296" t="e">
        <f>IF($B$2="25-64",Summary_Employed!L45/Summary_Population!L45*100,IF(Summary_Indicators!$B$2="25-34",Summary_Employed!L46/Summary_Population!L46*100,IF($B$2="35-44",Summary_Employed!L47/Summary_Population!L47*100,IF($B$2="45-54",Summary_Employed!L48/Summary_Population!L48*100,IF($B$2="55-64",Summary_Employed!L49/Summary_Population!L49*100)))))</f>
        <v>#DIV/0!</v>
      </c>
      <c r="L33" s="296" t="e">
        <f>IF($B$2="25-64",Summary_Employed!M45/Summary_Population!M45*100,IF(Summary_Indicators!$B$2="25-34",Summary_Employed!M46/Summary_Population!M46*100,IF($B$2="35-44",Summary_Employed!M47/Summary_Population!M47*100,IF($B$2="45-54",Summary_Employed!M48/Summary_Population!M48*100,IF($B$2="55-64",Summary_Employed!M49/Summary_Population!M49*100)))))</f>
        <v>#DIV/0!</v>
      </c>
      <c r="M33" s="296" t="e">
        <f>IF($B$2="25-64",Summary_Employed!U45/Summary_Population!U45*100,IF(Summary_Indicators!$B$2="25-34",Summary_Employed!U46/Summary_Population!U46*100,IF($B$2="35-44",Summary_Employed!U47/Summary_Population!U47*100,IF($B$2="45-54",Summary_Employed!U48/Summary_Population!U48*100,IF($B$2="55-64",Summary_Employed!U49/Summary_Population!U49*100)))))</f>
        <v>#DIV/0!</v>
      </c>
      <c r="N33" s="293" t="e">
        <f>IF($B$2="25-64",Summary_Employed!O45/Summary_Population!O45*100,IF(Summary_Indicators!$B$2="25-34",Summary_Employed!O46/Summary_Population!O46*100,IF($B$2="35-44",Summary_Employed!O47/Summary_Population!O47*100,IF($B$2="45-54",Summary_Employed!O48/Summary_Population!O48*100,IF($B$2="55-64",Summary_Employed!O49/Summary_Population!O49*100)))))</f>
        <v>#DIV/0!</v>
      </c>
    </row>
    <row r="34" spans="1:14" x14ac:dyDescent="0.2">
      <c r="A34" s="139" t="s">
        <v>5</v>
      </c>
      <c r="B34" s="228" t="e">
        <f>IF($B$2="25-64",Summary_Employed!C52/Summary_Population!C52*100,IF(Summary_Indicators!$B$2="25-34",Summary_Employed!C53/Summary_Population!C53*100,IF($B$2="35-44",Summary_Employed!C54/Summary_Population!C54*100,IF($B$2="45-54",Summary_Employed!C55/Summary_Population!C55*100,IF($B$2="55-64",Summary_Employed!C56/Summary_Population!C56*100)))))</f>
        <v>#DIV/0!</v>
      </c>
      <c r="C34" s="296" t="e">
        <f>IF($B$2="25-64",Summary_Employed!D52/Summary_Population!D52*100,IF(Summary_Indicators!$B$2="25-34",Summary_Employed!D53/Summary_Population!D53*100,IF($B$2="35-44",Summary_Employed!D54/Summary_Population!D54*100,IF($B$2="45-54",Summary_Employed!D55/Summary_Population!D55*100,IF($B$2="55-64",Summary_Employed!D56/Summary_Population!D56*100)))))</f>
        <v>#DIV/0!</v>
      </c>
      <c r="D34" s="228" t="e">
        <f>IF($B$2="25-64",Summary_Employed!E52/Summary_Population!E52*100,IF(Summary_Indicators!$B$2="25-34",Summary_Employed!E53/Summary_Population!E53*100,IF($B$2="35-44",Summary_Employed!E54/Summary_Population!E54*100,IF($B$2="45-54",Summary_Employed!E55/Summary_Population!E55*100,IF($B$2="55-64",Summary_Employed!E56/Summary_Population!E56*100)))))</f>
        <v>#DIV/0!</v>
      </c>
      <c r="E34" s="296" t="e">
        <f>IF($B$2="25-64",Summary_Employed!F52/Summary_Population!F52*100,IF(Summary_Indicators!$B$2="25-34",Summary_Employed!F53/Summary_Population!F53*100,IF($B$2="35-44",Summary_Employed!F54/Summary_Population!F54*100,IF($B$2="45-54",Summary_Employed!F55/Summary_Population!F55*100,IF($B$2="55-64",Summary_Employed!F56/Summary_Population!F56*100)))))</f>
        <v>#DIV/0!</v>
      </c>
      <c r="F34" s="228" t="e">
        <f>IF($B$2="25-64",Summary_Employed!G52/Summary_Population!G52*100,IF(Summary_Indicators!$B$2="25-34",Summary_Employed!G53/Summary_Population!G53*100,IF($B$2="35-44",Summary_Employed!G54/Summary_Population!G54*100,IF($B$2="45-54",Summary_Employed!G55/Summary_Population!G55*100,IF($B$2="55-64",Summary_Employed!G56/Summary_Population!G56*100)))))</f>
        <v>#DIV/0!</v>
      </c>
      <c r="G34" s="296" t="e">
        <f>IF($B$2="25-64",Summary_Employed!H52/Summary_Population!H52*100,IF(Summary_Indicators!$B$2="25-34",Summary_Employed!H53/Summary_Population!H53*100,IF($B$2="35-44",Summary_Employed!H54/Summary_Population!H54*100,IF($B$2="45-54",Summary_Employed!H55/Summary_Population!H55*100,IF($B$2="55-64",Summary_Employed!H56/Summary_Population!H56*100)))))</f>
        <v>#DIV/0!</v>
      </c>
      <c r="H34" s="296" t="e">
        <f>IF($B$2="25-64",Summary_Employed!I52/Summary_Population!I52*100,IF(Summary_Indicators!$B$2="25-34",Summary_Employed!I53/Summary_Population!I53*100,IF($B$2="35-44",Summary_Employed!I54/Summary_Population!I54*100,IF($B$2="45-54",Summary_Employed!I55/Summary_Population!I55*100,IF($B$2="55-64",Summary_Employed!I56/Summary_Population!I56*100)))))</f>
        <v>#DIV/0!</v>
      </c>
      <c r="I34" s="296" t="e">
        <f>IF($B$2="25-64",Summary_Employed!J52/Summary_Population!J52*100,IF(Summary_Indicators!$B$2="25-34",Summary_Employed!J53/Summary_Population!J53*100,IF($B$2="35-44",Summary_Employed!J54/Summary_Population!J54*100,IF($B$2="45-54",Summary_Employed!J55/Summary_Population!J55*100,IF($B$2="55-64",Summary_Employed!J56/Summary_Population!J56*100)))))</f>
        <v>#DIV/0!</v>
      </c>
      <c r="J34" s="296" t="e">
        <f>IF($B$2="25-64",Summary_Employed!K52/Summary_Population!K52*100,IF(Summary_Indicators!$B$2="25-34",Summary_Employed!K53/Summary_Population!K53*100,IF($B$2="35-44",Summary_Employed!K54/Summary_Population!K54*100,IF($B$2="45-54",Summary_Employed!K55/Summary_Population!K55*100,IF($B$2="55-64",Summary_Employed!K56/Summary_Population!K56*100)))))</f>
        <v>#DIV/0!</v>
      </c>
      <c r="K34" s="296" t="e">
        <f>IF($B$2="25-64",Summary_Employed!L52/Summary_Population!L52*100,IF(Summary_Indicators!$B$2="25-34",Summary_Employed!L53/Summary_Population!L53*100,IF($B$2="35-44",Summary_Employed!L54/Summary_Population!L54*100,IF($B$2="45-54",Summary_Employed!L55/Summary_Population!L55*100,IF($B$2="55-64",Summary_Employed!L56/Summary_Population!L56*100)))))</f>
        <v>#DIV/0!</v>
      </c>
      <c r="L34" s="296" t="e">
        <f>IF($B$2="25-64",Summary_Employed!M52/Summary_Population!M52*100,IF(Summary_Indicators!$B$2="25-34",Summary_Employed!M53/Summary_Population!M53*100,IF($B$2="35-44",Summary_Employed!M54/Summary_Population!M54*100,IF($B$2="45-54",Summary_Employed!M55/Summary_Population!M55*100,IF($B$2="55-64",Summary_Employed!M56/Summary_Population!M56*100)))))</f>
        <v>#DIV/0!</v>
      </c>
      <c r="M34" s="296" t="e">
        <f>IF($B$2="25-64",Summary_Employed!U52/Summary_Population!U52*100,IF(Summary_Indicators!$B$2="25-34",Summary_Employed!U53/Summary_Population!U53*100,IF($B$2="35-44",Summary_Employed!U54/Summary_Population!U54*100,IF($B$2="45-54",Summary_Employed!U55/Summary_Population!U55*100,IF($B$2="55-64",Summary_Employed!U56/Summary_Population!U56*100)))))</f>
        <v>#DIV/0!</v>
      </c>
      <c r="N34" s="293" t="e">
        <f>IF($B$2="25-64",Summary_Employed!O52/Summary_Population!O52*100,IF(Summary_Indicators!$B$2="25-34",Summary_Employed!O53/Summary_Population!O53*100,IF($B$2="35-44",Summary_Employed!O54/Summary_Population!O54*100,IF($B$2="45-54",Summary_Employed!O55/Summary_Population!O55*100,IF($B$2="55-64",Summary_Employed!O56/Summary_Population!O56*100)))))</f>
        <v>#DIV/0!</v>
      </c>
    </row>
    <row r="35" spans="1:14" ht="13.5" thickBot="1" x14ac:dyDescent="0.25">
      <c r="A35" s="140" t="s">
        <v>6</v>
      </c>
      <c r="B35" s="227" t="e">
        <f>IF($B$2="25-64",Summary_Employed!C59/Summary_Population!C59*100,IF(Summary_Indicators!$B$2="25-34",Summary_Employed!C60/Summary_Population!C60*100,IF($B$2="35-44",Summary_Employed!C61/Summary_Population!C61*100,IF($B$2="45-54",Summary_Employed!C62/Summary_Population!C62*100,IF($B$2="55-64",Summary_Employed!C63/Summary_Population!C63*100)))))</f>
        <v>#DIV/0!</v>
      </c>
      <c r="C35" s="292" t="e">
        <f>IF($B$2="25-64",Summary_Employed!D59/Summary_Population!D59*100,IF(Summary_Indicators!$B$2="25-34",Summary_Employed!D60/Summary_Population!D60*100,IF($B$2="35-44",Summary_Employed!D61/Summary_Population!D61*100,IF($B$2="45-54",Summary_Employed!D62/Summary_Population!D62*100,IF($B$2="55-64",Summary_Employed!D63/Summary_Population!D63*100)))))</f>
        <v>#DIV/0!</v>
      </c>
      <c r="D35" s="227" t="e">
        <f>IF($B$2="25-64",Summary_Employed!E59/Summary_Population!E59*100,IF(Summary_Indicators!$B$2="25-34",Summary_Employed!E60/Summary_Population!E60*100,IF($B$2="35-44",Summary_Employed!E61/Summary_Population!E61*100,IF($B$2="45-54",Summary_Employed!E62/Summary_Population!E62*100,IF($B$2="55-64",Summary_Employed!E63/Summary_Population!E63*100)))))</f>
        <v>#DIV/0!</v>
      </c>
      <c r="E35" s="292" t="e">
        <f>IF($B$2="25-64",Summary_Employed!F59/Summary_Population!F59*100,IF(Summary_Indicators!$B$2="25-34",Summary_Employed!F60/Summary_Population!F60*100,IF($B$2="35-44",Summary_Employed!F61/Summary_Population!F61*100,IF($B$2="45-54",Summary_Employed!F62/Summary_Population!F62*100,IF($B$2="55-64",Summary_Employed!F63/Summary_Population!F63*100)))))</f>
        <v>#DIV/0!</v>
      </c>
      <c r="F35" s="227" t="e">
        <f>IF($B$2="25-64",Summary_Employed!G59/Summary_Population!G59*100,IF(Summary_Indicators!$B$2="25-34",Summary_Employed!G60/Summary_Population!G60*100,IF($B$2="35-44",Summary_Employed!G61/Summary_Population!G61*100,IF($B$2="45-54",Summary_Employed!G62/Summary_Population!G62*100,IF($B$2="55-64",Summary_Employed!G63/Summary_Population!G63*100)))))</f>
        <v>#DIV/0!</v>
      </c>
      <c r="G35" s="292" t="e">
        <f>IF($B$2="25-64",Summary_Employed!H59/Summary_Population!H59*100,IF(Summary_Indicators!$B$2="25-34",Summary_Employed!H60/Summary_Population!H60*100,IF($B$2="35-44",Summary_Employed!H61/Summary_Population!H61*100,IF($B$2="45-54",Summary_Employed!H62/Summary_Population!H62*100,IF($B$2="55-64",Summary_Employed!H63/Summary_Population!H63*100)))))</f>
        <v>#DIV/0!</v>
      </c>
      <c r="H35" s="292" t="e">
        <f>IF($B$2="25-64",Summary_Employed!I59/Summary_Population!I59*100,IF(Summary_Indicators!$B$2="25-34",Summary_Employed!I60/Summary_Population!I60*100,IF($B$2="35-44",Summary_Employed!I61/Summary_Population!I61*100,IF($B$2="45-54",Summary_Employed!I62/Summary_Population!I62*100,IF($B$2="55-64",Summary_Employed!I63/Summary_Population!I63*100)))))</f>
        <v>#DIV/0!</v>
      </c>
      <c r="I35" s="292" t="e">
        <f>IF($B$2="25-64",Summary_Employed!J59/Summary_Population!J59*100,IF(Summary_Indicators!$B$2="25-34",Summary_Employed!J60/Summary_Population!J60*100,IF($B$2="35-44",Summary_Employed!J61/Summary_Population!J61*100,IF($B$2="45-54",Summary_Employed!J62/Summary_Population!J62*100,IF($B$2="55-64",Summary_Employed!J63/Summary_Population!J63*100)))))</f>
        <v>#DIV/0!</v>
      </c>
      <c r="J35" s="292" t="e">
        <f>IF($B$2="25-64",Summary_Employed!K59/Summary_Population!K59*100,IF(Summary_Indicators!$B$2="25-34",Summary_Employed!K60/Summary_Population!K60*100,IF($B$2="35-44",Summary_Employed!K61/Summary_Population!K61*100,IF($B$2="45-54",Summary_Employed!K62/Summary_Population!K62*100,IF($B$2="55-64",Summary_Employed!K63/Summary_Population!K63*100)))))</f>
        <v>#DIV/0!</v>
      </c>
      <c r="K35" s="292" t="e">
        <f>IF($B$2="25-64",Summary_Employed!L59/Summary_Population!L59*100,IF(Summary_Indicators!$B$2="25-34",Summary_Employed!L60/Summary_Population!L60*100,IF($B$2="35-44",Summary_Employed!L61/Summary_Population!L61*100,IF($B$2="45-54",Summary_Employed!L62/Summary_Population!L62*100,IF($B$2="55-64",Summary_Employed!L63/Summary_Population!L63*100)))))</f>
        <v>#DIV/0!</v>
      </c>
      <c r="L35" s="292" t="e">
        <f>IF($B$2="25-64",Summary_Employed!M59/Summary_Population!M59*100,IF(Summary_Indicators!$B$2="25-34",Summary_Employed!M60/Summary_Population!M60*100,IF($B$2="35-44",Summary_Employed!M61/Summary_Population!M61*100,IF($B$2="45-54",Summary_Employed!M62/Summary_Population!M62*100,IF($B$2="55-64",Summary_Employed!M63/Summary_Population!M63*100)))))</f>
        <v>#DIV/0!</v>
      </c>
      <c r="M35" s="292" t="e">
        <f>IF($B$2="25-64",Summary_Employed!U59/Summary_Population!U59*100,IF(Summary_Indicators!$B$2="25-34",Summary_Employed!U60/Summary_Population!U60*100,IF($B$2="35-44",Summary_Employed!U61/Summary_Population!U61*100,IF($B$2="45-54",Summary_Employed!U62/Summary_Population!U62*100,IF($B$2="55-64",Summary_Employed!U63/Summary_Population!U63*100)))))</f>
        <v>#DIV/0!</v>
      </c>
      <c r="N35" s="295" t="e">
        <f>IF($B$2="25-64",Summary_Employed!O59/Summary_Population!O59*100,IF(Summary_Indicators!$B$2="25-34",Summary_Employed!O60/Summary_Population!O60*100,IF($B$2="35-44",Summary_Employed!O61/Summary_Population!O61*100,IF($B$2="45-54",Summary_Employed!O62/Summary_Population!O62*100,IF($B$2="55-64",Summary_Employed!O63/Summary_Population!O63*100)))))</f>
        <v>#DIV/0!</v>
      </c>
    </row>
    <row r="38" spans="1:14" x14ac:dyDescent="0.2">
      <c r="A38" s="109" t="s">
        <v>154</v>
      </c>
      <c r="B38" s="206"/>
      <c r="C38" s="206"/>
      <c r="D38" s="206"/>
      <c r="E38" s="206"/>
      <c r="F38" s="206"/>
      <c r="G38" s="206"/>
      <c r="H38" s="206"/>
      <c r="I38" s="206"/>
      <c r="J38" s="206"/>
      <c r="K38" s="206"/>
      <c r="L38" s="206"/>
      <c r="M38" s="110"/>
    </row>
    <row r="39" spans="1:14" ht="13.5" thickBot="1" x14ac:dyDescent="0.25">
      <c r="A39" s="279" t="s">
        <v>288</v>
      </c>
      <c r="B39" s="119"/>
      <c r="C39" s="119"/>
      <c r="D39" s="119"/>
      <c r="E39" s="119"/>
      <c r="F39" s="119"/>
      <c r="G39" s="119"/>
      <c r="H39" s="119"/>
      <c r="I39" s="119"/>
      <c r="J39" s="119"/>
      <c r="K39" s="119"/>
      <c r="L39" s="119"/>
      <c r="M39" s="119"/>
    </row>
    <row r="40" spans="1:14" ht="28.5" customHeight="1" x14ac:dyDescent="0.2">
      <c r="A40" s="416"/>
      <c r="B40" s="411" t="s">
        <v>144</v>
      </c>
      <c r="C40" s="412"/>
      <c r="D40" s="412"/>
      <c r="E40" s="412"/>
      <c r="F40" s="412"/>
      <c r="G40" s="411" t="s">
        <v>145</v>
      </c>
      <c r="H40" s="413"/>
      <c r="I40" s="411" t="s">
        <v>8</v>
      </c>
      <c r="J40" s="412"/>
      <c r="K40" s="412"/>
      <c r="L40" s="412"/>
      <c r="M40" s="413"/>
      <c r="N40" s="414" t="s">
        <v>4</v>
      </c>
    </row>
    <row r="41" spans="1:14" ht="56.25" x14ac:dyDescent="0.2">
      <c r="A41" s="417"/>
      <c r="B41" s="107" t="s">
        <v>135</v>
      </c>
      <c r="C41" s="107" t="s">
        <v>136</v>
      </c>
      <c r="D41" s="288" t="s">
        <v>137</v>
      </c>
      <c r="E41" s="288" t="s">
        <v>138</v>
      </c>
      <c r="F41" s="288" t="s">
        <v>139</v>
      </c>
      <c r="G41" s="288" t="s">
        <v>141</v>
      </c>
      <c r="H41" s="107" t="s">
        <v>142</v>
      </c>
      <c r="I41" s="288" t="s">
        <v>164</v>
      </c>
      <c r="J41" s="288" t="s">
        <v>128</v>
      </c>
      <c r="K41" s="118" t="s">
        <v>129</v>
      </c>
      <c r="L41" s="289" t="s">
        <v>130</v>
      </c>
      <c r="M41" s="118" t="s">
        <v>253</v>
      </c>
      <c r="N41" s="415"/>
    </row>
    <row r="42" spans="1:14" x14ac:dyDescent="0.2">
      <c r="A42" s="213"/>
      <c r="B42" s="116">
        <v>1</v>
      </c>
      <c r="C42" s="116">
        <f t="shared" ref="C42:N42" si="2">B42+1</f>
        <v>2</v>
      </c>
      <c r="D42" s="116">
        <f t="shared" si="2"/>
        <v>3</v>
      </c>
      <c r="E42" s="117">
        <f t="shared" si="2"/>
        <v>4</v>
      </c>
      <c r="F42" s="117">
        <f t="shared" si="2"/>
        <v>5</v>
      </c>
      <c r="G42" s="117">
        <f t="shared" si="2"/>
        <v>6</v>
      </c>
      <c r="H42" s="116">
        <f t="shared" si="2"/>
        <v>7</v>
      </c>
      <c r="I42" s="116">
        <f t="shared" si="2"/>
        <v>8</v>
      </c>
      <c r="J42" s="116">
        <f t="shared" si="2"/>
        <v>9</v>
      </c>
      <c r="K42" s="116">
        <f t="shared" si="2"/>
        <v>10</v>
      </c>
      <c r="L42" s="117">
        <f t="shared" si="2"/>
        <v>11</v>
      </c>
      <c r="M42" s="117">
        <f t="shared" si="2"/>
        <v>12</v>
      </c>
      <c r="N42" s="137">
        <f t="shared" si="2"/>
        <v>13</v>
      </c>
    </row>
    <row r="43" spans="1:14" x14ac:dyDescent="0.2">
      <c r="A43" s="121"/>
      <c r="B43" s="115"/>
      <c r="C43" s="115"/>
      <c r="D43" s="115"/>
      <c r="E43" s="115"/>
      <c r="F43" s="115"/>
      <c r="G43" s="115"/>
      <c r="H43" s="115"/>
      <c r="I43" s="115"/>
      <c r="J43" s="115"/>
      <c r="K43" s="115"/>
      <c r="L43" s="115"/>
      <c r="M43" s="211"/>
      <c r="N43" s="141"/>
    </row>
    <row r="44" spans="1:14" x14ac:dyDescent="0.2">
      <c r="A44" s="139" t="s">
        <v>146</v>
      </c>
      <c r="B44" s="228" t="e">
        <f>IF($B$2="25-64",Summary_Unemployed!C45/(Summary_Employed!C45+Summary_Unemployed!C45)*100,IF(Summary_Indicators!$B$2="25-34",Summary_Unemployed!C46/(Summary_Employed!C46+Summary_Unemployed!C46)*100,IF($B$2="35-44",Summary_Unemployed!C47/(Summary_Employed!C47+Summary_Unemployed!C47)*100,IF($B$2="45-54",Summary_Unemployed!C48/(Summary_Employed!C48+Summary_Unemployed!C48)*100,IF($B$2="55-64",Summary_Unemployed!C49/(Summary_Employed!C49+Summary_Unemployed!C49)*100)))))</f>
        <v>#DIV/0!</v>
      </c>
      <c r="C44" s="296" t="e">
        <f>IF($B$2="25-64",Summary_Unemployed!D45/(Summary_Employed!D45+Summary_Unemployed!D45)*100,IF(Summary_Indicators!$B$2="25-34",Summary_Unemployed!D46/(Summary_Employed!D46+Summary_Unemployed!D46)*100,IF($B$2="35-44",Summary_Unemployed!D47/(Summary_Employed!D47+Summary_Unemployed!D47)*100,IF($B$2="45-54",Summary_Unemployed!D48/(Summary_Employed!D48+Summary_Unemployed!D48)*100,IF($B$2="55-64",Summary_Unemployed!D49/(Summary_Employed!D49+Summary_Unemployed!D49)*100)))))</f>
        <v>#DIV/0!</v>
      </c>
      <c r="D44" s="228" t="e">
        <f>IF($B$2="25-64",Summary_Unemployed!E45/(Summary_Employed!E45+Summary_Unemployed!E45)*100,IF(Summary_Indicators!$B$2="25-34",Summary_Unemployed!E46/(Summary_Employed!E46+Summary_Unemployed!E46)*100,IF($B$2="35-44",Summary_Unemployed!E47/(Summary_Employed!E47+Summary_Unemployed!E47)*100,IF($B$2="45-54",Summary_Unemployed!E48/(Summary_Employed!E48+Summary_Unemployed!E48)*100,IF($B$2="55-64",Summary_Unemployed!E49/(Summary_Employed!E49+Summary_Unemployed!E49)*100)))))</f>
        <v>#DIV/0!</v>
      </c>
      <c r="E44" s="296" t="e">
        <f>IF($B$2="25-64",Summary_Unemployed!F45/(Summary_Employed!F45+Summary_Unemployed!F45)*100,IF(Summary_Indicators!$B$2="25-34",Summary_Unemployed!F46/(Summary_Employed!F46+Summary_Unemployed!F46)*100,IF($B$2="35-44",Summary_Unemployed!F47/(Summary_Employed!F47+Summary_Unemployed!F47)*100,IF($B$2="45-54",Summary_Unemployed!F48/(Summary_Employed!F48+Summary_Unemployed!F48)*100,IF($B$2="55-64",Summary_Unemployed!F49/(Summary_Employed!F49+Summary_Unemployed!F49)*100)))))</f>
        <v>#DIV/0!</v>
      </c>
      <c r="F44" s="228" t="e">
        <f>IF($B$2="25-64",Summary_Unemployed!G45/(Summary_Employed!G45+Summary_Unemployed!G45)*100,IF(Summary_Indicators!$B$2="25-34",Summary_Unemployed!G46/(Summary_Employed!G46+Summary_Unemployed!G46)*100,IF($B$2="35-44",Summary_Unemployed!G47/(Summary_Employed!G47+Summary_Unemployed!G47)*100,IF($B$2="45-54",Summary_Unemployed!G48/(Summary_Employed!G48+Summary_Unemployed!G48)*100,IF($B$2="55-64",Summary_Unemployed!G49/(Summary_Employed!G49+Summary_Unemployed!G49)*100)))))</f>
        <v>#DIV/0!</v>
      </c>
      <c r="G44" s="296" t="e">
        <f>IF($B$2="25-64",Summary_Unemployed!H45/(Summary_Employed!H45+Summary_Unemployed!H45)*100,IF(Summary_Indicators!$B$2="25-34",Summary_Unemployed!H46/(Summary_Employed!H46+Summary_Unemployed!H46)*100,IF($B$2="35-44",Summary_Unemployed!H47/(Summary_Employed!H47+Summary_Unemployed!H47)*100,IF($B$2="45-54",Summary_Unemployed!H48/(Summary_Employed!H48+Summary_Unemployed!H48)*100,IF($B$2="55-64",Summary_Unemployed!H49/(Summary_Employed!H49+Summary_Unemployed!H49)*100)))))</f>
        <v>#DIV/0!</v>
      </c>
      <c r="H44" s="296" t="e">
        <f>IF($B$2="25-64",Summary_Unemployed!I45/(Summary_Employed!I45+Summary_Unemployed!I45)*100,IF(Summary_Indicators!$B$2="25-34",Summary_Unemployed!I46/(Summary_Employed!I46+Summary_Unemployed!I46)*100,IF($B$2="35-44",Summary_Unemployed!I47/(Summary_Employed!I47+Summary_Unemployed!I47)*100,IF($B$2="45-54",Summary_Unemployed!I48/(Summary_Employed!I48+Summary_Unemployed!I48)*100,IF($B$2="55-64",Summary_Unemployed!I49/(Summary_Employed!I49+Summary_Unemployed!I49)*100)))))</f>
        <v>#DIV/0!</v>
      </c>
      <c r="I44" s="296" t="e">
        <f>IF($B$2="25-64",Summary_Unemployed!J45/(Summary_Employed!J45+Summary_Unemployed!J45)*100,IF(Summary_Indicators!$B$2="25-34",Summary_Unemployed!J46/(Summary_Employed!J46+Summary_Unemployed!J46)*100,IF($B$2="35-44",Summary_Unemployed!J47/(Summary_Employed!J47+Summary_Unemployed!J47)*100,IF($B$2="45-54",Summary_Unemployed!J48/(Summary_Employed!J48+Summary_Unemployed!J48)*100,IF($B$2="55-64",Summary_Unemployed!J49/(Summary_Employed!J49+Summary_Unemployed!J49)*100)))))</f>
        <v>#DIV/0!</v>
      </c>
      <c r="J44" s="296" t="e">
        <f>IF($B$2="25-64",Summary_Unemployed!K45/(Summary_Employed!K45+Summary_Unemployed!K45)*100,IF(Summary_Indicators!$B$2="25-34",Summary_Unemployed!K46/(Summary_Employed!K46+Summary_Unemployed!K46)*100,IF($B$2="35-44",Summary_Unemployed!K47/(Summary_Employed!K47+Summary_Unemployed!K47)*100,IF($B$2="45-54",Summary_Unemployed!K48/(Summary_Employed!K48+Summary_Unemployed!K48)*100,IF($B$2="55-64",Summary_Unemployed!K49/(Summary_Employed!K49+Summary_Unemployed!K49)*100)))))</f>
        <v>#DIV/0!</v>
      </c>
      <c r="K44" s="296" t="e">
        <f>IF($B$2="25-64",Summary_Unemployed!L45/(Summary_Employed!L45+Summary_Unemployed!L45)*100,IF(Summary_Indicators!$B$2="25-34",Summary_Unemployed!L46/(Summary_Employed!L46+Summary_Unemployed!L46)*100,IF($B$2="35-44",Summary_Unemployed!L47/(Summary_Employed!L47+Summary_Unemployed!L47)*100,IF($B$2="45-54",Summary_Unemployed!L48/(Summary_Employed!L48+Summary_Unemployed!L48)*100,IF($B$2="55-64",Summary_Unemployed!L49/(Summary_Employed!L49+Summary_Unemployed!L49)*100)))))</f>
        <v>#DIV/0!</v>
      </c>
      <c r="L44" s="296" t="e">
        <f>IF($B$2="25-64",Summary_Unemployed!M45/(Summary_Employed!M45+Summary_Unemployed!M45)*100,IF(Summary_Indicators!$B$2="25-34",Summary_Unemployed!M46/(Summary_Employed!M46+Summary_Unemployed!M46)*100,IF($B$2="35-44",Summary_Unemployed!M47/(Summary_Employed!M47+Summary_Unemployed!M47)*100,IF($B$2="45-54",Summary_Unemployed!M48/(Summary_Employed!M48+Summary_Unemployed!M48)*100,IF($B$2="55-64",Summary_Unemployed!M49/(Summary_Employed!M49+Summary_Unemployed!M49)*100)))))</f>
        <v>#DIV/0!</v>
      </c>
      <c r="M44" s="296" t="e">
        <f>IF($B$2="25-64",Summary_Unemployed!U45/(Summary_Employed!U45+Summary_Unemployed!U45)*100,IF(Summary_Indicators!$B$2="25-34",Summary_Unemployed!U46/(Summary_Employed!U46+Summary_Unemployed!U46)*100,IF($B$2="35-44",Summary_Unemployed!U47/(Summary_Employed!U47+Summary_Unemployed!U47)*100,IF($B$2="45-54",Summary_Unemployed!U48/(Summary_Employed!U48+Summary_Unemployed!U48)*100,IF($B$2="55-64",Summary_Unemployed!U49/(Summary_Employed!U49+Summary_Unemployed!U49)*100)))))</f>
        <v>#DIV/0!</v>
      </c>
      <c r="N44" s="293" t="e">
        <f>IF($B$2="25-64",Summary_Unemployed!O45/(Summary_Employed!O45+Summary_Unemployed!O45)*100,IF(Summary_Indicators!$B$2="25-34",Summary_Unemployed!O46/(Summary_Employed!O46+Summary_Unemployed!O46)*100,IF($B$2="35-44",Summary_Unemployed!O47/(Summary_Employed!O47+Summary_Unemployed!O47)*100,IF($B$2="45-54",Summary_Unemployed!O48/(Summary_Employed!O48+Summary_Unemployed!O48)*100,IF($B$2="55-64",Summary_Unemployed!O49/(Summary_Employed!O49+Summary_Unemployed!O49)*100)))))</f>
        <v>#DIV/0!</v>
      </c>
    </row>
    <row r="45" spans="1:14" x14ac:dyDescent="0.2">
      <c r="A45" s="139" t="s">
        <v>5</v>
      </c>
      <c r="B45" s="228" t="e">
        <f>IF($B$2="25-64",Summary_Unemployed!C52/(Summary_Employed!C52+Summary_Unemployed!C52)*100,IF(Summary_Indicators!$B$2="25-34",Summary_Unemployed!C53/(Summary_Employed!C53+Summary_Unemployed!C53)*100,IF($B$2="35-44",Summary_Unemployed!C54/(Summary_Employed!C54+Summary_Unemployed!C54)*100,IF($B$2="45-54",Summary_Unemployed!C55/(Summary_Employed!C55+Summary_Unemployed!C55)*100,IF($B$2="55-64",Summary_Unemployed!C56/(Summary_Employed!C56+Summary_Unemployed!C56)*100)))))</f>
        <v>#DIV/0!</v>
      </c>
      <c r="C45" s="296" t="e">
        <f>IF($B$2="25-64",Summary_Unemployed!D52/(Summary_Employed!D52+Summary_Unemployed!D52)*100,IF(Summary_Indicators!$B$2="25-34",Summary_Unemployed!D53/(Summary_Employed!D53+Summary_Unemployed!D53)*100,IF($B$2="35-44",Summary_Unemployed!D54/(Summary_Employed!D54+Summary_Unemployed!D54)*100,IF($B$2="45-54",Summary_Unemployed!D55/(Summary_Employed!D55+Summary_Unemployed!D55)*100,IF($B$2="55-64",Summary_Unemployed!D56/(Summary_Employed!D56+Summary_Unemployed!D56)*100)))))</f>
        <v>#DIV/0!</v>
      </c>
      <c r="D45" s="228" t="e">
        <f>IF($B$2="25-64",Summary_Unemployed!E52/(Summary_Employed!E52+Summary_Unemployed!E52)*100,IF(Summary_Indicators!$B$2="25-34",Summary_Unemployed!E53/(Summary_Employed!E53+Summary_Unemployed!E53)*100,IF($B$2="35-44",Summary_Unemployed!E54/(Summary_Employed!E54+Summary_Unemployed!E54)*100,IF($B$2="45-54",Summary_Unemployed!E55/(Summary_Employed!E55+Summary_Unemployed!E55)*100,IF($B$2="55-64",Summary_Unemployed!E56/(Summary_Employed!E56+Summary_Unemployed!E56)*100)))))</f>
        <v>#DIV/0!</v>
      </c>
      <c r="E45" s="296" t="e">
        <f>IF($B$2="25-64",Summary_Unemployed!F52/(Summary_Employed!F52+Summary_Unemployed!F52)*100,IF(Summary_Indicators!$B$2="25-34",Summary_Unemployed!F53/(Summary_Employed!F53+Summary_Unemployed!F53)*100,IF($B$2="35-44",Summary_Unemployed!F54/(Summary_Employed!F54+Summary_Unemployed!F54)*100,IF($B$2="45-54",Summary_Unemployed!F55/(Summary_Employed!F55+Summary_Unemployed!F55)*100,IF($B$2="55-64",Summary_Unemployed!F56/(Summary_Employed!F56+Summary_Unemployed!F56)*100)))))</f>
        <v>#DIV/0!</v>
      </c>
      <c r="F45" s="228" t="e">
        <f>IF($B$2="25-64",Summary_Unemployed!G52/(Summary_Employed!G52+Summary_Unemployed!G52)*100,IF(Summary_Indicators!$B$2="25-34",Summary_Unemployed!G53/(Summary_Employed!G53+Summary_Unemployed!G53)*100,IF($B$2="35-44",Summary_Unemployed!G54/(Summary_Employed!G54+Summary_Unemployed!G54)*100,IF($B$2="45-54",Summary_Unemployed!G55/(Summary_Employed!G55+Summary_Unemployed!G55)*100,IF($B$2="55-64",Summary_Unemployed!G56/(Summary_Employed!G56+Summary_Unemployed!G56)*100)))))</f>
        <v>#DIV/0!</v>
      </c>
      <c r="G45" s="296" t="e">
        <f>IF($B$2="25-64",Summary_Unemployed!H52/(Summary_Employed!H52+Summary_Unemployed!H52)*100,IF(Summary_Indicators!$B$2="25-34",Summary_Unemployed!H53/(Summary_Employed!H53+Summary_Unemployed!H53)*100,IF($B$2="35-44",Summary_Unemployed!H54/(Summary_Employed!H54+Summary_Unemployed!H54)*100,IF($B$2="45-54",Summary_Unemployed!H55/(Summary_Employed!H55+Summary_Unemployed!H55)*100,IF($B$2="55-64",Summary_Unemployed!H56/(Summary_Employed!H56+Summary_Unemployed!H56)*100)))))</f>
        <v>#DIV/0!</v>
      </c>
      <c r="H45" s="296" t="e">
        <f>IF($B$2="25-64",Summary_Unemployed!I52/(Summary_Employed!I52+Summary_Unemployed!I52)*100,IF(Summary_Indicators!$B$2="25-34",Summary_Unemployed!I53/(Summary_Employed!I53+Summary_Unemployed!I53)*100,IF($B$2="35-44",Summary_Unemployed!I54/(Summary_Employed!I54+Summary_Unemployed!I54)*100,IF($B$2="45-54",Summary_Unemployed!I55/(Summary_Employed!I55+Summary_Unemployed!I55)*100,IF($B$2="55-64",Summary_Unemployed!I56/(Summary_Employed!I56+Summary_Unemployed!I56)*100)))))</f>
        <v>#DIV/0!</v>
      </c>
      <c r="I45" s="296" t="e">
        <f>IF($B$2="25-64",Summary_Unemployed!J52/(Summary_Employed!J52+Summary_Unemployed!J52)*100,IF(Summary_Indicators!$B$2="25-34",Summary_Unemployed!J53/(Summary_Employed!J53+Summary_Unemployed!J53)*100,IF($B$2="35-44",Summary_Unemployed!J54/(Summary_Employed!J54+Summary_Unemployed!J54)*100,IF($B$2="45-54",Summary_Unemployed!J55/(Summary_Employed!J55+Summary_Unemployed!J55)*100,IF($B$2="55-64",Summary_Unemployed!J56/(Summary_Employed!J56+Summary_Unemployed!J56)*100)))))</f>
        <v>#DIV/0!</v>
      </c>
      <c r="J45" s="296" t="e">
        <f>IF($B$2="25-64",Summary_Unemployed!K52/(Summary_Employed!K52+Summary_Unemployed!K52)*100,IF(Summary_Indicators!$B$2="25-34",Summary_Unemployed!K53/(Summary_Employed!K53+Summary_Unemployed!K53)*100,IF($B$2="35-44",Summary_Unemployed!K54/(Summary_Employed!K54+Summary_Unemployed!K54)*100,IF($B$2="45-54",Summary_Unemployed!K55/(Summary_Employed!K55+Summary_Unemployed!K55)*100,IF($B$2="55-64",Summary_Unemployed!K56/(Summary_Employed!K56+Summary_Unemployed!K56)*100)))))</f>
        <v>#DIV/0!</v>
      </c>
      <c r="K45" s="296" t="e">
        <f>IF($B$2="25-64",Summary_Unemployed!L52/(Summary_Employed!L52+Summary_Unemployed!L52)*100,IF(Summary_Indicators!$B$2="25-34",Summary_Unemployed!L53/(Summary_Employed!L53+Summary_Unemployed!L53)*100,IF($B$2="35-44",Summary_Unemployed!L54/(Summary_Employed!L54+Summary_Unemployed!L54)*100,IF($B$2="45-54",Summary_Unemployed!L55/(Summary_Employed!L55+Summary_Unemployed!L55)*100,IF($B$2="55-64",Summary_Unemployed!L56/(Summary_Employed!L56+Summary_Unemployed!L56)*100)))))</f>
        <v>#DIV/0!</v>
      </c>
      <c r="L45" s="296" t="e">
        <f>IF($B$2="25-64",Summary_Unemployed!M52/(Summary_Employed!M52+Summary_Unemployed!M52)*100,IF(Summary_Indicators!$B$2="25-34",Summary_Unemployed!M53/(Summary_Employed!M53+Summary_Unemployed!M53)*100,IF($B$2="35-44",Summary_Unemployed!M54/(Summary_Employed!M54+Summary_Unemployed!M54)*100,IF($B$2="45-54",Summary_Unemployed!M55/(Summary_Employed!M55+Summary_Unemployed!M55)*100,IF($B$2="55-64",Summary_Unemployed!M56/(Summary_Employed!M56+Summary_Unemployed!M56)*100)))))</f>
        <v>#DIV/0!</v>
      </c>
      <c r="M45" s="296" t="e">
        <f>IF($B$2="25-64",Summary_Unemployed!U52/(Summary_Employed!U52+Summary_Unemployed!U52)*100,IF(Summary_Indicators!$B$2="25-34",Summary_Unemployed!U53/(Summary_Employed!U53+Summary_Unemployed!U53)*100,IF($B$2="35-44",Summary_Unemployed!U54/(Summary_Employed!U54+Summary_Unemployed!U54)*100,IF($B$2="45-54",Summary_Unemployed!U55/(Summary_Employed!U55+Summary_Unemployed!U55)*100,IF($B$2="55-64",Summary_Unemployed!U56/(Summary_Employed!U56+Summary_Unemployed!U56)*100)))))</f>
        <v>#DIV/0!</v>
      </c>
      <c r="N45" s="293" t="e">
        <f>IF($B$2="25-64",Summary_Unemployed!O52/(Summary_Employed!O52+Summary_Unemployed!O52)*100,IF(Summary_Indicators!$B$2="25-34",Summary_Unemployed!O53/(Summary_Employed!O53+Summary_Unemployed!O53)*100,IF($B$2="35-44",Summary_Unemployed!O54/(Summary_Employed!O54+Summary_Unemployed!O54)*100,IF($B$2="45-54",Summary_Unemployed!O55/(Summary_Employed!O55+Summary_Unemployed!O55)*100,IF($B$2="55-64",Summary_Unemployed!O56/(Summary_Employed!O56+Summary_Unemployed!O56)*100)))))</f>
        <v>#DIV/0!</v>
      </c>
    </row>
    <row r="46" spans="1:14" ht="13.5" thickBot="1" x14ac:dyDescent="0.25">
      <c r="A46" s="140" t="s">
        <v>6</v>
      </c>
      <c r="B46" s="227" t="e">
        <f>IF($B$2="25-64",Summary_Unemployed!C59/(Summary_Employed!C59+Summary_Unemployed!C59)*100,IF(Summary_Indicators!$B$2="25-34",Summary_Unemployed!C60/(Summary_Employed!C60+Summary_Unemployed!C60)*100,IF($B$2="35-44",Summary_Unemployed!C61/(Summary_Employed!C61+Summary_Unemployed!C61)*100,IF($B$2="45-54",Summary_Unemployed!C62/(Summary_Employed!C62+Summary_Unemployed!C62)*100,IF($B$2="55-64",Summary_Unemployed!C63/(Summary_Employed!C63+Summary_Unemployed!C63)*100)))))</f>
        <v>#DIV/0!</v>
      </c>
      <c r="C46" s="292" t="e">
        <f>IF($B$2="25-64",Summary_Unemployed!D59/(Summary_Employed!D59+Summary_Unemployed!D59)*100,IF(Summary_Indicators!$B$2="25-34",Summary_Unemployed!D60/(Summary_Employed!D60+Summary_Unemployed!D60)*100,IF($B$2="35-44",Summary_Unemployed!D61/(Summary_Employed!D61+Summary_Unemployed!D61)*100,IF($B$2="45-54",Summary_Unemployed!D62/(Summary_Employed!D62+Summary_Unemployed!D62)*100,IF($B$2="55-64",Summary_Unemployed!D63/(Summary_Employed!D63+Summary_Unemployed!D63)*100)))))</f>
        <v>#DIV/0!</v>
      </c>
      <c r="D46" s="227" t="e">
        <f>IF($B$2="25-64",Summary_Unemployed!E59/(Summary_Employed!E59+Summary_Unemployed!E59)*100,IF(Summary_Indicators!$B$2="25-34",Summary_Unemployed!E60/(Summary_Employed!E60+Summary_Unemployed!E60)*100,IF($B$2="35-44",Summary_Unemployed!E61/(Summary_Employed!E61+Summary_Unemployed!E61)*100,IF($B$2="45-54",Summary_Unemployed!E62/(Summary_Employed!E62+Summary_Unemployed!E62)*100,IF($B$2="55-64",Summary_Unemployed!E63/(Summary_Employed!E63+Summary_Unemployed!E63)*100)))))</f>
        <v>#DIV/0!</v>
      </c>
      <c r="E46" s="292" t="e">
        <f>IF($B$2="25-64",Summary_Unemployed!F59/(Summary_Employed!F59+Summary_Unemployed!F59)*100,IF(Summary_Indicators!$B$2="25-34",Summary_Unemployed!F60/(Summary_Employed!F60+Summary_Unemployed!F60)*100,IF($B$2="35-44",Summary_Unemployed!F61/(Summary_Employed!F61+Summary_Unemployed!F61)*100,IF($B$2="45-54",Summary_Unemployed!F62/(Summary_Employed!F62+Summary_Unemployed!F62)*100,IF($B$2="55-64",Summary_Unemployed!F63/(Summary_Employed!F63+Summary_Unemployed!F63)*100)))))</f>
        <v>#DIV/0!</v>
      </c>
      <c r="F46" s="227" t="e">
        <f>IF($B$2="25-64",Summary_Unemployed!G59/(Summary_Employed!G59+Summary_Unemployed!G59)*100,IF(Summary_Indicators!$B$2="25-34",Summary_Unemployed!G60/(Summary_Employed!G60+Summary_Unemployed!G60)*100,IF($B$2="35-44",Summary_Unemployed!G61/(Summary_Employed!G61+Summary_Unemployed!G61)*100,IF($B$2="45-54",Summary_Unemployed!G62/(Summary_Employed!G62+Summary_Unemployed!G62)*100,IF($B$2="55-64",Summary_Unemployed!G63/(Summary_Employed!G63+Summary_Unemployed!G63)*100)))))</f>
        <v>#DIV/0!</v>
      </c>
      <c r="G46" s="292" t="e">
        <f>IF($B$2="25-64",Summary_Unemployed!H59/(Summary_Employed!H59+Summary_Unemployed!H59)*100,IF(Summary_Indicators!$B$2="25-34",Summary_Unemployed!H60/(Summary_Employed!H60+Summary_Unemployed!H60)*100,IF($B$2="35-44",Summary_Unemployed!H61/(Summary_Employed!H61+Summary_Unemployed!H61)*100,IF($B$2="45-54",Summary_Unemployed!H62/(Summary_Employed!H62+Summary_Unemployed!H62)*100,IF($B$2="55-64",Summary_Unemployed!H63/(Summary_Employed!H63+Summary_Unemployed!H63)*100)))))</f>
        <v>#DIV/0!</v>
      </c>
      <c r="H46" s="292" t="e">
        <f>IF($B$2="25-64",Summary_Unemployed!I59/(Summary_Employed!I59+Summary_Unemployed!I59)*100,IF(Summary_Indicators!$B$2="25-34",Summary_Unemployed!I60/(Summary_Employed!I60+Summary_Unemployed!I60)*100,IF($B$2="35-44",Summary_Unemployed!I61/(Summary_Employed!I61+Summary_Unemployed!I61)*100,IF($B$2="45-54",Summary_Unemployed!I62/(Summary_Employed!I62+Summary_Unemployed!I62)*100,IF($B$2="55-64",Summary_Unemployed!I63/(Summary_Employed!I63+Summary_Unemployed!I63)*100)))))</f>
        <v>#DIV/0!</v>
      </c>
      <c r="I46" s="292" t="e">
        <f>IF($B$2="25-64",Summary_Unemployed!J59/(Summary_Employed!J59+Summary_Unemployed!J59)*100,IF(Summary_Indicators!$B$2="25-34",Summary_Unemployed!J60/(Summary_Employed!J60+Summary_Unemployed!J60)*100,IF($B$2="35-44",Summary_Unemployed!J61/(Summary_Employed!J61+Summary_Unemployed!J61)*100,IF($B$2="45-54",Summary_Unemployed!J62/(Summary_Employed!J62+Summary_Unemployed!J62)*100,IF($B$2="55-64",Summary_Unemployed!J63/(Summary_Employed!J63+Summary_Unemployed!J63)*100)))))</f>
        <v>#DIV/0!</v>
      </c>
      <c r="J46" s="292" t="e">
        <f>IF($B$2="25-64",Summary_Unemployed!K59/(Summary_Employed!K59+Summary_Unemployed!K59)*100,IF(Summary_Indicators!$B$2="25-34",Summary_Unemployed!K60/(Summary_Employed!K60+Summary_Unemployed!K60)*100,IF($B$2="35-44",Summary_Unemployed!K61/(Summary_Employed!K61+Summary_Unemployed!K61)*100,IF($B$2="45-54",Summary_Unemployed!K62/(Summary_Employed!K62+Summary_Unemployed!K62)*100,IF($B$2="55-64",Summary_Unemployed!K63/(Summary_Employed!K63+Summary_Unemployed!K63)*100)))))</f>
        <v>#DIV/0!</v>
      </c>
      <c r="K46" s="292" t="e">
        <f>IF($B$2="25-64",Summary_Unemployed!L59/(Summary_Employed!L59+Summary_Unemployed!L59)*100,IF(Summary_Indicators!$B$2="25-34",Summary_Unemployed!L60/(Summary_Employed!L60+Summary_Unemployed!L60)*100,IF($B$2="35-44",Summary_Unemployed!L61/(Summary_Employed!L61+Summary_Unemployed!L61)*100,IF($B$2="45-54",Summary_Unemployed!L62/(Summary_Employed!L62+Summary_Unemployed!L62)*100,IF($B$2="55-64",Summary_Unemployed!L63/(Summary_Employed!L63+Summary_Unemployed!L63)*100)))))</f>
        <v>#DIV/0!</v>
      </c>
      <c r="L46" s="292" t="e">
        <f>IF($B$2="25-64",Summary_Unemployed!M59/(Summary_Employed!M59+Summary_Unemployed!M59)*100,IF(Summary_Indicators!$B$2="25-34",Summary_Unemployed!M60/(Summary_Employed!M60+Summary_Unemployed!M60)*100,IF($B$2="35-44",Summary_Unemployed!M61/(Summary_Employed!M61+Summary_Unemployed!M61)*100,IF($B$2="45-54",Summary_Unemployed!M62/(Summary_Employed!M62+Summary_Unemployed!M62)*100,IF($B$2="55-64",Summary_Unemployed!M63/(Summary_Employed!M63+Summary_Unemployed!M63)*100)))))</f>
        <v>#DIV/0!</v>
      </c>
      <c r="M46" s="292" t="e">
        <f>IF($B$2="25-64",Summary_Unemployed!U59/(Summary_Employed!U59+Summary_Unemployed!U59)*100,IF(Summary_Indicators!$B$2="25-34",Summary_Unemployed!U60/(Summary_Employed!U60+Summary_Unemployed!U60)*100,IF($B$2="35-44",Summary_Unemployed!U61/(Summary_Employed!U61+Summary_Unemployed!U61)*100,IF($B$2="45-54",Summary_Unemployed!U62/(Summary_Employed!U62+Summary_Unemployed!U62)*100,IF($B$2="55-64",Summary_Unemployed!U63/(Summary_Employed!U63+Summary_Unemployed!U63)*100)))))</f>
        <v>#DIV/0!</v>
      </c>
      <c r="N46" s="295" t="e">
        <f>IF($B$2="25-64",Summary_Unemployed!O59/(Summary_Employed!O59+Summary_Unemployed!O59)*100,IF(Summary_Indicators!$B$2="25-34",Summary_Unemployed!O60/(Summary_Employed!O60+Summary_Unemployed!O60)*100,IF($B$2="35-44",Summary_Unemployed!O61/(Summary_Employed!O61+Summary_Unemployed!O61)*100,IF($B$2="45-54",Summary_Unemployed!O62/(Summary_Employed!O62+Summary_Unemployed!O62)*100,IF($B$2="55-64",Summary_Unemployed!O63/(Summary_Employed!O63+Summary_Unemployed!O63)*100)))))</f>
        <v>#DIV/0!</v>
      </c>
    </row>
    <row r="47" spans="1:14" s="132" customFormat="1" x14ac:dyDescent="0.2">
      <c r="B47" s="133"/>
      <c r="C47" s="133"/>
      <c r="D47" s="133"/>
      <c r="E47" s="133"/>
      <c r="F47" s="133"/>
      <c r="G47" s="133"/>
      <c r="H47" s="133"/>
      <c r="I47" s="133"/>
      <c r="J47" s="133"/>
      <c r="K47" s="133"/>
      <c r="L47" s="133"/>
      <c r="M47" s="133"/>
    </row>
    <row r="48" spans="1:14" s="132" customFormat="1" x14ac:dyDescent="0.2">
      <c r="B48" s="133"/>
      <c r="C48" s="133"/>
      <c r="D48" s="133"/>
      <c r="E48" s="133"/>
      <c r="F48" s="133"/>
      <c r="G48" s="133"/>
      <c r="H48" s="133"/>
      <c r="I48" s="133"/>
      <c r="J48" s="133"/>
      <c r="K48" s="133"/>
      <c r="L48" s="133"/>
      <c r="M48" s="133"/>
    </row>
    <row r="49" spans="1:10" x14ac:dyDescent="0.2">
      <c r="A49" s="134" t="s">
        <v>155</v>
      </c>
    </row>
    <row r="50" spans="1:10" ht="13.5" thickBot="1" x14ac:dyDescent="0.25">
      <c r="A50" s="135" t="s">
        <v>248</v>
      </c>
    </row>
    <row r="51" spans="1:10" ht="12.75" customHeight="1" x14ac:dyDescent="0.2">
      <c r="A51" s="416"/>
      <c r="B51" s="418" t="s">
        <v>149</v>
      </c>
      <c r="C51" s="419"/>
      <c r="D51" s="419"/>
      <c r="E51" s="418" t="s">
        <v>150</v>
      </c>
      <c r="F51" s="419"/>
      <c r="G51" s="419"/>
      <c r="H51" s="418" t="s">
        <v>151</v>
      </c>
      <c r="I51" s="419"/>
      <c r="J51" s="414"/>
    </row>
    <row r="52" spans="1:10" x14ac:dyDescent="0.2">
      <c r="A52" s="417"/>
      <c r="B52" s="420"/>
      <c r="C52" s="421"/>
      <c r="D52" s="421"/>
      <c r="E52" s="420"/>
      <c r="F52" s="421"/>
      <c r="G52" s="421"/>
      <c r="H52" s="420"/>
      <c r="I52" s="421"/>
      <c r="J52" s="415"/>
    </row>
    <row r="53" spans="1:10" ht="29.25" customHeight="1" x14ac:dyDescent="0.2">
      <c r="A53" s="417"/>
      <c r="B53" s="122" t="s">
        <v>10</v>
      </c>
      <c r="C53" s="122" t="s">
        <v>9</v>
      </c>
      <c r="D53" s="122" t="s">
        <v>148</v>
      </c>
      <c r="E53" s="122" t="s">
        <v>10</v>
      </c>
      <c r="F53" s="122" t="s">
        <v>9</v>
      </c>
      <c r="G53" s="122" t="s">
        <v>148</v>
      </c>
      <c r="H53" s="122" t="s">
        <v>10</v>
      </c>
      <c r="I53" s="122" t="s">
        <v>9</v>
      </c>
      <c r="J53" s="136" t="s">
        <v>148</v>
      </c>
    </row>
    <row r="54" spans="1:10" x14ac:dyDescent="0.2">
      <c r="A54" s="212"/>
      <c r="B54" s="116">
        <v>1</v>
      </c>
      <c r="C54" s="116">
        <f t="shared" ref="C54:J54" si="3">B54+1</f>
        <v>2</v>
      </c>
      <c r="D54" s="116">
        <f t="shared" si="3"/>
        <v>3</v>
      </c>
      <c r="E54" s="116">
        <f t="shared" si="3"/>
        <v>4</v>
      </c>
      <c r="F54" s="116">
        <f t="shared" si="3"/>
        <v>5</v>
      </c>
      <c r="G54" s="116">
        <f t="shared" si="3"/>
        <v>6</v>
      </c>
      <c r="H54" s="116">
        <f t="shared" si="3"/>
        <v>7</v>
      </c>
      <c r="I54" s="116">
        <f t="shared" si="3"/>
        <v>8</v>
      </c>
      <c r="J54" s="137">
        <f t="shared" si="3"/>
        <v>9</v>
      </c>
    </row>
    <row r="55" spans="1:10" x14ac:dyDescent="0.2">
      <c r="A55" s="121"/>
      <c r="B55" s="115"/>
      <c r="C55" s="115"/>
      <c r="D55" s="115"/>
      <c r="E55" s="115"/>
      <c r="F55" s="115"/>
      <c r="G55" s="115"/>
      <c r="H55" s="115"/>
      <c r="I55" s="115"/>
      <c r="J55" s="138"/>
    </row>
    <row r="56" spans="1:10" x14ac:dyDescent="0.2">
      <c r="A56" s="139" t="s">
        <v>146</v>
      </c>
      <c r="B56" s="291" t="e">
        <f>IF($B$2="25-64",Summary_Employed!$X45/Summary_Population!$X45*100,IF(Summary_Indicators!$B$2="25-34",Summary_Employed!$X46/Summary_Population!$X46*100,IF($B$2="35-44",Summary_Employed!$X47/Summary_Population!$X47*100,IF($B$2="45-54",Summary_Employed!$X48/Summary_Population!$X48*100,IF($B$2="55-64",Summary_Employed!$X49/Summary_Population!$X49*100)))))</f>
        <v>#DIV/0!</v>
      </c>
      <c r="C56" s="291" t="e">
        <f>IF($B$2="25-64",Summary_Employed!$W45/Summary_Population!$W45*100,IF(Summary_Indicators!$B$2="25-34",Summary_Employed!$W46/Summary_Population!$W46*100,IF($B$2="35-44",Summary_Employed!$W47/Summary_Population!$W47*100,IF($B$2="45-54",Summary_Employed!$W48/Summary_Population!$W48*100,IF($B$2="55-64",Summary_Employed!$W49/Summary_Population!$W49*100)))))</f>
        <v>#DIV/0!</v>
      </c>
      <c r="D56" s="291" t="e">
        <f>IF($B$2="25-64",Summary_Employed!$T45/Summary_Population!$T45*100,IF(Summary_Indicators!$B$2="25-34",Summary_Employed!$T46/Summary_Population!$T46*100,IF($B$2="35-44",Summary_Employed!$T47/Summary_Population!$T47*100,IF($B$2="45-54",Summary_Employed!$T48/Summary_Population!$T48*100,IF($B$2="55-64",Summary_Employed!$T49/Summary_Population!$T49*100)))))</f>
        <v>#DIV/0!</v>
      </c>
      <c r="E56" s="291" t="e">
        <f>IF($B$2="25-64",Summary_Unemployed!$X45/(Summary_Employed!$X45+Summary_Unemployed!$X45)*100,IF(Summary_Indicators!$B$2="25-34",Summary_Unemployed!$X46/(Summary_Employed!$X46+Summary_Unemployed!$X46)*100,IF($B$2="35-44",Summary_Unemployed!$X47/(Summary_Employed!$X47+Summary_Unemployed!$X47)*100,IF($B$2="45-54",Summary_Unemployed!$X48/(Summary_Employed!$X48+Summary_Unemployed!$X48)*100,IF($B$2="55-64",Summary_Unemployed!$X49/(Summary_Employed!$X49+Summary_Unemployed!$X49)*100)))))</f>
        <v>#DIV/0!</v>
      </c>
      <c r="F56" s="291" t="e">
        <f>IF($B$2="25-64",Summary_Unemployed!$W45/(Summary_Employed!$W45+Summary_Unemployed!$W45)*100,IF(Summary_Indicators!$B$2="25-34",Summary_Unemployed!$W46/(Summary_Employed!$W46+Summary_Unemployed!$W46)*100,IF($B$2="35-44",Summary_Unemployed!$W47/(Summary_Employed!$W47+Summary_Unemployed!$W47)*100,IF($B$2="45-54",Summary_Unemployed!$W48/(Summary_Employed!$W48+Summary_Unemployed!$W48)*100,IF($B$2="55-64",Summary_Unemployed!$W49/(Summary_Employed!$W49+Summary_Unemployed!$W49)*100)))))</f>
        <v>#DIV/0!</v>
      </c>
      <c r="G56" s="291" t="e">
        <f>IF($B$2="25-64",Summary_Unemployed!$T45/(Summary_Employed!$T45+Summary_Unemployed!$T45)*100,IF(Summary_Indicators!$B$2="25-34",Summary_Unemployed!$T46/(Summary_Employed!$T46+Summary_Unemployed!$T46)*100,IF($B$2="35-44",Summary_Unemployed!$T47/(Summary_Employed!$T47+Summary_Unemployed!$T47)*100,IF($B$2="45-54",Summary_Unemployed!$T48/(Summary_Employed!$T48+Summary_Unemployed!$T48)*100,IF($B$2="55-64",Summary_Unemployed!$T49/(Summary_Employed!$T49+Summary_Unemployed!$T49)*100)))))</f>
        <v>#DIV/0!</v>
      </c>
      <c r="H56" s="291" t="e">
        <f>IF($B$2="25-64",Summary_Inactive!$X45/Summary_Population!$X45*100,IF(Summary_Indicators!$B$2="25-34",Summary_Inactive!$X46/Summary_Population!$X46*100,IF($B$2="35-44",Summary_Inactive!$X47/Summary_Population!$X47*100,IF($B$2="45-54",Summary_Inactive!$X48/Summary_Population!$X48*100,IF($B$2="55-64",Summary_Inactive!$X49/Summary_Population!$X49*100)))))</f>
        <v>#DIV/0!</v>
      </c>
      <c r="I56" s="291" t="e">
        <f>IF($B$2="25-64",Summary_Inactive!$W45/Summary_Population!$W45*100,IF(Summary_Indicators!$B$2="25-34",Summary_Inactive!$W46/Summary_Population!$W46*100,IF($B$2="35-44",Summary_Inactive!$W47/Summary_Population!$W47*100,IF($B$2="45-54",Summary_Inactive!$W48/Summary_Population!$W48*100,IF($B$2="55-64",Summary_Inactive!$W49/Summary_Population!$W49*100)))))</f>
        <v>#DIV/0!</v>
      </c>
      <c r="J56" s="293" t="e">
        <f>IF($B$2="25-64",Summary_Inactive!$T45/Summary_Population!$T45*100,IF(Summary_Indicators!$B$2="25-34",Summary_Inactive!$T46/Summary_Population!$T46*100,IF($B$2="35-44",Summary_Inactive!$T47/Summary_Population!$T47*100,IF($B$2="45-54",Summary_Inactive!$T48/Summary_Population!$T48*100,IF($B$2="55-64",Summary_Inactive!$T49/Summary_Population!$T49*100)))))</f>
        <v>#DIV/0!</v>
      </c>
    </row>
    <row r="57" spans="1:10" x14ac:dyDescent="0.2">
      <c r="A57" s="139" t="s">
        <v>5</v>
      </c>
      <c r="B57" s="291" t="e">
        <f>IF($B$2="25-64",Summary_Employed!$X52/Summary_Population!$X52*100,IF(Summary_Indicators!$B$2="25-34",Summary_Employed!$X53/Summary_Population!$X53*100,IF($B$2="35-44",Summary_Employed!$X54/Summary_Population!$X54*100,IF($B$2="45-54",Summary_Employed!$X55/Summary_Population!$X55*100,IF($B$2="55-64",Summary_Employed!$X56/Summary_Population!$X56*100)))))</f>
        <v>#DIV/0!</v>
      </c>
      <c r="C57" s="291" t="e">
        <f>IF($B$2="25-64",Summary_Employed!$W52/Summary_Population!$W52*100,IF(Summary_Indicators!$B$2="25-34",Summary_Employed!$W53/Summary_Population!$W53*100,IF($B$2="35-44",Summary_Employed!$W54/Summary_Population!$W54*100,IF($B$2="45-54",Summary_Employed!$W55/Summary_Population!$W55*100,IF($B$2="55-64",Summary_Employed!$W56/Summary_Population!$W56*100)))))</f>
        <v>#DIV/0!</v>
      </c>
      <c r="D57" s="291" t="e">
        <f>IF($B$2="25-64",Summary_Employed!$T52/Summary_Population!$T52*100,IF(Summary_Indicators!$B$2="25-34",Summary_Employed!$T53/Summary_Population!$T53*100,IF($B$2="35-44",Summary_Employed!$T54/Summary_Population!$T54*100,IF($B$2="45-54",Summary_Employed!$T55/Summary_Population!$T55*100,IF($B$2="55-64",Summary_Employed!$T56/Summary_Population!$T56*100)))))</f>
        <v>#DIV/0!</v>
      </c>
      <c r="E57" s="291" t="e">
        <f>IF($B$2="25-64",Summary_Unemployed!$X52/(Summary_Employed!$X52+Summary_Unemployed!$X52)*100,IF(Summary_Indicators!$B$2="25-34",Summary_Unemployed!$X53/(Summary_Employed!$X53+Summary_Unemployed!$X53)*100,IF($B$2="35-44",Summary_Unemployed!$X54/(Summary_Employed!$X54+Summary_Unemployed!$X54)*100,IF($B$2="45-54",Summary_Unemployed!$X55/(Summary_Employed!$X55+Summary_Unemployed!$X55)*100,IF($B$2="55-64",Summary_Unemployed!$X56/(Summary_Employed!$X56+Summary_Unemployed!$X56)*100)))))</f>
        <v>#DIV/0!</v>
      </c>
      <c r="F57" s="291" t="e">
        <f>IF($B$2="25-64",Summary_Unemployed!$W52/(Summary_Employed!$W52+Summary_Unemployed!$W52)*100,IF(Summary_Indicators!$B$2="25-34",Summary_Unemployed!$W53/(Summary_Employed!$W53+Summary_Unemployed!$W53)*100,IF($B$2="35-44",Summary_Unemployed!$W54/(Summary_Employed!$W54+Summary_Unemployed!$W54)*100,IF($B$2="45-54",Summary_Unemployed!$W55/(Summary_Employed!$W55+Summary_Unemployed!$W55)*100,IF($B$2="55-64",Summary_Unemployed!$W56/(Summary_Employed!$W56+Summary_Unemployed!$W56)*100)))))</f>
        <v>#DIV/0!</v>
      </c>
      <c r="G57" s="291" t="e">
        <f>IF($B$2="25-64",Summary_Unemployed!$T52/(Summary_Employed!$T52+Summary_Unemployed!$T52)*100,IF(Summary_Indicators!$B$2="25-34",Summary_Unemployed!$T53/(Summary_Employed!$T53+Summary_Unemployed!$T53)*100,IF($B$2="35-44",Summary_Unemployed!$T54/(Summary_Employed!$T54+Summary_Unemployed!$T54)*100,IF($B$2="45-54",Summary_Unemployed!$T55/(Summary_Employed!$T55+Summary_Unemployed!$T55)*100,IF($B$2="55-64",Summary_Unemployed!$T56/(Summary_Employed!$T56+Summary_Unemployed!$T56)*100)))))</f>
        <v>#DIV/0!</v>
      </c>
      <c r="H57" s="291" t="e">
        <f>IF($B$2="25-64",Summary_Inactive!$X52/Summary_Population!$X52*100,IF(Summary_Indicators!$B$2="25-34",Summary_Inactive!$X53/Summary_Population!$X53*100,IF($B$2="35-44",Summary_Inactive!$X54/Summary_Population!$X54*100,IF($B$2="45-54",Summary_Inactive!$X55/Summary_Population!$X55*100,IF($B$2="55-64",Summary_Inactive!$X56/Summary_Population!$X56*100)))))</f>
        <v>#DIV/0!</v>
      </c>
      <c r="I57" s="291" t="e">
        <f>IF($B$2="25-64",Summary_Inactive!$W52/Summary_Population!$W52*100,IF(Summary_Indicators!$B$2="25-34",Summary_Inactive!$W53/Summary_Population!$W53*100,IF($B$2="35-44",Summary_Inactive!$W54/Summary_Population!$W54*100,IF($B$2="45-54",Summary_Inactive!$W55/Summary_Population!$W55*100,IF($B$2="55-64",Summary_Inactive!$W56/Summary_Population!$W56*100)))))</f>
        <v>#DIV/0!</v>
      </c>
      <c r="J57" s="293" t="e">
        <f>IF($B$2="25-64",Summary_Inactive!$T52/Summary_Population!$T52*100,IF(Summary_Indicators!$B$2="25-34",Summary_Inactive!$T53/Summary_Population!$T53*100,IF($B$2="35-44",Summary_Inactive!$T54/Summary_Population!$T54*100,IF($B$2="45-54",Summary_Inactive!$T55/Summary_Population!$T55*100,IF($B$2="55-64",Summary_Inactive!$T56/Summary_Population!$T56*100)))))</f>
        <v>#DIV/0!</v>
      </c>
    </row>
    <row r="58" spans="1:10" ht="13.5" thickBot="1" x14ac:dyDescent="0.25">
      <c r="A58" s="140" t="s">
        <v>6</v>
      </c>
      <c r="B58" s="294" t="e">
        <f>IF($B$2="25-64",Summary_Employed!$X59/Summary_Population!$X59*100,IF(Summary_Indicators!$B$2="25-34",Summary_Employed!$X60/Summary_Population!$X60*100,IF($B$2="35-44",Summary_Employed!$X61/Summary_Population!$X61*100,IF($B$2="45-54",Summary_Employed!$X62/Summary_Population!$X62*100,IF($B$2="55-64",Summary_Employed!$X63/Summary_Population!$X63*100)))))</f>
        <v>#DIV/0!</v>
      </c>
      <c r="C58" s="294" t="e">
        <f>IF($B$2="25-64",Summary_Employed!$W59/Summary_Population!$W59*100,IF(Summary_Indicators!$B$2="25-34",Summary_Employed!$W60/Summary_Population!$W60*100,IF($B$2="35-44",Summary_Employed!$W61/Summary_Population!$W61*100,IF($B$2="45-54",Summary_Employed!$W62/Summary_Population!$W62*100,IF($B$2="55-64",Summary_Employed!$W63/Summary_Population!$W63*100)))))</f>
        <v>#DIV/0!</v>
      </c>
      <c r="D58" s="294" t="e">
        <f>IF($B$2="25-64",Summary_Employed!$T59/Summary_Population!$T59*100,IF(Summary_Indicators!$B$2="25-34",Summary_Employed!$T60/Summary_Population!$T60*100,IF($B$2="35-44",Summary_Employed!$T61/Summary_Population!$T61*100,IF($B$2="45-54",Summary_Employed!$T62/Summary_Population!$T62*100,IF($B$2="55-64",Summary_Employed!$T63/Summary_Population!$T63*100)))))</f>
        <v>#DIV/0!</v>
      </c>
      <c r="E58" s="294" t="e">
        <f>IF($B$2="25-64",Summary_Unemployed!$X59/(Summary_Employed!$X59+Summary_Unemployed!$X59)*100,IF(Summary_Indicators!$B$2="25-34",Summary_Unemployed!$X60/(Summary_Employed!$X60+Summary_Unemployed!$X60)*100,IF($B$2="35-44",Summary_Unemployed!$X61/(Summary_Employed!$X61+Summary_Unemployed!$X61)*100,IF($B$2="45-54",Summary_Unemployed!$X62/(Summary_Employed!$X62+Summary_Unemployed!$X62)*100,IF($B$2="55-64",Summary_Unemployed!$X63/(Summary_Employed!$X63+Summary_Unemployed!$X63)*100)))))</f>
        <v>#DIV/0!</v>
      </c>
      <c r="F58" s="294" t="e">
        <f>IF($B$2="25-64",Summary_Unemployed!$W59/(Summary_Employed!$W59+Summary_Unemployed!$W59)*100,IF(Summary_Indicators!$B$2="25-34",Summary_Unemployed!$W60/(Summary_Employed!$W60+Summary_Unemployed!$W60)*100,IF($B$2="35-44",Summary_Unemployed!$W61/(Summary_Employed!$W61+Summary_Unemployed!$W61)*100,IF($B$2="45-54",Summary_Unemployed!$W62/(Summary_Employed!$W62+Summary_Unemployed!$W62)*100,IF($B$2="55-64",Summary_Unemployed!$W63/(Summary_Employed!$W63+Summary_Unemployed!$W63)*100)))))</f>
        <v>#DIV/0!</v>
      </c>
      <c r="G58" s="294" t="e">
        <f>IF($B$2="25-64",Summary_Unemployed!$T59/(Summary_Employed!$T59+Summary_Unemployed!$T59)*100,IF(Summary_Indicators!$B$2="25-34",Summary_Unemployed!$T60/(Summary_Employed!$T60+Summary_Unemployed!$T60)*100,IF($B$2="35-44",Summary_Unemployed!$T61/(Summary_Employed!$T61+Summary_Unemployed!$T61)*100,IF($B$2="45-54",Summary_Unemployed!$T62/(Summary_Employed!$T62+Summary_Unemployed!$T62)*100,IF($B$2="55-64",Summary_Unemployed!$T63/(Summary_Employed!$T63+Summary_Unemployed!$T63)*100)))))</f>
        <v>#DIV/0!</v>
      </c>
      <c r="H58" s="294" t="e">
        <f>IF($B$2="25-64",Summary_Inactive!$X59/Summary_Population!$X59*100,IF(Summary_Indicators!$B$2="25-34",Summary_Inactive!$X60/Summary_Population!$X60*100,IF($B$2="35-44",Summary_Inactive!$X61/Summary_Population!$X61*100,IF($B$2="45-54",Summary_Inactive!$X62/Summary_Population!$X62*100,IF($B$2="55-64",Summary_Inactive!$X63/Summary_Population!$X63*100)))))</f>
        <v>#DIV/0!</v>
      </c>
      <c r="I58" s="294" t="e">
        <f>IF($B$2="25-64",Summary_Inactive!$W59/Summary_Population!$W59*100,IF(Summary_Indicators!$B$2="25-34",Summary_Inactive!$W60/Summary_Population!$W60*100,IF($B$2="35-44",Summary_Inactive!$W61/Summary_Population!$W61*100,IF($B$2="45-54",Summary_Inactive!$W62/Summary_Population!$W62*100,IF($B$2="55-64",Summary_Inactive!$W63/Summary_Population!$W63*100)))))</f>
        <v>#DIV/0!</v>
      </c>
      <c r="J58" s="295" t="e">
        <f>IF($B$2="25-64",Summary_Inactive!$T59/Summary_Population!$T59*100,IF(Summary_Indicators!$B$2="25-34",Summary_Inactive!$T60/Summary_Population!$T60*100,IF($B$2="35-44",Summary_Inactive!$T61/Summary_Population!$T61*100,IF($B$2="45-54",Summary_Inactive!$T62/Summary_Population!$T62*100,IF($B$2="55-64",Summary_Inactive!$T63/Summary_Population!$T63*100)))))</f>
        <v>#DIV/0!</v>
      </c>
    </row>
    <row r="59" spans="1:10" x14ac:dyDescent="0.2">
      <c r="A59" s="280"/>
      <c r="B59" s="133"/>
      <c r="C59" s="133"/>
      <c r="D59" s="133"/>
      <c r="E59" s="281"/>
      <c r="F59" s="281"/>
      <c r="G59" s="281"/>
      <c r="H59" s="133"/>
      <c r="I59" s="133"/>
      <c r="J59" s="133"/>
    </row>
    <row r="61" spans="1:10" x14ac:dyDescent="0.2">
      <c r="A61" s="274"/>
      <c r="B61" s="133"/>
      <c r="C61" s="133"/>
      <c r="D61" s="133"/>
      <c r="E61" s="133"/>
      <c r="F61" s="133"/>
      <c r="G61" s="133"/>
    </row>
  </sheetData>
  <mergeCells count="20">
    <mergeCell ref="A51:A53"/>
    <mergeCell ref="B51:D52"/>
    <mergeCell ref="E51:G52"/>
    <mergeCell ref="H51:J52"/>
    <mergeCell ref="A29:A30"/>
    <mergeCell ref="B29:F29"/>
    <mergeCell ref="G29:H29"/>
    <mergeCell ref="I29:M29"/>
    <mergeCell ref="N29:N30"/>
    <mergeCell ref="A40:A41"/>
    <mergeCell ref="B40:F40"/>
    <mergeCell ref="G40:H40"/>
    <mergeCell ref="I40:M40"/>
    <mergeCell ref="N40:N41"/>
    <mergeCell ref="B7:F7"/>
    <mergeCell ref="G7:H7"/>
    <mergeCell ref="I7:M7"/>
    <mergeCell ref="N7:N8"/>
    <mergeCell ref="A17:A19"/>
    <mergeCell ref="B17:D18"/>
  </mergeCells>
  <dataValidations count="2">
    <dataValidation type="list" allowBlank="1" showInputMessage="1" showErrorMessage="1" sqref="B3" xr:uid="{00000000-0002-0000-0A00-000000000000}">
      <formula1>$Q$10:$Q$14</formula1>
    </dataValidation>
    <dataValidation type="list" allowBlank="1" showInputMessage="1" showErrorMessage="1" sqref="B2" xr:uid="{00000000-0002-0000-0A00-000001000000}">
      <formula1>$Q$9:$Q$13</formula1>
    </dataValidation>
  </dataValidations>
  <pageMargins left="0.70866141732283472" right="0.70866141732283472" top="0.74803149606299213" bottom="0.74803149606299213" header="0.31496062992125984" footer="0.31496062992125984"/>
  <pageSetup paperSize="9" scale="53" orientation="portrait" r:id="rId1"/>
  <headerFooter>
    <oddFooter>&amp;R&amp;A</oddFooter>
  </headerFooter>
  <colBreaks count="1" manualBreakCount="1">
    <brk id="14" min="4"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G95"/>
  <sheetViews>
    <sheetView zoomScaleNormal="100" zoomScaleSheetLayoutView="100" workbookViewId="0"/>
  </sheetViews>
  <sheetFormatPr defaultRowHeight="12.75" x14ac:dyDescent="0.2"/>
  <cols>
    <col min="1" max="1" width="31.42578125" customWidth="1"/>
    <col min="2" max="2" width="33" customWidth="1"/>
    <col min="6" max="6" width="9.85546875" customWidth="1"/>
  </cols>
  <sheetData>
    <row r="1" spans="1:7" ht="13.5" thickBot="1" x14ac:dyDescent="0.25">
      <c r="A1" s="24"/>
      <c r="B1" s="24"/>
      <c r="C1" s="24"/>
      <c r="D1" s="24"/>
      <c r="E1" s="24"/>
      <c r="F1" s="24"/>
      <c r="G1" s="24"/>
    </row>
    <row r="2" spans="1:7" ht="13.5" thickBot="1" x14ac:dyDescent="0.25">
      <c r="A2" s="25" t="s">
        <v>14</v>
      </c>
      <c r="B2" s="26" t="s">
        <v>15</v>
      </c>
      <c r="C2" s="24"/>
      <c r="D2" s="24"/>
      <c r="E2" s="24"/>
      <c r="F2" s="24"/>
      <c r="G2" s="24"/>
    </row>
    <row r="3" spans="1:7" x14ac:dyDescent="0.2">
      <c r="A3" s="24"/>
      <c r="B3" s="24"/>
      <c r="C3" s="24"/>
      <c r="D3" s="24"/>
      <c r="E3" s="24"/>
      <c r="F3" s="24"/>
      <c r="G3" s="24"/>
    </row>
    <row r="4" spans="1:7" ht="39" customHeight="1" x14ac:dyDescent="0.2">
      <c r="A4" s="329" t="s">
        <v>16</v>
      </c>
      <c r="B4" s="329"/>
      <c r="C4" s="329"/>
      <c r="D4" s="329"/>
      <c r="E4" s="329"/>
      <c r="F4" s="329"/>
      <c r="G4" s="27"/>
    </row>
    <row r="5" spans="1:7" ht="21" x14ac:dyDescent="0.2">
      <c r="A5" s="337" t="s">
        <v>17</v>
      </c>
      <c r="B5" s="337"/>
      <c r="C5" s="337"/>
      <c r="D5" s="337"/>
      <c r="E5" s="337"/>
      <c r="F5" s="337"/>
      <c r="G5" s="27"/>
    </row>
    <row r="6" spans="1:7" ht="15" customHeight="1" x14ac:dyDescent="0.2">
      <c r="A6" s="28" t="s">
        <v>18</v>
      </c>
      <c r="B6" s="333"/>
      <c r="C6" s="333"/>
      <c r="D6" s="333"/>
      <c r="E6" s="333"/>
      <c r="F6" s="333"/>
      <c r="G6" s="27"/>
    </row>
    <row r="7" spans="1:7" ht="15" customHeight="1" x14ac:dyDescent="0.2">
      <c r="A7" s="28" t="s">
        <v>19</v>
      </c>
      <c r="B7" s="333"/>
      <c r="C7" s="333"/>
      <c r="D7" s="333"/>
      <c r="E7" s="333"/>
      <c r="F7" s="333"/>
      <c r="G7" s="27"/>
    </row>
    <row r="8" spans="1:7" ht="15" customHeight="1" x14ac:dyDescent="0.2">
      <c r="A8" s="28" t="s">
        <v>156</v>
      </c>
      <c r="B8" s="334"/>
      <c r="C8" s="335"/>
      <c r="D8" s="335"/>
      <c r="E8" s="335"/>
      <c r="F8" s="336"/>
      <c r="G8" s="27"/>
    </row>
    <row r="9" spans="1:7" ht="15" customHeight="1" x14ac:dyDescent="0.2">
      <c r="A9" s="28" t="s">
        <v>20</v>
      </c>
      <c r="B9" s="333"/>
      <c r="C9" s="333"/>
      <c r="D9" s="333"/>
      <c r="E9" s="333"/>
      <c r="F9" s="333"/>
      <c r="G9" s="27"/>
    </row>
    <row r="10" spans="1:7" ht="15" customHeight="1" x14ac:dyDescent="0.2">
      <c r="A10" s="28" t="s">
        <v>157</v>
      </c>
      <c r="B10" s="333"/>
      <c r="C10" s="333"/>
      <c r="D10" s="333"/>
      <c r="E10" s="333"/>
      <c r="F10" s="333"/>
      <c r="G10" s="27"/>
    </row>
    <row r="11" spans="1:7" ht="15" customHeight="1" x14ac:dyDescent="0.2">
      <c r="A11" s="28" t="s">
        <v>21</v>
      </c>
      <c r="B11" s="333"/>
      <c r="C11" s="333"/>
      <c r="D11" s="333"/>
      <c r="E11" s="333"/>
      <c r="F11" s="333"/>
      <c r="G11" s="27"/>
    </row>
    <row r="12" spans="1:7" ht="15" customHeight="1" x14ac:dyDescent="0.2">
      <c r="A12" s="29"/>
      <c r="B12" s="29"/>
      <c r="C12" s="29"/>
      <c r="D12" s="29"/>
      <c r="E12" s="29"/>
      <c r="F12" s="29"/>
      <c r="G12" s="27"/>
    </row>
    <row r="13" spans="1:7" ht="21" x14ac:dyDescent="0.2">
      <c r="A13" s="337" t="s">
        <v>22</v>
      </c>
      <c r="B13" s="337"/>
      <c r="C13" s="337"/>
      <c r="D13" s="337"/>
      <c r="E13" s="337"/>
      <c r="F13" s="337"/>
      <c r="G13" s="27"/>
    </row>
    <row r="14" spans="1:7" ht="15" customHeight="1" x14ac:dyDescent="0.2">
      <c r="A14" s="28" t="s">
        <v>18</v>
      </c>
      <c r="B14" s="333"/>
      <c r="C14" s="333"/>
      <c r="D14" s="333"/>
      <c r="E14" s="333"/>
      <c r="F14" s="333"/>
      <c r="G14" s="27"/>
    </row>
    <row r="15" spans="1:7" ht="15" customHeight="1" x14ac:dyDescent="0.2">
      <c r="A15" s="28" t="s">
        <v>19</v>
      </c>
      <c r="B15" s="333"/>
      <c r="C15" s="333"/>
      <c r="D15" s="333"/>
      <c r="E15" s="333"/>
      <c r="F15" s="333"/>
      <c r="G15" s="27"/>
    </row>
    <row r="16" spans="1:7" ht="15" customHeight="1" x14ac:dyDescent="0.2">
      <c r="A16" s="28" t="s">
        <v>156</v>
      </c>
      <c r="B16" s="334"/>
      <c r="C16" s="335"/>
      <c r="D16" s="335"/>
      <c r="E16" s="335"/>
      <c r="F16" s="336"/>
      <c r="G16" s="27"/>
    </row>
    <row r="17" spans="1:7" ht="15" customHeight="1" x14ac:dyDescent="0.2">
      <c r="A17" s="28" t="s">
        <v>20</v>
      </c>
      <c r="B17" s="333"/>
      <c r="C17" s="333"/>
      <c r="D17" s="333"/>
      <c r="E17" s="333"/>
      <c r="F17" s="333"/>
      <c r="G17" s="27"/>
    </row>
    <row r="18" spans="1:7" ht="15" customHeight="1" x14ac:dyDescent="0.2">
      <c r="A18" s="28" t="s">
        <v>157</v>
      </c>
      <c r="B18" s="333"/>
      <c r="C18" s="333"/>
      <c r="D18" s="333"/>
      <c r="E18" s="333"/>
      <c r="F18" s="333"/>
      <c r="G18" s="27"/>
    </row>
    <row r="19" spans="1:7" ht="15" customHeight="1" x14ac:dyDescent="0.2">
      <c r="A19" s="28" t="s">
        <v>21</v>
      </c>
      <c r="B19" s="333"/>
      <c r="C19" s="333"/>
      <c r="D19" s="333"/>
      <c r="E19" s="333"/>
      <c r="F19" s="333"/>
      <c r="G19" s="27"/>
    </row>
    <row r="20" spans="1:7" ht="15" customHeight="1" x14ac:dyDescent="0.2">
      <c r="A20" s="29"/>
      <c r="B20" s="29"/>
      <c r="C20" s="29"/>
      <c r="D20" s="29"/>
      <c r="E20" s="29"/>
      <c r="F20" s="29"/>
      <c r="G20" s="27"/>
    </row>
    <row r="21" spans="1:7" ht="35.25" customHeight="1" x14ac:dyDescent="0.2">
      <c r="A21" s="329" t="s">
        <v>23</v>
      </c>
      <c r="B21" s="329"/>
      <c r="C21" s="329"/>
      <c r="D21" s="329"/>
      <c r="E21" s="329"/>
      <c r="F21" s="329"/>
      <c r="G21" s="27"/>
    </row>
    <row r="22" spans="1:7" ht="15" customHeight="1" x14ac:dyDescent="0.2">
      <c r="A22" s="28" t="s">
        <v>24</v>
      </c>
      <c r="B22" s="333"/>
      <c r="C22" s="333"/>
      <c r="D22" s="333"/>
      <c r="E22" s="333"/>
      <c r="F22" s="333"/>
      <c r="G22" s="27"/>
    </row>
    <row r="23" spans="1:7" ht="15" customHeight="1" x14ac:dyDescent="0.2">
      <c r="A23" s="28" t="s">
        <v>25</v>
      </c>
      <c r="B23" s="334"/>
      <c r="C23" s="335"/>
      <c r="D23" s="335"/>
      <c r="E23" s="335"/>
      <c r="F23" s="336"/>
      <c r="G23" s="27"/>
    </row>
    <row r="24" spans="1:7" ht="15" customHeight="1" x14ac:dyDescent="0.2">
      <c r="A24" s="29"/>
      <c r="B24" s="29"/>
      <c r="C24" s="29"/>
      <c r="D24" s="29"/>
      <c r="E24" s="29"/>
      <c r="F24" s="29"/>
      <c r="G24" s="27"/>
    </row>
    <row r="25" spans="1:7" ht="45" customHeight="1" x14ac:dyDescent="0.2">
      <c r="A25" s="329" t="s">
        <v>167</v>
      </c>
      <c r="B25" s="329"/>
      <c r="C25" s="329"/>
      <c r="D25" s="329"/>
      <c r="E25" s="329"/>
      <c r="F25" s="329"/>
      <c r="G25" s="27"/>
    </row>
    <row r="26" spans="1:7" ht="15" customHeight="1" x14ac:dyDescent="0.2">
      <c r="A26" s="28" t="s">
        <v>18</v>
      </c>
      <c r="B26" s="332"/>
      <c r="C26" s="332"/>
      <c r="D26" s="332"/>
      <c r="E26" s="332"/>
      <c r="F26" s="332"/>
      <c r="G26" s="33"/>
    </row>
    <row r="27" spans="1:7" ht="15" customHeight="1" x14ac:dyDescent="0.2">
      <c r="A27" s="28" t="s">
        <v>19</v>
      </c>
      <c r="B27" s="332"/>
      <c r="C27" s="332"/>
      <c r="D27" s="332"/>
      <c r="E27" s="332"/>
      <c r="F27" s="332"/>
      <c r="G27" s="33"/>
    </row>
    <row r="28" spans="1:7" ht="15" customHeight="1" x14ac:dyDescent="0.2">
      <c r="A28" s="28" t="s">
        <v>156</v>
      </c>
      <c r="B28" s="332"/>
      <c r="C28" s="332"/>
      <c r="D28" s="332"/>
      <c r="E28" s="332"/>
      <c r="F28" s="332"/>
      <c r="G28" s="33"/>
    </row>
    <row r="29" spans="1:7" ht="15" customHeight="1" x14ac:dyDescent="0.2">
      <c r="A29" s="28" t="s">
        <v>157</v>
      </c>
      <c r="B29" s="331"/>
      <c r="C29" s="332"/>
      <c r="D29" s="332"/>
      <c r="E29" s="332"/>
      <c r="F29" s="332"/>
      <c r="G29" s="33"/>
    </row>
    <row r="30" spans="1:7" ht="15" customHeight="1" x14ac:dyDescent="0.2">
      <c r="A30" s="28" t="s">
        <v>21</v>
      </c>
      <c r="B30" s="332"/>
      <c r="C30" s="332"/>
      <c r="D30" s="332"/>
      <c r="E30" s="332"/>
      <c r="F30" s="332"/>
      <c r="G30" s="33"/>
    </row>
    <row r="31" spans="1:7" ht="14.25" x14ac:dyDescent="0.2">
      <c r="A31" s="34"/>
      <c r="B31" s="30"/>
      <c r="C31" s="30"/>
      <c r="D31" s="30"/>
      <c r="E31" s="31"/>
      <c r="F31" s="32"/>
      <c r="G31" s="33"/>
    </row>
    <row r="32" spans="1:7" ht="27" customHeight="1" x14ac:dyDescent="0.2">
      <c r="A32" s="329" t="s">
        <v>264</v>
      </c>
      <c r="B32" s="329"/>
      <c r="C32" s="329"/>
      <c r="D32" s="329"/>
      <c r="E32" s="329"/>
      <c r="F32" s="329"/>
      <c r="G32" s="27"/>
    </row>
    <row r="33" spans="1:7" ht="15" customHeight="1" x14ac:dyDescent="0.2">
      <c r="A33" s="28" t="s">
        <v>299</v>
      </c>
      <c r="B33" s="330" t="s">
        <v>300</v>
      </c>
      <c r="C33" s="330"/>
      <c r="D33" s="330"/>
      <c r="E33" s="330"/>
      <c r="F33" s="330"/>
      <c r="G33" s="33"/>
    </row>
    <row r="34" spans="1:7" ht="15" customHeight="1" x14ac:dyDescent="0.2">
      <c r="A34" s="28" t="s">
        <v>157</v>
      </c>
      <c r="B34" s="331" t="s">
        <v>298</v>
      </c>
      <c r="C34" s="330"/>
      <c r="D34" s="330"/>
      <c r="E34" s="330"/>
      <c r="F34" s="330"/>
      <c r="G34" s="33"/>
    </row>
    <row r="35" spans="1:7" ht="14.25" x14ac:dyDescent="0.2">
      <c r="A35" s="34"/>
      <c r="B35" s="30"/>
      <c r="C35" s="30"/>
      <c r="D35" s="30"/>
      <c r="E35" s="31"/>
      <c r="F35" s="32"/>
      <c r="G35" s="33"/>
    </row>
    <row r="46" spans="1:7" hidden="1" x14ac:dyDescent="0.2">
      <c r="A46" t="s">
        <v>15</v>
      </c>
    </row>
    <row r="47" spans="1:7" hidden="1" x14ac:dyDescent="0.2">
      <c r="A47" s="35" t="s">
        <v>59</v>
      </c>
    </row>
    <row r="48" spans="1:7" hidden="1" x14ac:dyDescent="0.2">
      <c r="A48" s="35" t="s">
        <v>26</v>
      </c>
    </row>
    <row r="49" spans="1:1" hidden="1" x14ac:dyDescent="0.2">
      <c r="A49" s="35" t="s">
        <v>27</v>
      </c>
    </row>
    <row r="50" spans="1:1" hidden="1" x14ac:dyDescent="0.2">
      <c r="A50" s="35" t="s">
        <v>28</v>
      </c>
    </row>
    <row r="51" spans="1:1" hidden="1" x14ac:dyDescent="0.2">
      <c r="A51" s="35" t="s">
        <v>60</v>
      </c>
    </row>
    <row r="52" spans="1:1" hidden="1" x14ac:dyDescent="0.2">
      <c r="A52" s="35" t="s">
        <v>294</v>
      </c>
    </row>
    <row r="53" spans="1:1" hidden="1" x14ac:dyDescent="0.2">
      <c r="A53" s="35" t="s">
        <v>29</v>
      </c>
    </row>
    <row r="54" spans="1:1" hidden="1" x14ac:dyDescent="0.2">
      <c r="A54" s="35" t="s">
        <v>30</v>
      </c>
    </row>
    <row r="55" spans="1:1" hidden="1" x14ac:dyDescent="0.2">
      <c r="A55" s="35" t="s">
        <v>61</v>
      </c>
    </row>
    <row r="56" spans="1:1" hidden="1" x14ac:dyDescent="0.2">
      <c r="A56" s="35" t="s">
        <v>62</v>
      </c>
    </row>
    <row r="57" spans="1:1" hidden="1" x14ac:dyDescent="0.2">
      <c r="A57" s="35" t="s">
        <v>193</v>
      </c>
    </row>
    <row r="58" spans="1:1" hidden="1" x14ac:dyDescent="0.2">
      <c r="A58" s="35" t="s">
        <v>295</v>
      </c>
    </row>
    <row r="59" spans="1:1" hidden="1" x14ac:dyDescent="0.2">
      <c r="A59" s="35" t="s">
        <v>31</v>
      </c>
    </row>
    <row r="60" spans="1:1" hidden="1" x14ac:dyDescent="0.2">
      <c r="A60" s="35" t="s">
        <v>32</v>
      </c>
    </row>
    <row r="61" spans="1:1" hidden="1" x14ac:dyDescent="0.2">
      <c r="A61" s="35" t="s">
        <v>33</v>
      </c>
    </row>
    <row r="62" spans="1:1" hidden="1" x14ac:dyDescent="0.2">
      <c r="A62" s="35" t="s">
        <v>34</v>
      </c>
    </row>
    <row r="63" spans="1:1" hidden="1" x14ac:dyDescent="0.2">
      <c r="A63" s="35" t="s">
        <v>35</v>
      </c>
    </row>
    <row r="64" spans="1:1" hidden="1" x14ac:dyDescent="0.2">
      <c r="A64" s="35" t="s">
        <v>36</v>
      </c>
    </row>
    <row r="65" spans="1:1" hidden="1" x14ac:dyDescent="0.2">
      <c r="A65" s="35" t="s">
        <v>37</v>
      </c>
    </row>
    <row r="66" spans="1:1" hidden="1" x14ac:dyDescent="0.2">
      <c r="A66" s="35" t="s">
        <v>38</v>
      </c>
    </row>
    <row r="67" spans="1:1" hidden="1" x14ac:dyDescent="0.2">
      <c r="A67" s="35" t="s">
        <v>39</v>
      </c>
    </row>
    <row r="68" spans="1:1" hidden="1" x14ac:dyDescent="0.2">
      <c r="A68" s="35" t="s">
        <v>63</v>
      </c>
    </row>
    <row r="69" spans="1:1" hidden="1" x14ac:dyDescent="0.2">
      <c r="A69" s="35" t="s">
        <v>64</v>
      </c>
    </row>
    <row r="70" spans="1:1" hidden="1" x14ac:dyDescent="0.2">
      <c r="A70" s="35" t="s">
        <v>40</v>
      </c>
    </row>
    <row r="71" spans="1:1" hidden="1" x14ac:dyDescent="0.2">
      <c r="A71" s="35" t="s">
        <v>41</v>
      </c>
    </row>
    <row r="72" spans="1:1" hidden="1" x14ac:dyDescent="0.2">
      <c r="A72" s="35" t="s">
        <v>42</v>
      </c>
    </row>
    <row r="73" spans="1:1" hidden="1" x14ac:dyDescent="0.2">
      <c r="A73" s="35" t="s">
        <v>43</v>
      </c>
    </row>
    <row r="74" spans="1:1" hidden="1" x14ac:dyDescent="0.2">
      <c r="A74" s="35" t="s">
        <v>44</v>
      </c>
    </row>
    <row r="75" spans="1:1" hidden="1" x14ac:dyDescent="0.2">
      <c r="A75" s="35" t="s">
        <v>65</v>
      </c>
    </row>
    <row r="76" spans="1:1" hidden="1" x14ac:dyDescent="0.2">
      <c r="A76" s="35" t="s">
        <v>192</v>
      </c>
    </row>
    <row r="77" spans="1:1" hidden="1" x14ac:dyDescent="0.2">
      <c r="A77" s="35" t="s">
        <v>45</v>
      </c>
    </row>
    <row r="78" spans="1:1" hidden="1" x14ac:dyDescent="0.2">
      <c r="A78" s="35" t="s">
        <v>46</v>
      </c>
    </row>
    <row r="79" spans="1:1" hidden="1" x14ac:dyDescent="0.2">
      <c r="A79" s="35" t="s">
        <v>47</v>
      </c>
    </row>
    <row r="80" spans="1:1" hidden="1" x14ac:dyDescent="0.2">
      <c r="A80" s="35" t="s">
        <v>48</v>
      </c>
    </row>
    <row r="81" spans="1:1" hidden="1" x14ac:dyDescent="0.2">
      <c r="A81" s="35" t="s">
        <v>49</v>
      </c>
    </row>
    <row r="82" spans="1:1" hidden="1" x14ac:dyDescent="0.2">
      <c r="A82" s="35" t="s">
        <v>296</v>
      </c>
    </row>
    <row r="83" spans="1:1" hidden="1" x14ac:dyDescent="0.2">
      <c r="A83" s="35" t="s">
        <v>50</v>
      </c>
    </row>
    <row r="84" spans="1:1" hidden="1" x14ac:dyDescent="0.2">
      <c r="A84" s="35" t="s">
        <v>51</v>
      </c>
    </row>
    <row r="85" spans="1:1" hidden="1" x14ac:dyDescent="0.2">
      <c r="A85" s="35" t="s">
        <v>297</v>
      </c>
    </row>
    <row r="86" spans="1:1" hidden="1" x14ac:dyDescent="0.2">
      <c r="A86" s="35" t="s">
        <v>66</v>
      </c>
    </row>
    <row r="87" spans="1:1" hidden="1" x14ac:dyDescent="0.2">
      <c r="A87" s="35" t="s">
        <v>52</v>
      </c>
    </row>
    <row r="88" spans="1:1" hidden="1" x14ac:dyDescent="0.2">
      <c r="A88" s="35" t="s">
        <v>53</v>
      </c>
    </row>
    <row r="89" spans="1:1" hidden="1" x14ac:dyDescent="0.2">
      <c r="A89" s="35" t="s">
        <v>67</v>
      </c>
    </row>
    <row r="90" spans="1:1" hidden="1" x14ac:dyDescent="0.2">
      <c r="A90" s="35" t="s">
        <v>54</v>
      </c>
    </row>
    <row r="91" spans="1:1" hidden="1" x14ac:dyDescent="0.2">
      <c r="A91" s="36" t="s">
        <v>55</v>
      </c>
    </row>
    <row r="92" spans="1:1" hidden="1" x14ac:dyDescent="0.2">
      <c r="A92" s="35" t="s">
        <v>56</v>
      </c>
    </row>
    <row r="93" spans="1:1" hidden="1" x14ac:dyDescent="0.2">
      <c r="A93" s="35" t="s">
        <v>293</v>
      </c>
    </row>
    <row r="94" spans="1:1" hidden="1" x14ac:dyDescent="0.2">
      <c r="A94" s="35" t="s">
        <v>57</v>
      </c>
    </row>
    <row r="95" spans="1:1" hidden="1" x14ac:dyDescent="0.2">
      <c r="A95" s="35" t="s">
        <v>58</v>
      </c>
    </row>
  </sheetData>
  <sortState xmlns:xlrd2="http://schemas.microsoft.com/office/spreadsheetml/2017/richdata2" ref="A52:A97">
    <sortCondition ref="A97"/>
  </sortState>
  <mergeCells count="27">
    <mergeCell ref="B16:F16"/>
    <mergeCell ref="A4:F4"/>
    <mergeCell ref="A5:F5"/>
    <mergeCell ref="B6:F6"/>
    <mergeCell ref="B7:F7"/>
    <mergeCell ref="B8:F8"/>
    <mergeCell ref="B9:F9"/>
    <mergeCell ref="B10:F10"/>
    <mergeCell ref="B11:F11"/>
    <mergeCell ref="A13:F13"/>
    <mergeCell ref="B14:F14"/>
    <mergeCell ref="B15:F15"/>
    <mergeCell ref="A32:F32"/>
    <mergeCell ref="B33:F33"/>
    <mergeCell ref="B34:F34"/>
    <mergeCell ref="B30:F30"/>
    <mergeCell ref="B17:F17"/>
    <mergeCell ref="B18:F18"/>
    <mergeCell ref="B19:F19"/>
    <mergeCell ref="A21:F21"/>
    <mergeCell ref="B22:F22"/>
    <mergeCell ref="B23:F23"/>
    <mergeCell ref="A25:F25"/>
    <mergeCell ref="B26:F26"/>
    <mergeCell ref="B27:F27"/>
    <mergeCell ref="B28:F28"/>
    <mergeCell ref="B29:F29"/>
  </mergeCells>
  <dataValidations count="3">
    <dataValidation type="list" allowBlank="1" showInputMessage="1" showErrorMessage="1" sqref="B2" xr:uid="{00000000-0002-0000-0100-000001000000}">
      <formula1>$A$46:$A$95</formula1>
    </dataValidation>
    <dataValidation type="textLength" allowBlank="1" showInputMessage="1" showErrorMessage="1" errorTitle="Invalid input" error="The length of the text should be between 2 and 500 characters" sqref="B6:F11 B14:F19 B22:F23 B26:F30 B33:F34" xr:uid="{00000000-0002-0000-0100-000002000000}">
      <formula1>2</formula1>
      <formula2>500</formula2>
    </dataValidation>
    <dataValidation type="list" allowBlank="1" showInputMessage="1" showErrorMessage="1" sqref="A13:F13" xr:uid="{00000000-0002-0000-0100-000000000000}">
      <formula1>$A$32:$A$32</formula1>
    </dataValidation>
  </dataValidations>
  <hyperlinks>
    <hyperlink ref="B34" r:id="rId1" xr:uid="{00000000-0004-0000-0100-000000000000}"/>
  </hyperlinks>
  <pageMargins left="0.70866141732283472" right="0.70866141732283472" top="0.74803149606299213" bottom="0.74803149606299213" header="0.31496062992125984" footer="0.31496062992125984"/>
  <pageSetup paperSize="9" scale="79" orientation="portrait" r:id="rId2"/>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XFD29"/>
  <sheetViews>
    <sheetView topLeftCell="B1" zoomScaleNormal="100" zoomScaleSheetLayoutView="100" workbookViewId="0"/>
  </sheetViews>
  <sheetFormatPr defaultColWidth="9.140625" defaultRowHeight="12.75" x14ac:dyDescent="0.2"/>
  <cols>
    <col min="1" max="1" width="5.7109375" style="5" hidden="1" customWidth="1"/>
    <col min="2" max="2" width="83.140625" style="165" customWidth="1"/>
    <col min="3" max="5" width="9.140625" style="160"/>
    <col min="6" max="16384" width="9.140625" style="5"/>
  </cols>
  <sheetData>
    <row r="1" spans="1:16384" ht="18" x14ac:dyDescent="0.25">
      <c r="B1" s="241" t="s">
        <v>269</v>
      </c>
      <c r="H1" s="200"/>
      <c r="I1" s="200"/>
      <c r="J1" s="200"/>
      <c r="K1" s="200"/>
      <c r="L1" s="200"/>
      <c r="M1" s="200"/>
      <c r="N1" s="200"/>
      <c r="O1" s="200"/>
    </row>
    <row r="3" spans="1:16384" x14ac:dyDescent="0.2">
      <c r="B3" s="344" t="s">
        <v>134</v>
      </c>
      <c r="C3" s="344"/>
      <c r="D3" s="344"/>
      <c r="E3" s="344"/>
      <c r="F3" s="163"/>
      <c r="G3" s="163"/>
      <c r="H3" s="163"/>
      <c r="I3" s="163"/>
      <c r="J3" s="163"/>
      <c r="K3" s="163"/>
      <c r="L3" s="163"/>
      <c r="M3" s="163"/>
      <c r="N3" s="163"/>
      <c r="O3" s="163"/>
      <c r="P3" s="163"/>
    </row>
    <row r="5" spans="1:16384" ht="27.75" customHeight="1" x14ac:dyDescent="0.2">
      <c r="B5" s="345" t="s">
        <v>259</v>
      </c>
      <c r="C5" s="344"/>
      <c r="D5" s="344"/>
      <c r="E5" s="344"/>
      <c r="F5" s="163"/>
      <c r="G5" s="163"/>
      <c r="H5" s="163"/>
      <c r="I5" s="163"/>
      <c r="J5" s="163"/>
      <c r="K5" s="163"/>
      <c r="L5" s="163"/>
      <c r="M5" s="163"/>
      <c r="N5" s="163"/>
      <c r="O5" s="163"/>
      <c r="P5" s="163"/>
    </row>
    <row r="6" spans="1:16384" ht="13.5" customHeight="1" x14ac:dyDescent="0.2">
      <c r="B6" s="283"/>
      <c r="C6" s="283"/>
      <c r="D6" s="283"/>
      <c r="E6" s="283"/>
      <c r="F6" s="163"/>
      <c r="G6" s="163"/>
      <c r="H6" s="163"/>
      <c r="I6" s="163"/>
      <c r="J6" s="163"/>
      <c r="K6" s="163"/>
      <c r="L6" s="163"/>
      <c r="M6" s="163"/>
      <c r="N6" s="163"/>
      <c r="O6" s="163"/>
      <c r="P6" s="163"/>
    </row>
    <row r="7" spans="1:16384" ht="44.45" customHeight="1" x14ac:dyDescent="0.2">
      <c r="B7" s="344" t="s">
        <v>79</v>
      </c>
      <c r="C7" s="344"/>
      <c r="D7" s="344"/>
      <c r="E7" s="344"/>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c r="CY7" s="338"/>
      <c r="CZ7" s="338"/>
      <c r="DA7" s="338"/>
      <c r="DB7" s="338"/>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338"/>
      <c r="ET7" s="338"/>
      <c r="EU7" s="338"/>
      <c r="EV7" s="338"/>
      <c r="EW7" s="338"/>
      <c r="EX7" s="338"/>
      <c r="EY7" s="338"/>
      <c r="EZ7" s="338"/>
      <c r="FA7" s="338"/>
      <c r="FB7" s="338"/>
      <c r="FC7" s="338"/>
      <c r="FD7" s="338"/>
      <c r="FE7" s="338"/>
      <c r="FF7" s="338"/>
      <c r="FG7" s="338"/>
      <c r="FH7" s="338"/>
      <c r="FI7" s="338"/>
      <c r="FJ7" s="338"/>
      <c r="FK7" s="338"/>
      <c r="FL7" s="338"/>
      <c r="FM7" s="338"/>
      <c r="FN7" s="338"/>
      <c r="FO7" s="338"/>
      <c r="FP7" s="338"/>
      <c r="FQ7" s="338"/>
      <c r="FR7" s="338"/>
      <c r="FS7" s="338"/>
      <c r="FT7" s="338"/>
      <c r="FU7" s="338"/>
      <c r="FV7" s="338"/>
      <c r="FW7" s="338"/>
      <c r="FX7" s="338"/>
      <c r="FY7" s="338"/>
      <c r="FZ7" s="338"/>
      <c r="GA7" s="338"/>
      <c r="GB7" s="338"/>
      <c r="GC7" s="338"/>
      <c r="GD7" s="338"/>
      <c r="GE7" s="338"/>
      <c r="GF7" s="338"/>
      <c r="GG7" s="338"/>
      <c r="GH7" s="338"/>
      <c r="GI7" s="338"/>
      <c r="GJ7" s="338"/>
      <c r="GK7" s="338"/>
      <c r="GL7" s="338"/>
      <c r="GM7" s="338"/>
      <c r="GN7" s="338"/>
      <c r="GO7" s="338"/>
      <c r="GP7" s="338"/>
      <c r="GQ7" s="338"/>
      <c r="GR7" s="338"/>
      <c r="GS7" s="338"/>
      <c r="GT7" s="338"/>
      <c r="GU7" s="338"/>
      <c r="GV7" s="338"/>
      <c r="GW7" s="338"/>
      <c r="GX7" s="338"/>
      <c r="GY7" s="338"/>
      <c r="GZ7" s="338"/>
      <c r="HA7" s="338"/>
      <c r="HB7" s="338"/>
      <c r="HC7" s="338"/>
      <c r="HD7" s="338"/>
      <c r="HE7" s="338"/>
      <c r="HF7" s="338"/>
      <c r="HG7" s="338"/>
      <c r="HH7" s="338"/>
      <c r="HI7" s="338"/>
      <c r="HJ7" s="338"/>
      <c r="HK7" s="338"/>
      <c r="HL7" s="338"/>
      <c r="HM7" s="338"/>
      <c r="HN7" s="338"/>
      <c r="HO7" s="338"/>
      <c r="HP7" s="338"/>
      <c r="HQ7" s="338"/>
      <c r="HR7" s="338"/>
      <c r="HS7" s="338"/>
      <c r="HT7" s="338"/>
      <c r="HU7" s="338"/>
      <c r="HV7" s="338"/>
      <c r="HW7" s="338"/>
      <c r="HX7" s="338"/>
      <c r="HY7" s="338"/>
      <c r="HZ7" s="338"/>
      <c r="IA7" s="338"/>
      <c r="IB7" s="338"/>
      <c r="IC7" s="338"/>
      <c r="ID7" s="338"/>
      <c r="IE7" s="338"/>
      <c r="IF7" s="338"/>
      <c r="IG7" s="338"/>
      <c r="IH7" s="338"/>
      <c r="II7" s="338"/>
      <c r="IJ7" s="338"/>
      <c r="IK7" s="338"/>
      <c r="IL7" s="338"/>
      <c r="IM7" s="338"/>
      <c r="IN7" s="338"/>
      <c r="IO7" s="338"/>
      <c r="IP7" s="338"/>
      <c r="IQ7" s="338"/>
      <c r="IR7" s="338"/>
      <c r="IS7" s="338"/>
      <c r="IT7" s="338"/>
      <c r="IU7" s="338"/>
      <c r="IV7" s="338"/>
      <c r="IW7" s="338"/>
      <c r="IX7" s="338"/>
      <c r="IY7" s="338"/>
      <c r="IZ7" s="338"/>
      <c r="JA7" s="338"/>
      <c r="JB7" s="338"/>
      <c r="JC7" s="338"/>
      <c r="JD7" s="338"/>
      <c r="JE7" s="338"/>
      <c r="JF7" s="338"/>
      <c r="JG7" s="338"/>
      <c r="JH7" s="338"/>
      <c r="JI7" s="338"/>
      <c r="JJ7" s="338"/>
      <c r="JK7" s="338"/>
      <c r="JL7" s="338"/>
      <c r="JM7" s="338"/>
      <c r="JN7" s="338"/>
      <c r="JO7" s="338"/>
      <c r="JP7" s="338"/>
      <c r="JQ7" s="338"/>
      <c r="JR7" s="338"/>
      <c r="JS7" s="338"/>
      <c r="JT7" s="338"/>
      <c r="JU7" s="338"/>
      <c r="JV7" s="338"/>
      <c r="JW7" s="338"/>
      <c r="JX7" s="338"/>
      <c r="JY7" s="338"/>
      <c r="JZ7" s="338"/>
      <c r="KA7" s="338"/>
      <c r="KB7" s="338"/>
      <c r="KC7" s="338"/>
      <c r="KD7" s="338"/>
      <c r="KE7" s="338"/>
      <c r="KF7" s="338"/>
      <c r="KG7" s="338"/>
      <c r="KH7" s="338"/>
      <c r="KI7" s="338"/>
      <c r="KJ7" s="338"/>
      <c r="KK7" s="338"/>
      <c r="KL7" s="338"/>
      <c r="KM7" s="338"/>
      <c r="KN7" s="338"/>
      <c r="KO7" s="338"/>
      <c r="KP7" s="338"/>
      <c r="KQ7" s="338"/>
      <c r="KR7" s="338"/>
      <c r="KS7" s="338"/>
      <c r="KT7" s="338"/>
      <c r="KU7" s="338"/>
      <c r="KV7" s="338"/>
      <c r="KW7" s="338"/>
      <c r="KX7" s="338"/>
      <c r="KY7" s="338"/>
      <c r="KZ7" s="338"/>
      <c r="LA7" s="338"/>
      <c r="LB7" s="338"/>
      <c r="LC7" s="338"/>
      <c r="LD7" s="338"/>
      <c r="LE7" s="338"/>
      <c r="LF7" s="338"/>
      <c r="LG7" s="338"/>
      <c r="LH7" s="338"/>
      <c r="LI7" s="338"/>
      <c r="LJ7" s="338"/>
      <c r="LK7" s="338"/>
      <c r="LL7" s="338"/>
      <c r="LM7" s="338"/>
      <c r="LN7" s="338"/>
      <c r="LO7" s="338"/>
      <c r="LP7" s="338"/>
      <c r="LQ7" s="338"/>
      <c r="LR7" s="338"/>
      <c r="LS7" s="338"/>
      <c r="LT7" s="338"/>
      <c r="LU7" s="338"/>
      <c r="LV7" s="338"/>
      <c r="LW7" s="338"/>
      <c r="LX7" s="338"/>
      <c r="LY7" s="338"/>
      <c r="LZ7" s="338"/>
      <c r="MA7" s="338"/>
      <c r="MB7" s="338"/>
      <c r="MC7" s="338"/>
      <c r="MD7" s="338"/>
      <c r="ME7" s="338"/>
      <c r="MF7" s="338"/>
      <c r="MG7" s="338"/>
      <c r="MH7" s="338"/>
      <c r="MI7" s="338"/>
      <c r="MJ7" s="338"/>
      <c r="MK7" s="338"/>
      <c r="ML7" s="338"/>
      <c r="MM7" s="338"/>
      <c r="MN7" s="338"/>
      <c r="MO7" s="338"/>
      <c r="MP7" s="338"/>
      <c r="MQ7" s="338"/>
      <c r="MR7" s="338"/>
      <c r="MS7" s="338"/>
      <c r="MT7" s="338"/>
      <c r="MU7" s="338"/>
      <c r="MV7" s="338"/>
      <c r="MW7" s="338"/>
      <c r="MX7" s="338"/>
      <c r="MY7" s="338"/>
      <c r="MZ7" s="338"/>
      <c r="NA7" s="338"/>
      <c r="NB7" s="338"/>
      <c r="NC7" s="338"/>
      <c r="ND7" s="338"/>
      <c r="NE7" s="338"/>
      <c r="NF7" s="338"/>
      <c r="NG7" s="338"/>
      <c r="NH7" s="338"/>
      <c r="NI7" s="338"/>
      <c r="NJ7" s="338"/>
      <c r="NK7" s="338"/>
      <c r="NL7" s="338"/>
      <c r="NM7" s="338"/>
      <c r="NN7" s="338"/>
      <c r="NO7" s="338"/>
      <c r="NP7" s="338"/>
      <c r="NQ7" s="338"/>
      <c r="NR7" s="338"/>
      <c r="NS7" s="338"/>
      <c r="NT7" s="338"/>
      <c r="NU7" s="338"/>
      <c r="NV7" s="338"/>
      <c r="NW7" s="338"/>
      <c r="NX7" s="338"/>
      <c r="NY7" s="338"/>
      <c r="NZ7" s="338"/>
      <c r="OA7" s="338"/>
      <c r="OB7" s="338"/>
      <c r="OC7" s="338"/>
      <c r="OD7" s="338"/>
      <c r="OE7" s="338"/>
      <c r="OF7" s="338"/>
      <c r="OG7" s="338"/>
      <c r="OH7" s="338"/>
      <c r="OI7" s="338"/>
      <c r="OJ7" s="338"/>
      <c r="OK7" s="338"/>
      <c r="OL7" s="338"/>
      <c r="OM7" s="338"/>
      <c r="ON7" s="338"/>
      <c r="OO7" s="338"/>
      <c r="OP7" s="338"/>
      <c r="OQ7" s="338"/>
      <c r="OR7" s="338"/>
      <c r="OS7" s="338"/>
      <c r="OT7" s="338"/>
      <c r="OU7" s="338"/>
      <c r="OV7" s="338"/>
      <c r="OW7" s="338"/>
      <c r="OX7" s="338"/>
      <c r="OY7" s="338"/>
      <c r="OZ7" s="338"/>
      <c r="PA7" s="338"/>
      <c r="PB7" s="338"/>
      <c r="PC7" s="338"/>
      <c r="PD7" s="338"/>
      <c r="PE7" s="338"/>
      <c r="PF7" s="338"/>
      <c r="PG7" s="338"/>
      <c r="PH7" s="338"/>
      <c r="PI7" s="338"/>
      <c r="PJ7" s="338"/>
      <c r="PK7" s="338"/>
      <c r="PL7" s="338"/>
      <c r="PM7" s="338"/>
      <c r="PN7" s="338"/>
      <c r="PO7" s="338"/>
      <c r="PP7" s="338"/>
      <c r="PQ7" s="338"/>
      <c r="PR7" s="338"/>
      <c r="PS7" s="338"/>
      <c r="PT7" s="338"/>
      <c r="PU7" s="338"/>
      <c r="PV7" s="338"/>
      <c r="PW7" s="338"/>
      <c r="PX7" s="338"/>
      <c r="PY7" s="338"/>
      <c r="PZ7" s="338"/>
      <c r="QA7" s="338"/>
      <c r="QB7" s="338"/>
      <c r="QC7" s="338"/>
      <c r="QD7" s="338"/>
      <c r="QE7" s="338"/>
      <c r="QF7" s="338"/>
      <c r="QG7" s="338"/>
      <c r="QH7" s="338"/>
      <c r="QI7" s="338"/>
      <c r="QJ7" s="338"/>
      <c r="QK7" s="338"/>
      <c r="QL7" s="338"/>
      <c r="QM7" s="338"/>
      <c r="QN7" s="338"/>
      <c r="QO7" s="338"/>
      <c r="QP7" s="338"/>
      <c r="QQ7" s="338"/>
      <c r="QR7" s="338"/>
      <c r="QS7" s="338"/>
      <c r="QT7" s="338"/>
      <c r="QU7" s="338"/>
      <c r="QV7" s="338"/>
      <c r="QW7" s="338"/>
      <c r="QX7" s="338"/>
      <c r="QY7" s="338"/>
      <c r="QZ7" s="338"/>
      <c r="RA7" s="338"/>
      <c r="RB7" s="338"/>
      <c r="RC7" s="338"/>
      <c r="RD7" s="338"/>
      <c r="RE7" s="338"/>
      <c r="RF7" s="338"/>
      <c r="RG7" s="338"/>
      <c r="RH7" s="338"/>
      <c r="RI7" s="338"/>
      <c r="RJ7" s="338"/>
      <c r="RK7" s="338"/>
      <c r="RL7" s="338"/>
      <c r="RM7" s="338"/>
      <c r="RN7" s="338"/>
      <c r="RO7" s="338"/>
      <c r="RP7" s="338"/>
      <c r="RQ7" s="338"/>
      <c r="RR7" s="338"/>
      <c r="RS7" s="338"/>
      <c r="RT7" s="338"/>
      <c r="RU7" s="338"/>
      <c r="RV7" s="338"/>
      <c r="RW7" s="338"/>
      <c r="RX7" s="338"/>
      <c r="RY7" s="338"/>
      <c r="RZ7" s="338"/>
      <c r="SA7" s="338"/>
      <c r="SB7" s="338"/>
      <c r="SC7" s="338"/>
      <c r="SD7" s="338"/>
      <c r="SE7" s="338"/>
      <c r="SF7" s="338"/>
      <c r="SG7" s="338"/>
      <c r="SH7" s="338"/>
      <c r="SI7" s="338"/>
      <c r="SJ7" s="338"/>
      <c r="SK7" s="338"/>
      <c r="SL7" s="338"/>
      <c r="SM7" s="338"/>
      <c r="SN7" s="338"/>
      <c r="SO7" s="338"/>
      <c r="SP7" s="338"/>
      <c r="SQ7" s="338"/>
      <c r="SR7" s="338"/>
      <c r="SS7" s="338"/>
      <c r="ST7" s="338"/>
      <c r="SU7" s="338"/>
      <c r="SV7" s="338"/>
      <c r="SW7" s="338"/>
      <c r="SX7" s="338"/>
      <c r="SY7" s="338"/>
      <c r="SZ7" s="338"/>
      <c r="TA7" s="338"/>
      <c r="TB7" s="338"/>
      <c r="TC7" s="338"/>
      <c r="TD7" s="338"/>
      <c r="TE7" s="338"/>
      <c r="TF7" s="338"/>
      <c r="TG7" s="338"/>
      <c r="TH7" s="338"/>
      <c r="TI7" s="338"/>
      <c r="TJ7" s="338"/>
      <c r="TK7" s="338"/>
      <c r="TL7" s="338"/>
      <c r="TM7" s="338"/>
      <c r="TN7" s="338"/>
      <c r="TO7" s="338"/>
      <c r="TP7" s="338"/>
      <c r="TQ7" s="338"/>
      <c r="TR7" s="338"/>
      <c r="TS7" s="338"/>
      <c r="TT7" s="338"/>
      <c r="TU7" s="338"/>
      <c r="TV7" s="338"/>
      <c r="TW7" s="338"/>
      <c r="TX7" s="338"/>
      <c r="TY7" s="338"/>
      <c r="TZ7" s="338"/>
      <c r="UA7" s="338"/>
      <c r="UB7" s="338"/>
      <c r="UC7" s="338"/>
      <c r="UD7" s="338"/>
      <c r="UE7" s="338"/>
      <c r="UF7" s="338"/>
      <c r="UG7" s="338"/>
      <c r="UH7" s="338"/>
      <c r="UI7" s="338"/>
      <c r="UJ7" s="338"/>
      <c r="UK7" s="338"/>
      <c r="UL7" s="338"/>
      <c r="UM7" s="338"/>
      <c r="UN7" s="338"/>
      <c r="UO7" s="338"/>
      <c r="UP7" s="338"/>
      <c r="UQ7" s="338"/>
      <c r="UR7" s="338"/>
      <c r="US7" s="338"/>
      <c r="UT7" s="338"/>
      <c r="UU7" s="338"/>
      <c r="UV7" s="338"/>
      <c r="UW7" s="338"/>
      <c r="UX7" s="338"/>
      <c r="UY7" s="338"/>
      <c r="UZ7" s="338"/>
      <c r="VA7" s="338"/>
      <c r="VB7" s="338"/>
      <c r="VC7" s="338"/>
      <c r="VD7" s="338"/>
      <c r="VE7" s="338"/>
      <c r="VF7" s="338"/>
      <c r="VG7" s="338"/>
      <c r="VH7" s="338"/>
      <c r="VI7" s="338"/>
      <c r="VJ7" s="338"/>
      <c r="VK7" s="338"/>
      <c r="VL7" s="338"/>
      <c r="VM7" s="338"/>
      <c r="VN7" s="338"/>
      <c r="VO7" s="338"/>
      <c r="VP7" s="338"/>
      <c r="VQ7" s="338"/>
      <c r="VR7" s="338"/>
      <c r="VS7" s="338"/>
      <c r="VT7" s="338"/>
      <c r="VU7" s="338"/>
      <c r="VV7" s="338"/>
      <c r="VW7" s="338"/>
      <c r="VX7" s="338"/>
      <c r="VY7" s="338"/>
      <c r="VZ7" s="338"/>
      <c r="WA7" s="338"/>
      <c r="WB7" s="338"/>
      <c r="WC7" s="338"/>
      <c r="WD7" s="338"/>
      <c r="WE7" s="338"/>
      <c r="WF7" s="338"/>
      <c r="WG7" s="338"/>
      <c r="WH7" s="338"/>
      <c r="WI7" s="338"/>
      <c r="WJ7" s="338"/>
      <c r="WK7" s="338"/>
      <c r="WL7" s="338"/>
      <c r="WM7" s="338"/>
      <c r="WN7" s="338"/>
      <c r="WO7" s="338"/>
      <c r="WP7" s="338"/>
      <c r="WQ7" s="338"/>
      <c r="WR7" s="338"/>
      <c r="WS7" s="338"/>
      <c r="WT7" s="338"/>
      <c r="WU7" s="338"/>
      <c r="WV7" s="338"/>
      <c r="WW7" s="338"/>
      <c r="WX7" s="338"/>
      <c r="WY7" s="338"/>
      <c r="WZ7" s="338"/>
      <c r="XA7" s="338"/>
      <c r="XB7" s="338"/>
      <c r="XC7" s="338"/>
      <c r="XD7" s="338"/>
      <c r="XE7" s="338"/>
      <c r="XF7" s="338"/>
      <c r="XG7" s="338"/>
      <c r="XH7" s="338"/>
      <c r="XI7" s="338"/>
      <c r="XJ7" s="338"/>
      <c r="XK7" s="338"/>
      <c r="XL7" s="338"/>
      <c r="XM7" s="338"/>
      <c r="XN7" s="338"/>
      <c r="XO7" s="338"/>
      <c r="XP7" s="338"/>
      <c r="XQ7" s="338"/>
      <c r="XR7" s="338"/>
      <c r="XS7" s="338"/>
      <c r="XT7" s="338"/>
      <c r="XU7" s="338"/>
      <c r="XV7" s="338"/>
      <c r="XW7" s="338"/>
      <c r="XX7" s="338"/>
      <c r="XY7" s="338"/>
      <c r="XZ7" s="338"/>
      <c r="YA7" s="338"/>
      <c r="YB7" s="338"/>
      <c r="YC7" s="338"/>
      <c r="YD7" s="338"/>
      <c r="YE7" s="338"/>
      <c r="YF7" s="338"/>
      <c r="YG7" s="338"/>
      <c r="YH7" s="338"/>
      <c r="YI7" s="338"/>
      <c r="YJ7" s="338"/>
      <c r="YK7" s="338"/>
      <c r="YL7" s="338"/>
      <c r="YM7" s="338"/>
      <c r="YN7" s="338"/>
      <c r="YO7" s="338"/>
      <c r="YP7" s="338"/>
      <c r="YQ7" s="338"/>
      <c r="YR7" s="338"/>
      <c r="YS7" s="338"/>
      <c r="YT7" s="338"/>
      <c r="YU7" s="338"/>
      <c r="YV7" s="338"/>
      <c r="YW7" s="338"/>
      <c r="YX7" s="338"/>
      <c r="YY7" s="338"/>
      <c r="YZ7" s="338"/>
      <c r="ZA7" s="338"/>
      <c r="ZB7" s="338"/>
      <c r="ZC7" s="338"/>
      <c r="ZD7" s="338"/>
      <c r="ZE7" s="338"/>
      <c r="ZF7" s="338"/>
      <c r="ZG7" s="338"/>
      <c r="ZH7" s="338"/>
      <c r="ZI7" s="338"/>
      <c r="ZJ7" s="338"/>
      <c r="ZK7" s="338"/>
      <c r="ZL7" s="338"/>
      <c r="ZM7" s="338"/>
      <c r="ZN7" s="338"/>
      <c r="ZO7" s="338"/>
      <c r="ZP7" s="338"/>
      <c r="ZQ7" s="338"/>
      <c r="ZR7" s="338"/>
      <c r="ZS7" s="338"/>
      <c r="ZT7" s="338"/>
      <c r="ZU7" s="338"/>
      <c r="ZV7" s="338"/>
      <c r="ZW7" s="338"/>
      <c r="ZX7" s="338"/>
      <c r="ZY7" s="338"/>
      <c r="ZZ7" s="338"/>
      <c r="AAA7" s="338"/>
      <c r="AAB7" s="338"/>
      <c r="AAC7" s="338"/>
      <c r="AAD7" s="338"/>
      <c r="AAE7" s="338"/>
      <c r="AAF7" s="338"/>
      <c r="AAG7" s="338"/>
      <c r="AAH7" s="338"/>
      <c r="AAI7" s="338"/>
      <c r="AAJ7" s="338"/>
      <c r="AAK7" s="338"/>
      <c r="AAL7" s="338"/>
      <c r="AAM7" s="338"/>
      <c r="AAN7" s="338"/>
      <c r="AAO7" s="338"/>
      <c r="AAP7" s="338"/>
      <c r="AAQ7" s="338"/>
      <c r="AAR7" s="338"/>
      <c r="AAS7" s="338"/>
      <c r="AAT7" s="338"/>
      <c r="AAU7" s="338"/>
      <c r="AAV7" s="338"/>
      <c r="AAW7" s="338"/>
      <c r="AAX7" s="338"/>
      <c r="AAY7" s="338"/>
      <c r="AAZ7" s="338"/>
      <c r="ABA7" s="338"/>
      <c r="ABB7" s="338"/>
      <c r="ABC7" s="338"/>
      <c r="ABD7" s="338"/>
      <c r="ABE7" s="338"/>
      <c r="ABF7" s="338"/>
      <c r="ABG7" s="338"/>
      <c r="ABH7" s="338"/>
      <c r="ABI7" s="338"/>
      <c r="ABJ7" s="338"/>
      <c r="ABK7" s="338"/>
      <c r="ABL7" s="338"/>
      <c r="ABM7" s="338"/>
      <c r="ABN7" s="338"/>
      <c r="ABO7" s="338"/>
      <c r="ABP7" s="338"/>
      <c r="ABQ7" s="338"/>
      <c r="ABR7" s="338"/>
      <c r="ABS7" s="338"/>
      <c r="ABT7" s="338"/>
      <c r="ABU7" s="338"/>
      <c r="ABV7" s="338"/>
      <c r="ABW7" s="338"/>
      <c r="ABX7" s="338"/>
      <c r="ABY7" s="338"/>
      <c r="ABZ7" s="338"/>
      <c r="ACA7" s="338"/>
      <c r="ACB7" s="338"/>
      <c r="ACC7" s="338"/>
      <c r="ACD7" s="338"/>
      <c r="ACE7" s="338"/>
      <c r="ACF7" s="338"/>
      <c r="ACG7" s="338"/>
      <c r="ACH7" s="338"/>
      <c r="ACI7" s="338"/>
      <c r="ACJ7" s="338"/>
      <c r="ACK7" s="338"/>
      <c r="ACL7" s="338"/>
      <c r="ACM7" s="338"/>
      <c r="ACN7" s="338"/>
      <c r="ACO7" s="338"/>
      <c r="ACP7" s="338"/>
      <c r="ACQ7" s="338"/>
      <c r="ACR7" s="338"/>
      <c r="ACS7" s="338"/>
      <c r="ACT7" s="338"/>
      <c r="ACU7" s="338"/>
      <c r="ACV7" s="338"/>
      <c r="ACW7" s="338"/>
      <c r="ACX7" s="338"/>
      <c r="ACY7" s="338"/>
      <c r="ACZ7" s="338"/>
      <c r="ADA7" s="338"/>
      <c r="ADB7" s="338"/>
      <c r="ADC7" s="338"/>
      <c r="ADD7" s="338"/>
      <c r="ADE7" s="338"/>
      <c r="ADF7" s="338"/>
      <c r="ADG7" s="338"/>
      <c r="ADH7" s="338"/>
      <c r="ADI7" s="338"/>
      <c r="ADJ7" s="338"/>
      <c r="ADK7" s="338"/>
      <c r="ADL7" s="338"/>
      <c r="ADM7" s="338"/>
      <c r="ADN7" s="338"/>
      <c r="ADO7" s="338"/>
      <c r="ADP7" s="338"/>
      <c r="ADQ7" s="338"/>
      <c r="ADR7" s="338"/>
      <c r="ADS7" s="338"/>
      <c r="ADT7" s="338"/>
      <c r="ADU7" s="338"/>
      <c r="ADV7" s="338"/>
      <c r="ADW7" s="338"/>
      <c r="ADX7" s="338"/>
      <c r="ADY7" s="338"/>
      <c r="ADZ7" s="338"/>
      <c r="AEA7" s="338"/>
      <c r="AEB7" s="338"/>
      <c r="AEC7" s="338"/>
      <c r="AED7" s="338"/>
      <c r="AEE7" s="338"/>
      <c r="AEF7" s="338"/>
      <c r="AEG7" s="338"/>
      <c r="AEH7" s="338"/>
      <c r="AEI7" s="338"/>
      <c r="AEJ7" s="338"/>
      <c r="AEK7" s="338"/>
      <c r="AEL7" s="338"/>
      <c r="AEM7" s="338"/>
      <c r="AEN7" s="338"/>
      <c r="AEO7" s="338"/>
      <c r="AEP7" s="338"/>
      <c r="AEQ7" s="338"/>
      <c r="AER7" s="338"/>
      <c r="AES7" s="338"/>
      <c r="AET7" s="338"/>
      <c r="AEU7" s="338"/>
      <c r="AEV7" s="338"/>
      <c r="AEW7" s="338"/>
      <c r="AEX7" s="338"/>
      <c r="AEY7" s="338"/>
      <c r="AEZ7" s="338"/>
      <c r="AFA7" s="338"/>
      <c r="AFB7" s="338"/>
      <c r="AFC7" s="338"/>
      <c r="AFD7" s="338"/>
      <c r="AFE7" s="338"/>
      <c r="AFF7" s="338"/>
      <c r="AFG7" s="338"/>
      <c r="AFH7" s="338"/>
      <c r="AFI7" s="338"/>
      <c r="AFJ7" s="338"/>
      <c r="AFK7" s="338"/>
      <c r="AFL7" s="338"/>
      <c r="AFM7" s="338"/>
      <c r="AFN7" s="338"/>
      <c r="AFO7" s="338"/>
      <c r="AFP7" s="338"/>
      <c r="AFQ7" s="338"/>
      <c r="AFR7" s="338"/>
      <c r="AFS7" s="338"/>
      <c r="AFT7" s="338"/>
      <c r="AFU7" s="338"/>
      <c r="AFV7" s="338"/>
      <c r="AFW7" s="338"/>
      <c r="AFX7" s="338"/>
      <c r="AFY7" s="338"/>
      <c r="AFZ7" s="338"/>
      <c r="AGA7" s="338"/>
      <c r="AGB7" s="338"/>
      <c r="AGC7" s="338"/>
      <c r="AGD7" s="338"/>
      <c r="AGE7" s="338"/>
      <c r="AGF7" s="338"/>
      <c r="AGG7" s="338"/>
      <c r="AGH7" s="338"/>
      <c r="AGI7" s="338"/>
      <c r="AGJ7" s="338"/>
      <c r="AGK7" s="338"/>
      <c r="AGL7" s="338"/>
      <c r="AGM7" s="338"/>
      <c r="AGN7" s="338"/>
      <c r="AGO7" s="338"/>
      <c r="AGP7" s="338"/>
      <c r="AGQ7" s="338"/>
      <c r="AGR7" s="338"/>
      <c r="AGS7" s="338"/>
      <c r="AGT7" s="338"/>
      <c r="AGU7" s="338"/>
      <c r="AGV7" s="338"/>
      <c r="AGW7" s="338"/>
      <c r="AGX7" s="338"/>
      <c r="AGY7" s="338"/>
      <c r="AGZ7" s="338"/>
      <c r="AHA7" s="338"/>
      <c r="AHB7" s="338"/>
      <c r="AHC7" s="338"/>
      <c r="AHD7" s="338"/>
      <c r="AHE7" s="338"/>
      <c r="AHF7" s="338"/>
      <c r="AHG7" s="338"/>
      <c r="AHH7" s="338"/>
      <c r="AHI7" s="338"/>
      <c r="AHJ7" s="338"/>
      <c r="AHK7" s="338"/>
      <c r="AHL7" s="338"/>
      <c r="AHM7" s="338"/>
      <c r="AHN7" s="338"/>
      <c r="AHO7" s="338"/>
      <c r="AHP7" s="338"/>
      <c r="AHQ7" s="338"/>
      <c r="AHR7" s="338"/>
      <c r="AHS7" s="338"/>
      <c r="AHT7" s="338"/>
      <c r="AHU7" s="338"/>
      <c r="AHV7" s="338"/>
      <c r="AHW7" s="338"/>
      <c r="AHX7" s="338"/>
      <c r="AHY7" s="338"/>
      <c r="AHZ7" s="338"/>
      <c r="AIA7" s="338"/>
      <c r="AIB7" s="338"/>
      <c r="AIC7" s="338"/>
      <c r="AID7" s="338"/>
      <c r="AIE7" s="338"/>
      <c r="AIF7" s="338"/>
      <c r="AIG7" s="338"/>
      <c r="AIH7" s="338"/>
      <c r="AII7" s="338"/>
      <c r="AIJ7" s="338"/>
      <c r="AIK7" s="338"/>
      <c r="AIL7" s="338"/>
      <c r="AIM7" s="338"/>
      <c r="AIN7" s="338"/>
      <c r="AIO7" s="338"/>
      <c r="AIP7" s="338"/>
      <c r="AIQ7" s="338"/>
      <c r="AIR7" s="338"/>
      <c r="AIS7" s="338"/>
      <c r="AIT7" s="338"/>
      <c r="AIU7" s="338"/>
      <c r="AIV7" s="338"/>
      <c r="AIW7" s="338"/>
      <c r="AIX7" s="338"/>
      <c r="AIY7" s="338"/>
      <c r="AIZ7" s="338"/>
      <c r="AJA7" s="338"/>
      <c r="AJB7" s="338"/>
      <c r="AJC7" s="338"/>
      <c r="AJD7" s="338"/>
      <c r="AJE7" s="338"/>
      <c r="AJF7" s="338"/>
      <c r="AJG7" s="338"/>
      <c r="AJH7" s="338"/>
      <c r="AJI7" s="338"/>
      <c r="AJJ7" s="338"/>
      <c r="AJK7" s="338"/>
      <c r="AJL7" s="338"/>
      <c r="AJM7" s="338"/>
      <c r="AJN7" s="338"/>
      <c r="AJO7" s="338"/>
      <c r="AJP7" s="338"/>
      <c r="AJQ7" s="338"/>
      <c r="AJR7" s="338"/>
      <c r="AJS7" s="338"/>
      <c r="AJT7" s="338"/>
      <c r="AJU7" s="338"/>
      <c r="AJV7" s="338"/>
      <c r="AJW7" s="338"/>
      <c r="AJX7" s="338"/>
      <c r="AJY7" s="338"/>
      <c r="AJZ7" s="338"/>
      <c r="AKA7" s="338"/>
      <c r="AKB7" s="338"/>
      <c r="AKC7" s="338"/>
      <c r="AKD7" s="338"/>
      <c r="AKE7" s="338"/>
      <c r="AKF7" s="338"/>
      <c r="AKG7" s="338"/>
      <c r="AKH7" s="338"/>
      <c r="AKI7" s="338"/>
      <c r="AKJ7" s="338"/>
      <c r="AKK7" s="338"/>
      <c r="AKL7" s="338"/>
      <c r="AKM7" s="338"/>
      <c r="AKN7" s="338"/>
      <c r="AKO7" s="338"/>
      <c r="AKP7" s="338"/>
      <c r="AKQ7" s="338"/>
      <c r="AKR7" s="338"/>
      <c r="AKS7" s="338"/>
      <c r="AKT7" s="338"/>
      <c r="AKU7" s="338"/>
      <c r="AKV7" s="338"/>
      <c r="AKW7" s="338"/>
      <c r="AKX7" s="338"/>
      <c r="AKY7" s="338"/>
      <c r="AKZ7" s="338"/>
      <c r="ALA7" s="338"/>
      <c r="ALB7" s="338"/>
      <c r="ALC7" s="338"/>
      <c r="ALD7" s="338"/>
      <c r="ALE7" s="338"/>
      <c r="ALF7" s="338"/>
      <c r="ALG7" s="338"/>
      <c r="ALH7" s="338"/>
      <c r="ALI7" s="338"/>
      <c r="ALJ7" s="338"/>
      <c r="ALK7" s="338"/>
      <c r="ALL7" s="338"/>
      <c r="ALM7" s="338"/>
      <c r="ALN7" s="338"/>
      <c r="ALO7" s="338"/>
      <c r="ALP7" s="338"/>
      <c r="ALQ7" s="338"/>
      <c r="ALR7" s="338"/>
      <c r="ALS7" s="338"/>
      <c r="ALT7" s="338"/>
      <c r="ALU7" s="338"/>
      <c r="ALV7" s="338"/>
      <c r="ALW7" s="338"/>
      <c r="ALX7" s="338"/>
      <c r="ALY7" s="338"/>
      <c r="ALZ7" s="338"/>
      <c r="AMA7" s="338"/>
      <c r="AMB7" s="338"/>
      <c r="AMC7" s="338"/>
      <c r="AMD7" s="338"/>
      <c r="AME7" s="338"/>
      <c r="AMF7" s="338"/>
      <c r="AMG7" s="338"/>
      <c r="AMH7" s="338"/>
      <c r="AMI7" s="338"/>
      <c r="AMJ7" s="338"/>
      <c r="AMK7" s="338"/>
      <c r="AML7" s="338"/>
      <c r="AMM7" s="338"/>
      <c r="AMN7" s="338"/>
      <c r="AMO7" s="338"/>
      <c r="AMP7" s="338"/>
      <c r="AMQ7" s="338"/>
      <c r="AMR7" s="338"/>
      <c r="AMS7" s="338"/>
      <c r="AMT7" s="338"/>
      <c r="AMU7" s="338"/>
      <c r="AMV7" s="338"/>
      <c r="AMW7" s="338"/>
      <c r="AMX7" s="338"/>
      <c r="AMY7" s="338"/>
      <c r="AMZ7" s="338"/>
      <c r="ANA7" s="338"/>
      <c r="ANB7" s="338"/>
      <c r="ANC7" s="338"/>
      <c r="AND7" s="338"/>
      <c r="ANE7" s="338"/>
      <c r="ANF7" s="338"/>
      <c r="ANG7" s="338"/>
      <c r="ANH7" s="338"/>
      <c r="ANI7" s="338"/>
      <c r="ANJ7" s="338"/>
      <c r="ANK7" s="338"/>
      <c r="ANL7" s="338"/>
      <c r="ANM7" s="338"/>
      <c r="ANN7" s="338"/>
      <c r="ANO7" s="338"/>
      <c r="ANP7" s="338"/>
      <c r="ANQ7" s="338"/>
      <c r="ANR7" s="338"/>
      <c r="ANS7" s="338"/>
      <c r="ANT7" s="338"/>
      <c r="ANU7" s="338"/>
      <c r="ANV7" s="338"/>
      <c r="ANW7" s="338"/>
      <c r="ANX7" s="338"/>
      <c r="ANY7" s="338"/>
      <c r="ANZ7" s="338"/>
      <c r="AOA7" s="338"/>
      <c r="AOB7" s="338"/>
      <c r="AOC7" s="338"/>
      <c r="AOD7" s="338"/>
      <c r="AOE7" s="338"/>
      <c r="AOF7" s="338"/>
      <c r="AOG7" s="338"/>
      <c r="AOH7" s="338"/>
      <c r="AOI7" s="338"/>
      <c r="AOJ7" s="338"/>
      <c r="AOK7" s="338"/>
      <c r="AOL7" s="338"/>
      <c r="AOM7" s="338"/>
      <c r="AON7" s="338"/>
      <c r="AOO7" s="338"/>
      <c r="AOP7" s="338"/>
      <c r="AOQ7" s="338"/>
      <c r="AOR7" s="338"/>
      <c r="AOS7" s="338"/>
      <c r="AOT7" s="338"/>
      <c r="AOU7" s="338"/>
      <c r="AOV7" s="338"/>
      <c r="AOW7" s="338"/>
      <c r="AOX7" s="338"/>
      <c r="AOY7" s="338"/>
      <c r="AOZ7" s="338"/>
      <c r="APA7" s="338"/>
      <c r="APB7" s="338"/>
      <c r="APC7" s="338"/>
      <c r="APD7" s="338"/>
      <c r="APE7" s="338"/>
      <c r="APF7" s="338"/>
      <c r="APG7" s="338"/>
      <c r="APH7" s="338"/>
      <c r="API7" s="338"/>
      <c r="APJ7" s="338"/>
      <c r="APK7" s="338"/>
      <c r="APL7" s="338"/>
      <c r="APM7" s="338"/>
      <c r="APN7" s="338"/>
      <c r="APO7" s="338"/>
      <c r="APP7" s="338"/>
      <c r="APQ7" s="338"/>
      <c r="APR7" s="338"/>
      <c r="APS7" s="338"/>
      <c r="APT7" s="338"/>
      <c r="APU7" s="338"/>
      <c r="APV7" s="338"/>
      <c r="APW7" s="338"/>
      <c r="APX7" s="338"/>
      <c r="APY7" s="338"/>
      <c r="APZ7" s="338"/>
      <c r="AQA7" s="338"/>
      <c r="AQB7" s="338"/>
      <c r="AQC7" s="338"/>
      <c r="AQD7" s="338"/>
      <c r="AQE7" s="338"/>
      <c r="AQF7" s="338"/>
      <c r="AQG7" s="338"/>
      <c r="AQH7" s="338"/>
      <c r="AQI7" s="338"/>
      <c r="AQJ7" s="338"/>
      <c r="AQK7" s="338"/>
      <c r="AQL7" s="338"/>
      <c r="AQM7" s="338"/>
      <c r="AQN7" s="338"/>
      <c r="AQO7" s="338"/>
      <c r="AQP7" s="338"/>
      <c r="AQQ7" s="338"/>
      <c r="AQR7" s="338"/>
      <c r="AQS7" s="338"/>
      <c r="AQT7" s="338"/>
      <c r="AQU7" s="338"/>
      <c r="AQV7" s="338"/>
      <c r="AQW7" s="338"/>
      <c r="AQX7" s="338"/>
      <c r="AQY7" s="338"/>
      <c r="AQZ7" s="338"/>
      <c r="ARA7" s="338"/>
      <c r="ARB7" s="338"/>
      <c r="ARC7" s="338"/>
      <c r="ARD7" s="338"/>
      <c r="ARE7" s="338"/>
      <c r="ARF7" s="338"/>
      <c r="ARG7" s="338"/>
      <c r="ARH7" s="338"/>
      <c r="ARI7" s="338"/>
      <c r="ARJ7" s="338"/>
      <c r="ARK7" s="338"/>
      <c r="ARL7" s="338"/>
      <c r="ARM7" s="338"/>
      <c r="ARN7" s="338"/>
      <c r="ARO7" s="338"/>
      <c r="ARP7" s="338"/>
      <c r="ARQ7" s="338"/>
      <c r="ARR7" s="338"/>
      <c r="ARS7" s="338"/>
      <c r="ART7" s="338"/>
      <c r="ARU7" s="338"/>
      <c r="ARV7" s="338"/>
      <c r="ARW7" s="338"/>
      <c r="ARX7" s="338"/>
      <c r="ARY7" s="338"/>
      <c r="ARZ7" s="338"/>
      <c r="ASA7" s="338"/>
      <c r="ASB7" s="338"/>
      <c r="ASC7" s="338"/>
      <c r="ASD7" s="338"/>
      <c r="ASE7" s="338"/>
      <c r="ASF7" s="338"/>
      <c r="ASG7" s="338"/>
      <c r="ASH7" s="338"/>
      <c r="ASI7" s="338"/>
      <c r="ASJ7" s="338"/>
      <c r="ASK7" s="338"/>
      <c r="ASL7" s="338"/>
      <c r="ASM7" s="338"/>
      <c r="ASN7" s="338"/>
      <c r="ASO7" s="338"/>
      <c r="ASP7" s="338"/>
      <c r="ASQ7" s="338"/>
      <c r="ASR7" s="338"/>
      <c r="ASS7" s="338"/>
      <c r="AST7" s="338"/>
      <c r="ASU7" s="338"/>
      <c r="ASV7" s="338"/>
      <c r="ASW7" s="338"/>
      <c r="ASX7" s="338"/>
      <c r="ASY7" s="338"/>
      <c r="ASZ7" s="338"/>
      <c r="ATA7" s="338"/>
      <c r="ATB7" s="338"/>
      <c r="ATC7" s="338"/>
      <c r="ATD7" s="338"/>
      <c r="ATE7" s="338"/>
      <c r="ATF7" s="338"/>
      <c r="ATG7" s="338"/>
      <c r="ATH7" s="338"/>
      <c r="ATI7" s="338"/>
      <c r="ATJ7" s="338"/>
      <c r="ATK7" s="338"/>
      <c r="ATL7" s="338"/>
      <c r="ATM7" s="338"/>
      <c r="ATN7" s="338"/>
      <c r="ATO7" s="338"/>
      <c r="ATP7" s="338"/>
      <c r="ATQ7" s="338"/>
      <c r="ATR7" s="338"/>
      <c r="ATS7" s="338"/>
      <c r="ATT7" s="338"/>
      <c r="ATU7" s="338"/>
      <c r="ATV7" s="338"/>
      <c r="ATW7" s="338"/>
      <c r="ATX7" s="338"/>
      <c r="ATY7" s="338"/>
      <c r="ATZ7" s="338"/>
      <c r="AUA7" s="338"/>
      <c r="AUB7" s="338"/>
      <c r="AUC7" s="338"/>
      <c r="AUD7" s="338"/>
      <c r="AUE7" s="338"/>
      <c r="AUF7" s="338"/>
      <c r="AUG7" s="338"/>
      <c r="AUH7" s="338"/>
      <c r="AUI7" s="338"/>
      <c r="AUJ7" s="338"/>
      <c r="AUK7" s="338"/>
      <c r="AUL7" s="338"/>
      <c r="AUM7" s="338"/>
      <c r="AUN7" s="338"/>
      <c r="AUO7" s="338"/>
      <c r="AUP7" s="338"/>
      <c r="AUQ7" s="338"/>
      <c r="AUR7" s="338"/>
      <c r="AUS7" s="338"/>
      <c r="AUT7" s="338"/>
      <c r="AUU7" s="338"/>
      <c r="AUV7" s="338"/>
      <c r="AUW7" s="338"/>
      <c r="AUX7" s="338"/>
      <c r="AUY7" s="338"/>
      <c r="AUZ7" s="338"/>
      <c r="AVA7" s="338"/>
      <c r="AVB7" s="338"/>
      <c r="AVC7" s="338"/>
      <c r="AVD7" s="338"/>
      <c r="AVE7" s="338"/>
      <c r="AVF7" s="338"/>
      <c r="AVG7" s="338"/>
      <c r="AVH7" s="338"/>
      <c r="AVI7" s="338"/>
      <c r="AVJ7" s="338"/>
      <c r="AVK7" s="338"/>
      <c r="AVL7" s="338"/>
      <c r="AVM7" s="338"/>
      <c r="AVN7" s="338"/>
      <c r="AVO7" s="338"/>
      <c r="AVP7" s="338"/>
      <c r="AVQ7" s="338"/>
      <c r="AVR7" s="338"/>
      <c r="AVS7" s="338"/>
      <c r="AVT7" s="338"/>
      <c r="AVU7" s="338"/>
      <c r="AVV7" s="338"/>
      <c r="AVW7" s="338"/>
      <c r="AVX7" s="338"/>
      <c r="AVY7" s="338"/>
      <c r="AVZ7" s="338"/>
      <c r="AWA7" s="338"/>
      <c r="AWB7" s="338"/>
      <c r="AWC7" s="338"/>
      <c r="AWD7" s="338"/>
      <c r="AWE7" s="338"/>
      <c r="AWF7" s="338"/>
      <c r="AWG7" s="338"/>
      <c r="AWH7" s="338"/>
      <c r="AWI7" s="338"/>
      <c r="AWJ7" s="338"/>
      <c r="AWK7" s="338"/>
      <c r="AWL7" s="338"/>
      <c r="AWM7" s="338"/>
      <c r="AWN7" s="338"/>
      <c r="AWO7" s="338"/>
      <c r="AWP7" s="338"/>
      <c r="AWQ7" s="338"/>
      <c r="AWR7" s="338"/>
      <c r="AWS7" s="338"/>
      <c r="AWT7" s="338"/>
      <c r="AWU7" s="338"/>
      <c r="AWV7" s="338"/>
      <c r="AWW7" s="338"/>
      <c r="AWX7" s="338"/>
      <c r="AWY7" s="338"/>
      <c r="AWZ7" s="338"/>
      <c r="AXA7" s="338"/>
      <c r="AXB7" s="338"/>
      <c r="AXC7" s="338"/>
      <c r="AXD7" s="338"/>
      <c r="AXE7" s="338"/>
      <c r="AXF7" s="338"/>
      <c r="AXG7" s="338"/>
      <c r="AXH7" s="338"/>
      <c r="AXI7" s="338"/>
      <c r="AXJ7" s="338"/>
      <c r="AXK7" s="338"/>
      <c r="AXL7" s="338"/>
      <c r="AXM7" s="338"/>
      <c r="AXN7" s="338"/>
      <c r="AXO7" s="338"/>
      <c r="AXP7" s="338"/>
      <c r="AXQ7" s="338"/>
      <c r="AXR7" s="338"/>
      <c r="AXS7" s="338"/>
      <c r="AXT7" s="338"/>
      <c r="AXU7" s="338"/>
      <c r="AXV7" s="338"/>
      <c r="AXW7" s="338"/>
      <c r="AXX7" s="338"/>
      <c r="AXY7" s="338"/>
      <c r="AXZ7" s="338"/>
      <c r="AYA7" s="338"/>
      <c r="AYB7" s="338"/>
      <c r="AYC7" s="338"/>
      <c r="AYD7" s="338"/>
      <c r="AYE7" s="338"/>
      <c r="AYF7" s="338"/>
      <c r="AYG7" s="338"/>
      <c r="AYH7" s="338"/>
      <c r="AYI7" s="338"/>
      <c r="AYJ7" s="338"/>
      <c r="AYK7" s="338"/>
      <c r="AYL7" s="338"/>
      <c r="AYM7" s="338"/>
      <c r="AYN7" s="338"/>
      <c r="AYO7" s="338"/>
      <c r="AYP7" s="338"/>
      <c r="AYQ7" s="338"/>
      <c r="AYR7" s="338"/>
      <c r="AYS7" s="338"/>
      <c r="AYT7" s="338"/>
      <c r="AYU7" s="338"/>
      <c r="AYV7" s="338"/>
      <c r="AYW7" s="338"/>
      <c r="AYX7" s="338"/>
      <c r="AYY7" s="338"/>
      <c r="AYZ7" s="338"/>
      <c r="AZA7" s="338"/>
      <c r="AZB7" s="338"/>
      <c r="AZC7" s="338"/>
      <c r="AZD7" s="338"/>
      <c r="AZE7" s="338"/>
      <c r="AZF7" s="338"/>
      <c r="AZG7" s="338"/>
      <c r="AZH7" s="338"/>
      <c r="AZI7" s="338"/>
      <c r="AZJ7" s="338"/>
      <c r="AZK7" s="338"/>
      <c r="AZL7" s="338"/>
      <c r="AZM7" s="338"/>
      <c r="AZN7" s="338"/>
      <c r="AZO7" s="338"/>
      <c r="AZP7" s="338"/>
      <c r="AZQ7" s="338"/>
      <c r="AZR7" s="338"/>
      <c r="AZS7" s="338"/>
      <c r="AZT7" s="338"/>
      <c r="AZU7" s="338"/>
      <c r="AZV7" s="338"/>
      <c r="AZW7" s="338"/>
      <c r="AZX7" s="338"/>
      <c r="AZY7" s="338"/>
      <c r="AZZ7" s="338"/>
      <c r="BAA7" s="338"/>
      <c r="BAB7" s="338"/>
      <c r="BAC7" s="338"/>
      <c r="BAD7" s="338"/>
      <c r="BAE7" s="338"/>
      <c r="BAF7" s="338"/>
      <c r="BAG7" s="338"/>
      <c r="BAH7" s="338"/>
      <c r="BAI7" s="338"/>
      <c r="BAJ7" s="338"/>
      <c r="BAK7" s="338"/>
      <c r="BAL7" s="338"/>
      <c r="BAM7" s="338"/>
      <c r="BAN7" s="338"/>
      <c r="BAO7" s="338"/>
      <c r="BAP7" s="338"/>
      <c r="BAQ7" s="338"/>
      <c r="BAR7" s="338"/>
      <c r="BAS7" s="338"/>
      <c r="BAT7" s="338"/>
      <c r="BAU7" s="338"/>
      <c r="BAV7" s="338"/>
      <c r="BAW7" s="338"/>
      <c r="BAX7" s="338"/>
      <c r="BAY7" s="338"/>
      <c r="BAZ7" s="338"/>
      <c r="BBA7" s="338"/>
      <c r="BBB7" s="338"/>
      <c r="BBC7" s="338"/>
      <c r="BBD7" s="338"/>
      <c r="BBE7" s="338"/>
      <c r="BBF7" s="338"/>
      <c r="BBG7" s="338"/>
      <c r="BBH7" s="338"/>
      <c r="BBI7" s="338"/>
      <c r="BBJ7" s="338"/>
      <c r="BBK7" s="338"/>
      <c r="BBL7" s="338"/>
      <c r="BBM7" s="338"/>
      <c r="BBN7" s="338"/>
      <c r="BBO7" s="338"/>
      <c r="BBP7" s="338"/>
      <c r="BBQ7" s="338"/>
      <c r="BBR7" s="338"/>
      <c r="BBS7" s="338"/>
      <c r="BBT7" s="338"/>
      <c r="BBU7" s="338"/>
      <c r="BBV7" s="338"/>
      <c r="BBW7" s="338"/>
      <c r="BBX7" s="338"/>
      <c r="BBY7" s="338"/>
      <c r="BBZ7" s="338"/>
      <c r="BCA7" s="338"/>
      <c r="BCB7" s="338"/>
      <c r="BCC7" s="338"/>
      <c r="BCD7" s="338"/>
      <c r="BCE7" s="338"/>
      <c r="BCF7" s="338"/>
      <c r="BCG7" s="338"/>
      <c r="BCH7" s="338"/>
      <c r="BCI7" s="338"/>
      <c r="BCJ7" s="338"/>
      <c r="BCK7" s="338"/>
      <c r="BCL7" s="338"/>
      <c r="BCM7" s="338"/>
      <c r="BCN7" s="338"/>
      <c r="BCO7" s="338"/>
      <c r="BCP7" s="338"/>
      <c r="BCQ7" s="338"/>
      <c r="BCR7" s="338"/>
      <c r="BCS7" s="338"/>
      <c r="BCT7" s="338"/>
      <c r="BCU7" s="338"/>
      <c r="BCV7" s="338"/>
      <c r="BCW7" s="338"/>
      <c r="BCX7" s="338"/>
      <c r="BCY7" s="338"/>
      <c r="BCZ7" s="338"/>
      <c r="BDA7" s="338"/>
      <c r="BDB7" s="338"/>
      <c r="BDC7" s="338"/>
      <c r="BDD7" s="338"/>
      <c r="BDE7" s="338"/>
      <c r="BDF7" s="338"/>
      <c r="BDG7" s="338"/>
      <c r="BDH7" s="338"/>
      <c r="BDI7" s="338"/>
      <c r="BDJ7" s="338"/>
      <c r="BDK7" s="338"/>
      <c r="BDL7" s="338"/>
      <c r="BDM7" s="338"/>
      <c r="BDN7" s="338"/>
      <c r="BDO7" s="338"/>
      <c r="BDP7" s="338"/>
      <c r="BDQ7" s="338"/>
      <c r="BDR7" s="338"/>
      <c r="BDS7" s="338"/>
      <c r="BDT7" s="338"/>
      <c r="BDU7" s="338"/>
      <c r="BDV7" s="338"/>
      <c r="BDW7" s="338"/>
      <c r="BDX7" s="338"/>
      <c r="BDY7" s="338"/>
      <c r="BDZ7" s="338"/>
      <c r="BEA7" s="338"/>
      <c r="BEB7" s="338"/>
      <c r="BEC7" s="338"/>
      <c r="BED7" s="338"/>
      <c r="BEE7" s="338"/>
      <c r="BEF7" s="338"/>
      <c r="BEG7" s="338"/>
      <c r="BEH7" s="338"/>
      <c r="BEI7" s="338"/>
      <c r="BEJ7" s="338"/>
      <c r="BEK7" s="338"/>
      <c r="BEL7" s="338"/>
      <c r="BEM7" s="338"/>
      <c r="BEN7" s="338"/>
      <c r="BEO7" s="338"/>
      <c r="BEP7" s="338"/>
      <c r="BEQ7" s="338"/>
      <c r="BER7" s="338"/>
      <c r="BES7" s="338"/>
      <c r="BET7" s="338"/>
      <c r="BEU7" s="338"/>
      <c r="BEV7" s="338"/>
      <c r="BEW7" s="338"/>
      <c r="BEX7" s="338"/>
      <c r="BEY7" s="338"/>
      <c r="BEZ7" s="338"/>
      <c r="BFA7" s="338"/>
      <c r="BFB7" s="338"/>
      <c r="BFC7" s="338"/>
      <c r="BFD7" s="338"/>
      <c r="BFE7" s="338"/>
      <c r="BFF7" s="338"/>
      <c r="BFG7" s="338"/>
      <c r="BFH7" s="338"/>
      <c r="BFI7" s="338"/>
      <c r="BFJ7" s="338"/>
      <c r="BFK7" s="338"/>
      <c r="BFL7" s="338"/>
      <c r="BFM7" s="338"/>
      <c r="BFN7" s="338"/>
      <c r="BFO7" s="338"/>
      <c r="BFP7" s="338"/>
      <c r="BFQ7" s="338"/>
      <c r="BFR7" s="338"/>
      <c r="BFS7" s="338"/>
      <c r="BFT7" s="338"/>
      <c r="BFU7" s="338"/>
      <c r="BFV7" s="338"/>
      <c r="BFW7" s="338"/>
      <c r="BFX7" s="338"/>
      <c r="BFY7" s="338"/>
      <c r="BFZ7" s="338"/>
      <c r="BGA7" s="338"/>
      <c r="BGB7" s="338"/>
      <c r="BGC7" s="338"/>
      <c r="BGD7" s="338"/>
      <c r="BGE7" s="338"/>
      <c r="BGF7" s="338"/>
      <c r="BGG7" s="338"/>
      <c r="BGH7" s="338"/>
      <c r="BGI7" s="338"/>
      <c r="BGJ7" s="338"/>
      <c r="BGK7" s="338"/>
      <c r="BGL7" s="338"/>
      <c r="BGM7" s="338"/>
      <c r="BGN7" s="338"/>
      <c r="BGO7" s="338"/>
      <c r="BGP7" s="338"/>
      <c r="BGQ7" s="338"/>
      <c r="BGR7" s="338"/>
      <c r="BGS7" s="338"/>
      <c r="BGT7" s="338"/>
      <c r="BGU7" s="338"/>
      <c r="BGV7" s="338"/>
      <c r="BGW7" s="338"/>
      <c r="BGX7" s="338"/>
      <c r="BGY7" s="338"/>
      <c r="BGZ7" s="338"/>
      <c r="BHA7" s="338"/>
      <c r="BHB7" s="338"/>
      <c r="BHC7" s="338"/>
      <c r="BHD7" s="338"/>
      <c r="BHE7" s="338"/>
      <c r="BHF7" s="338"/>
      <c r="BHG7" s="338"/>
      <c r="BHH7" s="338"/>
      <c r="BHI7" s="338"/>
      <c r="BHJ7" s="338"/>
      <c r="BHK7" s="338"/>
      <c r="BHL7" s="338"/>
      <c r="BHM7" s="338"/>
      <c r="BHN7" s="338"/>
      <c r="BHO7" s="338"/>
      <c r="BHP7" s="338"/>
      <c r="BHQ7" s="338"/>
      <c r="BHR7" s="338"/>
      <c r="BHS7" s="338"/>
      <c r="BHT7" s="338"/>
      <c r="BHU7" s="338"/>
      <c r="BHV7" s="338"/>
      <c r="BHW7" s="338"/>
      <c r="BHX7" s="338"/>
      <c r="BHY7" s="338"/>
      <c r="BHZ7" s="338"/>
      <c r="BIA7" s="338"/>
      <c r="BIB7" s="338"/>
      <c r="BIC7" s="338"/>
      <c r="BID7" s="338"/>
      <c r="BIE7" s="338"/>
      <c r="BIF7" s="338"/>
      <c r="BIG7" s="338"/>
      <c r="BIH7" s="338"/>
      <c r="BII7" s="338"/>
      <c r="BIJ7" s="338"/>
      <c r="BIK7" s="338"/>
      <c r="BIL7" s="338"/>
      <c r="BIM7" s="338"/>
      <c r="BIN7" s="338"/>
      <c r="BIO7" s="338"/>
      <c r="BIP7" s="338"/>
      <c r="BIQ7" s="338"/>
      <c r="BIR7" s="338"/>
      <c r="BIS7" s="338"/>
      <c r="BIT7" s="338"/>
      <c r="BIU7" s="338"/>
      <c r="BIV7" s="338"/>
      <c r="BIW7" s="338"/>
      <c r="BIX7" s="338"/>
      <c r="BIY7" s="338"/>
      <c r="BIZ7" s="338"/>
      <c r="BJA7" s="338"/>
      <c r="BJB7" s="338"/>
      <c r="BJC7" s="338"/>
      <c r="BJD7" s="338"/>
      <c r="BJE7" s="338"/>
      <c r="BJF7" s="338"/>
      <c r="BJG7" s="338"/>
      <c r="BJH7" s="338"/>
      <c r="BJI7" s="338"/>
      <c r="BJJ7" s="338"/>
      <c r="BJK7" s="338"/>
      <c r="BJL7" s="338"/>
      <c r="BJM7" s="338"/>
      <c r="BJN7" s="338"/>
      <c r="BJO7" s="338"/>
      <c r="BJP7" s="338"/>
      <c r="BJQ7" s="338"/>
      <c r="BJR7" s="338"/>
      <c r="BJS7" s="338"/>
      <c r="BJT7" s="338"/>
      <c r="BJU7" s="338"/>
      <c r="BJV7" s="338"/>
      <c r="BJW7" s="338"/>
      <c r="BJX7" s="338"/>
      <c r="BJY7" s="338"/>
      <c r="BJZ7" s="338"/>
      <c r="BKA7" s="338"/>
      <c r="BKB7" s="338"/>
      <c r="BKC7" s="338"/>
      <c r="BKD7" s="338"/>
      <c r="BKE7" s="338"/>
      <c r="BKF7" s="338"/>
      <c r="BKG7" s="338"/>
      <c r="BKH7" s="338"/>
      <c r="BKI7" s="338"/>
      <c r="BKJ7" s="338"/>
      <c r="BKK7" s="338"/>
      <c r="BKL7" s="338"/>
      <c r="BKM7" s="338"/>
      <c r="BKN7" s="338"/>
      <c r="BKO7" s="338"/>
      <c r="BKP7" s="338"/>
      <c r="BKQ7" s="338"/>
      <c r="BKR7" s="338"/>
      <c r="BKS7" s="338"/>
      <c r="BKT7" s="338"/>
      <c r="BKU7" s="338"/>
      <c r="BKV7" s="338"/>
      <c r="BKW7" s="338"/>
      <c r="BKX7" s="338"/>
      <c r="BKY7" s="338"/>
      <c r="BKZ7" s="338"/>
      <c r="BLA7" s="338"/>
      <c r="BLB7" s="338"/>
      <c r="BLC7" s="338"/>
      <c r="BLD7" s="338"/>
      <c r="BLE7" s="338"/>
      <c r="BLF7" s="338"/>
      <c r="BLG7" s="338"/>
      <c r="BLH7" s="338"/>
      <c r="BLI7" s="338"/>
      <c r="BLJ7" s="338"/>
      <c r="BLK7" s="338"/>
      <c r="BLL7" s="338"/>
      <c r="BLM7" s="338"/>
      <c r="BLN7" s="338"/>
      <c r="BLO7" s="338"/>
      <c r="BLP7" s="338"/>
      <c r="BLQ7" s="338"/>
      <c r="BLR7" s="338"/>
      <c r="BLS7" s="338"/>
      <c r="BLT7" s="338"/>
      <c r="BLU7" s="338"/>
      <c r="BLV7" s="338"/>
      <c r="BLW7" s="338"/>
      <c r="BLX7" s="338"/>
      <c r="BLY7" s="338"/>
      <c r="BLZ7" s="338"/>
      <c r="BMA7" s="338"/>
      <c r="BMB7" s="338"/>
      <c r="BMC7" s="338"/>
      <c r="BMD7" s="338"/>
      <c r="BME7" s="338"/>
      <c r="BMF7" s="338"/>
      <c r="BMG7" s="338"/>
      <c r="BMH7" s="338"/>
      <c r="BMI7" s="338"/>
      <c r="BMJ7" s="338"/>
      <c r="BMK7" s="338"/>
      <c r="BML7" s="338"/>
      <c r="BMM7" s="338"/>
      <c r="BMN7" s="338"/>
      <c r="BMO7" s="338"/>
      <c r="BMP7" s="338"/>
      <c r="BMQ7" s="338"/>
      <c r="BMR7" s="338"/>
      <c r="BMS7" s="338"/>
      <c r="BMT7" s="338"/>
      <c r="BMU7" s="338"/>
      <c r="BMV7" s="338"/>
      <c r="BMW7" s="338"/>
      <c r="BMX7" s="338"/>
      <c r="BMY7" s="338"/>
      <c r="BMZ7" s="338"/>
      <c r="BNA7" s="338"/>
      <c r="BNB7" s="338"/>
      <c r="BNC7" s="338"/>
      <c r="BND7" s="338"/>
      <c r="BNE7" s="338"/>
      <c r="BNF7" s="338"/>
      <c r="BNG7" s="338"/>
      <c r="BNH7" s="338"/>
      <c r="BNI7" s="338"/>
      <c r="BNJ7" s="338"/>
      <c r="BNK7" s="338"/>
      <c r="BNL7" s="338"/>
      <c r="BNM7" s="338"/>
      <c r="BNN7" s="338"/>
      <c r="BNO7" s="338"/>
      <c r="BNP7" s="338"/>
      <c r="BNQ7" s="338"/>
      <c r="BNR7" s="338"/>
      <c r="BNS7" s="338"/>
      <c r="BNT7" s="338"/>
      <c r="BNU7" s="338"/>
      <c r="BNV7" s="338"/>
      <c r="BNW7" s="338"/>
      <c r="BNX7" s="338"/>
      <c r="BNY7" s="338"/>
      <c r="BNZ7" s="338"/>
      <c r="BOA7" s="338"/>
      <c r="BOB7" s="338"/>
      <c r="BOC7" s="338"/>
      <c r="BOD7" s="338"/>
      <c r="BOE7" s="338"/>
      <c r="BOF7" s="338"/>
      <c r="BOG7" s="338"/>
      <c r="BOH7" s="338"/>
      <c r="BOI7" s="338"/>
      <c r="BOJ7" s="338"/>
      <c r="BOK7" s="338"/>
      <c r="BOL7" s="338"/>
      <c r="BOM7" s="338"/>
      <c r="BON7" s="338"/>
      <c r="BOO7" s="338"/>
      <c r="BOP7" s="338"/>
      <c r="BOQ7" s="338"/>
      <c r="BOR7" s="338"/>
      <c r="BOS7" s="338"/>
      <c r="BOT7" s="338"/>
      <c r="BOU7" s="338"/>
      <c r="BOV7" s="338"/>
      <c r="BOW7" s="338"/>
      <c r="BOX7" s="338"/>
      <c r="BOY7" s="338"/>
      <c r="BOZ7" s="338"/>
      <c r="BPA7" s="338"/>
      <c r="BPB7" s="338"/>
      <c r="BPC7" s="338"/>
      <c r="BPD7" s="338"/>
      <c r="BPE7" s="338"/>
      <c r="BPF7" s="338"/>
      <c r="BPG7" s="338"/>
      <c r="BPH7" s="338"/>
      <c r="BPI7" s="338"/>
      <c r="BPJ7" s="338"/>
      <c r="BPK7" s="338"/>
      <c r="BPL7" s="338"/>
      <c r="BPM7" s="338"/>
      <c r="BPN7" s="338"/>
      <c r="BPO7" s="338"/>
      <c r="BPP7" s="338"/>
      <c r="BPQ7" s="338"/>
      <c r="BPR7" s="338"/>
      <c r="BPS7" s="338"/>
      <c r="BPT7" s="338"/>
      <c r="BPU7" s="338"/>
      <c r="BPV7" s="338"/>
      <c r="BPW7" s="338"/>
      <c r="BPX7" s="338"/>
      <c r="BPY7" s="338"/>
      <c r="BPZ7" s="338"/>
      <c r="BQA7" s="338"/>
      <c r="BQB7" s="338"/>
      <c r="BQC7" s="338"/>
      <c r="BQD7" s="338"/>
      <c r="BQE7" s="338"/>
      <c r="BQF7" s="338"/>
      <c r="BQG7" s="338"/>
      <c r="BQH7" s="338"/>
      <c r="BQI7" s="338"/>
      <c r="BQJ7" s="338"/>
      <c r="BQK7" s="338"/>
      <c r="BQL7" s="338"/>
      <c r="BQM7" s="338"/>
      <c r="BQN7" s="338"/>
      <c r="BQO7" s="338"/>
      <c r="BQP7" s="338"/>
      <c r="BQQ7" s="338"/>
      <c r="BQR7" s="338"/>
      <c r="BQS7" s="338"/>
      <c r="BQT7" s="338"/>
      <c r="BQU7" s="338"/>
      <c r="BQV7" s="338"/>
      <c r="BQW7" s="338"/>
      <c r="BQX7" s="338"/>
      <c r="BQY7" s="338"/>
      <c r="BQZ7" s="338"/>
      <c r="BRA7" s="338"/>
      <c r="BRB7" s="338"/>
      <c r="BRC7" s="338"/>
      <c r="BRD7" s="338"/>
      <c r="BRE7" s="338"/>
      <c r="BRF7" s="338"/>
      <c r="BRG7" s="338"/>
      <c r="BRH7" s="338"/>
      <c r="BRI7" s="338"/>
      <c r="BRJ7" s="338"/>
      <c r="BRK7" s="338"/>
      <c r="BRL7" s="338"/>
      <c r="BRM7" s="338"/>
      <c r="BRN7" s="338"/>
      <c r="BRO7" s="338"/>
      <c r="BRP7" s="338"/>
      <c r="BRQ7" s="338"/>
      <c r="BRR7" s="338"/>
      <c r="BRS7" s="338"/>
      <c r="BRT7" s="338"/>
      <c r="BRU7" s="338"/>
      <c r="BRV7" s="338"/>
      <c r="BRW7" s="338"/>
      <c r="BRX7" s="338"/>
      <c r="BRY7" s="338"/>
      <c r="BRZ7" s="338"/>
      <c r="BSA7" s="338"/>
      <c r="BSB7" s="338"/>
      <c r="BSC7" s="338"/>
      <c r="BSD7" s="338"/>
      <c r="BSE7" s="338"/>
      <c r="BSF7" s="338"/>
      <c r="BSG7" s="338"/>
      <c r="BSH7" s="338"/>
      <c r="BSI7" s="338"/>
      <c r="BSJ7" s="338"/>
      <c r="BSK7" s="338"/>
      <c r="BSL7" s="338"/>
      <c r="BSM7" s="338"/>
      <c r="BSN7" s="338"/>
      <c r="BSO7" s="338"/>
      <c r="BSP7" s="338"/>
      <c r="BSQ7" s="338"/>
      <c r="BSR7" s="338"/>
      <c r="BSS7" s="338"/>
      <c r="BST7" s="338"/>
      <c r="BSU7" s="338"/>
      <c r="BSV7" s="338"/>
      <c r="BSW7" s="338"/>
      <c r="BSX7" s="338"/>
      <c r="BSY7" s="338"/>
      <c r="BSZ7" s="338"/>
      <c r="BTA7" s="338"/>
      <c r="BTB7" s="338"/>
      <c r="BTC7" s="338"/>
      <c r="BTD7" s="338"/>
      <c r="BTE7" s="338"/>
      <c r="BTF7" s="338"/>
      <c r="BTG7" s="338"/>
      <c r="BTH7" s="338"/>
      <c r="BTI7" s="338"/>
      <c r="BTJ7" s="338"/>
      <c r="BTK7" s="338"/>
      <c r="BTL7" s="338"/>
      <c r="BTM7" s="338"/>
      <c r="BTN7" s="338"/>
      <c r="BTO7" s="338"/>
      <c r="BTP7" s="338"/>
      <c r="BTQ7" s="338"/>
      <c r="BTR7" s="338"/>
      <c r="BTS7" s="338"/>
      <c r="BTT7" s="338"/>
      <c r="BTU7" s="338"/>
      <c r="BTV7" s="338"/>
      <c r="BTW7" s="338"/>
      <c r="BTX7" s="338"/>
      <c r="BTY7" s="338"/>
      <c r="BTZ7" s="338"/>
      <c r="BUA7" s="338"/>
      <c r="BUB7" s="338"/>
      <c r="BUC7" s="338"/>
      <c r="BUD7" s="338"/>
      <c r="BUE7" s="338"/>
      <c r="BUF7" s="338"/>
      <c r="BUG7" s="338"/>
      <c r="BUH7" s="338"/>
      <c r="BUI7" s="338"/>
      <c r="BUJ7" s="338"/>
      <c r="BUK7" s="338"/>
      <c r="BUL7" s="338"/>
      <c r="BUM7" s="338"/>
      <c r="BUN7" s="338"/>
      <c r="BUO7" s="338"/>
      <c r="BUP7" s="338"/>
      <c r="BUQ7" s="338"/>
      <c r="BUR7" s="338"/>
      <c r="BUS7" s="338"/>
      <c r="BUT7" s="338"/>
      <c r="BUU7" s="338"/>
      <c r="BUV7" s="338"/>
      <c r="BUW7" s="338"/>
      <c r="BUX7" s="338"/>
      <c r="BUY7" s="338"/>
      <c r="BUZ7" s="338"/>
      <c r="BVA7" s="338"/>
      <c r="BVB7" s="338"/>
      <c r="BVC7" s="338"/>
      <c r="BVD7" s="338"/>
      <c r="BVE7" s="338"/>
      <c r="BVF7" s="338"/>
      <c r="BVG7" s="338"/>
      <c r="BVH7" s="338"/>
      <c r="BVI7" s="338"/>
      <c r="BVJ7" s="338"/>
      <c r="BVK7" s="338"/>
      <c r="BVL7" s="338"/>
      <c r="BVM7" s="338"/>
      <c r="BVN7" s="338"/>
      <c r="BVO7" s="338"/>
      <c r="BVP7" s="338"/>
      <c r="BVQ7" s="338"/>
      <c r="BVR7" s="338"/>
      <c r="BVS7" s="338"/>
      <c r="BVT7" s="338"/>
      <c r="BVU7" s="338"/>
      <c r="BVV7" s="338"/>
      <c r="BVW7" s="338"/>
      <c r="BVX7" s="338"/>
      <c r="BVY7" s="338"/>
      <c r="BVZ7" s="338"/>
      <c r="BWA7" s="338"/>
      <c r="BWB7" s="338"/>
      <c r="BWC7" s="338"/>
      <c r="BWD7" s="338"/>
      <c r="BWE7" s="338"/>
      <c r="BWF7" s="338"/>
      <c r="BWG7" s="338"/>
      <c r="BWH7" s="338"/>
      <c r="BWI7" s="338"/>
      <c r="BWJ7" s="338"/>
      <c r="BWK7" s="338"/>
      <c r="BWL7" s="338"/>
      <c r="BWM7" s="338"/>
      <c r="BWN7" s="338"/>
      <c r="BWO7" s="338"/>
      <c r="BWP7" s="338"/>
      <c r="BWQ7" s="338"/>
      <c r="BWR7" s="338"/>
      <c r="BWS7" s="338"/>
      <c r="BWT7" s="338"/>
      <c r="BWU7" s="338"/>
      <c r="BWV7" s="338"/>
      <c r="BWW7" s="338"/>
      <c r="BWX7" s="338"/>
      <c r="BWY7" s="338"/>
      <c r="BWZ7" s="338"/>
      <c r="BXA7" s="338"/>
      <c r="BXB7" s="338"/>
      <c r="BXC7" s="338"/>
      <c r="BXD7" s="338"/>
      <c r="BXE7" s="338"/>
      <c r="BXF7" s="338"/>
      <c r="BXG7" s="338"/>
      <c r="BXH7" s="338"/>
      <c r="BXI7" s="338"/>
      <c r="BXJ7" s="338"/>
      <c r="BXK7" s="338"/>
      <c r="BXL7" s="338"/>
      <c r="BXM7" s="338"/>
      <c r="BXN7" s="338"/>
      <c r="BXO7" s="338"/>
      <c r="BXP7" s="338"/>
      <c r="BXQ7" s="338"/>
      <c r="BXR7" s="338"/>
      <c r="BXS7" s="338"/>
      <c r="BXT7" s="338"/>
      <c r="BXU7" s="338"/>
      <c r="BXV7" s="338"/>
      <c r="BXW7" s="338"/>
      <c r="BXX7" s="338"/>
      <c r="BXY7" s="338"/>
      <c r="BXZ7" s="338"/>
      <c r="BYA7" s="338"/>
      <c r="BYB7" s="338"/>
      <c r="BYC7" s="338"/>
      <c r="BYD7" s="338"/>
      <c r="BYE7" s="338"/>
      <c r="BYF7" s="338"/>
      <c r="BYG7" s="338"/>
      <c r="BYH7" s="338"/>
      <c r="BYI7" s="338"/>
      <c r="BYJ7" s="338"/>
      <c r="BYK7" s="338"/>
      <c r="BYL7" s="338"/>
      <c r="BYM7" s="338"/>
      <c r="BYN7" s="338"/>
      <c r="BYO7" s="338"/>
      <c r="BYP7" s="338"/>
      <c r="BYQ7" s="338"/>
      <c r="BYR7" s="338"/>
      <c r="BYS7" s="338"/>
      <c r="BYT7" s="338"/>
      <c r="BYU7" s="338"/>
      <c r="BYV7" s="338"/>
      <c r="BYW7" s="338"/>
      <c r="BYX7" s="338"/>
      <c r="BYY7" s="338"/>
      <c r="BYZ7" s="338"/>
      <c r="BZA7" s="338"/>
      <c r="BZB7" s="338"/>
      <c r="BZC7" s="338"/>
      <c r="BZD7" s="338"/>
      <c r="BZE7" s="338"/>
      <c r="BZF7" s="338"/>
      <c r="BZG7" s="338"/>
      <c r="BZH7" s="338"/>
      <c r="BZI7" s="338"/>
      <c r="BZJ7" s="338"/>
      <c r="BZK7" s="338"/>
      <c r="BZL7" s="338"/>
      <c r="BZM7" s="338"/>
      <c r="BZN7" s="338"/>
      <c r="BZO7" s="338"/>
      <c r="BZP7" s="338"/>
      <c r="BZQ7" s="338"/>
      <c r="BZR7" s="338"/>
      <c r="BZS7" s="338"/>
      <c r="BZT7" s="338"/>
      <c r="BZU7" s="338"/>
      <c r="BZV7" s="338"/>
      <c r="BZW7" s="338"/>
      <c r="BZX7" s="338"/>
      <c r="BZY7" s="338"/>
      <c r="BZZ7" s="338"/>
      <c r="CAA7" s="338"/>
      <c r="CAB7" s="338"/>
      <c r="CAC7" s="338"/>
      <c r="CAD7" s="338"/>
      <c r="CAE7" s="338"/>
      <c r="CAF7" s="338"/>
      <c r="CAG7" s="338"/>
      <c r="CAH7" s="338"/>
      <c r="CAI7" s="338"/>
      <c r="CAJ7" s="338"/>
      <c r="CAK7" s="338"/>
      <c r="CAL7" s="338"/>
      <c r="CAM7" s="338"/>
      <c r="CAN7" s="338"/>
      <c r="CAO7" s="338"/>
      <c r="CAP7" s="338"/>
      <c r="CAQ7" s="338"/>
      <c r="CAR7" s="338"/>
      <c r="CAS7" s="338"/>
      <c r="CAT7" s="338"/>
      <c r="CAU7" s="338"/>
      <c r="CAV7" s="338"/>
      <c r="CAW7" s="338"/>
      <c r="CAX7" s="338"/>
      <c r="CAY7" s="338"/>
      <c r="CAZ7" s="338"/>
      <c r="CBA7" s="338"/>
      <c r="CBB7" s="338"/>
      <c r="CBC7" s="338"/>
      <c r="CBD7" s="338"/>
      <c r="CBE7" s="338"/>
      <c r="CBF7" s="338"/>
      <c r="CBG7" s="338"/>
      <c r="CBH7" s="338"/>
      <c r="CBI7" s="338"/>
      <c r="CBJ7" s="338"/>
      <c r="CBK7" s="338"/>
      <c r="CBL7" s="338"/>
      <c r="CBM7" s="338"/>
      <c r="CBN7" s="338"/>
      <c r="CBO7" s="338"/>
      <c r="CBP7" s="338"/>
      <c r="CBQ7" s="338"/>
      <c r="CBR7" s="338"/>
      <c r="CBS7" s="338"/>
      <c r="CBT7" s="338"/>
      <c r="CBU7" s="338"/>
      <c r="CBV7" s="338"/>
      <c r="CBW7" s="338"/>
      <c r="CBX7" s="338"/>
      <c r="CBY7" s="338"/>
      <c r="CBZ7" s="338"/>
      <c r="CCA7" s="338"/>
      <c r="CCB7" s="338"/>
      <c r="CCC7" s="338"/>
      <c r="CCD7" s="338"/>
      <c r="CCE7" s="338"/>
      <c r="CCF7" s="338"/>
      <c r="CCG7" s="338"/>
      <c r="CCH7" s="338"/>
      <c r="CCI7" s="338"/>
      <c r="CCJ7" s="338"/>
      <c r="CCK7" s="338"/>
      <c r="CCL7" s="338"/>
      <c r="CCM7" s="338"/>
      <c r="CCN7" s="338"/>
      <c r="CCO7" s="338"/>
      <c r="CCP7" s="338"/>
      <c r="CCQ7" s="338"/>
      <c r="CCR7" s="338"/>
      <c r="CCS7" s="338"/>
      <c r="CCT7" s="338"/>
      <c r="CCU7" s="338"/>
      <c r="CCV7" s="338"/>
      <c r="CCW7" s="338"/>
      <c r="CCX7" s="338"/>
      <c r="CCY7" s="338"/>
      <c r="CCZ7" s="338"/>
      <c r="CDA7" s="338"/>
      <c r="CDB7" s="338"/>
      <c r="CDC7" s="338"/>
      <c r="CDD7" s="338"/>
      <c r="CDE7" s="338"/>
      <c r="CDF7" s="338"/>
      <c r="CDG7" s="338"/>
      <c r="CDH7" s="338"/>
      <c r="CDI7" s="338"/>
      <c r="CDJ7" s="338"/>
      <c r="CDK7" s="338"/>
      <c r="CDL7" s="338"/>
      <c r="CDM7" s="338"/>
      <c r="CDN7" s="338"/>
      <c r="CDO7" s="338"/>
      <c r="CDP7" s="338"/>
      <c r="CDQ7" s="338"/>
      <c r="CDR7" s="338"/>
      <c r="CDS7" s="338"/>
      <c r="CDT7" s="338"/>
      <c r="CDU7" s="338"/>
      <c r="CDV7" s="338"/>
      <c r="CDW7" s="338"/>
      <c r="CDX7" s="338"/>
      <c r="CDY7" s="338"/>
      <c r="CDZ7" s="338"/>
      <c r="CEA7" s="338"/>
      <c r="CEB7" s="338"/>
      <c r="CEC7" s="338"/>
      <c r="CED7" s="338"/>
      <c r="CEE7" s="338"/>
      <c r="CEF7" s="338"/>
      <c r="CEG7" s="338"/>
      <c r="CEH7" s="338"/>
      <c r="CEI7" s="338"/>
      <c r="CEJ7" s="338"/>
      <c r="CEK7" s="338"/>
      <c r="CEL7" s="338"/>
      <c r="CEM7" s="338"/>
      <c r="CEN7" s="338"/>
      <c r="CEO7" s="338"/>
      <c r="CEP7" s="338"/>
      <c r="CEQ7" s="338"/>
      <c r="CER7" s="338"/>
      <c r="CES7" s="338"/>
      <c r="CET7" s="338"/>
      <c r="CEU7" s="338"/>
      <c r="CEV7" s="338"/>
      <c r="CEW7" s="338"/>
      <c r="CEX7" s="338"/>
      <c r="CEY7" s="338"/>
      <c r="CEZ7" s="338"/>
      <c r="CFA7" s="338"/>
      <c r="CFB7" s="338"/>
      <c r="CFC7" s="338"/>
      <c r="CFD7" s="338"/>
      <c r="CFE7" s="338"/>
      <c r="CFF7" s="338"/>
      <c r="CFG7" s="338"/>
      <c r="CFH7" s="338"/>
      <c r="CFI7" s="338"/>
      <c r="CFJ7" s="338"/>
      <c r="CFK7" s="338"/>
      <c r="CFL7" s="338"/>
      <c r="CFM7" s="338"/>
      <c r="CFN7" s="338"/>
      <c r="CFO7" s="338"/>
      <c r="CFP7" s="338"/>
      <c r="CFQ7" s="338"/>
      <c r="CFR7" s="338"/>
      <c r="CFS7" s="338"/>
      <c r="CFT7" s="338"/>
      <c r="CFU7" s="338"/>
      <c r="CFV7" s="338"/>
      <c r="CFW7" s="338"/>
      <c r="CFX7" s="338"/>
      <c r="CFY7" s="338"/>
      <c r="CFZ7" s="338"/>
      <c r="CGA7" s="338"/>
      <c r="CGB7" s="338"/>
      <c r="CGC7" s="338"/>
      <c r="CGD7" s="338"/>
      <c r="CGE7" s="338"/>
      <c r="CGF7" s="338"/>
      <c r="CGG7" s="338"/>
      <c r="CGH7" s="338"/>
      <c r="CGI7" s="338"/>
      <c r="CGJ7" s="338"/>
      <c r="CGK7" s="338"/>
      <c r="CGL7" s="338"/>
      <c r="CGM7" s="338"/>
      <c r="CGN7" s="338"/>
      <c r="CGO7" s="338"/>
      <c r="CGP7" s="338"/>
      <c r="CGQ7" s="338"/>
      <c r="CGR7" s="338"/>
      <c r="CGS7" s="338"/>
      <c r="CGT7" s="338"/>
      <c r="CGU7" s="338"/>
      <c r="CGV7" s="338"/>
      <c r="CGW7" s="338"/>
      <c r="CGX7" s="338"/>
      <c r="CGY7" s="338"/>
      <c r="CGZ7" s="338"/>
      <c r="CHA7" s="338"/>
      <c r="CHB7" s="338"/>
      <c r="CHC7" s="338"/>
      <c r="CHD7" s="338"/>
      <c r="CHE7" s="338"/>
      <c r="CHF7" s="338"/>
      <c r="CHG7" s="338"/>
      <c r="CHH7" s="338"/>
      <c r="CHI7" s="338"/>
      <c r="CHJ7" s="338"/>
      <c r="CHK7" s="338"/>
      <c r="CHL7" s="338"/>
      <c r="CHM7" s="338"/>
      <c r="CHN7" s="338"/>
      <c r="CHO7" s="338"/>
      <c r="CHP7" s="338"/>
      <c r="CHQ7" s="338"/>
      <c r="CHR7" s="338"/>
      <c r="CHS7" s="338"/>
      <c r="CHT7" s="338"/>
      <c r="CHU7" s="338"/>
      <c r="CHV7" s="338"/>
      <c r="CHW7" s="338"/>
      <c r="CHX7" s="338"/>
      <c r="CHY7" s="338"/>
      <c r="CHZ7" s="338"/>
      <c r="CIA7" s="338"/>
      <c r="CIB7" s="338"/>
      <c r="CIC7" s="338"/>
      <c r="CID7" s="338"/>
      <c r="CIE7" s="338"/>
      <c r="CIF7" s="338"/>
      <c r="CIG7" s="338"/>
      <c r="CIH7" s="338"/>
      <c r="CII7" s="338"/>
      <c r="CIJ7" s="338"/>
      <c r="CIK7" s="338"/>
      <c r="CIL7" s="338"/>
      <c r="CIM7" s="338"/>
      <c r="CIN7" s="338"/>
      <c r="CIO7" s="338"/>
      <c r="CIP7" s="338"/>
      <c r="CIQ7" s="338"/>
      <c r="CIR7" s="338"/>
      <c r="CIS7" s="338"/>
      <c r="CIT7" s="338"/>
      <c r="CIU7" s="338"/>
      <c r="CIV7" s="338"/>
      <c r="CIW7" s="338"/>
      <c r="CIX7" s="338"/>
      <c r="CIY7" s="338"/>
      <c r="CIZ7" s="338"/>
      <c r="CJA7" s="338"/>
      <c r="CJB7" s="338"/>
      <c r="CJC7" s="338"/>
      <c r="CJD7" s="338"/>
      <c r="CJE7" s="338"/>
      <c r="CJF7" s="338"/>
      <c r="CJG7" s="338"/>
      <c r="CJH7" s="338"/>
      <c r="CJI7" s="338"/>
      <c r="CJJ7" s="338"/>
      <c r="CJK7" s="338"/>
      <c r="CJL7" s="338"/>
      <c r="CJM7" s="338"/>
      <c r="CJN7" s="338"/>
      <c r="CJO7" s="338"/>
      <c r="CJP7" s="338"/>
      <c r="CJQ7" s="338"/>
      <c r="CJR7" s="338"/>
      <c r="CJS7" s="338"/>
      <c r="CJT7" s="338"/>
      <c r="CJU7" s="338"/>
      <c r="CJV7" s="338"/>
      <c r="CJW7" s="338"/>
      <c r="CJX7" s="338"/>
      <c r="CJY7" s="338"/>
      <c r="CJZ7" s="338"/>
      <c r="CKA7" s="338"/>
      <c r="CKB7" s="338"/>
      <c r="CKC7" s="338"/>
      <c r="CKD7" s="338"/>
      <c r="CKE7" s="338"/>
      <c r="CKF7" s="338"/>
      <c r="CKG7" s="338"/>
      <c r="CKH7" s="338"/>
      <c r="CKI7" s="338"/>
      <c r="CKJ7" s="338"/>
      <c r="CKK7" s="338"/>
      <c r="CKL7" s="338"/>
      <c r="CKM7" s="338"/>
      <c r="CKN7" s="338"/>
      <c r="CKO7" s="338"/>
      <c r="CKP7" s="338"/>
      <c r="CKQ7" s="338"/>
      <c r="CKR7" s="338"/>
      <c r="CKS7" s="338"/>
      <c r="CKT7" s="338"/>
      <c r="CKU7" s="338"/>
      <c r="CKV7" s="338"/>
      <c r="CKW7" s="338"/>
      <c r="CKX7" s="338"/>
      <c r="CKY7" s="338"/>
      <c r="CKZ7" s="338"/>
      <c r="CLA7" s="338"/>
      <c r="CLB7" s="338"/>
      <c r="CLC7" s="338"/>
      <c r="CLD7" s="338"/>
      <c r="CLE7" s="338"/>
      <c r="CLF7" s="338"/>
      <c r="CLG7" s="338"/>
      <c r="CLH7" s="338"/>
      <c r="CLI7" s="338"/>
      <c r="CLJ7" s="338"/>
      <c r="CLK7" s="338"/>
      <c r="CLL7" s="338"/>
      <c r="CLM7" s="338"/>
      <c r="CLN7" s="338"/>
      <c r="CLO7" s="338"/>
      <c r="CLP7" s="338"/>
      <c r="CLQ7" s="338"/>
      <c r="CLR7" s="338"/>
      <c r="CLS7" s="338"/>
      <c r="CLT7" s="338"/>
      <c r="CLU7" s="338"/>
      <c r="CLV7" s="338"/>
      <c r="CLW7" s="338"/>
      <c r="CLX7" s="338"/>
      <c r="CLY7" s="338"/>
      <c r="CLZ7" s="338"/>
      <c r="CMA7" s="338"/>
      <c r="CMB7" s="338"/>
      <c r="CMC7" s="338"/>
      <c r="CMD7" s="338"/>
      <c r="CME7" s="338"/>
      <c r="CMF7" s="338"/>
      <c r="CMG7" s="338"/>
      <c r="CMH7" s="338"/>
      <c r="CMI7" s="338"/>
      <c r="CMJ7" s="338"/>
      <c r="CMK7" s="338"/>
      <c r="CML7" s="338"/>
      <c r="CMM7" s="338"/>
      <c r="CMN7" s="338"/>
      <c r="CMO7" s="338"/>
      <c r="CMP7" s="338"/>
      <c r="CMQ7" s="338"/>
      <c r="CMR7" s="338"/>
      <c r="CMS7" s="338"/>
      <c r="CMT7" s="338"/>
      <c r="CMU7" s="338"/>
      <c r="CMV7" s="338"/>
      <c r="CMW7" s="338"/>
      <c r="CMX7" s="338"/>
      <c r="CMY7" s="338"/>
      <c r="CMZ7" s="338"/>
      <c r="CNA7" s="338"/>
      <c r="CNB7" s="338"/>
      <c r="CNC7" s="338"/>
      <c r="CND7" s="338"/>
      <c r="CNE7" s="338"/>
      <c r="CNF7" s="338"/>
      <c r="CNG7" s="338"/>
      <c r="CNH7" s="338"/>
      <c r="CNI7" s="338"/>
      <c r="CNJ7" s="338"/>
      <c r="CNK7" s="338"/>
      <c r="CNL7" s="338"/>
      <c r="CNM7" s="338"/>
      <c r="CNN7" s="338"/>
      <c r="CNO7" s="338"/>
      <c r="CNP7" s="338"/>
      <c r="CNQ7" s="338"/>
      <c r="CNR7" s="338"/>
      <c r="CNS7" s="338"/>
      <c r="CNT7" s="338"/>
      <c r="CNU7" s="338"/>
      <c r="CNV7" s="338"/>
      <c r="CNW7" s="338"/>
      <c r="CNX7" s="338"/>
      <c r="CNY7" s="338"/>
      <c r="CNZ7" s="338"/>
      <c r="COA7" s="338"/>
      <c r="COB7" s="338"/>
      <c r="COC7" s="338"/>
      <c r="COD7" s="338"/>
      <c r="COE7" s="338"/>
      <c r="COF7" s="338"/>
      <c r="COG7" s="338"/>
      <c r="COH7" s="338"/>
      <c r="COI7" s="338"/>
      <c r="COJ7" s="338"/>
      <c r="COK7" s="338"/>
      <c r="COL7" s="338"/>
      <c r="COM7" s="338"/>
      <c r="CON7" s="338"/>
      <c r="COO7" s="338"/>
      <c r="COP7" s="338"/>
      <c r="COQ7" s="338"/>
      <c r="COR7" s="338"/>
      <c r="COS7" s="338"/>
      <c r="COT7" s="338"/>
      <c r="COU7" s="338"/>
      <c r="COV7" s="338"/>
      <c r="COW7" s="338"/>
      <c r="COX7" s="338"/>
      <c r="COY7" s="338"/>
      <c r="COZ7" s="338"/>
      <c r="CPA7" s="338"/>
      <c r="CPB7" s="338"/>
      <c r="CPC7" s="338"/>
      <c r="CPD7" s="338"/>
      <c r="CPE7" s="338"/>
      <c r="CPF7" s="338"/>
      <c r="CPG7" s="338"/>
      <c r="CPH7" s="338"/>
      <c r="CPI7" s="338"/>
      <c r="CPJ7" s="338"/>
      <c r="CPK7" s="338"/>
      <c r="CPL7" s="338"/>
      <c r="CPM7" s="338"/>
      <c r="CPN7" s="338"/>
      <c r="CPO7" s="338"/>
      <c r="CPP7" s="338"/>
      <c r="CPQ7" s="338"/>
      <c r="CPR7" s="338"/>
      <c r="CPS7" s="338"/>
      <c r="CPT7" s="338"/>
      <c r="CPU7" s="338"/>
      <c r="CPV7" s="338"/>
      <c r="CPW7" s="338"/>
      <c r="CPX7" s="338"/>
      <c r="CPY7" s="338"/>
      <c r="CPZ7" s="338"/>
      <c r="CQA7" s="338"/>
      <c r="CQB7" s="338"/>
      <c r="CQC7" s="338"/>
      <c r="CQD7" s="338"/>
      <c r="CQE7" s="338"/>
      <c r="CQF7" s="338"/>
      <c r="CQG7" s="338"/>
      <c r="CQH7" s="338"/>
      <c r="CQI7" s="338"/>
      <c r="CQJ7" s="338"/>
      <c r="CQK7" s="338"/>
      <c r="CQL7" s="338"/>
      <c r="CQM7" s="338"/>
      <c r="CQN7" s="338"/>
      <c r="CQO7" s="338"/>
      <c r="CQP7" s="338"/>
      <c r="CQQ7" s="338"/>
      <c r="CQR7" s="338"/>
      <c r="CQS7" s="338"/>
      <c r="CQT7" s="338"/>
      <c r="CQU7" s="338"/>
      <c r="CQV7" s="338"/>
      <c r="CQW7" s="338"/>
      <c r="CQX7" s="338"/>
      <c r="CQY7" s="338"/>
      <c r="CQZ7" s="338"/>
      <c r="CRA7" s="338"/>
      <c r="CRB7" s="338"/>
      <c r="CRC7" s="338"/>
      <c r="CRD7" s="338"/>
      <c r="CRE7" s="338"/>
      <c r="CRF7" s="338"/>
      <c r="CRG7" s="338"/>
      <c r="CRH7" s="338"/>
      <c r="CRI7" s="338"/>
      <c r="CRJ7" s="338"/>
      <c r="CRK7" s="338"/>
      <c r="CRL7" s="338"/>
      <c r="CRM7" s="338"/>
      <c r="CRN7" s="338"/>
      <c r="CRO7" s="338"/>
      <c r="CRP7" s="338"/>
      <c r="CRQ7" s="338"/>
      <c r="CRR7" s="338"/>
      <c r="CRS7" s="338"/>
      <c r="CRT7" s="338"/>
      <c r="CRU7" s="338"/>
      <c r="CRV7" s="338"/>
      <c r="CRW7" s="338"/>
      <c r="CRX7" s="338"/>
      <c r="CRY7" s="338"/>
      <c r="CRZ7" s="338"/>
      <c r="CSA7" s="338"/>
      <c r="CSB7" s="338"/>
      <c r="CSC7" s="338"/>
      <c r="CSD7" s="338"/>
      <c r="CSE7" s="338"/>
      <c r="CSF7" s="338"/>
      <c r="CSG7" s="338"/>
      <c r="CSH7" s="338"/>
      <c r="CSI7" s="338"/>
      <c r="CSJ7" s="338"/>
      <c r="CSK7" s="338"/>
      <c r="CSL7" s="338"/>
      <c r="CSM7" s="338"/>
      <c r="CSN7" s="338"/>
      <c r="CSO7" s="338"/>
      <c r="CSP7" s="338"/>
      <c r="CSQ7" s="338"/>
      <c r="CSR7" s="338"/>
      <c r="CSS7" s="338"/>
      <c r="CST7" s="338"/>
      <c r="CSU7" s="338"/>
      <c r="CSV7" s="338"/>
      <c r="CSW7" s="338"/>
      <c r="CSX7" s="338"/>
      <c r="CSY7" s="338"/>
      <c r="CSZ7" s="338"/>
      <c r="CTA7" s="338"/>
      <c r="CTB7" s="338"/>
      <c r="CTC7" s="338"/>
      <c r="CTD7" s="338"/>
      <c r="CTE7" s="338"/>
      <c r="CTF7" s="338"/>
      <c r="CTG7" s="338"/>
      <c r="CTH7" s="338"/>
      <c r="CTI7" s="338"/>
      <c r="CTJ7" s="338"/>
      <c r="CTK7" s="338"/>
      <c r="CTL7" s="338"/>
      <c r="CTM7" s="338"/>
      <c r="CTN7" s="338"/>
      <c r="CTO7" s="338"/>
      <c r="CTP7" s="338"/>
      <c r="CTQ7" s="338"/>
      <c r="CTR7" s="338"/>
      <c r="CTS7" s="338"/>
      <c r="CTT7" s="338"/>
      <c r="CTU7" s="338"/>
      <c r="CTV7" s="338"/>
      <c r="CTW7" s="338"/>
      <c r="CTX7" s="338"/>
      <c r="CTY7" s="338"/>
      <c r="CTZ7" s="338"/>
      <c r="CUA7" s="338"/>
      <c r="CUB7" s="338"/>
      <c r="CUC7" s="338"/>
      <c r="CUD7" s="338"/>
      <c r="CUE7" s="338"/>
      <c r="CUF7" s="338"/>
      <c r="CUG7" s="338"/>
      <c r="CUH7" s="338"/>
      <c r="CUI7" s="338"/>
      <c r="CUJ7" s="338"/>
      <c r="CUK7" s="338"/>
      <c r="CUL7" s="338"/>
      <c r="CUM7" s="338"/>
      <c r="CUN7" s="338"/>
      <c r="CUO7" s="338"/>
      <c r="CUP7" s="338"/>
      <c r="CUQ7" s="338"/>
      <c r="CUR7" s="338"/>
      <c r="CUS7" s="338"/>
      <c r="CUT7" s="338"/>
      <c r="CUU7" s="338"/>
      <c r="CUV7" s="338"/>
      <c r="CUW7" s="338"/>
      <c r="CUX7" s="338"/>
      <c r="CUY7" s="338"/>
      <c r="CUZ7" s="338"/>
      <c r="CVA7" s="338"/>
      <c r="CVB7" s="338"/>
      <c r="CVC7" s="338"/>
      <c r="CVD7" s="338"/>
      <c r="CVE7" s="338"/>
      <c r="CVF7" s="338"/>
      <c r="CVG7" s="338"/>
      <c r="CVH7" s="338"/>
      <c r="CVI7" s="338"/>
      <c r="CVJ7" s="338"/>
      <c r="CVK7" s="338"/>
      <c r="CVL7" s="338"/>
      <c r="CVM7" s="338"/>
      <c r="CVN7" s="338"/>
      <c r="CVO7" s="338"/>
      <c r="CVP7" s="338"/>
      <c r="CVQ7" s="338"/>
      <c r="CVR7" s="338"/>
      <c r="CVS7" s="338"/>
      <c r="CVT7" s="338"/>
      <c r="CVU7" s="338"/>
      <c r="CVV7" s="338"/>
      <c r="CVW7" s="338"/>
      <c r="CVX7" s="338"/>
      <c r="CVY7" s="338"/>
      <c r="CVZ7" s="338"/>
      <c r="CWA7" s="338"/>
      <c r="CWB7" s="338"/>
      <c r="CWC7" s="338"/>
      <c r="CWD7" s="338"/>
      <c r="CWE7" s="338"/>
      <c r="CWF7" s="338"/>
      <c r="CWG7" s="338"/>
      <c r="CWH7" s="338"/>
      <c r="CWI7" s="338"/>
      <c r="CWJ7" s="338"/>
      <c r="CWK7" s="338"/>
      <c r="CWL7" s="338"/>
      <c r="CWM7" s="338"/>
      <c r="CWN7" s="338"/>
      <c r="CWO7" s="338"/>
      <c r="CWP7" s="338"/>
      <c r="CWQ7" s="338"/>
      <c r="CWR7" s="338"/>
      <c r="CWS7" s="338"/>
      <c r="CWT7" s="338"/>
      <c r="CWU7" s="338"/>
      <c r="CWV7" s="338"/>
      <c r="CWW7" s="338"/>
      <c r="CWX7" s="338"/>
      <c r="CWY7" s="338"/>
      <c r="CWZ7" s="338"/>
      <c r="CXA7" s="338"/>
      <c r="CXB7" s="338"/>
      <c r="CXC7" s="338"/>
      <c r="CXD7" s="338"/>
      <c r="CXE7" s="338"/>
      <c r="CXF7" s="338"/>
      <c r="CXG7" s="338"/>
      <c r="CXH7" s="338"/>
      <c r="CXI7" s="338"/>
      <c r="CXJ7" s="338"/>
      <c r="CXK7" s="338"/>
      <c r="CXL7" s="338"/>
      <c r="CXM7" s="338"/>
      <c r="CXN7" s="338"/>
      <c r="CXO7" s="338"/>
      <c r="CXP7" s="338"/>
      <c r="CXQ7" s="338"/>
      <c r="CXR7" s="338"/>
      <c r="CXS7" s="338"/>
      <c r="CXT7" s="338"/>
      <c r="CXU7" s="338"/>
      <c r="CXV7" s="338"/>
      <c r="CXW7" s="338"/>
      <c r="CXX7" s="338"/>
      <c r="CXY7" s="338"/>
      <c r="CXZ7" s="338"/>
      <c r="CYA7" s="338"/>
      <c r="CYB7" s="338"/>
      <c r="CYC7" s="338"/>
      <c r="CYD7" s="338"/>
      <c r="CYE7" s="338"/>
      <c r="CYF7" s="338"/>
      <c r="CYG7" s="338"/>
      <c r="CYH7" s="338"/>
      <c r="CYI7" s="338"/>
      <c r="CYJ7" s="338"/>
      <c r="CYK7" s="338"/>
      <c r="CYL7" s="338"/>
      <c r="CYM7" s="338"/>
      <c r="CYN7" s="338"/>
      <c r="CYO7" s="338"/>
      <c r="CYP7" s="338"/>
      <c r="CYQ7" s="338"/>
      <c r="CYR7" s="338"/>
      <c r="CYS7" s="338"/>
      <c r="CYT7" s="338"/>
      <c r="CYU7" s="338"/>
      <c r="CYV7" s="338"/>
      <c r="CYW7" s="338"/>
      <c r="CYX7" s="338"/>
      <c r="CYY7" s="338"/>
      <c r="CYZ7" s="338"/>
      <c r="CZA7" s="338"/>
      <c r="CZB7" s="338"/>
      <c r="CZC7" s="338"/>
      <c r="CZD7" s="338"/>
      <c r="CZE7" s="338"/>
      <c r="CZF7" s="338"/>
      <c r="CZG7" s="338"/>
      <c r="CZH7" s="338"/>
      <c r="CZI7" s="338"/>
      <c r="CZJ7" s="338"/>
      <c r="CZK7" s="338"/>
      <c r="CZL7" s="338"/>
      <c r="CZM7" s="338"/>
      <c r="CZN7" s="338"/>
      <c r="CZO7" s="338"/>
      <c r="CZP7" s="338"/>
      <c r="CZQ7" s="338"/>
      <c r="CZR7" s="338"/>
      <c r="CZS7" s="338"/>
      <c r="CZT7" s="338"/>
      <c r="CZU7" s="338"/>
      <c r="CZV7" s="338"/>
      <c r="CZW7" s="338"/>
      <c r="CZX7" s="338"/>
      <c r="CZY7" s="338"/>
      <c r="CZZ7" s="338"/>
      <c r="DAA7" s="338"/>
      <c r="DAB7" s="338"/>
      <c r="DAC7" s="338"/>
      <c r="DAD7" s="338"/>
      <c r="DAE7" s="338"/>
      <c r="DAF7" s="338"/>
      <c r="DAG7" s="338"/>
      <c r="DAH7" s="338"/>
      <c r="DAI7" s="338"/>
      <c r="DAJ7" s="338"/>
      <c r="DAK7" s="338"/>
      <c r="DAL7" s="338"/>
      <c r="DAM7" s="338"/>
      <c r="DAN7" s="338"/>
      <c r="DAO7" s="338"/>
      <c r="DAP7" s="338"/>
      <c r="DAQ7" s="338"/>
      <c r="DAR7" s="338"/>
      <c r="DAS7" s="338"/>
      <c r="DAT7" s="338"/>
      <c r="DAU7" s="338"/>
      <c r="DAV7" s="338"/>
      <c r="DAW7" s="338"/>
      <c r="DAX7" s="338"/>
      <c r="DAY7" s="338"/>
      <c r="DAZ7" s="338"/>
      <c r="DBA7" s="338"/>
      <c r="DBB7" s="338"/>
      <c r="DBC7" s="338"/>
      <c r="DBD7" s="338"/>
      <c r="DBE7" s="338"/>
      <c r="DBF7" s="338"/>
      <c r="DBG7" s="338"/>
      <c r="DBH7" s="338"/>
      <c r="DBI7" s="338"/>
      <c r="DBJ7" s="338"/>
      <c r="DBK7" s="338"/>
      <c r="DBL7" s="338"/>
      <c r="DBM7" s="338"/>
      <c r="DBN7" s="338"/>
      <c r="DBO7" s="338"/>
      <c r="DBP7" s="338"/>
      <c r="DBQ7" s="338"/>
      <c r="DBR7" s="338"/>
      <c r="DBS7" s="338"/>
      <c r="DBT7" s="338"/>
      <c r="DBU7" s="338"/>
      <c r="DBV7" s="338"/>
      <c r="DBW7" s="338"/>
      <c r="DBX7" s="338"/>
      <c r="DBY7" s="338"/>
      <c r="DBZ7" s="338"/>
      <c r="DCA7" s="338"/>
      <c r="DCB7" s="338"/>
      <c r="DCC7" s="338"/>
      <c r="DCD7" s="338"/>
      <c r="DCE7" s="338"/>
      <c r="DCF7" s="338"/>
      <c r="DCG7" s="338"/>
      <c r="DCH7" s="338"/>
      <c r="DCI7" s="338"/>
      <c r="DCJ7" s="338"/>
      <c r="DCK7" s="338"/>
      <c r="DCL7" s="338"/>
      <c r="DCM7" s="338"/>
      <c r="DCN7" s="338"/>
      <c r="DCO7" s="338"/>
      <c r="DCP7" s="338"/>
      <c r="DCQ7" s="338"/>
      <c r="DCR7" s="338"/>
      <c r="DCS7" s="338"/>
      <c r="DCT7" s="338"/>
      <c r="DCU7" s="338"/>
      <c r="DCV7" s="338"/>
      <c r="DCW7" s="338"/>
      <c r="DCX7" s="338"/>
      <c r="DCY7" s="338"/>
      <c r="DCZ7" s="338"/>
      <c r="DDA7" s="338"/>
      <c r="DDB7" s="338"/>
      <c r="DDC7" s="338"/>
      <c r="DDD7" s="338"/>
      <c r="DDE7" s="338"/>
      <c r="DDF7" s="338"/>
      <c r="DDG7" s="338"/>
      <c r="DDH7" s="338"/>
      <c r="DDI7" s="338"/>
      <c r="DDJ7" s="338"/>
      <c r="DDK7" s="338"/>
      <c r="DDL7" s="338"/>
      <c r="DDM7" s="338"/>
      <c r="DDN7" s="338"/>
      <c r="DDO7" s="338"/>
      <c r="DDP7" s="338"/>
      <c r="DDQ7" s="338"/>
      <c r="DDR7" s="338"/>
      <c r="DDS7" s="338"/>
      <c r="DDT7" s="338"/>
      <c r="DDU7" s="338"/>
      <c r="DDV7" s="338"/>
      <c r="DDW7" s="338"/>
      <c r="DDX7" s="338"/>
      <c r="DDY7" s="338"/>
      <c r="DDZ7" s="338"/>
      <c r="DEA7" s="338"/>
      <c r="DEB7" s="338"/>
      <c r="DEC7" s="338"/>
      <c r="DED7" s="338"/>
      <c r="DEE7" s="338"/>
      <c r="DEF7" s="338"/>
      <c r="DEG7" s="338"/>
      <c r="DEH7" s="338"/>
      <c r="DEI7" s="338"/>
      <c r="DEJ7" s="338"/>
      <c r="DEK7" s="338"/>
      <c r="DEL7" s="338"/>
      <c r="DEM7" s="338"/>
      <c r="DEN7" s="338"/>
      <c r="DEO7" s="338"/>
      <c r="DEP7" s="338"/>
      <c r="DEQ7" s="338"/>
      <c r="DER7" s="338"/>
      <c r="DES7" s="338"/>
      <c r="DET7" s="338"/>
      <c r="DEU7" s="338"/>
      <c r="DEV7" s="338"/>
      <c r="DEW7" s="338"/>
      <c r="DEX7" s="338"/>
      <c r="DEY7" s="338"/>
      <c r="DEZ7" s="338"/>
      <c r="DFA7" s="338"/>
      <c r="DFB7" s="338"/>
      <c r="DFC7" s="338"/>
      <c r="DFD7" s="338"/>
      <c r="DFE7" s="338"/>
      <c r="DFF7" s="338"/>
      <c r="DFG7" s="338"/>
      <c r="DFH7" s="338"/>
      <c r="DFI7" s="338"/>
      <c r="DFJ7" s="338"/>
      <c r="DFK7" s="338"/>
      <c r="DFL7" s="338"/>
      <c r="DFM7" s="338"/>
      <c r="DFN7" s="338"/>
      <c r="DFO7" s="338"/>
      <c r="DFP7" s="338"/>
      <c r="DFQ7" s="338"/>
      <c r="DFR7" s="338"/>
      <c r="DFS7" s="338"/>
      <c r="DFT7" s="338"/>
      <c r="DFU7" s="338"/>
      <c r="DFV7" s="338"/>
      <c r="DFW7" s="338"/>
      <c r="DFX7" s="338"/>
      <c r="DFY7" s="338"/>
      <c r="DFZ7" s="338"/>
      <c r="DGA7" s="338"/>
      <c r="DGB7" s="338"/>
      <c r="DGC7" s="338"/>
      <c r="DGD7" s="338"/>
      <c r="DGE7" s="338"/>
      <c r="DGF7" s="338"/>
      <c r="DGG7" s="338"/>
      <c r="DGH7" s="338"/>
      <c r="DGI7" s="338"/>
      <c r="DGJ7" s="338"/>
      <c r="DGK7" s="338"/>
      <c r="DGL7" s="338"/>
      <c r="DGM7" s="338"/>
      <c r="DGN7" s="338"/>
      <c r="DGO7" s="338"/>
      <c r="DGP7" s="338"/>
      <c r="DGQ7" s="338"/>
      <c r="DGR7" s="338"/>
      <c r="DGS7" s="338"/>
      <c r="DGT7" s="338"/>
      <c r="DGU7" s="338"/>
      <c r="DGV7" s="338"/>
      <c r="DGW7" s="338"/>
      <c r="DGX7" s="338"/>
      <c r="DGY7" s="338"/>
      <c r="DGZ7" s="338"/>
      <c r="DHA7" s="338"/>
      <c r="DHB7" s="338"/>
      <c r="DHC7" s="338"/>
      <c r="DHD7" s="338"/>
      <c r="DHE7" s="338"/>
      <c r="DHF7" s="338"/>
      <c r="DHG7" s="338"/>
      <c r="DHH7" s="338"/>
      <c r="DHI7" s="338"/>
      <c r="DHJ7" s="338"/>
      <c r="DHK7" s="338"/>
      <c r="DHL7" s="338"/>
      <c r="DHM7" s="338"/>
      <c r="DHN7" s="338"/>
      <c r="DHO7" s="338"/>
      <c r="DHP7" s="338"/>
      <c r="DHQ7" s="338"/>
      <c r="DHR7" s="338"/>
      <c r="DHS7" s="338"/>
      <c r="DHT7" s="338"/>
      <c r="DHU7" s="338"/>
      <c r="DHV7" s="338"/>
      <c r="DHW7" s="338"/>
      <c r="DHX7" s="338"/>
      <c r="DHY7" s="338"/>
      <c r="DHZ7" s="338"/>
      <c r="DIA7" s="338"/>
      <c r="DIB7" s="338"/>
      <c r="DIC7" s="338"/>
      <c r="DID7" s="338"/>
      <c r="DIE7" s="338"/>
      <c r="DIF7" s="338"/>
      <c r="DIG7" s="338"/>
      <c r="DIH7" s="338"/>
      <c r="DII7" s="338"/>
      <c r="DIJ7" s="338"/>
      <c r="DIK7" s="338"/>
      <c r="DIL7" s="338"/>
      <c r="DIM7" s="338"/>
      <c r="DIN7" s="338"/>
      <c r="DIO7" s="338"/>
      <c r="DIP7" s="338"/>
      <c r="DIQ7" s="338"/>
      <c r="DIR7" s="338"/>
      <c r="DIS7" s="338"/>
      <c r="DIT7" s="338"/>
      <c r="DIU7" s="338"/>
      <c r="DIV7" s="338"/>
      <c r="DIW7" s="338"/>
      <c r="DIX7" s="338"/>
      <c r="DIY7" s="338"/>
      <c r="DIZ7" s="338"/>
      <c r="DJA7" s="338"/>
      <c r="DJB7" s="338"/>
      <c r="DJC7" s="338"/>
      <c r="DJD7" s="338"/>
      <c r="DJE7" s="338"/>
      <c r="DJF7" s="338"/>
      <c r="DJG7" s="338"/>
      <c r="DJH7" s="338"/>
      <c r="DJI7" s="338"/>
      <c r="DJJ7" s="338"/>
      <c r="DJK7" s="338"/>
      <c r="DJL7" s="338"/>
      <c r="DJM7" s="338"/>
      <c r="DJN7" s="338"/>
      <c r="DJO7" s="338"/>
      <c r="DJP7" s="338"/>
      <c r="DJQ7" s="338"/>
      <c r="DJR7" s="338"/>
      <c r="DJS7" s="338"/>
      <c r="DJT7" s="338"/>
      <c r="DJU7" s="338"/>
      <c r="DJV7" s="338"/>
      <c r="DJW7" s="338"/>
      <c r="DJX7" s="338"/>
      <c r="DJY7" s="338"/>
      <c r="DJZ7" s="338"/>
      <c r="DKA7" s="338"/>
      <c r="DKB7" s="338"/>
      <c r="DKC7" s="338"/>
      <c r="DKD7" s="338"/>
      <c r="DKE7" s="338"/>
      <c r="DKF7" s="338"/>
      <c r="DKG7" s="338"/>
      <c r="DKH7" s="338"/>
      <c r="DKI7" s="338"/>
      <c r="DKJ7" s="338"/>
      <c r="DKK7" s="338"/>
      <c r="DKL7" s="338"/>
      <c r="DKM7" s="338"/>
      <c r="DKN7" s="338"/>
      <c r="DKO7" s="338"/>
      <c r="DKP7" s="338"/>
      <c r="DKQ7" s="338"/>
      <c r="DKR7" s="338"/>
      <c r="DKS7" s="338"/>
      <c r="DKT7" s="338"/>
      <c r="DKU7" s="338"/>
      <c r="DKV7" s="338"/>
      <c r="DKW7" s="338"/>
      <c r="DKX7" s="338"/>
      <c r="DKY7" s="338"/>
      <c r="DKZ7" s="338"/>
      <c r="DLA7" s="338"/>
      <c r="DLB7" s="338"/>
      <c r="DLC7" s="338"/>
      <c r="DLD7" s="338"/>
      <c r="DLE7" s="338"/>
      <c r="DLF7" s="338"/>
      <c r="DLG7" s="338"/>
      <c r="DLH7" s="338"/>
      <c r="DLI7" s="338"/>
      <c r="DLJ7" s="338"/>
      <c r="DLK7" s="338"/>
      <c r="DLL7" s="338"/>
      <c r="DLM7" s="338"/>
      <c r="DLN7" s="338"/>
      <c r="DLO7" s="338"/>
      <c r="DLP7" s="338"/>
      <c r="DLQ7" s="338"/>
      <c r="DLR7" s="338"/>
      <c r="DLS7" s="338"/>
      <c r="DLT7" s="338"/>
      <c r="DLU7" s="338"/>
      <c r="DLV7" s="338"/>
      <c r="DLW7" s="338"/>
      <c r="DLX7" s="338"/>
      <c r="DLY7" s="338"/>
      <c r="DLZ7" s="338"/>
      <c r="DMA7" s="338"/>
      <c r="DMB7" s="338"/>
      <c r="DMC7" s="338"/>
      <c r="DMD7" s="338"/>
      <c r="DME7" s="338"/>
      <c r="DMF7" s="338"/>
      <c r="DMG7" s="338"/>
      <c r="DMH7" s="338"/>
      <c r="DMI7" s="338"/>
      <c r="DMJ7" s="338"/>
      <c r="DMK7" s="338"/>
      <c r="DML7" s="338"/>
      <c r="DMM7" s="338"/>
      <c r="DMN7" s="338"/>
      <c r="DMO7" s="338"/>
      <c r="DMP7" s="338"/>
      <c r="DMQ7" s="338"/>
      <c r="DMR7" s="338"/>
      <c r="DMS7" s="338"/>
      <c r="DMT7" s="338"/>
      <c r="DMU7" s="338"/>
      <c r="DMV7" s="338"/>
      <c r="DMW7" s="338"/>
      <c r="DMX7" s="338"/>
      <c r="DMY7" s="338"/>
      <c r="DMZ7" s="338"/>
      <c r="DNA7" s="338"/>
      <c r="DNB7" s="338"/>
      <c r="DNC7" s="338"/>
      <c r="DND7" s="338"/>
      <c r="DNE7" s="338"/>
      <c r="DNF7" s="338"/>
      <c r="DNG7" s="338"/>
      <c r="DNH7" s="338"/>
      <c r="DNI7" s="338"/>
      <c r="DNJ7" s="338"/>
      <c r="DNK7" s="338"/>
      <c r="DNL7" s="338"/>
      <c r="DNM7" s="338"/>
      <c r="DNN7" s="338"/>
      <c r="DNO7" s="338"/>
      <c r="DNP7" s="338"/>
      <c r="DNQ7" s="338"/>
      <c r="DNR7" s="338"/>
      <c r="DNS7" s="338"/>
      <c r="DNT7" s="338"/>
      <c r="DNU7" s="338"/>
      <c r="DNV7" s="338"/>
      <c r="DNW7" s="338"/>
      <c r="DNX7" s="338"/>
      <c r="DNY7" s="338"/>
      <c r="DNZ7" s="338"/>
      <c r="DOA7" s="338"/>
      <c r="DOB7" s="338"/>
      <c r="DOC7" s="338"/>
      <c r="DOD7" s="338"/>
      <c r="DOE7" s="338"/>
      <c r="DOF7" s="338"/>
      <c r="DOG7" s="338"/>
      <c r="DOH7" s="338"/>
      <c r="DOI7" s="338"/>
      <c r="DOJ7" s="338"/>
      <c r="DOK7" s="338"/>
      <c r="DOL7" s="338"/>
      <c r="DOM7" s="338"/>
      <c r="DON7" s="338"/>
      <c r="DOO7" s="338"/>
      <c r="DOP7" s="338"/>
      <c r="DOQ7" s="338"/>
      <c r="DOR7" s="338"/>
      <c r="DOS7" s="338"/>
      <c r="DOT7" s="338"/>
      <c r="DOU7" s="338"/>
      <c r="DOV7" s="338"/>
      <c r="DOW7" s="338"/>
      <c r="DOX7" s="338"/>
      <c r="DOY7" s="338"/>
      <c r="DOZ7" s="338"/>
      <c r="DPA7" s="338"/>
      <c r="DPB7" s="338"/>
      <c r="DPC7" s="338"/>
      <c r="DPD7" s="338"/>
      <c r="DPE7" s="338"/>
      <c r="DPF7" s="338"/>
      <c r="DPG7" s="338"/>
      <c r="DPH7" s="338"/>
      <c r="DPI7" s="338"/>
      <c r="DPJ7" s="338"/>
      <c r="DPK7" s="338"/>
      <c r="DPL7" s="338"/>
      <c r="DPM7" s="338"/>
      <c r="DPN7" s="338"/>
      <c r="DPO7" s="338"/>
      <c r="DPP7" s="338"/>
      <c r="DPQ7" s="338"/>
      <c r="DPR7" s="338"/>
      <c r="DPS7" s="338"/>
      <c r="DPT7" s="338"/>
      <c r="DPU7" s="338"/>
      <c r="DPV7" s="338"/>
      <c r="DPW7" s="338"/>
      <c r="DPX7" s="338"/>
      <c r="DPY7" s="338"/>
      <c r="DPZ7" s="338"/>
      <c r="DQA7" s="338"/>
      <c r="DQB7" s="338"/>
      <c r="DQC7" s="338"/>
      <c r="DQD7" s="338"/>
      <c r="DQE7" s="338"/>
      <c r="DQF7" s="338"/>
      <c r="DQG7" s="338"/>
      <c r="DQH7" s="338"/>
      <c r="DQI7" s="338"/>
      <c r="DQJ7" s="338"/>
      <c r="DQK7" s="338"/>
      <c r="DQL7" s="338"/>
      <c r="DQM7" s="338"/>
      <c r="DQN7" s="338"/>
      <c r="DQO7" s="338"/>
      <c r="DQP7" s="338"/>
      <c r="DQQ7" s="338"/>
      <c r="DQR7" s="338"/>
      <c r="DQS7" s="338"/>
      <c r="DQT7" s="338"/>
      <c r="DQU7" s="338"/>
      <c r="DQV7" s="338"/>
      <c r="DQW7" s="338"/>
      <c r="DQX7" s="338"/>
      <c r="DQY7" s="338"/>
      <c r="DQZ7" s="338"/>
      <c r="DRA7" s="338"/>
      <c r="DRB7" s="338"/>
      <c r="DRC7" s="338"/>
      <c r="DRD7" s="338"/>
      <c r="DRE7" s="338"/>
      <c r="DRF7" s="338"/>
      <c r="DRG7" s="338"/>
      <c r="DRH7" s="338"/>
      <c r="DRI7" s="338"/>
      <c r="DRJ7" s="338"/>
      <c r="DRK7" s="338"/>
      <c r="DRL7" s="338"/>
      <c r="DRM7" s="338"/>
      <c r="DRN7" s="338"/>
      <c r="DRO7" s="338"/>
      <c r="DRP7" s="338"/>
      <c r="DRQ7" s="338"/>
      <c r="DRR7" s="338"/>
      <c r="DRS7" s="338"/>
      <c r="DRT7" s="338"/>
      <c r="DRU7" s="338"/>
      <c r="DRV7" s="338"/>
      <c r="DRW7" s="338"/>
      <c r="DRX7" s="338"/>
      <c r="DRY7" s="338"/>
      <c r="DRZ7" s="338"/>
      <c r="DSA7" s="338"/>
      <c r="DSB7" s="338"/>
      <c r="DSC7" s="338"/>
      <c r="DSD7" s="338"/>
      <c r="DSE7" s="338"/>
      <c r="DSF7" s="338"/>
      <c r="DSG7" s="338"/>
      <c r="DSH7" s="338"/>
      <c r="DSI7" s="338"/>
      <c r="DSJ7" s="338"/>
      <c r="DSK7" s="338"/>
      <c r="DSL7" s="338"/>
      <c r="DSM7" s="338"/>
      <c r="DSN7" s="338"/>
      <c r="DSO7" s="338"/>
      <c r="DSP7" s="338"/>
      <c r="DSQ7" s="338"/>
      <c r="DSR7" s="338"/>
      <c r="DSS7" s="338"/>
      <c r="DST7" s="338"/>
      <c r="DSU7" s="338"/>
      <c r="DSV7" s="338"/>
      <c r="DSW7" s="338"/>
      <c r="DSX7" s="338"/>
      <c r="DSY7" s="338"/>
      <c r="DSZ7" s="338"/>
      <c r="DTA7" s="338"/>
      <c r="DTB7" s="338"/>
      <c r="DTC7" s="338"/>
      <c r="DTD7" s="338"/>
      <c r="DTE7" s="338"/>
      <c r="DTF7" s="338"/>
      <c r="DTG7" s="338"/>
      <c r="DTH7" s="338"/>
      <c r="DTI7" s="338"/>
      <c r="DTJ7" s="338"/>
      <c r="DTK7" s="338"/>
      <c r="DTL7" s="338"/>
      <c r="DTM7" s="338"/>
      <c r="DTN7" s="338"/>
      <c r="DTO7" s="338"/>
      <c r="DTP7" s="338"/>
      <c r="DTQ7" s="338"/>
      <c r="DTR7" s="338"/>
      <c r="DTS7" s="338"/>
      <c r="DTT7" s="338"/>
      <c r="DTU7" s="338"/>
      <c r="DTV7" s="338"/>
      <c r="DTW7" s="338"/>
      <c r="DTX7" s="338"/>
      <c r="DTY7" s="338"/>
      <c r="DTZ7" s="338"/>
      <c r="DUA7" s="338"/>
      <c r="DUB7" s="338"/>
      <c r="DUC7" s="338"/>
      <c r="DUD7" s="338"/>
      <c r="DUE7" s="338"/>
      <c r="DUF7" s="338"/>
      <c r="DUG7" s="338"/>
      <c r="DUH7" s="338"/>
      <c r="DUI7" s="338"/>
      <c r="DUJ7" s="338"/>
      <c r="DUK7" s="338"/>
      <c r="DUL7" s="338"/>
      <c r="DUM7" s="338"/>
      <c r="DUN7" s="338"/>
      <c r="DUO7" s="338"/>
      <c r="DUP7" s="338"/>
      <c r="DUQ7" s="338"/>
      <c r="DUR7" s="338"/>
      <c r="DUS7" s="338"/>
      <c r="DUT7" s="338"/>
      <c r="DUU7" s="338"/>
      <c r="DUV7" s="338"/>
      <c r="DUW7" s="338"/>
      <c r="DUX7" s="338"/>
      <c r="DUY7" s="338"/>
      <c r="DUZ7" s="338"/>
      <c r="DVA7" s="338"/>
      <c r="DVB7" s="338"/>
      <c r="DVC7" s="338"/>
      <c r="DVD7" s="338"/>
      <c r="DVE7" s="338"/>
      <c r="DVF7" s="338"/>
      <c r="DVG7" s="338"/>
      <c r="DVH7" s="338"/>
      <c r="DVI7" s="338"/>
      <c r="DVJ7" s="338"/>
      <c r="DVK7" s="338"/>
      <c r="DVL7" s="338"/>
      <c r="DVM7" s="338"/>
      <c r="DVN7" s="338"/>
      <c r="DVO7" s="338"/>
      <c r="DVP7" s="338"/>
      <c r="DVQ7" s="338"/>
      <c r="DVR7" s="338"/>
      <c r="DVS7" s="338"/>
      <c r="DVT7" s="338"/>
      <c r="DVU7" s="338"/>
      <c r="DVV7" s="338"/>
      <c r="DVW7" s="338"/>
      <c r="DVX7" s="338"/>
      <c r="DVY7" s="338"/>
      <c r="DVZ7" s="338"/>
      <c r="DWA7" s="338"/>
      <c r="DWB7" s="338"/>
      <c r="DWC7" s="338"/>
      <c r="DWD7" s="338"/>
      <c r="DWE7" s="338"/>
      <c r="DWF7" s="338"/>
      <c r="DWG7" s="338"/>
      <c r="DWH7" s="338"/>
      <c r="DWI7" s="338"/>
      <c r="DWJ7" s="338"/>
      <c r="DWK7" s="338"/>
      <c r="DWL7" s="338"/>
      <c r="DWM7" s="338"/>
      <c r="DWN7" s="338"/>
      <c r="DWO7" s="338"/>
      <c r="DWP7" s="338"/>
      <c r="DWQ7" s="338"/>
      <c r="DWR7" s="338"/>
      <c r="DWS7" s="338"/>
      <c r="DWT7" s="338"/>
      <c r="DWU7" s="338"/>
      <c r="DWV7" s="338"/>
      <c r="DWW7" s="338"/>
      <c r="DWX7" s="338"/>
      <c r="DWY7" s="338"/>
      <c r="DWZ7" s="338"/>
      <c r="DXA7" s="338"/>
      <c r="DXB7" s="338"/>
      <c r="DXC7" s="338"/>
      <c r="DXD7" s="338"/>
      <c r="DXE7" s="338"/>
      <c r="DXF7" s="338"/>
      <c r="DXG7" s="338"/>
      <c r="DXH7" s="338"/>
      <c r="DXI7" s="338"/>
      <c r="DXJ7" s="338"/>
      <c r="DXK7" s="338"/>
      <c r="DXL7" s="338"/>
      <c r="DXM7" s="338"/>
      <c r="DXN7" s="338"/>
      <c r="DXO7" s="338"/>
      <c r="DXP7" s="338"/>
      <c r="DXQ7" s="338"/>
      <c r="DXR7" s="338"/>
      <c r="DXS7" s="338"/>
      <c r="DXT7" s="338"/>
      <c r="DXU7" s="338"/>
      <c r="DXV7" s="338"/>
      <c r="DXW7" s="338"/>
      <c r="DXX7" s="338"/>
      <c r="DXY7" s="338"/>
      <c r="DXZ7" s="338"/>
      <c r="DYA7" s="338"/>
      <c r="DYB7" s="338"/>
      <c r="DYC7" s="338"/>
      <c r="DYD7" s="338"/>
      <c r="DYE7" s="338"/>
      <c r="DYF7" s="338"/>
      <c r="DYG7" s="338"/>
      <c r="DYH7" s="338"/>
      <c r="DYI7" s="338"/>
      <c r="DYJ7" s="338"/>
      <c r="DYK7" s="338"/>
      <c r="DYL7" s="338"/>
      <c r="DYM7" s="338"/>
      <c r="DYN7" s="338"/>
      <c r="DYO7" s="338"/>
      <c r="DYP7" s="338"/>
      <c r="DYQ7" s="338"/>
      <c r="DYR7" s="338"/>
      <c r="DYS7" s="338"/>
      <c r="DYT7" s="338"/>
      <c r="DYU7" s="338"/>
      <c r="DYV7" s="338"/>
      <c r="DYW7" s="338"/>
      <c r="DYX7" s="338"/>
      <c r="DYY7" s="338"/>
      <c r="DYZ7" s="338"/>
      <c r="DZA7" s="338"/>
      <c r="DZB7" s="338"/>
      <c r="DZC7" s="338"/>
      <c r="DZD7" s="338"/>
      <c r="DZE7" s="338"/>
      <c r="DZF7" s="338"/>
      <c r="DZG7" s="338"/>
      <c r="DZH7" s="338"/>
      <c r="DZI7" s="338"/>
      <c r="DZJ7" s="338"/>
      <c r="DZK7" s="338"/>
      <c r="DZL7" s="338"/>
      <c r="DZM7" s="338"/>
      <c r="DZN7" s="338"/>
      <c r="DZO7" s="338"/>
      <c r="DZP7" s="338"/>
      <c r="DZQ7" s="338"/>
      <c r="DZR7" s="338"/>
      <c r="DZS7" s="338"/>
      <c r="DZT7" s="338"/>
      <c r="DZU7" s="338"/>
      <c r="DZV7" s="338"/>
      <c r="DZW7" s="338"/>
      <c r="DZX7" s="338"/>
      <c r="DZY7" s="338"/>
      <c r="DZZ7" s="338"/>
      <c r="EAA7" s="338"/>
      <c r="EAB7" s="338"/>
      <c r="EAC7" s="338"/>
      <c r="EAD7" s="338"/>
      <c r="EAE7" s="338"/>
      <c r="EAF7" s="338"/>
      <c r="EAG7" s="338"/>
      <c r="EAH7" s="338"/>
      <c r="EAI7" s="338"/>
      <c r="EAJ7" s="338"/>
      <c r="EAK7" s="338"/>
      <c r="EAL7" s="338"/>
      <c r="EAM7" s="338"/>
      <c r="EAN7" s="338"/>
      <c r="EAO7" s="338"/>
      <c r="EAP7" s="338"/>
      <c r="EAQ7" s="338"/>
      <c r="EAR7" s="338"/>
      <c r="EAS7" s="338"/>
      <c r="EAT7" s="338"/>
      <c r="EAU7" s="338"/>
      <c r="EAV7" s="338"/>
      <c r="EAW7" s="338"/>
      <c r="EAX7" s="338"/>
      <c r="EAY7" s="338"/>
      <c r="EAZ7" s="338"/>
      <c r="EBA7" s="338"/>
      <c r="EBB7" s="338"/>
      <c r="EBC7" s="338"/>
      <c r="EBD7" s="338"/>
      <c r="EBE7" s="338"/>
      <c r="EBF7" s="338"/>
      <c r="EBG7" s="338"/>
      <c r="EBH7" s="338"/>
      <c r="EBI7" s="338"/>
      <c r="EBJ7" s="338"/>
      <c r="EBK7" s="338"/>
      <c r="EBL7" s="338"/>
      <c r="EBM7" s="338"/>
      <c r="EBN7" s="338"/>
      <c r="EBO7" s="338"/>
      <c r="EBP7" s="338"/>
      <c r="EBQ7" s="338"/>
      <c r="EBR7" s="338"/>
      <c r="EBS7" s="338"/>
      <c r="EBT7" s="338"/>
      <c r="EBU7" s="338"/>
      <c r="EBV7" s="338"/>
      <c r="EBW7" s="338"/>
      <c r="EBX7" s="338"/>
      <c r="EBY7" s="338"/>
      <c r="EBZ7" s="338"/>
      <c r="ECA7" s="338"/>
      <c r="ECB7" s="338"/>
      <c r="ECC7" s="338"/>
      <c r="ECD7" s="338"/>
      <c r="ECE7" s="338"/>
      <c r="ECF7" s="338"/>
      <c r="ECG7" s="338"/>
      <c r="ECH7" s="338"/>
      <c r="ECI7" s="338"/>
      <c r="ECJ7" s="338"/>
      <c r="ECK7" s="338"/>
      <c r="ECL7" s="338"/>
      <c r="ECM7" s="338"/>
      <c r="ECN7" s="338"/>
      <c r="ECO7" s="338"/>
      <c r="ECP7" s="338"/>
      <c r="ECQ7" s="338"/>
      <c r="ECR7" s="338"/>
      <c r="ECS7" s="338"/>
      <c r="ECT7" s="338"/>
      <c r="ECU7" s="338"/>
      <c r="ECV7" s="338"/>
      <c r="ECW7" s="338"/>
      <c r="ECX7" s="338"/>
      <c r="ECY7" s="338"/>
      <c r="ECZ7" s="338"/>
      <c r="EDA7" s="338"/>
      <c r="EDB7" s="338"/>
      <c r="EDC7" s="338"/>
      <c r="EDD7" s="338"/>
      <c r="EDE7" s="338"/>
      <c r="EDF7" s="338"/>
      <c r="EDG7" s="338"/>
      <c r="EDH7" s="338"/>
      <c r="EDI7" s="338"/>
      <c r="EDJ7" s="338"/>
      <c r="EDK7" s="338"/>
      <c r="EDL7" s="338"/>
      <c r="EDM7" s="338"/>
      <c r="EDN7" s="338"/>
      <c r="EDO7" s="338"/>
      <c r="EDP7" s="338"/>
      <c r="EDQ7" s="338"/>
      <c r="EDR7" s="338"/>
      <c r="EDS7" s="338"/>
      <c r="EDT7" s="338"/>
      <c r="EDU7" s="338"/>
      <c r="EDV7" s="338"/>
      <c r="EDW7" s="338"/>
      <c r="EDX7" s="338"/>
      <c r="EDY7" s="338"/>
      <c r="EDZ7" s="338"/>
      <c r="EEA7" s="338"/>
      <c r="EEB7" s="338"/>
      <c r="EEC7" s="338"/>
      <c r="EED7" s="338"/>
      <c r="EEE7" s="338"/>
      <c r="EEF7" s="338"/>
      <c r="EEG7" s="338"/>
      <c r="EEH7" s="338"/>
      <c r="EEI7" s="338"/>
      <c r="EEJ7" s="338"/>
      <c r="EEK7" s="338"/>
      <c r="EEL7" s="338"/>
      <c r="EEM7" s="338"/>
      <c r="EEN7" s="338"/>
      <c r="EEO7" s="338"/>
      <c r="EEP7" s="338"/>
      <c r="EEQ7" s="338"/>
      <c r="EER7" s="338"/>
      <c r="EES7" s="338"/>
      <c r="EET7" s="338"/>
      <c r="EEU7" s="338"/>
      <c r="EEV7" s="338"/>
      <c r="EEW7" s="338"/>
      <c r="EEX7" s="338"/>
      <c r="EEY7" s="338"/>
      <c r="EEZ7" s="338"/>
      <c r="EFA7" s="338"/>
      <c r="EFB7" s="338"/>
      <c r="EFC7" s="338"/>
      <c r="EFD7" s="338"/>
      <c r="EFE7" s="338"/>
      <c r="EFF7" s="338"/>
      <c r="EFG7" s="338"/>
      <c r="EFH7" s="338"/>
      <c r="EFI7" s="338"/>
      <c r="EFJ7" s="338"/>
      <c r="EFK7" s="338"/>
      <c r="EFL7" s="338"/>
      <c r="EFM7" s="338"/>
      <c r="EFN7" s="338"/>
      <c r="EFO7" s="338"/>
      <c r="EFP7" s="338"/>
      <c r="EFQ7" s="338"/>
      <c r="EFR7" s="338"/>
      <c r="EFS7" s="338"/>
      <c r="EFT7" s="338"/>
      <c r="EFU7" s="338"/>
      <c r="EFV7" s="338"/>
      <c r="EFW7" s="338"/>
      <c r="EFX7" s="338"/>
      <c r="EFY7" s="338"/>
      <c r="EFZ7" s="338"/>
      <c r="EGA7" s="338"/>
      <c r="EGB7" s="338"/>
      <c r="EGC7" s="338"/>
      <c r="EGD7" s="338"/>
      <c r="EGE7" s="338"/>
      <c r="EGF7" s="338"/>
      <c r="EGG7" s="338"/>
      <c r="EGH7" s="338"/>
      <c r="EGI7" s="338"/>
      <c r="EGJ7" s="338"/>
      <c r="EGK7" s="338"/>
      <c r="EGL7" s="338"/>
      <c r="EGM7" s="338"/>
      <c r="EGN7" s="338"/>
      <c r="EGO7" s="338"/>
      <c r="EGP7" s="338"/>
      <c r="EGQ7" s="338"/>
      <c r="EGR7" s="338"/>
      <c r="EGS7" s="338"/>
      <c r="EGT7" s="338"/>
      <c r="EGU7" s="338"/>
      <c r="EGV7" s="338"/>
      <c r="EGW7" s="338"/>
      <c r="EGX7" s="338"/>
      <c r="EGY7" s="338"/>
      <c r="EGZ7" s="338"/>
      <c r="EHA7" s="338"/>
      <c r="EHB7" s="338"/>
      <c r="EHC7" s="338"/>
      <c r="EHD7" s="338"/>
      <c r="EHE7" s="338"/>
      <c r="EHF7" s="338"/>
      <c r="EHG7" s="338"/>
      <c r="EHH7" s="338"/>
      <c r="EHI7" s="338"/>
      <c r="EHJ7" s="338"/>
      <c r="EHK7" s="338"/>
      <c r="EHL7" s="338"/>
      <c r="EHM7" s="338"/>
      <c r="EHN7" s="338"/>
      <c r="EHO7" s="338"/>
      <c r="EHP7" s="338"/>
      <c r="EHQ7" s="338"/>
      <c r="EHR7" s="338"/>
      <c r="EHS7" s="338"/>
      <c r="EHT7" s="338"/>
      <c r="EHU7" s="338"/>
      <c r="EHV7" s="338"/>
      <c r="EHW7" s="338"/>
      <c r="EHX7" s="338"/>
      <c r="EHY7" s="338"/>
      <c r="EHZ7" s="338"/>
      <c r="EIA7" s="338"/>
      <c r="EIB7" s="338"/>
      <c r="EIC7" s="338"/>
      <c r="EID7" s="338"/>
      <c r="EIE7" s="338"/>
      <c r="EIF7" s="338"/>
      <c r="EIG7" s="338"/>
      <c r="EIH7" s="338"/>
      <c r="EII7" s="338"/>
      <c r="EIJ7" s="338"/>
      <c r="EIK7" s="338"/>
      <c r="EIL7" s="338"/>
      <c r="EIM7" s="338"/>
      <c r="EIN7" s="338"/>
      <c r="EIO7" s="338"/>
      <c r="EIP7" s="338"/>
      <c r="EIQ7" s="338"/>
      <c r="EIR7" s="338"/>
      <c r="EIS7" s="338"/>
      <c r="EIT7" s="338"/>
      <c r="EIU7" s="338"/>
      <c r="EIV7" s="338"/>
      <c r="EIW7" s="338"/>
      <c r="EIX7" s="338"/>
      <c r="EIY7" s="338"/>
      <c r="EIZ7" s="338"/>
      <c r="EJA7" s="338"/>
      <c r="EJB7" s="338"/>
      <c r="EJC7" s="338"/>
      <c r="EJD7" s="338"/>
      <c r="EJE7" s="338"/>
      <c r="EJF7" s="338"/>
      <c r="EJG7" s="338"/>
      <c r="EJH7" s="338"/>
      <c r="EJI7" s="338"/>
      <c r="EJJ7" s="338"/>
      <c r="EJK7" s="338"/>
      <c r="EJL7" s="338"/>
      <c r="EJM7" s="338"/>
      <c r="EJN7" s="338"/>
      <c r="EJO7" s="338"/>
      <c r="EJP7" s="338"/>
      <c r="EJQ7" s="338"/>
      <c r="EJR7" s="338"/>
      <c r="EJS7" s="338"/>
      <c r="EJT7" s="338"/>
      <c r="EJU7" s="338"/>
      <c r="EJV7" s="338"/>
      <c r="EJW7" s="338"/>
      <c r="EJX7" s="338"/>
      <c r="EJY7" s="338"/>
      <c r="EJZ7" s="338"/>
      <c r="EKA7" s="338"/>
      <c r="EKB7" s="338"/>
      <c r="EKC7" s="338"/>
      <c r="EKD7" s="338"/>
      <c r="EKE7" s="338"/>
      <c r="EKF7" s="338"/>
      <c r="EKG7" s="338"/>
      <c r="EKH7" s="338"/>
      <c r="EKI7" s="338"/>
      <c r="EKJ7" s="338"/>
      <c r="EKK7" s="338"/>
      <c r="EKL7" s="338"/>
      <c r="EKM7" s="338"/>
      <c r="EKN7" s="338"/>
      <c r="EKO7" s="338"/>
      <c r="EKP7" s="338"/>
      <c r="EKQ7" s="338"/>
      <c r="EKR7" s="338"/>
      <c r="EKS7" s="338"/>
      <c r="EKT7" s="338"/>
      <c r="EKU7" s="338"/>
      <c r="EKV7" s="338"/>
      <c r="EKW7" s="338"/>
      <c r="EKX7" s="338"/>
      <c r="EKY7" s="338"/>
      <c r="EKZ7" s="338"/>
      <c r="ELA7" s="338"/>
      <c r="ELB7" s="338"/>
      <c r="ELC7" s="338"/>
      <c r="ELD7" s="338"/>
      <c r="ELE7" s="338"/>
      <c r="ELF7" s="338"/>
      <c r="ELG7" s="338"/>
      <c r="ELH7" s="338"/>
      <c r="ELI7" s="338"/>
      <c r="ELJ7" s="338"/>
      <c r="ELK7" s="338"/>
      <c r="ELL7" s="338"/>
      <c r="ELM7" s="338"/>
      <c r="ELN7" s="338"/>
      <c r="ELO7" s="338"/>
      <c r="ELP7" s="338"/>
      <c r="ELQ7" s="338"/>
      <c r="ELR7" s="338"/>
      <c r="ELS7" s="338"/>
      <c r="ELT7" s="338"/>
      <c r="ELU7" s="338"/>
      <c r="ELV7" s="338"/>
      <c r="ELW7" s="338"/>
      <c r="ELX7" s="338"/>
      <c r="ELY7" s="338"/>
      <c r="ELZ7" s="338"/>
      <c r="EMA7" s="338"/>
      <c r="EMB7" s="338"/>
      <c r="EMC7" s="338"/>
      <c r="EMD7" s="338"/>
      <c r="EME7" s="338"/>
      <c r="EMF7" s="338"/>
      <c r="EMG7" s="338"/>
      <c r="EMH7" s="338"/>
      <c r="EMI7" s="338"/>
      <c r="EMJ7" s="338"/>
      <c r="EMK7" s="338"/>
      <c r="EML7" s="338"/>
      <c r="EMM7" s="338"/>
      <c r="EMN7" s="338"/>
      <c r="EMO7" s="338"/>
      <c r="EMP7" s="338"/>
      <c r="EMQ7" s="338"/>
      <c r="EMR7" s="338"/>
      <c r="EMS7" s="338"/>
      <c r="EMT7" s="338"/>
      <c r="EMU7" s="338"/>
      <c r="EMV7" s="338"/>
      <c r="EMW7" s="338"/>
      <c r="EMX7" s="338"/>
      <c r="EMY7" s="338"/>
      <c r="EMZ7" s="338"/>
      <c r="ENA7" s="338"/>
      <c r="ENB7" s="338"/>
      <c r="ENC7" s="338"/>
      <c r="END7" s="338"/>
      <c r="ENE7" s="338"/>
      <c r="ENF7" s="338"/>
      <c r="ENG7" s="338"/>
      <c r="ENH7" s="338"/>
      <c r="ENI7" s="338"/>
      <c r="ENJ7" s="338"/>
      <c r="ENK7" s="338"/>
      <c r="ENL7" s="338"/>
      <c r="ENM7" s="338"/>
      <c r="ENN7" s="338"/>
      <c r="ENO7" s="338"/>
      <c r="ENP7" s="338"/>
      <c r="ENQ7" s="338"/>
      <c r="ENR7" s="338"/>
      <c r="ENS7" s="338"/>
      <c r="ENT7" s="338"/>
      <c r="ENU7" s="338"/>
      <c r="ENV7" s="338"/>
      <c r="ENW7" s="338"/>
      <c r="ENX7" s="338"/>
      <c r="ENY7" s="338"/>
      <c r="ENZ7" s="338"/>
      <c r="EOA7" s="338"/>
      <c r="EOB7" s="338"/>
      <c r="EOC7" s="338"/>
      <c r="EOD7" s="338"/>
      <c r="EOE7" s="338"/>
      <c r="EOF7" s="338"/>
      <c r="EOG7" s="338"/>
      <c r="EOH7" s="338"/>
      <c r="EOI7" s="338"/>
      <c r="EOJ7" s="338"/>
      <c r="EOK7" s="338"/>
      <c r="EOL7" s="338"/>
      <c r="EOM7" s="338"/>
      <c r="EON7" s="338"/>
      <c r="EOO7" s="338"/>
      <c r="EOP7" s="338"/>
      <c r="EOQ7" s="338"/>
      <c r="EOR7" s="338"/>
      <c r="EOS7" s="338"/>
      <c r="EOT7" s="338"/>
      <c r="EOU7" s="338"/>
      <c r="EOV7" s="338"/>
      <c r="EOW7" s="338"/>
      <c r="EOX7" s="338"/>
      <c r="EOY7" s="338"/>
      <c r="EOZ7" s="338"/>
      <c r="EPA7" s="338"/>
      <c r="EPB7" s="338"/>
      <c r="EPC7" s="338"/>
      <c r="EPD7" s="338"/>
      <c r="EPE7" s="338"/>
      <c r="EPF7" s="338"/>
      <c r="EPG7" s="338"/>
      <c r="EPH7" s="338"/>
      <c r="EPI7" s="338"/>
      <c r="EPJ7" s="338"/>
      <c r="EPK7" s="338"/>
      <c r="EPL7" s="338"/>
      <c r="EPM7" s="338"/>
      <c r="EPN7" s="338"/>
      <c r="EPO7" s="338"/>
      <c r="EPP7" s="338"/>
      <c r="EPQ7" s="338"/>
      <c r="EPR7" s="338"/>
      <c r="EPS7" s="338"/>
      <c r="EPT7" s="338"/>
      <c r="EPU7" s="338"/>
      <c r="EPV7" s="338"/>
      <c r="EPW7" s="338"/>
      <c r="EPX7" s="338"/>
      <c r="EPY7" s="338"/>
      <c r="EPZ7" s="338"/>
      <c r="EQA7" s="338"/>
      <c r="EQB7" s="338"/>
      <c r="EQC7" s="338"/>
      <c r="EQD7" s="338"/>
      <c r="EQE7" s="338"/>
      <c r="EQF7" s="338"/>
      <c r="EQG7" s="338"/>
      <c r="EQH7" s="338"/>
      <c r="EQI7" s="338"/>
      <c r="EQJ7" s="338"/>
      <c r="EQK7" s="338"/>
      <c r="EQL7" s="338"/>
      <c r="EQM7" s="338"/>
      <c r="EQN7" s="338"/>
      <c r="EQO7" s="338"/>
      <c r="EQP7" s="338"/>
      <c r="EQQ7" s="338"/>
      <c r="EQR7" s="338"/>
      <c r="EQS7" s="338"/>
      <c r="EQT7" s="338"/>
      <c r="EQU7" s="338"/>
      <c r="EQV7" s="338"/>
      <c r="EQW7" s="338"/>
      <c r="EQX7" s="338"/>
      <c r="EQY7" s="338"/>
      <c r="EQZ7" s="338"/>
      <c r="ERA7" s="338"/>
      <c r="ERB7" s="338"/>
      <c r="ERC7" s="338"/>
      <c r="ERD7" s="338"/>
      <c r="ERE7" s="338"/>
      <c r="ERF7" s="338"/>
      <c r="ERG7" s="338"/>
      <c r="ERH7" s="338"/>
      <c r="ERI7" s="338"/>
      <c r="ERJ7" s="338"/>
      <c r="ERK7" s="338"/>
      <c r="ERL7" s="338"/>
      <c r="ERM7" s="338"/>
      <c r="ERN7" s="338"/>
      <c r="ERO7" s="338"/>
      <c r="ERP7" s="338"/>
      <c r="ERQ7" s="338"/>
      <c r="ERR7" s="338"/>
      <c r="ERS7" s="338"/>
      <c r="ERT7" s="338"/>
      <c r="ERU7" s="338"/>
      <c r="ERV7" s="338"/>
      <c r="ERW7" s="338"/>
      <c r="ERX7" s="338"/>
      <c r="ERY7" s="338"/>
      <c r="ERZ7" s="338"/>
      <c r="ESA7" s="338"/>
      <c r="ESB7" s="338"/>
      <c r="ESC7" s="338"/>
      <c r="ESD7" s="338"/>
      <c r="ESE7" s="338"/>
      <c r="ESF7" s="338"/>
      <c r="ESG7" s="338"/>
      <c r="ESH7" s="338"/>
      <c r="ESI7" s="338"/>
      <c r="ESJ7" s="338"/>
      <c r="ESK7" s="338"/>
      <c r="ESL7" s="338"/>
      <c r="ESM7" s="338"/>
      <c r="ESN7" s="338"/>
      <c r="ESO7" s="338"/>
      <c r="ESP7" s="338"/>
      <c r="ESQ7" s="338"/>
      <c r="ESR7" s="338"/>
      <c r="ESS7" s="338"/>
      <c r="EST7" s="338"/>
      <c r="ESU7" s="338"/>
      <c r="ESV7" s="338"/>
      <c r="ESW7" s="338"/>
      <c r="ESX7" s="338"/>
      <c r="ESY7" s="338"/>
      <c r="ESZ7" s="338"/>
      <c r="ETA7" s="338"/>
      <c r="ETB7" s="338"/>
      <c r="ETC7" s="338"/>
      <c r="ETD7" s="338"/>
      <c r="ETE7" s="338"/>
      <c r="ETF7" s="338"/>
      <c r="ETG7" s="338"/>
      <c r="ETH7" s="338"/>
      <c r="ETI7" s="338"/>
      <c r="ETJ7" s="338"/>
      <c r="ETK7" s="338"/>
      <c r="ETL7" s="338"/>
      <c r="ETM7" s="338"/>
      <c r="ETN7" s="338"/>
      <c r="ETO7" s="338"/>
      <c r="ETP7" s="338"/>
      <c r="ETQ7" s="338"/>
      <c r="ETR7" s="338"/>
      <c r="ETS7" s="338"/>
      <c r="ETT7" s="338"/>
      <c r="ETU7" s="338"/>
      <c r="ETV7" s="338"/>
      <c r="ETW7" s="338"/>
      <c r="ETX7" s="338"/>
      <c r="ETY7" s="338"/>
      <c r="ETZ7" s="338"/>
      <c r="EUA7" s="338"/>
      <c r="EUB7" s="338"/>
      <c r="EUC7" s="338"/>
      <c r="EUD7" s="338"/>
      <c r="EUE7" s="338"/>
      <c r="EUF7" s="338"/>
      <c r="EUG7" s="338"/>
      <c r="EUH7" s="338"/>
      <c r="EUI7" s="338"/>
      <c r="EUJ7" s="338"/>
      <c r="EUK7" s="338"/>
      <c r="EUL7" s="338"/>
      <c r="EUM7" s="338"/>
      <c r="EUN7" s="338"/>
      <c r="EUO7" s="338"/>
      <c r="EUP7" s="338"/>
      <c r="EUQ7" s="338"/>
      <c r="EUR7" s="338"/>
      <c r="EUS7" s="338"/>
      <c r="EUT7" s="338"/>
      <c r="EUU7" s="338"/>
      <c r="EUV7" s="338"/>
      <c r="EUW7" s="338"/>
      <c r="EUX7" s="338"/>
      <c r="EUY7" s="338"/>
      <c r="EUZ7" s="338"/>
      <c r="EVA7" s="338"/>
      <c r="EVB7" s="338"/>
      <c r="EVC7" s="338"/>
      <c r="EVD7" s="338"/>
      <c r="EVE7" s="338"/>
      <c r="EVF7" s="338"/>
      <c r="EVG7" s="338"/>
      <c r="EVH7" s="338"/>
      <c r="EVI7" s="338"/>
      <c r="EVJ7" s="338"/>
      <c r="EVK7" s="338"/>
      <c r="EVL7" s="338"/>
      <c r="EVM7" s="338"/>
      <c r="EVN7" s="338"/>
      <c r="EVO7" s="338"/>
      <c r="EVP7" s="338"/>
      <c r="EVQ7" s="338"/>
      <c r="EVR7" s="338"/>
      <c r="EVS7" s="338"/>
      <c r="EVT7" s="338"/>
      <c r="EVU7" s="338"/>
      <c r="EVV7" s="338"/>
      <c r="EVW7" s="338"/>
      <c r="EVX7" s="338"/>
      <c r="EVY7" s="338"/>
      <c r="EVZ7" s="338"/>
      <c r="EWA7" s="338"/>
      <c r="EWB7" s="338"/>
      <c r="EWC7" s="338"/>
      <c r="EWD7" s="338"/>
      <c r="EWE7" s="338"/>
      <c r="EWF7" s="338"/>
      <c r="EWG7" s="338"/>
      <c r="EWH7" s="338"/>
      <c r="EWI7" s="338"/>
      <c r="EWJ7" s="338"/>
      <c r="EWK7" s="338"/>
      <c r="EWL7" s="338"/>
      <c r="EWM7" s="338"/>
      <c r="EWN7" s="338"/>
      <c r="EWO7" s="338"/>
      <c r="EWP7" s="338"/>
      <c r="EWQ7" s="338"/>
      <c r="EWR7" s="338"/>
      <c r="EWS7" s="338"/>
      <c r="EWT7" s="338"/>
      <c r="EWU7" s="338"/>
      <c r="EWV7" s="338"/>
      <c r="EWW7" s="338"/>
      <c r="EWX7" s="338"/>
      <c r="EWY7" s="338"/>
      <c r="EWZ7" s="338"/>
      <c r="EXA7" s="338"/>
      <c r="EXB7" s="338"/>
      <c r="EXC7" s="338"/>
      <c r="EXD7" s="338"/>
      <c r="EXE7" s="338"/>
      <c r="EXF7" s="338"/>
      <c r="EXG7" s="338"/>
      <c r="EXH7" s="338"/>
      <c r="EXI7" s="338"/>
      <c r="EXJ7" s="338"/>
      <c r="EXK7" s="338"/>
      <c r="EXL7" s="338"/>
      <c r="EXM7" s="338"/>
      <c r="EXN7" s="338"/>
      <c r="EXO7" s="338"/>
      <c r="EXP7" s="338"/>
      <c r="EXQ7" s="338"/>
      <c r="EXR7" s="338"/>
      <c r="EXS7" s="338"/>
      <c r="EXT7" s="338"/>
      <c r="EXU7" s="338"/>
      <c r="EXV7" s="338"/>
      <c r="EXW7" s="338"/>
      <c r="EXX7" s="338"/>
      <c r="EXY7" s="338"/>
      <c r="EXZ7" s="338"/>
      <c r="EYA7" s="338"/>
      <c r="EYB7" s="338"/>
      <c r="EYC7" s="338"/>
      <c r="EYD7" s="338"/>
      <c r="EYE7" s="338"/>
      <c r="EYF7" s="338"/>
      <c r="EYG7" s="338"/>
      <c r="EYH7" s="338"/>
      <c r="EYI7" s="338"/>
      <c r="EYJ7" s="338"/>
      <c r="EYK7" s="338"/>
      <c r="EYL7" s="338"/>
      <c r="EYM7" s="338"/>
      <c r="EYN7" s="338"/>
      <c r="EYO7" s="338"/>
      <c r="EYP7" s="338"/>
      <c r="EYQ7" s="338"/>
      <c r="EYR7" s="338"/>
      <c r="EYS7" s="338"/>
      <c r="EYT7" s="338"/>
      <c r="EYU7" s="338"/>
      <c r="EYV7" s="338"/>
      <c r="EYW7" s="338"/>
      <c r="EYX7" s="338"/>
      <c r="EYY7" s="338"/>
      <c r="EYZ7" s="338"/>
      <c r="EZA7" s="338"/>
      <c r="EZB7" s="338"/>
      <c r="EZC7" s="338"/>
      <c r="EZD7" s="338"/>
      <c r="EZE7" s="338"/>
      <c r="EZF7" s="338"/>
      <c r="EZG7" s="338"/>
      <c r="EZH7" s="338"/>
      <c r="EZI7" s="338"/>
      <c r="EZJ7" s="338"/>
      <c r="EZK7" s="338"/>
      <c r="EZL7" s="338"/>
      <c r="EZM7" s="338"/>
      <c r="EZN7" s="338"/>
      <c r="EZO7" s="338"/>
      <c r="EZP7" s="338"/>
      <c r="EZQ7" s="338"/>
      <c r="EZR7" s="338"/>
      <c r="EZS7" s="338"/>
      <c r="EZT7" s="338"/>
      <c r="EZU7" s="338"/>
      <c r="EZV7" s="338"/>
      <c r="EZW7" s="338"/>
      <c r="EZX7" s="338"/>
      <c r="EZY7" s="338"/>
      <c r="EZZ7" s="338"/>
      <c r="FAA7" s="338"/>
      <c r="FAB7" s="338"/>
      <c r="FAC7" s="338"/>
      <c r="FAD7" s="338"/>
      <c r="FAE7" s="338"/>
      <c r="FAF7" s="338"/>
      <c r="FAG7" s="338"/>
      <c r="FAH7" s="338"/>
      <c r="FAI7" s="338"/>
      <c r="FAJ7" s="338"/>
      <c r="FAK7" s="338"/>
      <c r="FAL7" s="338"/>
      <c r="FAM7" s="338"/>
      <c r="FAN7" s="338"/>
      <c r="FAO7" s="338"/>
      <c r="FAP7" s="338"/>
      <c r="FAQ7" s="338"/>
      <c r="FAR7" s="338"/>
      <c r="FAS7" s="338"/>
      <c r="FAT7" s="338"/>
      <c r="FAU7" s="338"/>
      <c r="FAV7" s="338"/>
      <c r="FAW7" s="338"/>
      <c r="FAX7" s="338"/>
      <c r="FAY7" s="338"/>
      <c r="FAZ7" s="338"/>
      <c r="FBA7" s="338"/>
      <c r="FBB7" s="338"/>
      <c r="FBC7" s="338"/>
      <c r="FBD7" s="338"/>
      <c r="FBE7" s="338"/>
      <c r="FBF7" s="338"/>
      <c r="FBG7" s="338"/>
      <c r="FBH7" s="338"/>
      <c r="FBI7" s="338"/>
      <c r="FBJ7" s="338"/>
      <c r="FBK7" s="338"/>
      <c r="FBL7" s="338"/>
      <c r="FBM7" s="338"/>
      <c r="FBN7" s="338"/>
      <c r="FBO7" s="338"/>
      <c r="FBP7" s="338"/>
      <c r="FBQ7" s="338"/>
      <c r="FBR7" s="338"/>
      <c r="FBS7" s="338"/>
      <c r="FBT7" s="338"/>
      <c r="FBU7" s="338"/>
      <c r="FBV7" s="338"/>
      <c r="FBW7" s="338"/>
      <c r="FBX7" s="338"/>
      <c r="FBY7" s="338"/>
      <c r="FBZ7" s="338"/>
      <c r="FCA7" s="338"/>
      <c r="FCB7" s="338"/>
      <c r="FCC7" s="338"/>
      <c r="FCD7" s="338"/>
      <c r="FCE7" s="338"/>
      <c r="FCF7" s="338"/>
      <c r="FCG7" s="338"/>
      <c r="FCH7" s="338"/>
      <c r="FCI7" s="338"/>
      <c r="FCJ7" s="338"/>
      <c r="FCK7" s="338"/>
      <c r="FCL7" s="338"/>
      <c r="FCM7" s="338"/>
      <c r="FCN7" s="338"/>
      <c r="FCO7" s="338"/>
      <c r="FCP7" s="338"/>
      <c r="FCQ7" s="338"/>
      <c r="FCR7" s="338"/>
      <c r="FCS7" s="338"/>
      <c r="FCT7" s="338"/>
      <c r="FCU7" s="338"/>
      <c r="FCV7" s="338"/>
      <c r="FCW7" s="338"/>
      <c r="FCX7" s="338"/>
      <c r="FCY7" s="338"/>
      <c r="FCZ7" s="338"/>
      <c r="FDA7" s="338"/>
      <c r="FDB7" s="338"/>
      <c r="FDC7" s="338"/>
      <c r="FDD7" s="338"/>
      <c r="FDE7" s="338"/>
      <c r="FDF7" s="338"/>
      <c r="FDG7" s="338"/>
      <c r="FDH7" s="338"/>
      <c r="FDI7" s="338"/>
      <c r="FDJ7" s="338"/>
      <c r="FDK7" s="338"/>
      <c r="FDL7" s="338"/>
      <c r="FDM7" s="338"/>
      <c r="FDN7" s="338"/>
      <c r="FDO7" s="338"/>
      <c r="FDP7" s="338"/>
      <c r="FDQ7" s="338"/>
      <c r="FDR7" s="338"/>
      <c r="FDS7" s="338"/>
      <c r="FDT7" s="338"/>
      <c r="FDU7" s="338"/>
      <c r="FDV7" s="338"/>
      <c r="FDW7" s="338"/>
      <c r="FDX7" s="338"/>
      <c r="FDY7" s="338"/>
      <c r="FDZ7" s="338"/>
      <c r="FEA7" s="338"/>
      <c r="FEB7" s="338"/>
      <c r="FEC7" s="338"/>
      <c r="FED7" s="338"/>
      <c r="FEE7" s="338"/>
      <c r="FEF7" s="338"/>
      <c r="FEG7" s="338"/>
      <c r="FEH7" s="338"/>
      <c r="FEI7" s="338"/>
      <c r="FEJ7" s="338"/>
      <c r="FEK7" s="338"/>
      <c r="FEL7" s="338"/>
      <c r="FEM7" s="338"/>
      <c r="FEN7" s="338"/>
      <c r="FEO7" s="338"/>
      <c r="FEP7" s="338"/>
      <c r="FEQ7" s="338"/>
      <c r="FER7" s="338"/>
      <c r="FES7" s="338"/>
      <c r="FET7" s="338"/>
      <c r="FEU7" s="338"/>
      <c r="FEV7" s="338"/>
      <c r="FEW7" s="338"/>
      <c r="FEX7" s="338"/>
      <c r="FEY7" s="338"/>
      <c r="FEZ7" s="338"/>
      <c r="FFA7" s="338"/>
      <c r="FFB7" s="338"/>
      <c r="FFC7" s="338"/>
      <c r="FFD7" s="338"/>
      <c r="FFE7" s="338"/>
      <c r="FFF7" s="338"/>
      <c r="FFG7" s="338"/>
      <c r="FFH7" s="338"/>
      <c r="FFI7" s="338"/>
      <c r="FFJ7" s="338"/>
      <c r="FFK7" s="338"/>
      <c r="FFL7" s="338"/>
      <c r="FFM7" s="338"/>
      <c r="FFN7" s="338"/>
      <c r="FFO7" s="338"/>
      <c r="FFP7" s="338"/>
      <c r="FFQ7" s="338"/>
      <c r="FFR7" s="338"/>
      <c r="FFS7" s="338"/>
      <c r="FFT7" s="338"/>
      <c r="FFU7" s="338"/>
      <c r="FFV7" s="338"/>
      <c r="FFW7" s="338"/>
      <c r="FFX7" s="338"/>
      <c r="FFY7" s="338"/>
      <c r="FFZ7" s="338"/>
      <c r="FGA7" s="338"/>
      <c r="FGB7" s="338"/>
      <c r="FGC7" s="338"/>
      <c r="FGD7" s="338"/>
      <c r="FGE7" s="338"/>
      <c r="FGF7" s="338"/>
      <c r="FGG7" s="338"/>
      <c r="FGH7" s="338"/>
      <c r="FGI7" s="338"/>
      <c r="FGJ7" s="338"/>
      <c r="FGK7" s="338"/>
      <c r="FGL7" s="338"/>
      <c r="FGM7" s="338"/>
      <c r="FGN7" s="338"/>
      <c r="FGO7" s="338"/>
      <c r="FGP7" s="338"/>
      <c r="FGQ7" s="338"/>
      <c r="FGR7" s="338"/>
      <c r="FGS7" s="338"/>
      <c r="FGT7" s="338"/>
      <c r="FGU7" s="338"/>
      <c r="FGV7" s="338"/>
      <c r="FGW7" s="338"/>
      <c r="FGX7" s="338"/>
      <c r="FGY7" s="338"/>
      <c r="FGZ7" s="338"/>
      <c r="FHA7" s="338"/>
      <c r="FHB7" s="338"/>
      <c r="FHC7" s="338"/>
      <c r="FHD7" s="338"/>
      <c r="FHE7" s="338"/>
      <c r="FHF7" s="338"/>
      <c r="FHG7" s="338"/>
      <c r="FHH7" s="338"/>
      <c r="FHI7" s="338"/>
      <c r="FHJ7" s="338"/>
      <c r="FHK7" s="338"/>
      <c r="FHL7" s="338"/>
      <c r="FHM7" s="338"/>
      <c r="FHN7" s="338"/>
      <c r="FHO7" s="338"/>
      <c r="FHP7" s="338"/>
      <c r="FHQ7" s="338"/>
      <c r="FHR7" s="338"/>
      <c r="FHS7" s="338"/>
      <c r="FHT7" s="338"/>
      <c r="FHU7" s="338"/>
      <c r="FHV7" s="338"/>
      <c r="FHW7" s="338"/>
      <c r="FHX7" s="338"/>
      <c r="FHY7" s="338"/>
      <c r="FHZ7" s="338"/>
      <c r="FIA7" s="338"/>
      <c r="FIB7" s="338"/>
      <c r="FIC7" s="338"/>
      <c r="FID7" s="338"/>
      <c r="FIE7" s="338"/>
      <c r="FIF7" s="338"/>
      <c r="FIG7" s="338"/>
      <c r="FIH7" s="338"/>
      <c r="FII7" s="338"/>
      <c r="FIJ7" s="338"/>
      <c r="FIK7" s="338"/>
      <c r="FIL7" s="338"/>
      <c r="FIM7" s="338"/>
      <c r="FIN7" s="338"/>
      <c r="FIO7" s="338"/>
      <c r="FIP7" s="338"/>
      <c r="FIQ7" s="338"/>
      <c r="FIR7" s="338"/>
      <c r="FIS7" s="338"/>
      <c r="FIT7" s="338"/>
      <c r="FIU7" s="338"/>
      <c r="FIV7" s="338"/>
      <c r="FIW7" s="338"/>
      <c r="FIX7" s="338"/>
      <c r="FIY7" s="338"/>
      <c r="FIZ7" s="338"/>
      <c r="FJA7" s="338"/>
      <c r="FJB7" s="338"/>
      <c r="FJC7" s="338"/>
      <c r="FJD7" s="338"/>
      <c r="FJE7" s="338"/>
      <c r="FJF7" s="338"/>
      <c r="FJG7" s="338"/>
      <c r="FJH7" s="338"/>
      <c r="FJI7" s="338"/>
      <c r="FJJ7" s="338"/>
      <c r="FJK7" s="338"/>
      <c r="FJL7" s="338"/>
      <c r="FJM7" s="338"/>
      <c r="FJN7" s="338"/>
      <c r="FJO7" s="338"/>
      <c r="FJP7" s="338"/>
      <c r="FJQ7" s="338"/>
      <c r="FJR7" s="338"/>
      <c r="FJS7" s="338"/>
      <c r="FJT7" s="338"/>
      <c r="FJU7" s="338"/>
      <c r="FJV7" s="338"/>
      <c r="FJW7" s="338"/>
      <c r="FJX7" s="338"/>
      <c r="FJY7" s="338"/>
      <c r="FJZ7" s="338"/>
      <c r="FKA7" s="338"/>
      <c r="FKB7" s="338"/>
      <c r="FKC7" s="338"/>
      <c r="FKD7" s="338"/>
      <c r="FKE7" s="338"/>
      <c r="FKF7" s="338"/>
      <c r="FKG7" s="338"/>
      <c r="FKH7" s="338"/>
      <c r="FKI7" s="338"/>
      <c r="FKJ7" s="338"/>
      <c r="FKK7" s="338"/>
      <c r="FKL7" s="338"/>
      <c r="FKM7" s="338"/>
      <c r="FKN7" s="338"/>
      <c r="FKO7" s="338"/>
      <c r="FKP7" s="338"/>
      <c r="FKQ7" s="338"/>
      <c r="FKR7" s="338"/>
      <c r="FKS7" s="338"/>
      <c r="FKT7" s="338"/>
      <c r="FKU7" s="338"/>
      <c r="FKV7" s="338"/>
      <c r="FKW7" s="338"/>
      <c r="FKX7" s="338"/>
      <c r="FKY7" s="338"/>
      <c r="FKZ7" s="338"/>
      <c r="FLA7" s="338"/>
      <c r="FLB7" s="338"/>
      <c r="FLC7" s="338"/>
      <c r="FLD7" s="338"/>
      <c r="FLE7" s="338"/>
      <c r="FLF7" s="338"/>
      <c r="FLG7" s="338"/>
      <c r="FLH7" s="338"/>
      <c r="FLI7" s="338"/>
      <c r="FLJ7" s="338"/>
      <c r="FLK7" s="338"/>
      <c r="FLL7" s="338"/>
      <c r="FLM7" s="338"/>
      <c r="FLN7" s="338"/>
      <c r="FLO7" s="338"/>
      <c r="FLP7" s="338"/>
      <c r="FLQ7" s="338"/>
      <c r="FLR7" s="338"/>
      <c r="FLS7" s="338"/>
      <c r="FLT7" s="338"/>
      <c r="FLU7" s="338"/>
      <c r="FLV7" s="338"/>
      <c r="FLW7" s="338"/>
      <c r="FLX7" s="338"/>
      <c r="FLY7" s="338"/>
      <c r="FLZ7" s="338"/>
      <c r="FMA7" s="338"/>
      <c r="FMB7" s="338"/>
      <c r="FMC7" s="338"/>
      <c r="FMD7" s="338"/>
      <c r="FME7" s="338"/>
      <c r="FMF7" s="338"/>
      <c r="FMG7" s="338"/>
      <c r="FMH7" s="338"/>
      <c r="FMI7" s="338"/>
      <c r="FMJ7" s="338"/>
      <c r="FMK7" s="338"/>
      <c r="FML7" s="338"/>
      <c r="FMM7" s="338"/>
      <c r="FMN7" s="338"/>
      <c r="FMO7" s="338"/>
      <c r="FMP7" s="338"/>
      <c r="FMQ7" s="338"/>
      <c r="FMR7" s="338"/>
      <c r="FMS7" s="338"/>
      <c r="FMT7" s="338"/>
      <c r="FMU7" s="338"/>
      <c r="FMV7" s="338"/>
      <c r="FMW7" s="338"/>
      <c r="FMX7" s="338"/>
      <c r="FMY7" s="338"/>
      <c r="FMZ7" s="338"/>
      <c r="FNA7" s="338"/>
      <c r="FNB7" s="338"/>
      <c r="FNC7" s="338"/>
      <c r="FND7" s="338"/>
      <c r="FNE7" s="338"/>
      <c r="FNF7" s="338"/>
      <c r="FNG7" s="338"/>
      <c r="FNH7" s="338"/>
      <c r="FNI7" s="338"/>
      <c r="FNJ7" s="338"/>
      <c r="FNK7" s="338"/>
      <c r="FNL7" s="338"/>
      <c r="FNM7" s="338"/>
      <c r="FNN7" s="338"/>
      <c r="FNO7" s="338"/>
      <c r="FNP7" s="338"/>
      <c r="FNQ7" s="338"/>
      <c r="FNR7" s="338"/>
      <c r="FNS7" s="338"/>
      <c r="FNT7" s="338"/>
      <c r="FNU7" s="338"/>
      <c r="FNV7" s="338"/>
      <c r="FNW7" s="338"/>
      <c r="FNX7" s="338"/>
      <c r="FNY7" s="338"/>
      <c r="FNZ7" s="338"/>
      <c r="FOA7" s="338"/>
      <c r="FOB7" s="338"/>
      <c r="FOC7" s="338"/>
      <c r="FOD7" s="338"/>
      <c r="FOE7" s="338"/>
      <c r="FOF7" s="338"/>
      <c r="FOG7" s="338"/>
      <c r="FOH7" s="338"/>
      <c r="FOI7" s="338"/>
      <c r="FOJ7" s="338"/>
      <c r="FOK7" s="338"/>
      <c r="FOL7" s="338"/>
      <c r="FOM7" s="338"/>
      <c r="FON7" s="338"/>
      <c r="FOO7" s="338"/>
      <c r="FOP7" s="338"/>
      <c r="FOQ7" s="338"/>
      <c r="FOR7" s="338"/>
      <c r="FOS7" s="338"/>
      <c r="FOT7" s="338"/>
      <c r="FOU7" s="338"/>
      <c r="FOV7" s="338"/>
      <c r="FOW7" s="338"/>
      <c r="FOX7" s="338"/>
      <c r="FOY7" s="338"/>
      <c r="FOZ7" s="338"/>
      <c r="FPA7" s="338"/>
      <c r="FPB7" s="338"/>
      <c r="FPC7" s="338"/>
      <c r="FPD7" s="338"/>
      <c r="FPE7" s="338"/>
      <c r="FPF7" s="338"/>
      <c r="FPG7" s="338"/>
      <c r="FPH7" s="338"/>
      <c r="FPI7" s="338"/>
      <c r="FPJ7" s="338"/>
      <c r="FPK7" s="338"/>
      <c r="FPL7" s="338"/>
      <c r="FPM7" s="338"/>
      <c r="FPN7" s="338"/>
      <c r="FPO7" s="338"/>
      <c r="FPP7" s="338"/>
      <c r="FPQ7" s="338"/>
      <c r="FPR7" s="338"/>
      <c r="FPS7" s="338"/>
      <c r="FPT7" s="338"/>
      <c r="FPU7" s="338"/>
      <c r="FPV7" s="338"/>
      <c r="FPW7" s="338"/>
      <c r="FPX7" s="338"/>
      <c r="FPY7" s="338"/>
      <c r="FPZ7" s="338"/>
      <c r="FQA7" s="338"/>
      <c r="FQB7" s="338"/>
      <c r="FQC7" s="338"/>
      <c r="FQD7" s="338"/>
      <c r="FQE7" s="338"/>
      <c r="FQF7" s="338"/>
      <c r="FQG7" s="338"/>
      <c r="FQH7" s="338"/>
      <c r="FQI7" s="338"/>
      <c r="FQJ7" s="338"/>
      <c r="FQK7" s="338"/>
      <c r="FQL7" s="338"/>
      <c r="FQM7" s="338"/>
      <c r="FQN7" s="338"/>
      <c r="FQO7" s="338"/>
      <c r="FQP7" s="338"/>
      <c r="FQQ7" s="338"/>
      <c r="FQR7" s="338"/>
      <c r="FQS7" s="338"/>
      <c r="FQT7" s="338"/>
      <c r="FQU7" s="338"/>
      <c r="FQV7" s="338"/>
      <c r="FQW7" s="338"/>
      <c r="FQX7" s="338"/>
      <c r="FQY7" s="338"/>
      <c r="FQZ7" s="338"/>
      <c r="FRA7" s="338"/>
      <c r="FRB7" s="338"/>
      <c r="FRC7" s="338"/>
      <c r="FRD7" s="338"/>
      <c r="FRE7" s="338"/>
      <c r="FRF7" s="338"/>
      <c r="FRG7" s="338"/>
      <c r="FRH7" s="338"/>
      <c r="FRI7" s="338"/>
      <c r="FRJ7" s="338"/>
      <c r="FRK7" s="338"/>
      <c r="FRL7" s="338"/>
      <c r="FRM7" s="338"/>
      <c r="FRN7" s="338"/>
      <c r="FRO7" s="338"/>
      <c r="FRP7" s="338"/>
      <c r="FRQ7" s="338"/>
      <c r="FRR7" s="338"/>
      <c r="FRS7" s="338"/>
      <c r="FRT7" s="338"/>
      <c r="FRU7" s="338"/>
      <c r="FRV7" s="338"/>
      <c r="FRW7" s="338"/>
      <c r="FRX7" s="338"/>
      <c r="FRY7" s="338"/>
      <c r="FRZ7" s="338"/>
      <c r="FSA7" s="338"/>
      <c r="FSB7" s="338"/>
      <c r="FSC7" s="338"/>
      <c r="FSD7" s="338"/>
      <c r="FSE7" s="338"/>
      <c r="FSF7" s="338"/>
      <c r="FSG7" s="338"/>
      <c r="FSH7" s="338"/>
      <c r="FSI7" s="338"/>
      <c r="FSJ7" s="338"/>
      <c r="FSK7" s="338"/>
      <c r="FSL7" s="338"/>
      <c r="FSM7" s="338"/>
      <c r="FSN7" s="338"/>
      <c r="FSO7" s="338"/>
      <c r="FSP7" s="338"/>
      <c r="FSQ7" s="338"/>
      <c r="FSR7" s="338"/>
      <c r="FSS7" s="338"/>
      <c r="FST7" s="338"/>
      <c r="FSU7" s="338"/>
      <c r="FSV7" s="338"/>
      <c r="FSW7" s="338"/>
      <c r="FSX7" s="338"/>
      <c r="FSY7" s="338"/>
      <c r="FSZ7" s="338"/>
      <c r="FTA7" s="338"/>
      <c r="FTB7" s="338"/>
      <c r="FTC7" s="338"/>
      <c r="FTD7" s="338"/>
      <c r="FTE7" s="338"/>
      <c r="FTF7" s="338"/>
      <c r="FTG7" s="338"/>
      <c r="FTH7" s="338"/>
      <c r="FTI7" s="338"/>
      <c r="FTJ7" s="338"/>
      <c r="FTK7" s="338"/>
      <c r="FTL7" s="338"/>
      <c r="FTM7" s="338"/>
      <c r="FTN7" s="338"/>
      <c r="FTO7" s="338"/>
      <c r="FTP7" s="338"/>
      <c r="FTQ7" s="338"/>
      <c r="FTR7" s="338"/>
      <c r="FTS7" s="338"/>
      <c r="FTT7" s="338"/>
      <c r="FTU7" s="338"/>
      <c r="FTV7" s="338"/>
      <c r="FTW7" s="338"/>
      <c r="FTX7" s="338"/>
      <c r="FTY7" s="338"/>
      <c r="FTZ7" s="338"/>
      <c r="FUA7" s="338"/>
      <c r="FUB7" s="338"/>
      <c r="FUC7" s="338"/>
      <c r="FUD7" s="338"/>
      <c r="FUE7" s="338"/>
      <c r="FUF7" s="338"/>
      <c r="FUG7" s="338"/>
      <c r="FUH7" s="338"/>
      <c r="FUI7" s="338"/>
      <c r="FUJ7" s="338"/>
      <c r="FUK7" s="338"/>
      <c r="FUL7" s="338"/>
      <c r="FUM7" s="338"/>
      <c r="FUN7" s="338"/>
      <c r="FUO7" s="338"/>
      <c r="FUP7" s="338"/>
      <c r="FUQ7" s="338"/>
      <c r="FUR7" s="338"/>
      <c r="FUS7" s="338"/>
      <c r="FUT7" s="338"/>
      <c r="FUU7" s="338"/>
      <c r="FUV7" s="338"/>
      <c r="FUW7" s="338"/>
      <c r="FUX7" s="338"/>
      <c r="FUY7" s="338"/>
      <c r="FUZ7" s="338"/>
      <c r="FVA7" s="338"/>
      <c r="FVB7" s="338"/>
      <c r="FVC7" s="338"/>
      <c r="FVD7" s="338"/>
      <c r="FVE7" s="338"/>
      <c r="FVF7" s="338"/>
      <c r="FVG7" s="338"/>
      <c r="FVH7" s="338"/>
      <c r="FVI7" s="338"/>
      <c r="FVJ7" s="338"/>
      <c r="FVK7" s="338"/>
      <c r="FVL7" s="338"/>
      <c r="FVM7" s="338"/>
      <c r="FVN7" s="338"/>
      <c r="FVO7" s="338"/>
      <c r="FVP7" s="338"/>
      <c r="FVQ7" s="338"/>
      <c r="FVR7" s="338"/>
      <c r="FVS7" s="338"/>
      <c r="FVT7" s="338"/>
      <c r="FVU7" s="338"/>
      <c r="FVV7" s="338"/>
      <c r="FVW7" s="338"/>
      <c r="FVX7" s="338"/>
      <c r="FVY7" s="338"/>
      <c r="FVZ7" s="338"/>
      <c r="FWA7" s="338"/>
      <c r="FWB7" s="338"/>
      <c r="FWC7" s="338"/>
      <c r="FWD7" s="338"/>
      <c r="FWE7" s="338"/>
      <c r="FWF7" s="338"/>
      <c r="FWG7" s="338"/>
      <c r="FWH7" s="338"/>
      <c r="FWI7" s="338"/>
      <c r="FWJ7" s="338"/>
      <c r="FWK7" s="338"/>
      <c r="FWL7" s="338"/>
      <c r="FWM7" s="338"/>
      <c r="FWN7" s="338"/>
      <c r="FWO7" s="338"/>
      <c r="FWP7" s="338"/>
      <c r="FWQ7" s="338"/>
      <c r="FWR7" s="338"/>
      <c r="FWS7" s="338"/>
      <c r="FWT7" s="338"/>
      <c r="FWU7" s="338"/>
      <c r="FWV7" s="338"/>
      <c r="FWW7" s="338"/>
      <c r="FWX7" s="338"/>
      <c r="FWY7" s="338"/>
      <c r="FWZ7" s="338"/>
      <c r="FXA7" s="338"/>
      <c r="FXB7" s="338"/>
      <c r="FXC7" s="338"/>
      <c r="FXD7" s="338"/>
      <c r="FXE7" s="338"/>
      <c r="FXF7" s="338"/>
      <c r="FXG7" s="338"/>
      <c r="FXH7" s="338"/>
      <c r="FXI7" s="338"/>
      <c r="FXJ7" s="338"/>
      <c r="FXK7" s="338"/>
      <c r="FXL7" s="338"/>
      <c r="FXM7" s="338"/>
      <c r="FXN7" s="338"/>
      <c r="FXO7" s="338"/>
      <c r="FXP7" s="338"/>
      <c r="FXQ7" s="338"/>
      <c r="FXR7" s="338"/>
      <c r="FXS7" s="338"/>
      <c r="FXT7" s="338"/>
      <c r="FXU7" s="338"/>
      <c r="FXV7" s="338"/>
      <c r="FXW7" s="338"/>
      <c r="FXX7" s="338"/>
      <c r="FXY7" s="338"/>
      <c r="FXZ7" s="338"/>
      <c r="FYA7" s="338"/>
      <c r="FYB7" s="338"/>
      <c r="FYC7" s="338"/>
      <c r="FYD7" s="338"/>
      <c r="FYE7" s="338"/>
      <c r="FYF7" s="338"/>
      <c r="FYG7" s="338"/>
      <c r="FYH7" s="338"/>
      <c r="FYI7" s="338"/>
      <c r="FYJ7" s="338"/>
      <c r="FYK7" s="338"/>
      <c r="FYL7" s="338"/>
      <c r="FYM7" s="338"/>
      <c r="FYN7" s="338"/>
      <c r="FYO7" s="338"/>
      <c r="FYP7" s="338"/>
      <c r="FYQ7" s="338"/>
      <c r="FYR7" s="338"/>
      <c r="FYS7" s="338"/>
      <c r="FYT7" s="338"/>
      <c r="FYU7" s="338"/>
      <c r="FYV7" s="338"/>
      <c r="FYW7" s="338"/>
      <c r="FYX7" s="338"/>
      <c r="FYY7" s="338"/>
      <c r="FYZ7" s="338"/>
      <c r="FZA7" s="338"/>
      <c r="FZB7" s="338"/>
      <c r="FZC7" s="338"/>
      <c r="FZD7" s="338"/>
      <c r="FZE7" s="338"/>
      <c r="FZF7" s="338"/>
      <c r="FZG7" s="338"/>
      <c r="FZH7" s="338"/>
      <c r="FZI7" s="338"/>
      <c r="FZJ7" s="338"/>
      <c r="FZK7" s="338"/>
      <c r="FZL7" s="338"/>
      <c r="FZM7" s="338"/>
      <c r="FZN7" s="338"/>
      <c r="FZO7" s="338"/>
      <c r="FZP7" s="338"/>
      <c r="FZQ7" s="338"/>
      <c r="FZR7" s="338"/>
      <c r="FZS7" s="338"/>
      <c r="FZT7" s="338"/>
      <c r="FZU7" s="338"/>
      <c r="FZV7" s="338"/>
      <c r="FZW7" s="338"/>
      <c r="FZX7" s="338"/>
      <c r="FZY7" s="338"/>
      <c r="FZZ7" s="338"/>
      <c r="GAA7" s="338"/>
      <c r="GAB7" s="338"/>
      <c r="GAC7" s="338"/>
      <c r="GAD7" s="338"/>
      <c r="GAE7" s="338"/>
      <c r="GAF7" s="338"/>
      <c r="GAG7" s="338"/>
      <c r="GAH7" s="338"/>
      <c r="GAI7" s="338"/>
      <c r="GAJ7" s="338"/>
      <c r="GAK7" s="338"/>
      <c r="GAL7" s="338"/>
      <c r="GAM7" s="338"/>
      <c r="GAN7" s="338"/>
      <c r="GAO7" s="338"/>
      <c r="GAP7" s="338"/>
      <c r="GAQ7" s="338"/>
      <c r="GAR7" s="338"/>
      <c r="GAS7" s="338"/>
      <c r="GAT7" s="338"/>
      <c r="GAU7" s="338"/>
      <c r="GAV7" s="338"/>
      <c r="GAW7" s="338"/>
      <c r="GAX7" s="338"/>
      <c r="GAY7" s="338"/>
      <c r="GAZ7" s="338"/>
      <c r="GBA7" s="338"/>
      <c r="GBB7" s="338"/>
      <c r="GBC7" s="338"/>
      <c r="GBD7" s="338"/>
      <c r="GBE7" s="338"/>
      <c r="GBF7" s="338"/>
      <c r="GBG7" s="338"/>
      <c r="GBH7" s="338"/>
      <c r="GBI7" s="338"/>
      <c r="GBJ7" s="338"/>
      <c r="GBK7" s="338"/>
      <c r="GBL7" s="338"/>
      <c r="GBM7" s="338"/>
      <c r="GBN7" s="338"/>
      <c r="GBO7" s="338"/>
      <c r="GBP7" s="338"/>
      <c r="GBQ7" s="338"/>
      <c r="GBR7" s="338"/>
      <c r="GBS7" s="338"/>
      <c r="GBT7" s="338"/>
      <c r="GBU7" s="338"/>
      <c r="GBV7" s="338"/>
      <c r="GBW7" s="338"/>
      <c r="GBX7" s="338"/>
      <c r="GBY7" s="338"/>
      <c r="GBZ7" s="338"/>
      <c r="GCA7" s="338"/>
      <c r="GCB7" s="338"/>
      <c r="GCC7" s="338"/>
      <c r="GCD7" s="338"/>
      <c r="GCE7" s="338"/>
      <c r="GCF7" s="338"/>
      <c r="GCG7" s="338"/>
      <c r="GCH7" s="338"/>
      <c r="GCI7" s="338"/>
      <c r="GCJ7" s="338"/>
      <c r="GCK7" s="338"/>
      <c r="GCL7" s="338"/>
      <c r="GCM7" s="338"/>
      <c r="GCN7" s="338"/>
      <c r="GCO7" s="338"/>
      <c r="GCP7" s="338"/>
      <c r="GCQ7" s="338"/>
      <c r="GCR7" s="338"/>
      <c r="GCS7" s="338"/>
      <c r="GCT7" s="338"/>
      <c r="GCU7" s="338"/>
      <c r="GCV7" s="338"/>
      <c r="GCW7" s="338"/>
      <c r="GCX7" s="338"/>
      <c r="GCY7" s="338"/>
      <c r="GCZ7" s="338"/>
      <c r="GDA7" s="338"/>
      <c r="GDB7" s="338"/>
      <c r="GDC7" s="338"/>
      <c r="GDD7" s="338"/>
      <c r="GDE7" s="338"/>
      <c r="GDF7" s="338"/>
      <c r="GDG7" s="338"/>
      <c r="GDH7" s="338"/>
      <c r="GDI7" s="338"/>
      <c r="GDJ7" s="338"/>
      <c r="GDK7" s="338"/>
      <c r="GDL7" s="338"/>
      <c r="GDM7" s="338"/>
      <c r="GDN7" s="338"/>
      <c r="GDO7" s="338"/>
      <c r="GDP7" s="338"/>
      <c r="GDQ7" s="338"/>
      <c r="GDR7" s="338"/>
      <c r="GDS7" s="338"/>
      <c r="GDT7" s="338"/>
      <c r="GDU7" s="338"/>
      <c r="GDV7" s="338"/>
      <c r="GDW7" s="338"/>
      <c r="GDX7" s="338"/>
      <c r="GDY7" s="338"/>
      <c r="GDZ7" s="338"/>
      <c r="GEA7" s="338"/>
      <c r="GEB7" s="338"/>
      <c r="GEC7" s="338"/>
      <c r="GED7" s="338"/>
      <c r="GEE7" s="338"/>
      <c r="GEF7" s="338"/>
      <c r="GEG7" s="338"/>
      <c r="GEH7" s="338"/>
      <c r="GEI7" s="338"/>
      <c r="GEJ7" s="338"/>
      <c r="GEK7" s="338"/>
      <c r="GEL7" s="338"/>
      <c r="GEM7" s="338"/>
      <c r="GEN7" s="338"/>
      <c r="GEO7" s="338"/>
      <c r="GEP7" s="338"/>
      <c r="GEQ7" s="338"/>
      <c r="GER7" s="338"/>
      <c r="GES7" s="338"/>
      <c r="GET7" s="338"/>
      <c r="GEU7" s="338"/>
      <c r="GEV7" s="338"/>
      <c r="GEW7" s="338"/>
      <c r="GEX7" s="338"/>
      <c r="GEY7" s="338"/>
      <c r="GEZ7" s="338"/>
      <c r="GFA7" s="338"/>
      <c r="GFB7" s="338"/>
      <c r="GFC7" s="338"/>
      <c r="GFD7" s="338"/>
      <c r="GFE7" s="338"/>
      <c r="GFF7" s="338"/>
      <c r="GFG7" s="338"/>
      <c r="GFH7" s="338"/>
      <c r="GFI7" s="338"/>
      <c r="GFJ7" s="338"/>
      <c r="GFK7" s="338"/>
      <c r="GFL7" s="338"/>
      <c r="GFM7" s="338"/>
      <c r="GFN7" s="338"/>
      <c r="GFO7" s="338"/>
      <c r="GFP7" s="338"/>
      <c r="GFQ7" s="338"/>
      <c r="GFR7" s="338"/>
      <c r="GFS7" s="338"/>
      <c r="GFT7" s="338"/>
      <c r="GFU7" s="338"/>
      <c r="GFV7" s="338"/>
      <c r="GFW7" s="338"/>
      <c r="GFX7" s="338"/>
      <c r="GFY7" s="338"/>
      <c r="GFZ7" s="338"/>
      <c r="GGA7" s="338"/>
      <c r="GGB7" s="338"/>
      <c r="GGC7" s="338"/>
      <c r="GGD7" s="338"/>
      <c r="GGE7" s="338"/>
      <c r="GGF7" s="338"/>
      <c r="GGG7" s="338"/>
      <c r="GGH7" s="338"/>
      <c r="GGI7" s="338"/>
      <c r="GGJ7" s="338"/>
      <c r="GGK7" s="338"/>
      <c r="GGL7" s="338"/>
      <c r="GGM7" s="338"/>
      <c r="GGN7" s="338"/>
      <c r="GGO7" s="338"/>
      <c r="GGP7" s="338"/>
      <c r="GGQ7" s="338"/>
      <c r="GGR7" s="338"/>
      <c r="GGS7" s="338"/>
      <c r="GGT7" s="338"/>
      <c r="GGU7" s="338"/>
      <c r="GGV7" s="338"/>
      <c r="GGW7" s="338"/>
      <c r="GGX7" s="338"/>
      <c r="GGY7" s="338"/>
      <c r="GGZ7" s="338"/>
      <c r="GHA7" s="338"/>
      <c r="GHB7" s="338"/>
      <c r="GHC7" s="338"/>
      <c r="GHD7" s="338"/>
      <c r="GHE7" s="338"/>
      <c r="GHF7" s="338"/>
      <c r="GHG7" s="338"/>
      <c r="GHH7" s="338"/>
      <c r="GHI7" s="338"/>
      <c r="GHJ7" s="338"/>
      <c r="GHK7" s="338"/>
      <c r="GHL7" s="338"/>
      <c r="GHM7" s="338"/>
      <c r="GHN7" s="338"/>
      <c r="GHO7" s="338"/>
      <c r="GHP7" s="338"/>
      <c r="GHQ7" s="338"/>
      <c r="GHR7" s="338"/>
      <c r="GHS7" s="338"/>
      <c r="GHT7" s="338"/>
      <c r="GHU7" s="338"/>
      <c r="GHV7" s="338"/>
      <c r="GHW7" s="338"/>
      <c r="GHX7" s="338"/>
      <c r="GHY7" s="338"/>
      <c r="GHZ7" s="338"/>
      <c r="GIA7" s="338"/>
      <c r="GIB7" s="338"/>
      <c r="GIC7" s="338"/>
      <c r="GID7" s="338"/>
      <c r="GIE7" s="338"/>
      <c r="GIF7" s="338"/>
      <c r="GIG7" s="338"/>
      <c r="GIH7" s="338"/>
      <c r="GII7" s="338"/>
      <c r="GIJ7" s="338"/>
      <c r="GIK7" s="338"/>
      <c r="GIL7" s="338"/>
      <c r="GIM7" s="338"/>
      <c r="GIN7" s="338"/>
      <c r="GIO7" s="338"/>
      <c r="GIP7" s="338"/>
      <c r="GIQ7" s="338"/>
      <c r="GIR7" s="338"/>
      <c r="GIS7" s="338"/>
      <c r="GIT7" s="338"/>
      <c r="GIU7" s="338"/>
      <c r="GIV7" s="338"/>
      <c r="GIW7" s="338"/>
      <c r="GIX7" s="338"/>
      <c r="GIY7" s="338"/>
      <c r="GIZ7" s="338"/>
      <c r="GJA7" s="338"/>
      <c r="GJB7" s="338"/>
      <c r="GJC7" s="338"/>
      <c r="GJD7" s="338"/>
      <c r="GJE7" s="338"/>
      <c r="GJF7" s="338"/>
      <c r="GJG7" s="338"/>
      <c r="GJH7" s="338"/>
      <c r="GJI7" s="338"/>
      <c r="GJJ7" s="338"/>
      <c r="GJK7" s="338"/>
      <c r="GJL7" s="338"/>
      <c r="GJM7" s="338"/>
      <c r="GJN7" s="338"/>
      <c r="GJO7" s="338"/>
      <c r="GJP7" s="338"/>
      <c r="GJQ7" s="338"/>
      <c r="GJR7" s="338"/>
      <c r="GJS7" s="338"/>
      <c r="GJT7" s="338"/>
      <c r="GJU7" s="338"/>
      <c r="GJV7" s="338"/>
      <c r="GJW7" s="338"/>
      <c r="GJX7" s="338"/>
      <c r="GJY7" s="338"/>
      <c r="GJZ7" s="338"/>
      <c r="GKA7" s="338"/>
      <c r="GKB7" s="338"/>
      <c r="GKC7" s="338"/>
      <c r="GKD7" s="338"/>
      <c r="GKE7" s="338"/>
      <c r="GKF7" s="338"/>
      <c r="GKG7" s="338"/>
      <c r="GKH7" s="338"/>
      <c r="GKI7" s="338"/>
      <c r="GKJ7" s="338"/>
      <c r="GKK7" s="338"/>
      <c r="GKL7" s="338"/>
      <c r="GKM7" s="338"/>
      <c r="GKN7" s="338"/>
      <c r="GKO7" s="338"/>
      <c r="GKP7" s="338"/>
      <c r="GKQ7" s="338"/>
      <c r="GKR7" s="338"/>
      <c r="GKS7" s="338"/>
      <c r="GKT7" s="338"/>
      <c r="GKU7" s="338"/>
      <c r="GKV7" s="338"/>
      <c r="GKW7" s="338"/>
      <c r="GKX7" s="338"/>
      <c r="GKY7" s="338"/>
      <c r="GKZ7" s="338"/>
      <c r="GLA7" s="338"/>
      <c r="GLB7" s="338"/>
      <c r="GLC7" s="338"/>
      <c r="GLD7" s="338"/>
      <c r="GLE7" s="338"/>
      <c r="GLF7" s="338"/>
      <c r="GLG7" s="338"/>
      <c r="GLH7" s="338"/>
      <c r="GLI7" s="338"/>
      <c r="GLJ7" s="338"/>
      <c r="GLK7" s="338"/>
      <c r="GLL7" s="338"/>
      <c r="GLM7" s="338"/>
      <c r="GLN7" s="338"/>
      <c r="GLO7" s="338"/>
      <c r="GLP7" s="338"/>
      <c r="GLQ7" s="338"/>
      <c r="GLR7" s="338"/>
      <c r="GLS7" s="338"/>
      <c r="GLT7" s="338"/>
      <c r="GLU7" s="338"/>
      <c r="GLV7" s="338"/>
      <c r="GLW7" s="338"/>
      <c r="GLX7" s="338"/>
      <c r="GLY7" s="338"/>
      <c r="GLZ7" s="338"/>
      <c r="GMA7" s="338"/>
      <c r="GMB7" s="338"/>
      <c r="GMC7" s="338"/>
      <c r="GMD7" s="338"/>
      <c r="GME7" s="338"/>
      <c r="GMF7" s="338"/>
      <c r="GMG7" s="338"/>
      <c r="GMH7" s="338"/>
      <c r="GMI7" s="338"/>
      <c r="GMJ7" s="338"/>
      <c r="GMK7" s="338"/>
      <c r="GML7" s="338"/>
      <c r="GMM7" s="338"/>
      <c r="GMN7" s="338"/>
      <c r="GMO7" s="338"/>
      <c r="GMP7" s="338"/>
      <c r="GMQ7" s="338"/>
      <c r="GMR7" s="338"/>
      <c r="GMS7" s="338"/>
      <c r="GMT7" s="338"/>
      <c r="GMU7" s="338"/>
      <c r="GMV7" s="338"/>
      <c r="GMW7" s="338"/>
      <c r="GMX7" s="338"/>
      <c r="GMY7" s="338"/>
      <c r="GMZ7" s="338"/>
      <c r="GNA7" s="338"/>
      <c r="GNB7" s="338"/>
      <c r="GNC7" s="338"/>
      <c r="GND7" s="338"/>
      <c r="GNE7" s="338"/>
      <c r="GNF7" s="338"/>
      <c r="GNG7" s="338"/>
      <c r="GNH7" s="338"/>
      <c r="GNI7" s="338"/>
      <c r="GNJ7" s="338"/>
      <c r="GNK7" s="338"/>
      <c r="GNL7" s="338"/>
      <c r="GNM7" s="338"/>
      <c r="GNN7" s="338"/>
      <c r="GNO7" s="338"/>
      <c r="GNP7" s="338"/>
      <c r="GNQ7" s="338"/>
      <c r="GNR7" s="338"/>
      <c r="GNS7" s="338"/>
      <c r="GNT7" s="338"/>
      <c r="GNU7" s="338"/>
      <c r="GNV7" s="338"/>
      <c r="GNW7" s="338"/>
      <c r="GNX7" s="338"/>
      <c r="GNY7" s="338"/>
      <c r="GNZ7" s="338"/>
      <c r="GOA7" s="338"/>
      <c r="GOB7" s="338"/>
      <c r="GOC7" s="338"/>
      <c r="GOD7" s="338"/>
      <c r="GOE7" s="338"/>
      <c r="GOF7" s="338"/>
      <c r="GOG7" s="338"/>
      <c r="GOH7" s="338"/>
      <c r="GOI7" s="338"/>
      <c r="GOJ7" s="338"/>
      <c r="GOK7" s="338"/>
      <c r="GOL7" s="338"/>
      <c r="GOM7" s="338"/>
      <c r="GON7" s="338"/>
      <c r="GOO7" s="338"/>
      <c r="GOP7" s="338"/>
      <c r="GOQ7" s="338"/>
      <c r="GOR7" s="338"/>
      <c r="GOS7" s="338"/>
      <c r="GOT7" s="338"/>
      <c r="GOU7" s="338"/>
      <c r="GOV7" s="338"/>
      <c r="GOW7" s="338"/>
      <c r="GOX7" s="338"/>
      <c r="GOY7" s="338"/>
      <c r="GOZ7" s="338"/>
      <c r="GPA7" s="338"/>
      <c r="GPB7" s="338"/>
      <c r="GPC7" s="338"/>
      <c r="GPD7" s="338"/>
      <c r="GPE7" s="338"/>
      <c r="GPF7" s="338"/>
      <c r="GPG7" s="338"/>
      <c r="GPH7" s="338"/>
      <c r="GPI7" s="338"/>
      <c r="GPJ7" s="338"/>
      <c r="GPK7" s="338"/>
      <c r="GPL7" s="338"/>
      <c r="GPM7" s="338"/>
      <c r="GPN7" s="338"/>
      <c r="GPO7" s="338"/>
      <c r="GPP7" s="338"/>
      <c r="GPQ7" s="338"/>
      <c r="GPR7" s="338"/>
      <c r="GPS7" s="338"/>
      <c r="GPT7" s="338"/>
      <c r="GPU7" s="338"/>
      <c r="GPV7" s="338"/>
      <c r="GPW7" s="338"/>
      <c r="GPX7" s="338"/>
      <c r="GPY7" s="338"/>
      <c r="GPZ7" s="338"/>
      <c r="GQA7" s="338"/>
      <c r="GQB7" s="338"/>
      <c r="GQC7" s="338"/>
      <c r="GQD7" s="338"/>
      <c r="GQE7" s="338"/>
      <c r="GQF7" s="338"/>
      <c r="GQG7" s="338"/>
      <c r="GQH7" s="338"/>
      <c r="GQI7" s="338"/>
      <c r="GQJ7" s="338"/>
      <c r="GQK7" s="338"/>
      <c r="GQL7" s="338"/>
      <c r="GQM7" s="338"/>
      <c r="GQN7" s="338"/>
      <c r="GQO7" s="338"/>
      <c r="GQP7" s="338"/>
      <c r="GQQ7" s="338"/>
      <c r="GQR7" s="338"/>
      <c r="GQS7" s="338"/>
      <c r="GQT7" s="338"/>
      <c r="GQU7" s="338"/>
      <c r="GQV7" s="338"/>
      <c r="GQW7" s="338"/>
      <c r="GQX7" s="338"/>
      <c r="GQY7" s="338"/>
      <c r="GQZ7" s="338"/>
      <c r="GRA7" s="338"/>
      <c r="GRB7" s="338"/>
      <c r="GRC7" s="338"/>
      <c r="GRD7" s="338"/>
      <c r="GRE7" s="338"/>
      <c r="GRF7" s="338"/>
      <c r="GRG7" s="338"/>
      <c r="GRH7" s="338"/>
      <c r="GRI7" s="338"/>
      <c r="GRJ7" s="338"/>
      <c r="GRK7" s="338"/>
      <c r="GRL7" s="338"/>
      <c r="GRM7" s="338"/>
      <c r="GRN7" s="338"/>
      <c r="GRO7" s="338"/>
      <c r="GRP7" s="338"/>
      <c r="GRQ7" s="338"/>
      <c r="GRR7" s="338"/>
      <c r="GRS7" s="338"/>
      <c r="GRT7" s="338"/>
      <c r="GRU7" s="338"/>
      <c r="GRV7" s="338"/>
      <c r="GRW7" s="338"/>
      <c r="GRX7" s="338"/>
      <c r="GRY7" s="338"/>
      <c r="GRZ7" s="338"/>
      <c r="GSA7" s="338"/>
      <c r="GSB7" s="338"/>
      <c r="GSC7" s="338"/>
      <c r="GSD7" s="338"/>
      <c r="GSE7" s="338"/>
      <c r="GSF7" s="338"/>
      <c r="GSG7" s="338"/>
      <c r="GSH7" s="338"/>
      <c r="GSI7" s="338"/>
      <c r="GSJ7" s="338"/>
      <c r="GSK7" s="338"/>
      <c r="GSL7" s="338"/>
      <c r="GSM7" s="338"/>
      <c r="GSN7" s="338"/>
      <c r="GSO7" s="338"/>
      <c r="GSP7" s="338"/>
      <c r="GSQ7" s="338"/>
      <c r="GSR7" s="338"/>
      <c r="GSS7" s="338"/>
      <c r="GST7" s="338"/>
      <c r="GSU7" s="338"/>
      <c r="GSV7" s="338"/>
      <c r="GSW7" s="338"/>
      <c r="GSX7" s="338"/>
      <c r="GSY7" s="338"/>
      <c r="GSZ7" s="338"/>
      <c r="GTA7" s="338"/>
      <c r="GTB7" s="338"/>
      <c r="GTC7" s="338"/>
      <c r="GTD7" s="338"/>
      <c r="GTE7" s="338"/>
      <c r="GTF7" s="338"/>
      <c r="GTG7" s="338"/>
      <c r="GTH7" s="338"/>
      <c r="GTI7" s="338"/>
      <c r="GTJ7" s="338"/>
      <c r="GTK7" s="338"/>
      <c r="GTL7" s="338"/>
      <c r="GTM7" s="338"/>
      <c r="GTN7" s="338"/>
      <c r="GTO7" s="338"/>
      <c r="GTP7" s="338"/>
      <c r="GTQ7" s="338"/>
      <c r="GTR7" s="338"/>
      <c r="GTS7" s="338"/>
      <c r="GTT7" s="338"/>
      <c r="GTU7" s="338"/>
      <c r="GTV7" s="338"/>
      <c r="GTW7" s="338"/>
      <c r="GTX7" s="338"/>
      <c r="GTY7" s="338"/>
      <c r="GTZ7" s="338"/>
      <c r="GUA7" s="338"/>
      <c r="GUB7" s="338"/>
      <c r="GUC7" s="338"/>
      <c r="GUD7" s="338"/>
      <c r="GUE7" s="338"/>
      <c r="GUF7" s="338"/>
      <c r="GUG7" s="338"/>
      <c r="GUH7" s="338"/>
      <c r="GUI7" s="338"/>
      <c r="GUJ7" s="338"/>
      <c r="GUK7" s="338"/>
      <c r="GUL7" s="338"/>
      <c r="GUM7" s="338"/>
      <c r="GUN7" s="338"/>
      <c r="GUO7" s="338"/>
      <c r="GUP7" s="338"/>
      <c r="GUQ7" s="338"/>
      <c r="GUR7" s="338"/>
      <c r="GUS7" s="338"/>
      <c r="GUT7" s="338"/>
      <c r="GUU7" s="338"/>
      <c r="GUV7" s="338"/>
      <c r="GUW7" s="338"/>
      <c r="GUX7" s="338"/>
      <c r="GUY7" s="338"/>
      <c r="GUZ7" s="338"/>
      <c r="GVA7" s="338"/>
      <c r="GVB7" s="338"/>
      <c r="GVC7" s="338"/>
      <c r="GVD7" s="338"/>
      <c r="GVE7" s="338"/>
      <c r="GVF7" s="338"/>
      <c r="GVG7" s="338"/>
      <c r="GVH7" s="338"/>
      <c r="GVI7" s="338"/>
      <c r="GVJ7" s="338"/>
      <c r="GVK7" s="338"/>
      <c r="GVL7" s="338"/>
      <c r="GVM7" s="338"/>
      <c r="GVN7" s="338"/>
      <c r="GVO7" s="338"/>
      <c r="GVP7" s="338"/>
      <c r="GVQ7" s="338"/>
      <c r="GVR7" s="338"/>
      <c r="GVS7" s="338"/>
      <c r="GVT7" s="338"/>
      <c r="GVU7" s="338"/>
      <c r="GVV7" s="338"/>
      <c r="GVW7" s="338"/>
      <c r="GVX7" s="338"/>
      <c r="GVY7" s="338"/>
      <c r="GVZ7" s="338"/>
      <c r="GWA7" s="338"/>
      <c r="GWB7" s="338"/>
      <c r="GWC7" s="338"/>
      <c r="GWD7" s="338"/>
      <c r="GWE7" s="338"/>
      <c r="GWF7" s="338"/>
      <c r="GWG7" s="338"/>
      <c r="GWH7" s="338"/>
      <c r="GWI7" s="338"/>
      <c r="GWJ7" s="338"/>
      <c r="GWK7" s="338"/>
      <c r="GWL7" s="338"/>
      <c r="GWM7" s="338"/>
      <c r="GWN7" s="338"/>
      <c r="GWO7" s="338"/>
      <c r="GWP7" s="338"/>
      <c r="GWQ7" s="338"/>
      <c r="GWR7" s="338"/>
      <c r="GWS7" s="338"/>
      <c r="GWT7" s="338"/>
      <c r="GWU7" s="338"/>
      <c r="GWV7" s="338"/>
      <c r="GWW7" s="338"/>
      <c r="GWX7" s="338"/>
      <c r="GWY7" s="338"/>
      <c r="GWZ7" s="338"/>
      <c r="GXA7" s="338"/>
      <c r="GXB7" s="338"/>
      <c r="GXC7" s="338"/>
      <c r="GXD7" s="338"/>
      <c r="GXE7" s="338"/>
      <c r="GXF7" s="338"/>
      <c r="GXG7" s="338"/>
      <c r="GXH7" s="338"/>
      <c r="GXI7" s="338"/>
      <c r="GXJ7" s="338"/>
      <c r="GXK7" s="338"/>
      <c r="GXL7" s="338"/>
      <c r="GXM7" s="338"/>
      <c r="GXN7" s="338"/>
      <c r="GXO7" s="338"/>
      <c r="GXP7" s="338"/>
      <c r="GXQ7" s="338"/>
      <c r="GXR7" s="338"/>
      <c r="GXS7" s="338"/>
      <c r="GXT7" s="338"/>
      <c r="GXU7" s="338"/>
      <c r="GXV7" s="338"/>
      <c r="GXW7" s="338"/>
      <c r="GXX7" s="338"/>
      <c r="GXY7" s="338"/>
      <c r="GXZ7" s="338"/>
      <c r="GYA7" s="338"/>
      <c r="GYB7" s="338"/>
      <c r="GYC7" s="338"/>
      <c r="GYD7" s="338"/>
      <c r="GYE7" s="338"/>
      <c r="GYF7" s="338"/>
      <c r="GYG7" s="338"/>
      <c r="GYH7" s="338"/>
      <c r="GYI7" s="338"/>
      <c r="GYJ7" s="338"/>
      <c r="GYK7" s="338"/>
      <c r="GYL7" s="338"/>
      <c r="GYM7" s="338"/>
      <c r="GYN7" s="338"/>
      <c r="GYO7" s="338"/>
      <c r="GYP7" s="338"/>
      <c r="GYQ7" s="338"/>
      <c r="GYR7" s="338"/>
      <c r="GYS7" s="338"/>
      <c r="GYT7" s="338"/>
      <c r="GYU7" s="338"/>
      <c r="GYV7" s="338"/>
      <c r="GYW7" s="338"/>
      <c r="GYX7" s="338"/>
      <c r="GYY7" s="338"/>
      <c r="GYZ7" s="338"/>
      <c r="GZA7" s="338"/>
      <c r="GZB7" s="338"/>
      <c r="GZC7" s="338"/>
      <c r="GZD7" s="338"/>
      <c r="GZE7" s="338"/>
      <c r="GZF7" s="338"/>
      <c r="GZG7" s="338"/>
      <c r="GZH7" s="338"/>
      <c r="GZI7" s="338"/>
      <c r="GZJ7" s="338"/>
      <c r="GZK7" s="338"/>
      <c r="GZL7" s="338"/>
      <c r="GZM7" s="338"/>
      <c r="GZN7" s="338"/>
      <c r="GZO7" s="338"/>
      <c r="GZP7" s="338"/>
      <c r="GZQ7" s="338"/>
      <c r="GZR7" s="338"/>
      <c r="GZS7" s="338"/>
      <c r="GZT7" s="338"/>
      <c r="GZU7" s="338"/>
      <c r="GZV7" s="338"/>
      <c r="GZW7" s="338"/>
      <c r="GZX7" s="338"/>
      <c r="GZY7" s="338"/>
      <c r="GZZ7" s="338"/>
      <c r="HAA7" s="338"/>
      <c r="HAB7" s="338"/>
      <c r="HAC7" s="338"/>
      <c r="HAD7" s="338"/>
      <c r="HAE7" s="338"/>
      <c r="HAF7" s="338"/>
      <c r="HAG7" s="338"/>
      <c r="HAH7" s="338"/>
      <c r="HAI7" s="338"/>
      <c r="HAJ7" s="338"/>
      <c r="HAK7" s="338"/>
      <c r="HAL7" s="338"/>
      <c r="HAM7" s="338"/>
      <c r="HAN7" s="338"/>
      <c r="HAO7" s="338"/>
      <c r="HAP7" s="338"/>
      <c r="HAQ7" s="338"/>
      <c r="HAR7" s="338"/>
      <c r="HAS7" s="338"/>
      <c r="HAT7" s="338"/>
      <c r="HAU7" s="338"/>
      <c r="HAV7" s="338"/>
      <c r="HAW7" s="338"/>
      <c r="HAX7" s="338"/>
      <c r="HAY7" s="338"/>
      <c r="HAZ7" s="338"/>
      <c r="HBA7" s="338"/>
      <c r="HBB7" s="338"/>
      <c r="HBC7" s="338"/>
      <c r="HBD7" s="338"/>
      <c r="HBE7" s="338"/>
      <c r="HBF7" s="338"/>
      <c r="HBG7" s="338"/>
      <c r="HBH7" s="338"/>
      <c r="HBI7" s="338"/>
      <c r="HBJ7" s="338"/>
      <c r="HBK7" s="338"/>
      <c r="HBL7" s="338"/>
      <c r="HBM7" s="338"/>
      <c r="HBN7" s="338"/>
      <c r="HBO7" s="338"/>
      <c r="HBP7" s="338"/>
      <c r="HBQ7" s="338"/>
      <c r="HBR7" s="338"/>
      <c r="HBS7" s="338"/>
      <c r="HBT7" s="338"/>
      <c r="HBU7" s="338"/>
      <c r="HBV7" s="338"/>
      <c r="HBW7" s="338"/>
      <c r="HBX7" s="338"/>
      <c r="HBY7" s="338"/>
      <c r="HBZ7" s="338"/>
      <c r="HCA7" s="338"/>
      <c r="HCB7" s="338"/>
      <c r="HCC7" s="338"/>
      <c r="HCD7" s="338"/>
      <c r="HCE7" s="338"/>
      <c r="HCF7" s="338"/>
      <c r="HCG7" s="338"/>
      <c r="HCH7" s="338"/>
      <c r="HCI7" s="338"/>
      <c r="HCJ7" s="338"/>
      <c r="HCK7" s="338"/>
      <c r="HCL7" s="338"/>
      <c r="HCM7" s="338"/>
      <c r="HCN7" s="338"/>
      <c r="HCO7" s="338"/>
      <c r="HCP7" s="338"/>
      <c r="HCQ7" s="338"/>
      <c r="HCR7" s="338"/>
      <c r="HCS7" s="338"/>
      <c r="HCT7" s="338"/>
      <c r="HCU7" s="338"/>
      <c r="HCV7" s="338"/>
      <c r="HCW7" s="338"/>
      <c r="HCX7" s="338"/>
      <c r="HCY7" s="338"/>
      <c r="HCZ7" s="338"/>
      <c r="HDA7" s="338"/>
      <c r="HDB7" s="338"/>
      <c r="HDC7" s="338"/>
      <c r="HDD7" s="338"/>
      <c r="HDE7" s="338"/>
      <c r="HDF7" s="338"/>
      <c r="HDG7" s="338"/>
      <c r="HDH7" s="338"/>
      <c r="HDI7" s="338"/>
      <c r="HDJ7" s="338"/>
      <c r="HDK7" s="338"/>
      <c r="HDL7" s="338"/>
      <c r="HDM7" s="338"/>
      <c r="HDN7" s="338"/>
      <c r="HDO7" s="338"/>
      <c r="HDP7" s="338"/>
      <c r="HDQ7" s="338"/>
      <c r="HDR7" s="338"/>
      <c r="HDS7" s="338"/>
      <c r="HDT7" s="338"/>
      <c r="HDU7" s="338"/>
      <c r="HDV7" s="338"/>
      <c r="HDW7" s="338"/>
      <c r="HDX7" s="338"/>
      <c r="HDY7" s="338"/>
      <c r="HDZ7" s="338"/>
      <c r="HEA7" s="338"/>
      <c r="HEB7" s="338"/>
      <c r="HEC7" s="338"/>
      <c r="HED7" s="338"/>
      <c r="HEE7" s="338"/>
      <c r="HEF7" s="338"/>
      <c r="HEG7" s="338"/>
      <c r="HEH7" s="338"/>
      <c r="HEI7" s="338"/>
      <c r="HEJ7" s="338"/>
      <c r="HEK7" s="338"/>
      <c r="HEL7" s="338"/>
      <c r="HEM7" s="338"/>
      <c r="HEN7" s="338"/>
      <c r="HEO7" s="338"/>
      <c r="HEP7" s="338"/>
      <c r="HEQ7" s="338"/>
      <c r="HER7" s="338"/>
      <c r="HES7" s="338"/>
      <c r="HET7" s="338"/>
      <c r="HEU7" s="338"/>
      <c r="HEV7" s="338"/>
      <c r="HEW7" s="338"/>
      <c r="HEX7" s="338"/>
      <c r="HEY7" s="338"/>
      <c r="HEZ7" s="338"/>
      <c r="HFA7" s="338"/>
      <c r="HFB7" s="338"/>
      <c r="HFC7" s="338"/>
      <c r="HFD7" s="338"/>
      <c r="HFE7" s="338"/>
      <c r="HFF7" s="338"/>
      <c r="HFG7" s="338"/>
      <c r="HFH7" s="338"/>
      <c r="HFI7" s="338"/>
      <c r="HFJ7" s="338"/>
      <c r="HFK7" s="338"/>
      <c r="HFL7" s="338"/>
      <c r="HFM7" s="338"/>
      <c r="HFN7" s="338"/>
      <c r="HFO7" s="338"/>
      <c r="HFP7" s="338"/>
      <c r="HFQ7" s="338"/>
      <c r="HFR7" s="338"/>
      <c r="HFS7" s="338"/>
      <c r="HFT7" s="338"/>
      <c r="HFU7" s="338"/>
      <c r="HFV7" s="338"/>
      <c r="HFW7" s="338"/>
      <c r="HFX7" s="338"/>
      <c r="HFY7" s="338"/>
      <c r="HFZ7" s="338"/>
      <c r="HGA7" s="338"/>
      <c r="HGB7" s="338"/>
      <c r="HGC7" s="338"/>
      <c r="HGD7" s="338"/>
      <c r="HGE7" s="338"/>
      <c r="HGF7" s="338"/>
      <c r="HGG7" s="338"/>
      <c r="HGH7" s="338"/>
      <c r="HGI7" s="338"/>
      <c r="HGJ7" s="338"/>
      <c r="HGK7" s="338"/>
      <c r="HGL7" s="338"/>
      <c r="HGM7" s="338"/>
      <c r="HGN7" s="338"/>
      <c r="HGO7" s="338"/>
      <c r="HGP7" s="338"/>
      <c r="HGQ7" s="338"/>
      <c r="HGR7" s="338"/>
      <c r="HGS7" s="338"/>
      <c r="HGT7" s="338"/>
      <c r="HGU7" s="338"/>
      <c r="HGV7" s="338"/>
      <c r="HGW7" s="338"/>
      <c r="HGX7" s="338"/>
      <c r="HGY7" s="338"/>
      <c r="HGZ7" s="338"/>
      <c r="HHA7" s="338"/>
      <c r="HHB7" s="338"/>
      <c r="HHC7" s="338"/>
      <c r="HHD7" s="338"/>
      <c r="HHE7" s="338"/>
      <c r="HHF7" s="338"/>
      <c r="HHG7" s="338"/>
      <c r="HHH7" s="338"/>
      <c r="HHI7" s="338"/>
      <c r="HHJ7" s="338"/>
      <c r="HHK7" s="338"/>
      <c r="HHL7" s="338"/>
      <c r="HHM7" s="338"/>
      <c r="HHN7" s="338"/>
      <c r="HHO7" s="338"/>
      <c r="HHP7" s="338"/>
      <c r="HHQ7" s="338"/>
      <c r="HHR7" s="338"/>
      <c r="HHS7" s="338"/>
      <c r="HHT7" s="338"/>
      <c r="HHU7" s="338"/>
      <c r="HHV7" s="338"/>
      <c r="HHW7" s="338"/>
      <c r="HHX7" s="338"/>
      <c r="HHY7" s="338"/>
      <c r="HHZ7" s="338"/>
      <c r="HIA7" s="338"/>
      <c r="HIB7" s="338"/>
      <c r="HIC7" s="338"/>
      <c r="HID7" s="338"/>
      <c r="HIE7" s="338"/>
      <c r="HIF7" s="338"/>
      <c r="HIG7" s="338"/>
      <c r="HIH7" s="338"/>
      <c r="HII7" s="338"/>
      <c r="HIJ7" s="338"/>
      <c r="HIK7" s="338"/>
      <c r="HIL7" s="338"/>
      <c r="HIM7" s="338"/>
      <c r="HIN7" s="338"/>
      <c r="HIO7" s="338"/>
      <c r="HIP7" s="338"/>
      <c r="HIQ7" s="338"/>
      <c r="HIR7" s="338"/>
      <c r="HIS7" s="338"/>
      <c r="HIT7" s="338"/>
      <c r="HIU7" s="338"/>
      <c r="HIV7" s="338"/>
      <c r="HIW7" s="338"/>
      <c r="HIX7" s="338"/>
      <c r="HIY7" s="338"/>
      <c r="HIZ7" s="338"/>
      <c r="HJA7" s="338"/>
      <c r="HJB7" s="338"/>
      <c r="HJC7" s="338"/>
      <c r="HJD7" s="338"/>
      <c r="HJE7" s="338"/>
      <c r="HJF7" s="338"/>
      <c r="HJG7" s="338"/>
      <c r="HJH7" s="338"/>
      <c r="HJI7" s="338"/>
      <c r="HJJ7" s="338"/>
      <c r="HJK7" s="338"/>
      <c r="HJL7" s="338"/>
      <c r="HJM7" s="338"/>
      <c r="HJN7" s="338"/>
      <c r="HJO7" s="338"/>
      <c r="HJP7" s="338"/>
      <c r="HJQ7" s="338"/>
      <c r="HJR7" s="338"/>
      <c r="HJS7" s="338"/>
      <c r="HJT7" s="338"/>
      <c r="HJU7" s="338"/>
      <c r="HJV7" s="338"/>
      <c r="HJW7" s="338"/>
      <c r="HJX7" s="338"/>
      <c r="HJY7" s="338"/>
      <c r="HJZ7" s="338"/>
      <c r="HKA7" s="338"/>
      <c r="HKB7" s="338"/>
      <c r="HKC7" s="338"/>
      <c r="HKD7" s="338"/>
      <c r="HKE7" s="338"/>
      <c r="HKF7" s="338"/>
      <c r="HKG7" s="338"/>
      <c r="HKH7" s="338"/>
      <c r="HKI7" s="338"/>
      <c r="HKJ7" s="338"/>
      <c r="HKK7" s="338"/>
      <c r="HKL7" s="338"/>
      <c r="HKM7" s="338"/>
      <c r="HKN7" s="338"/>
      <c r="HKO7" s="338"/>
      <c r="HKP7" s="338"/>
      <c r="HKQ7" s="338"/>
      <c r="HKR7" s="338"/>
      <c r="HKS7" s="338"/>
      <c r="HKT7" s="338"/>
      <c r="HKU7" s="338"/>
      <c r="HKV7" s="338"/>
      <c r="HKW7" s="338"/>
      <c r="HKX7" s="338"/>
      <c r="HKY7" s="338"/>
      <c r="HKZ7" s="338"/>
      <c r="HLA7" s="338"/>
      <c r="HLB7" s="338"/>
      <c r="HLC7" s="338"/>
      <c r="HLD7" s="338"/>
      <c r="HLE7" s="338"/>
      <c r="HLF7" s="338"/>
      <c r="HLG7" s="338"/>
      <c r="HLH7" s="338"/>
      <c r="HLI7" s="338"/>
      <c r="HLJ7" s="338"/>
      <c r="HLK7" s="338"/>
      <c r="HLL7" s="338"/>
      <c r="HLM7" s="338"/>
      <c r="HLN7" s="338"/>
      <c r="HLO7" s="338"/>
      <c r="HLP7" s="338"/>
      <c r="HLQ7" s="338"/>
      <c r="HLR7" s="338"/>
      <c r="HLS7" s="338"/>
      <c r="HLT7" s="338"/>
      <c r="HLU7" s="338"/>
      <c r="HLV7" s="338"/>
      <c r="HLW7" s="338"/>
      <c r="HLX7" s="338"/>
      <c r="HLY7" s="338"/>
      <c r="HLZ7" s="338"/>
      <c r="HMA7" s="338"/>
      <c r="HMB7" s="338"/>
      <c r="HMC7" s="338"/>
      <c r="HMD7" s="338"/>
      <c r="HME7" s="338"/>
      <c r="HMF7" s="338"/>
      <c r="HMG7" s="338"/>
      <c r="HMH7" s="338"/>
      <c r="HMI7" s="338"/>
      <c r="HMJ7" s="338"/>
      <c r="HMK7" s="338"/>
      <c r="HML7" s="338"/>
      <c r="HMM7" s="338"/>
      <c r="HMN7" s="338"/>
      <c r="HMO7" s="338"/>
      <c r="HMP7" s="338"/>
      <c r="HMQ7" s="338"/>
      <c r="HMR7" s="338"/>
      <c r="HMS7" s="338"/>
      <c r="HMT7" s="338"/>
      <c r="HMU7" s="338"/>
      <c r="HMV7" s="338"/>
      <c r="HMW7" s="338"/>
      <c r="HMX7" s="338"/>
      <c r="HMY7" s="338"/>
      <c r="HMZ7" s="338"/>
      <c r="HNA7" s="338"/>
      <c r="HNB7" s="338"/>
      <c r="HNC7" s="338"/>
      <c r="HND7" s="338"/>
      <c r="HNE7" s="338"/>
      <c r="HNF7" s="338"/>
      <c r="HNG7" s="338"/>
      <c r="HNH7" s="338"/>
      <c r="HNI7" s="338"/>
      <c r="HNJ7" s="338"/>
      <c r="HNK7" s="338"/>
      <c r="HNL7" s="338"/>
      <c r="HNM7" s="338"/>
      <c r="HNN7" s="338"/>
      <c r="HNO7" s="338"/>
      <c r="HNP7" s="338"/>
      <c r="HNQ7" s="338"/>
      <c r="HNR7" s="338"/>
      <c r="HNS7" s="338"/>
      <c r="HNT7" s="338"/>
      <c r="HNU7" s="338"/>
      <c r="HNV7" s="338"/>
      <c r="HNW7" s="338"/>
      <c r="HNX7" s="338"/>
      <c r="HNY7" s="338"/>
      <c r="HNZ7" s="338"/>
      <c r="HOA7" s="338"/>
      <c r="HOB7" s="338"/>
      <c r="HOC7" s="338"/>
      <c r="HOD7" s="338"/>
      <c r="HOE7" s="338"/>
      <c r="HOF7" s="338"/>
      <c r="HOG7" s="338"/>
      <c r="HOH7" s="338"/>
      <c r="HOI7" s="338"/>
      <c r="HOJ7" s="338"/>
      <c r="HOK7" s="338"/>
      <c r="HOL7" s="338"/>
      <c r="HOM7" s="338"/>
      <c r="HON7" s="338"/>
      <c r="HOO7" s="338"/>
      <c r="HOP7" s="338"/>
      <c r="HOQ7" s="338"/>
      <c r="HOR7" s="338"/>
      <c r="HOS7" s="338"/>
      <c r="HOT7" s="338"/>
      <c r="HOU7" s="338"/>
      <c r="HOV7" s="338"/>
      <c r="HOW7" s="338"/>
      <c r="HOX7" s="338"/>
      <c r="HOY7" s="338"/>
      <c r="HOZ7" s="338"/>
      <c r="HPA7" s="338"/>
      <c r="HPB7" s="338"/>
      <c r="HPC7" s="338"/>
      <c r="HPD7" s="338"/>
      <c r="HPE7" s="338"/>
      <c r="HPF7" s="338"/>
      <c r="HPG7" s="338"/>
      <c r="HPH7" s="338"/>
      <c r="HPI7" s="338"/>
      <c r="HPJ7" s="338"/>
      <c r="HPK7" s="338"/>
      <c r="HPL7" s="338"/>
      <c r="HPM7" s="338"/>
      <c r="HPN7" s="338"/>
      <c r="HPO7" s="338"/>
      <c r="HPP7" s="338"/>
      <c r="HPQ7" s="338"/>
      <c r="HPR7" s="338"/>
      <c r="HPS7" s="338"/>
      <c r="HPT7" s="338"/>
      <c r="HPU7" s="338"/>
      <c r="HPV7" s="338"/>
      <c r="HPW7" s="338"/>
      <c r="HPX7" s="338"/>
      <c r="HPY7" s="338"/>
      <c r="HPZ7" s="338"/>
      <c r="HQA7" s="338"/>
      <c r="HQB7" s="338"/>
      <c r="HQC7" s="338"/>
      <c r="HQD7" s="338"/>
      <c r="HQE7" s="338"/>
      <c r="HQF7" s="338"/>
      <c r="HQG7" s="338"/>
      <c r="HQH7" s="338"/>
      <c r="HQI7" s="338"/>
      <c r="HQJ7" s="338"/>
      <c r="HQK7" s="338"/>
      <c r="HQL7" s="338"/>
      <c r="HQM7" s="338"/>
      <c r="HQN7" s="338"/>
      <c r="HQO7" s="338"/>
      <c r="HQP7" s="338"/>
      <c r="HQQ7" s="338"/>
      <c r="HQR7" s="338"/>
      <c r="HQS7" s="338"/>
      <c r="HQT7" s="338"/>
      <c r="HQU7" s="338"/>
      <c r="HQV7" s="338"/>
      <c r="HQW7" s="338"/>
      <c r="HQX7" s="338"/>
      <c r="HQY7" s="338"/>
      <c r="HQZ7" s="338"/>
      <c r="HRA7" s="338"/>
      <c r="HRB7" s="338"/>
      <c r="HRC7" s="338"/>
      <c r="HRD7" s="338"/>
      <c r="HRE7" s="338"/>
      <c r="HRF7" s="338"/>
      <c r="HRG7" s="338"/>
      <c r="HRH7" s="338"/>
      <c r="HRI7" s="338"/>
      <c r="HRJ7" s="338"/>
      <c r="HRK7" s="338"/>
      <c r="HRL7" s="338"/>
      <c r="HRM7" s="338"/>
      <c r="HRN7" s="338"/>
      <c r="HRO7" s="338"/>
      <c r="HRP7" s="338"/>
      <c r="HRQ7" s="338"/>
      <c r="HRR7" s="338"/>
      <c r="HRS7" s="338"/>
      <c r="HRT7" s="338"/>
      <c r="HRU7" s="338"/>
      <c r="HRV7" s="338"/>
      <c r="HRW7" s="338"/>
      <c r="HRX7" s="338"/>
      <c r="HRY7" s="338"/>
      <c r="HRZ7" s="338"/>
      <c r="HSA7" s="338"/>
      <c r="HSB7" s="338"/>
      <c r="HSC7" s="338"/>
      <c r="HSD7" s="338"/>
      <c r="HSE7" s="338"/>
      <c r="HSF7" s="338"/>
      <c r="HSG7" s="338"/>
      <c r="HSH7" s="338"/>
      <c r="HSI7" s="338"/>
      <c r="HSJ7" s="338"/>
      <c r="HSK7" s="338"/>
      <c r="HSL7" s="338"/>
      <c r="HSM7" s="338"/>
      <c r="HSN7" s="338"/>
      <c r="HSO7" s="338"/>
      <c r="HSP7" s="338"/>
      <c r="HSQ7" s="338"/>
      <c r="HSR7" s="338"/>
      <c r="HSS7" s="338"/>
      <c r="HST7" s="338"/>
      <c r="HSU7" s="338"/>
      <c r="HSV7" s="338"/>
      <c r="HSW7" s="338"/>
      <c r="HSX7" s="338"/>
      <c r="HSY7" s="338"/>
      <c r="HSZ7" s="338"/>
      <c r="HTA7" s="338"/>
      <c r="HTB7" s="338"/>
      <c r="HTC7" s="338"/>
      <c r="HTD7" s="338"/>
      <c r="HTE7" s="338"/>
      <c r="HTF7" s="338"/>
      <c r="HTG7" s="338"/>
      <c r="HTH7" s="338"/>
      <c r="HTI7" s="338"/>
      <c r="HTJ7" s="338"/>
      <c r="HTK7" s="338"/>
      <c r="HTL7" s="338"/>
      <c r="HTM7" s="338"/>
      <c r="HTN7" s="338"/>
      <c r="HTO7" s="338"/>
      <c r="HTP7" s="338"/>
      <c r="HTQ7" s="338"/>
      <c r="HTR7" s="338"/>
      <c r="HTS7" s="338"/>
      <c r="HTT7" s="338"/>
      <c r="HTU7" s="338"/>
      <c r="HTV7" s="338"/>
      <c r="HTW7" s="338"/>
      <c r="HTX7" s="338"/>
      <c r="HTY7" s="338"/>
      <c r="HTZ7" s="338"/>
      <c r="HUA7" s="338"/>
      <c r="HUB7" s="338"/>
      <c r="HUC7" s="338"/>
      <c r="HUD7" s="338"/>
      <c r="HUE7" s="338"/>
      <c r="HUF7" s="338"/>
      <c r="HUG7" s="338"/>
      <c r="HUH7" s="338"/>
      <c r="HUI7" s="338"/>
      <c r="HUJ7" s="338"/>
      <c r="HUK7" s="338"/>
      <c r="HUL7" s="338"/>
      <c r="HUM7" s="338"/>
      <c r="HUN7" s="338"/>
      <c r="HUO7" s="338"/>
      <c r="HUP7" s="338"/>
      <c r="HUQ7" s="338"/>
      <c r="HUR7" s="338"/>
      <c r="HUS7" s="338"/>
      <c r="HUT7" s="338"/>
      <c r="HUU7" s="338"/>
      <c r="HUV7" s="338"/>
      <c r="HUW7" s="338"/>
      <c r="HUX7" s="338"/>
      <c r="HUY7" s="338"/>
      <c r="HUZ7" s="338"/>
      <c r="HVA7" s="338"/>
      <c r="HVB7" s="338"/>
      <c r="HVC7" s="338"/>
      <c r="HVD7" s="338"/>
      <c r="HVE7" s="338"/>
      <c r="HVF7" s="338"/>
      <c r="HVG7" s="338"/>
      <c r="HVH7" s="338"/>
      <c r="HVI7" s="338"/>
      <c r="HVJ7" s="338"/>
      <c r="HVK7" s="338"/>
      <c r="HVL7" s="338"/>
      <c r="HVM7" s="338"/>
      <c r="HVN7" s="338"/>
      <c r="HVO7" s="338"/>
      <c r="HVP7" s="338"/>
      <c r="HVQ7" s="338"/>
      <c r="HVR7" s="338"/>
      <c r="HVS7" s="338"/>
      <c r="HVT7" s="338"/>
      <c r="HVU7" s="338"/>
      <c r="HVV7" s="338"/>
      <c r="HVW7" s="338"/>
      <c r="HVX7" s="338"/>
      <c r="HVY7" s="338"/>
      <c r="HVZ7" s="338"/>
      <c r="HWA7" s="338"/>
      <c r="HWB7" s="338"/>
      <c r="HWC7" s="338"/>
      <c r="HWD7" s="338"/>
      <c r="HWE7" s="338"/>
      <c r="HWF7" s="338"/>
      <c r="HWG7" s="338"/>
      <c r="HWH7" s="338"/>
      <c r="HWI7" s="338"/>
      <c r="HWJ7" s="338"/>
      <c r="HWK7" s="338"/>
      <c r="HWL7" s="338"/>
      <c r="HWM7" s="338"/>
      <c r="HWN7" s="338"/>
      <c r="HWO7" s="338"/>
      <c r="HWP7" s="338"/>
      <c r="HWQ7" s="338"/>
      <c r="HWR7" s="338"/>
      <c r="HWS7" s="338"/>
      <c r="HWT7" s="338"/>
      <c r="HWU7" s="338"/>
      <c r="HWV7" s="338"/>
      <c r="HWW7" s="338"/>
      <c r="HWX7" s="338"/>
      <c r="HWY7" s="338"/>
      <c r="HWZ7" s="338"/>
      <c r="HXA7" s="338"/>
      <c r="HXB7" s="338"/>
      <c r="HXC7" s="338"/>
      <c r="HXD7" s="338"/>
      <c r="HXE7" s="338"/>
      <c r="HXF7" s="338"/>
      <c r="HXG7" s="338"/>
      <c r="HXH7" s="338"/>
      <c r="HXI7" s="338"/>
      <c r="HXJ7" s="338"/>
      <c r="HXK7" s="338"/>
      <c r="HXL7" s="338"/>
      <c r="HXM7" s="338"/>
      <c r="HXN7" s="338"/>
      <c r="HXO7" s="338"/>
      <c r="HXP7" s="338"/>
      <c r="HXQ7" s="338"/>
      <c r="HXR7" s="338"/>
      <c r="HXS7" s="338"/>
      <c r="HXT7" s="338"/>
      <c r="HXU7" s="338"/>
      <c r="HXV7" s="338"/>
      <c r="HXW7" s="338"/>
      <c r="HXX7" s="338"/>
      <c r="HXY7" s="338"/>
      <c r="HXZ7" s="338"/>
      <c r="HYA7" s="338"/>
      <c r="HYB7" s="338"/>
      <c r="HYC7" s="338"/>
      <c r="HYD7" s="338"/>
      <c r="HYE7" s="338"/>
      <c r="HYF7" s="338"/>
      <c r="HYG7" s="338"/>
      <c r="HYH7" s="338"/>
      <c r="HYI7" s="338"/>
      <c r="HYJ7" s="338"/>
      <c r="HYK7" s="338"/>
      <c r="HYL7" s="338"/>
      <c r="HYM7" s="338"/>
      <c r="HYN7" s="338"/>
      <c r="HYO7" s="338"/>
      <c r="HYP7" s="338"/>
      <c r="HYQ7" s="338"/>
      <c r="HYR7" s="338"/>
      <c r="HYS7" s="338"/>
      <c r="HYT7" s="338"/>
      <c r="HYU7" s="338"/>
      <c r="HYV7" s="338"/>
      <c r="HYW7" s="338"/>
      <c r="HYX7" s="338"/>
      <c r="HYY7" s="338"/>
      <c r="HYZ7" s="338"/>
      <c r="HZA7" s="338"/>
      <c r="HZB7" s="338"/>
      <c r="HZC7" s="338"/>
      <c r="HZD7" s="338"/>
      <c r="HZE7" s="338"/>
      <c r="HZF7" s="338"/>
      <c r="HZG7" s="338"/>
      <c r="HZH7" s="338"/>
      <c r="HZI7" s="338"/>
      <c r="HZJ7" s="338"/>
      <c r="HZK7" s="338"/>
      <c r="HZL7" s="338"/>
      <c r="HZM7" s="338"/>
      <c r="HZN7" s="338"/>
      <c r="HZO7" s="338"/>
      <c r="HZP7" s="338"/>
      <c r="HZQ7" s="338"/>
      <c r="HZR7" s="338"/>
      <c r="HZS7" s="338"/>
      <c r="HZT7" s="338"/>
      <c r="HZU7" s="338"/>
      <c r="HZV7" s="338"/>
      <c r="HZW7" s="338"/>
      <c r="HZX7" s="338"/>
      <c r="HZY7" s="338"/>
      <c r="HZZ7" s="338"/>
      <c r="IAA7" s="338"/>
      <c r="IAB7" s="338"/>
      <c r="IAC7" s="338"/>
      <c r="IAD7" s="338"/>
      <c r="IAE7" s="338"/>
      <c r="IAF7" s="338"/>
      <c r="IAG7" s="338"/>
      <c r="IAH7" s="338"/>
      <c r="IAI7" s="338"/>
      <c r="IAJ7" s="338"/>
      <c r="IAK7" s="338"/>
      <c r="IAL7" s="338"/>
      <c r="IAM7" s="338"/>
      <c r="IAN7" s="338"/>
      <c r="IAO7" s="338"/>
      <c r="IAP7" s="338"/>
      <c r="IAQ7" s="338"/>
      <c r="IAR7" s="338"/>
      <c r="IAS7" s="338"/>
      <c r="IAT7" s="338"/>
      <c r="IAU7" s="338"/>
      <c r="IAV7" s="338"/>
      <c r="IAW7" s="338"/>
      <c r="IAX7" s="338"/>
      <c r="IAY7" s="338"/>
      <c r="IAZ7" s="338"/>
      <c r="IBA7" s="338"/>
      <c r="IBB7" s="338"/>
      <c r="IBC7" s="338"/>
      <c r="IBD7" s="338"/>
      <c r="IBE7" s="338"/>
      <c r="IBF7" s="338"/>
      <c r="IBG7" s="338"/>
      <c r="IBH7" s="338"/>
      <c r="IBI7" s="338"/>
      <c r="IBJ7" s="338"/>
      <c r="IBK7" s="338"/>
      <c r="IBL7" s="338"/>
      <c r="IBM7" s="338"/>
      <c r="IBN7" s="338"/>
      <c r="IBO7" s="338"/>
      <c r="IBP7" s="338"/>
      <c r="IBQ7" s="338"/>
      <c r="IBR7" s="338"/>
      <c r="IBS7" s="338"/>
      <c r="IBT7" s="338"/>
      <c r="IBU7" s="338"/>
      <c r="IBV7" s="338"/>
      <c r="IBW7" s="338"/>
      <c r="IBX7" s="338"/>
      <c r="IBY7" s="338"/>
      <c r="IBZ7" s="338"/>
      <c r="ICA7" s="338"/>
      <c r="ICB7" s="338"/>
      <c r="ICC7" s="338"/>
      <c r="ICD7" s="338"/>
      <c r="ICE7" s="338"/>
      <c r="ICF7" s="338"/>
      <c r="ICG7" s="338"/>
      <c r="ICH7" s="338"/>
      <c r="ICI7" s="338"/>
      <c r="ICJ7" s="338"/>
      <c r="ICK7" s="338"/>
      <c r="ICL7" s="338"/>
      <c r="ICM7" s="338"/>
      <c r="ICN7" s="338"/>
      <c r="ICO7" s="338"/>
      <c r="ICP7" s="338"/>
      <c r="ICQ7" s="338"/>
      <c r="ICR7" s="338"/>
      <c r="ICS7" s="338"/>
      <c r="ICT7" s="338"/>
      <c r="ICU7" s="338"/>
      <c r="ICV7" s="338"/>
      <c r="ICW7" s="338"/>
      <c r="ICX7" s="338"/>
      <c r="ICY7" s="338"/>
      <c r="ICZ7" s="338"/>
      <c r="IDA7" s="338"/>
      <c r="IDB7" s="338"/>
      <c r="IDC7" s="338"/>
      <c r="IDD7" s="338"/>
      <c r="IDE7" s="338"/>
      <c r="IDF7" s="338"/>
      <c r="IDG7" s="338"/>
      <c r="IDH7" s="338"/>
      <c r="IDI7" s="338"/>
      <c r="IDJ7" s="338"/>
      <c r="IDK7" s="338"/>
      <c r="IDL7" s="338"/>
      <c r="IDM7" s="338"/>
      <c r="IDN7" s="338"/>
      <c r="IDO7" s="338"/>
      <c r="IDP7" s="338"/>
      <c r="IDQ7" s="338"/>
      <c r="IDR7" s="338"/>
      <c r="IDS7" s="338"/>
      <c r="IDT7" s="338"/>
      <c r="IDU7" s="338"/>
      <c r="IDV7" s="338"/>
      <c r="IDW7" s="338"/>
      <c r="IDX7" s="338"/>
      <c r="IDY7" s="338"/>
      <c r="IDZ7" s="338"/>
      <c r="IEA7" s="338"/>
      <c r="IEB7" s="338"/>
      <c r="IEC7" s="338"/>
      <c r="IED7" s="338"/>
      <c r="IEE7" s="338"/>
      <c r="IEF7" s="338"/>
      <c r="IEG7" s="338"/>
      <c r="IEH7" s="338"/>
      <c r="IEI7" s="338"/>
      <c r="IEJ7" s="338"/>
      <c r="IEK7" s="338"/>
      <c r="IEL7" s="338"/>
      <c r="IEM7" s="338"/>
      <c r="IEN7" s="338"/>
      <c r="IEO7" s="338"/>
      <c r="IEP7" s="338"/>
      <c r="IEQ7" s="338"/>
      <c r="IER7" s="338"/>
      <c r="IES7" s="338"/>
      <c r="IET7" s="338"/>
      <c r="IEU7" s="338"/>
      <c r="IEV7" s="338"/>
      <c r="IEW7" s="338"/>
      <c r="IEX7" s="338"/>
      <c r="IEY7" s="338"/>
      <c r="IEZ7" s="338"/>
      <c r="IFA7" s="338"/>
      <c r="IFB7" s="338"/>
      <c r="IFC7" s="338"/>
      <c r="IFD7" s="338"/>
      <c r="IFE7" s="338"/>
      <c r="IFF7" s="338"/>
      <c r="IFG7" s="338"/>
      <c r="IFH7" s="338"/>
      <c r="IFI7" s="338"/>
      <c r="IFJ7" s="338"/>
      <c r="IFK7" s="338"/>
      <c r="IFL7" s="338"/>
      <c r="IFM7" s="338"/>
      <c r="IFN7" s="338"/>
      <c r="IFO7" s="338"/>
      <c r="IFP7" s="338"/>
      <c r="IFQ7" s="338"/>
      <c r="IFR7" s="338"/>
      <c r="IFS7" s="338"/>
      <c r="IFT7" s="338"/>
      <c r="IFU7" s="338"/>
      <c r="IFV7" s="338"/>
      <c r="IFW7" s="338"/>
      <c r="IFX7" s="338"/>
      <c r="IFY7" s="338"/>
      <c r="IFZ7" s="338"/>
      <c r="IGA7" s="338"/>
      <c r="IGB7" s="338"/>
      <c r="IGC7" s="338"/>
      <c r="IGD7" s="338"/>
      <c r="IGE7" s="338"/>
      <c r="IGF7" s="338"/>
      <c r="IGG7" s="338"/>
      <c r="IGH7" s="338"/>
      <c r="IGI7" s="338"/>
      <c r="IGJ7" s="338"/>
      <c r="IGK7" s="338"/>
      <c r="IGL7" s="338"/>
      <c r="IGM7" s="338"/>
      <c r="IGN7" s="338"/>
      <c r="IGO7" s="338"/>
      <c r="IGP7" s="338"/>
      <c r="IGQ7" s="338"/>
      <c r="IGR7" s="338"/>
      <c r="IGS7" s="338"/>
      <c r="IGT7" s="338"/>
      <c r="IGU7" s="338"/>
      <c r="IGV7" s="338"/>
      <c r="IGW7" s="338"/>
      <c r="IGX7" s="338"/>
      <c r="IGY7" s="338"/>
      <c r="IGZ7" s="338"/>
      <c r="IHA7" s="338"/>
      <c r="IHB7" s="338"/>
      <c r="IHC7" s="338"/>
      <c r="IHD7" s="338"/>
      <c r="IHE7" s="338"/>
      <c r="IHF7" s="338"/>
      <c r="IHG7" s="338"/>
      <c r="IHH7" s="338"/>
      <c r="IHI7" s="338"/>
      <c r="IHJ7" s="338"/>
      <c r="IHK7" s="338"/>
      <c r="IHL7" s="338"/>
      <c r="IHM7" s="338"/>
      <c r="IHN7" s="338"/>
      <c r="IHO7" s="338"/>
      <c r="IHP7" s="338"/>
      <c r="IHQ7" s="338"/>
      <c r="IHR7" s="338"/>
      <c r="IHS7" s="338"/>
      <c r="IHT7" s="338"/>
      <c r="IHU7" s="338"/>
      <c r="IHV7" s="338"/>
      <c r="IHW7" s="338"/>
      <c r="IHX7" s="338"/>
      <c r="IHY7" s="338"/>
      <c r="IHZ7" s="338"/>
      <c r="IIA7" s="338"/>
      <c r="IIB7" s="338"/>
      <c r="IIC7" s="338"/>
      <c r="IID7" s="338"/>
      <c r="IIE7" s="338"/>
      <c r="IIF7" s="338"/>
      <c r="IIG7" s="338"/>
      <c r="IIH7" s="338"/>
      <c r="III7" s="338"/>
      <c r="IIJ7" s="338"/>
      <c r="IIK7" s="338"/>
      <c r="IIL7" s="338"/>
      <c r="IIM7" s="338"/>
      <c r="IIN7" s="338"/>
      <c r="IIO7" s="338"/>
      <c r="IIP7" s="338"/>
      <c r="IIQ7" s="338"/>
      <c r="IIR7" s="338"/>
      <c r="IIS7" s="338"/>
      <c r="IIT7" s="338"/>
      <c r="IIU7" s="338"/>
      <c r="IIV7" s="338"/>
      <c r="IIW7" s="338"/>
      <c r="IIX7" s="338"/>
      <c r="IIY7" s="338"/>
      <c r="IIZ7" s="338"/>
      <c r="IJA7" s="338"/>
      <c r="IJB7" s="338"/>
      <c r="IJC7" s="338"/>
      <c r="IJD7" s="338"/>
      <c r="IJE7" s="338"/>
      <c r="IJF7" s="338"/>
      <c r="IJG7" s="338"/>
      <c r="IJH7" s="338"/>
      <c r="IJI7" s="338"/>
      <c r="IJJ7" s="338"/>
      <c r="IJK7" s="338"/>
      <c r="IJL7" s="338"/>
      <c r="IJM7" s="338"/>
      <c r="IJN7" s="338"/>
      <c r="IJO7" s="338"/>
      <c r="IJP7" s="338"/>
      <c r="IJQ7" s="338"/>
      <c r="IJR7" s="338"/>
      <c r="IJS7" s="338"/>
      <c r="IJT7" s="338"/>
      <c r="IJU7" s="338"/>
      <c r="IJV7" s="338"/>
      <c r="IJW7" s="338"/>
      <c r="IJX7" s="338"/>
      <c r="IJY7" s="338"/>
      <c r="IJZ7" s="338"/>
      <c r="IKA7" s="338"/>
      <c r="IKB7" s="338"/>
      <c r="IKC7" s="338"/>
      <c r="IKD7" s="338"/>
      <c r="IKE7" s="338"/>
      <c r="IKF7" s="338"/>
      <c r="IKG7" s="338"/>
      <c r="IKH7" s="338"/>
      <c r="IKI7" s="338"/>
      <c r="IKJ7" s="338"/>
      <c r="IKK7" s="338"/>
      <c r="IKL7" s="338"/>
      <c r="IKM7" s="338"/>
      <c r="IKN7" s="338"/>
      <c r="IKO7" s="338"/>
      <c r="IKP7" s="338"/>
      <c r="IKQ7" s="338"/>
      <c r="IKR7" s="338"/>
      <c r="IKS7" s="338"/>
      <c r="IKT7" s="338"/>
      <c r="IKU7" s="338"/>
      <c r="IKV7" s="338"/>
      <c r="IKW7" s="338"/>
      <c r="IKX7" s="338"/>
      <c r="IKY7" s="338"/>
      <c r="IKZ7" s="338"/>
      <c r="ILA7" s="338"/>
      <c r="ILB7" s="338"/>
      <c r="ILC7" s="338"/>
      <c r="ILD7" s="338"/>
      <c r="ILE7" s="338"/>
      <c r="ILF7" s="338"/>
      <c r="ILG7" s="338"/>
      <c r="ILH7" s="338"/>
      <c r="ILI7" s="338"/>
      <c r="ILJ7" s="338"/>
      <c r="ILK7" s="338"/>
      <c r="ILL7" s="338"/>
      <c r="ILM7" s="338"/>
      <c r="ILN7" s="338"/>
      <c r="ILO7" s="338"/>
      <c r="ILP7" s="338"/>
      <c r="ILQ7" s="338"/>
      <c r="ILR7" s="338"/>
      <c r="ILS7" s="338"/>
      <c r="ILT7" s="338"/>
      <c r="ILU7" s="338"/>
      <c r="ILV7" s="338"/>
      <c r="ILW7" s="338"/>
      <c r="ILX7" s="338"/>
      <c r="ILY7" s="338"/>
      <c r="ILZ7" s="338"/>
      <c r="IMA7" s="338"/>
      <c r="IMB7" s="338"/>
      <c r="IMC7" s="338"/>
      <c r="IMD7" s="338"/>
      <c r="IME7" s="338"/>
      <c r="IMF7" s="338"/>
      <c r="IMG7" s="338"/>
      <c r="IMH7" s="338"/>
      <c r="IMI7" s="338"/>
      <c r="IMJ7" s="338"/>
      <c r="IMK7" s="338"/>
      <c r="IML7" s="338"/>
      <c r="IMM7" s="338"/>
      <c r="IMN7" s="338"/>
      <c r="IMO7" s="338"/>
      <c r="IMP7" s="338"/>
      <c r="IMQ7" s="338"/>
      <c r="IMR7" s="338"/>
      <c r="IMS7" s="338"/>
      <c r="IMT7" s="338"/>
      <c r="IMU7" s="338"/>
      <c r="IMV7" s="338"/>
      <c r="IMW7" s="338"/>
      <c r="IMX7" s="338"/>
      <c r="IMY7" s="338"/>
      <c r="IMZ7" s="338"/>
      <c r="INA7" s="338"/>
      <c r="INB7" s="338"/>
      <c r="INC7" s="338"/>
      <c r="IND7" s="338"/>
      <c r="INE7" s="338"/>
      <c r="INF7" s="338"/>
      <c r="ING7" s="338"/>
      <c r="INH7" s="338"/>
      <c r="INI7" s="338"/>
      <c r="INJ7" s="338"/>
      <c r="INK7" s="338"/>
      <c r="INL7" s="338"/>
      <c r="INM7" s="338"/>
      <c r="INN7" s="338"/>
      <c r="INO7" s="338"/>
      <c r="INP7" s="338"/>
      <c r="INQ7" s="338"/>
      <c r="INR7" s="338"/>
      <c r="INS7" s="338"/>
      <c r="INT7" s="338"/>
      <c r="INU7" s="338"/>
      <c r="INV7" s="338"/>
      <c r="INW7" s="338"/>
      <c r="INX7" s="338"/>
      <c r="INY7" s="338"/>
      <c r="INZ7" s="338"/>
      <c r="IOA7" s="338"/>
      <c r="IOB7" s="338"/>
      <c r="IOC7" s="338"/>
      <c r="IOD7" s="338"/>
      <c r="IOE7" s="338"/>
      <c r="IOF7" s="338"/>
      <c r="IOG7" s="338"/>
      <c r="IOH7" s="338"/>
      <c r="IOI7" s="338"/>
      <c r="IOJ7" s="338"/>
      <c r="IOK7" s="338"/>
      <c r="IOL7" s="338"/>
      <c r="IOM7" s="338"/>
      <c r="ION7" s="338"/>
      <c r="IOO7" s="338"/>
      <c r="IOP7" s="338"/>
      <c r="IOQ7" s="338"/>
      <c r="IOR7" s="338"/>
      <c r="IOS7" s="338"/>
      <c r="IOT7" s="338"/>
      <c r="IOU7" s="338"/>
      <c r="IOV7" s="338"/>
      <c r="IOW7" s="338"/>
      <c r="IOX7" s="338"/>
      <c r="IOY7" s="338"/>
      <c r="IOZ7" s="338"/>
      <c r="IPA7" s="338"/>
      <c r="IPB7" s="338"/>
      <c r="IPC7" s="338"/>
      <c r="IPD7" s="338"/>
      <c r="IPE7" s="338"/>
      <c r="IPF7" s="338"/>
      <c r="IPG7" s="338"/>
      <c r="IPH7" s="338"/>
      <c r="IPI7" s="338"/>
      <c r="IPJ7" s="338"/>
      <c r="IPK7" s="338"/>
      <c r="IPL7" s="338"/>
      <c r="IPM7" s="338"/>
      <c r="IPN7" s="338"/>
      <c r="IPO7" s="338"/>
      <c r="IPP7" s="338"/>
      <c r="IPQ7" s="338"/>
      <c r="IPR7" s="338"/>
      <c r="IPS7" s="338"/>
      <c r="IPT7" s="338"/>
      <c r="IPU7" s="338"/>
      <c r="IPV7" s="338"/>
      <c r="IPW7" s="338"/>
      <c r="IPX7" s="338"/>
      <c r="IPY7" s="338"/>
      <c r="IPZ7" s="338"/>
      <c r="IQA7" s="338"/>
      <c r="IQB7" s="338"/>
      <c r="IQC7" s="338"/>
      <c r="IQD7" s="338"/>
      <c r="IQE7" s="338"/>
      <c r="IQF7" s="338"/>
      <c r="IQG7" s="338"/>
      <c r="IQH7" s="338"/>
      <c r="IQI7" s="338"/>
      <c r="IQJ7" s="338"/>
      <c r="IQK7" s="338"/>
      <c r="IQL7" s="338"/>
      <c r="IQM7" s="338"/>
      <c r="IQN7" s="338"/>
      <c r="IQO7" s="338"/>
      <c r="IQP7" s="338"/>
      <c r="IQQ7" s="338"/>
      <c r="IQR7" s="338"/>
      <c r="IQS7" s="338"/>
      <c r="IQT7" s="338"/>
      <c r="IQU7" s="338"/>
      <c r="IQV7" s="338"/>
      <c r="IQW7" s="338"/>
      <c r="IQX7" s="338"/>
      <c r="IQY7" s="338"/>
      <c r="IQZ7" s="338"/>
      <c r="IRA7" s="338"/>
      <c r="IRB7" s="338"/>
      <c r="IRC7" s="338"/>
      <c r="IRD7" s="338"/>
      <c r="IRE7" s="338"/>
      <c r="IRF7" s="338"/>
      <c r="IRG7" s="338"/>
      <c r="IRH7" s="338"/>
      <c r="IRI7" s="338"/>
      <c r="IRJ7" s="338"/>
      <c r="IRK7" s="338"/>
      <c r="IRL7" s="338"/>
      <c r="IRM7" s="338"/>
      <c r="IRN7" s="338"/>
      <c r="IRO7" s="338"/>
      <c r="IRP7" s="338"/>
      <c r="IRQ7" s="338"/>
      <c r="IRR7" s="338"/>
      <c r="IRS7" s="338"/>
      <c r="IRT7" s="338"/>
      <c r="IRU7" s="338"/>
      <c r="IRV7" s="338"/>
      <c r="IRW7" s="338"/>
      <c r="IRX7" s="338"/>
      <c r="IRY7" s="338"/>
      <c r="IRZ7" s="338"/>
      <c r="ISA7" s="338"/>
      <c r="ISB7" s="338"/>
      <c r="ISC7" s="338"/>
      <c r="ISD7" s="338"/>
      <c r="ISE7" s="338"/>
      <c r="ISF7" s="338"/>
      <c r="ISG7" s="338"/>
      <c r="ISH7" s="338"/>
      <c r="ISI7" s="338"/>
      <c r="ISJ7" s="338"/>
      <c r="ISK7" s="338"/>
      <c r="ISL7" s="338"/>
      <c r="ISM7" s="338"/>
      <c r="ISN7" s="338"/>
      <c r="ISO7" s="338"/>
      <c r="ISP7" s="338"/>
      <c r="ISQ7" s="338"/>
      <c r="ISR7" s="338"/>
      <c r="ISS7" s="338"/>
      <c r="IST7" s="338"/>
      <c r="ISU7" s="338"/>
      <c r="ISV7" s="338"/>
      <c r="ISW7" s="338"/>
      <c r="ISX7" s="338"/>
      <c r="ISY7" s="338"/>
      <c r="ISZ7" s="338"/>
      <c r="ITA7" s="338"/>
      <c r="ITB7" s="338"/>
      <c r="ITC7" s="338"/>
      <c r="ITD7" s="338"/>
      <c r="ITE7" s="338"/>
      <c r="ITF7" s="338"/>
      <c r="ITG7" s="338"/>
      <c r="ITH7" s="338"/>
      <c r="ITI7" s="338"/>
      <c r="ITJ7" s="338"/>
      <c r="ITK7" s="338"/>
      <c r="ITL7" s="338"/>
      <c r="ITM7" s="338"/>
      <c r="ITN7" s="338"/>
      <c r="ITO7" s="338"/>
      <c r="ITP7" s="338"/>
      <c r="ITQ7" s="338"/>
      <c r="ITR7" s="338"/>
      <c r="ITS7" s="338"/>
      <c r="ITT7" s="338"/>
      <c r="ITU7" s="338"/>
      <c r="ITV7" s="338"/>
      <c r="ITW7" s="338"/>
      <c r="ITX7" s="338"/>
      <c r="ITY7" s="338"/>
      <c r="ITZ7" s="338"/>
      <c r="IUA7" s="338"/>
      <c r="IUB7" s="338"/>
      <c r="IUC7" s="338"/>
      <c r="IUD7" s="338"/>
      <c r="IUE7" s="338"/>
      <c r="IUF7" s="338"/>
      <c r="IUG7" s="338"/>
      <c r="IUH7" s="338"/>
      <c r="IUI7" s="338"/>
      <c r="IUJ7" s="338"/>
      <c r="IUK7" s="338"/>
      <c r="IUL7" s="338"/>
      <c r="IUM7" s="338"/>
      <c r="IUN7" s="338"/>
      <c r="IUO7" s="338"/>
      <c r="IUP7" s="338"/>
      <c r="IUQ7" s="338"/>
      <c r="IUR7" s="338"/>
      <c r="IUS7" s="338"/>
      <c r="IUT7" s="338"/>
      <c r="IUU7" s="338"/>
      <c r="IUV7" s="338"/>
      <c r="IUW7" s="338"/>
      <c r="IUX7" s="338"/>
      <c r="IUY7" s="338"/>
      <c r="IUZ7" s="338"/>
      <c r="IVA7" s="338"/>
      <c r="IVB7" s="338"/>
      <c r="IVC7" s="338"/>
      <c r="IVD7" s="338"/>
      <c r="IVE7" s="338"/>
      <c r="IVF7" s="338"/>
      <c r="IVG7" s="338"/>
      <c r="IVH7" s="338"/>
      <c r="IVI7" s="338"/>
      <c r="IVJ7" s="338"/>
      <c r="IVK7" s="338"/>
      <c r="IVL7" s="338"/>
      <c r="IVM7" s="338"/>
      <c r="IVN7" s="338"/>
      <c r="IVO7" s="338"/>
      <c r="IVP7" s="338"/>
      <c r="IVQ7" s="338"/>
      <c r="IVR7" s="338"/>
      <c r="IVS7" s="338"/>
      <c r="IVT7" s="338"/>
      <c r="IVU7" s="338"/>
      <c r="IVV7" s="338"/>
      <c r="IVW7" s="338"/>
      <c r="IVX7" s="338"/>
      <c r="IVY7" s="338"/>
      <c r="IVZ7" s="338"/>
      <c r="IWA7" s="338"/>
      <c r="IWB7" s="338"/>
      <c r="IWC7" s="338"/>
      <c r="IWD7" s="338"/>
      <c r="IWE7" s="338"/>
      <c r="IWF7" s="338"/>
      <c r="IWG7" s="338"/>
      <c r="IWH7" s="338"/>
      <c r="IWI7" s="338"/>
      <c r="IWJ7" s="338"/>
      <c r="IWK7" s="338"/>
      <c r="IWL7" s="338"/>
      <c r="IWM7" s="338"/>
      <c r="IWN7" s="338"/>
      <c r="IWO7" s="338"/>
      <c r="IWP7" s="338"/>
      <c r="IWQ7" s="338"/>
      <c r="IWR7" s="338"/>
      <c r="IWS7" s="338"/>
      <c r="IWT7" s="338"/>
      <c r="IWU7" s="338"/>
      <c r="IWV7" s="338"/>
      <c r="IWW7" s="338"/>
      <c r="IWX7" s="338"/>
      <c r="IWY7" s="338"/>
      <c r="IWZ7" s="338"/>
      <c r="IXA7" s="338"/>
      <c r="IXB7" s="338"/>
      <c r="IXC7" s="338"/>
      <c r="IXD7" s="338"/>
      <c r="IXE7" s="338"/>
      <c r="IXF7" s="338"/>
      <c r="IXG7" s="338"/>
      <c r="IXH7" s="338"/>
      <c r="IXI7" s="338"/>
      <c r="IXJ7" s="338"/>
      <c r="IXK7" s="338"/>
      <c r="IXL7" s="338"/>
      <c r="IXM7" s="338"/>
      <c r="IXN7" s="338"/>
      <c r="IXO7" s="338"/>
      <c r="IXP7" s="338"/>
      <c r="IXQ7" s="338"/>
      <c r="IXR7" s="338"/>
      <c r="IXS7" s="338"/>
      <c r="IXT7" s="338"/>
      <c r="IXU7" s="338"/>
      <c r="IXV7" s="338"/>
      <c r="IXW7" s="338"/>
      <c r="IXX7" s="338"/>
      <c r="IXY7" s="338"/>
      <c r="IXZ7" s="338"/>
      <c r="IYA7" s="338"/>
      <c r="IYB7" s="338"/>
      <c r="IYC7" s="338"/>
      <c r="IYD7" s="338"/>
      <c r="IYE7" s="338"/>
      <c r="IYF7" s="338"/>
      <c r="IYG7" s="338"/>
      <c r="IYH7" s="338"/>
      <c r="IYI7" s="338"/>
      <c r="IYJ7" s="338"/>
      <c r="IYK7" s="338"/>
      <c r="IYL7" s="338"/>
      <c r="IYM7" s="338"/>
      <c r="IYN7" s="338"/>
      <c r="IYO7" s="338"/>
      <c r="IYP7" s="338"/>
      <c r="IYQ7" s="338"/>
      <c r="IYR7" s="338"/>
      <c r="IYS7" s="338"/>
      <c r="IYT7" s="338"/>
      <c r="IYU7" s="338"/>
      <c r="IYV7" s="338"/>
      <c r="IYW7" s="338"/>
      <c r="IYX7" s="338"/>
      <c r="IYY7" s="338"/>
      <c r="IYZ7" s="338"/>
      <c r="IZA7" s="338"/>
      <c r="IZB7" s="338"/>
      <c r="IZC7" s="338"/>
      <c r="IZD7" s="338"/>
      <c r="IZE7" s="338"/>
      <c r="IZF7" s="338"/>
      <c r="IZG7" s="338"/>
      <c r="IZH7" s="338"/>
      <c r="IZI7" s="338"/>
      <c r="IZJ7" s="338"/>
      <c r="IZK7" s="338"/>
      <c r="IZL7" s="338"/>
      <c r="IZM7" s="338"/>
      <c r="IZN7" s="338"/>
      <c r="IZO7" s="338"/>
      <c r="IZP7" s="338"/>
      <c r="IZQ7" s="338"/>
      <c r="IZR7" s="338"/>
      <c r="IZS7" s="338"/>
      <c r="IZT7" s="338"/>
      <c r="IZU7" s="338"/>
      <c r="IZV7" s="338"/>
      <c r="IZW7" s="338"/>
      <c r="IZX7" s="338"/>
      <c r="IZY7" s="338"/>
      <c r="IZZ7" s="338"/>
      <c r="JAA7" s="338"/>
      <c r="JAB7" s="338"/>
      <c r="JAC7" s="338"/>
      <c r="JAD7" s="338"/>
      <c r="JAE7" s="338"/>
      <c r="JAF7" s="338"/>
      <c r="JAG7" s="338"/>
      <c r="JAH7" s="338"/>
      <c r="JAI7" s="338"/>
      <c r="JAJ7" s="338"/>
      <c r="JAK7" s="338"/>
      <c r="JAL7" s="338"/>
      <c r="JAM7" s="338"/>
      <c r="JAN7" s="338"/>
      <c r="JAO7" s="338"/>
      <c r="JAP7" s="338"/>
      <c r="JAQ7" s="338"/>
      <c r="JAR7" s="338"/>
      <c r="JAS7" s="338"/>
      <c r="JAT7" s="338"/>
      <c r="JAU7" s="338"/>
      <c r="JAV7" s="338"/>
      <c r="JAW7" s="338"/>
      <c r="JAX7" s="338"/>
      <c r="JAY7" s="338"/>
      <c r="JAZ7" s="338"/>
      <c r="JBA7" s="338"/>
      <c r="JBB7" s="338"/>
      <c r="JBC7" s="338"/>
      <c r="JBD7" s="338"/>
      <c r="JBE7" s="338"/>
      <c r="JBF7" s="338"/>
      <c r="JBG7" s="338"/>
      <c r="JBH7" s="338"/>
      <c r="JBI7" s="338"/>
      <c r="JBJ7" s="338"/>
      <c r="JBK7" s="338"/>
      <c r="JBL7" s="338"/>
      <c r="JBM7" s="338"/>
      <c r="JBN7" s="338"/>
      <c r="JBO7" s="338"/>
      <c r="JBP7" s="338"/>
      <c r="JBQ7" s="338"/>
      <c r="JBR7" s="338"/>
      <c r="JBS7" s="338"/>
      <c r="JBT7" s="338"/>
      <c r="JBU7" s="338"/>
      <c r="JBV7" s="338"/>
      <c r="JBW7" s="338"/>
      <c r="JBX7" s="338"/>
      <c r="JBY7" s="338"/>
      <c r="JBZ7" s="338"/>
      <c r="JCA7" s="338"/>
      <c r="JCB7" s="338"/>
      <c r="JCC7" s="338"/>
      <c r="JCD7" s="338"/>
      <c r="JCE7" s="338"/>
      <c r="JCF7" s="338"/>
      <c r="JCG7" s="338"/>
      <c r="JCH7" s="338"/>
      <c r="JCI7" s="338"/>
      <c r="JCJ7" s="338"/>
      <c r="JCK7" s="338"/>
      <c r="JCL7" s="338"/>
      <c r="JCM7" s="338"/>
      <c r="JCN7" s="338"/>
      <c r="JCO7" s="338"/>
      <c r="JCP7" s="338"/>
      <c r="JCQ7" s="338"/>
      <c r="JCR7" s="338"/>
      <c r="JCS7" s="338"/>
      <c r="JCT7" s="338"/>
      <c r="JCU7" s="338"/>
      <c r="JCV7" s="338"/>
      <c r="JCW7" s="338"/>
      <c r="JCX7" s="338"/>
      <c r="JCY7" s="338"/>
      <c r="JCZ7" s="338"/>
      <c r="JDA7" s="338"/>
      <c r="JDB7" s="338"/>
      <c r="JDC7" s="338"/>
      <c r="JDD7" s="338"/>
      <c r="JDE7" s="338"/>
      <c r="JDF7" s="338"/>
      <c r="JDG7" s="338"/>
      <c r="JDH7" s="338"/>
      <c r="JDI7" s="338"/>
      <c r="JDJ7" s="338"/>
      <c r="JDK7" s="338"/>
      <c r="JDL7" s="338"/>
      <c r="JDM7" s="338"/>
      <c r="JDN7" s="338"/>
      <c r="JDO7" s="338"/>
      <c r="JDP7" s="338"/>
      <c r="JDQ7" s="338"/>
      <c r="JDR7" s="338"/>
      <c r="JDS7" s="338"/>
      <c r="JDT7" s="338"/>
      <c r="JDU7" s="338"/>
      <c r="JDV7" s="338"/>
      <c r="JDW7" s="338"/>
      <c r="JDX7" s="338"/>
      <c r="JDY7" s="338"/>
      <c r="JDZ7" s="338"/>
      <c r="JEA7" s="338"/>
      <c r="JEB7" s="338"/>
      <c r="JEC7" s="338"/>
      <c r="JED7" s="338"/>
      <c r="JEE7" s="338"/>
      <c r="JEF7" s="338"/>
      <c r="JEG7" s="338"/>
      <c r="JEH7" s="338"/>
      <c r="JEI7" s="338"/>
      <c r="JEJ7" s="338"/>
      <c r="JEK7" s="338"/>
      <c r="JEL7" s="338"/>
      <c r="JEM7" s="338"/>
      <c r="JEN7" s="338"/>
      <c r="JEO7" s="338"/>
      <c r="JEP7" s="338"/>
      <c r="JEQ7" s="338"/>
      <c r="JER7" s="338"/>
      <c r="JES7" s="338"/>
      <c r="JET7" s="338"/>
      <c r="JEU7" s="338"/>
      <c r="JEV7" s="338"/>
      <c r="JEW7" s="338"/>
      <c r="JEX7" s="338"/>
      <c r="JEY7" s="338"/>
      <c r="JEZ7" s="338"/>
      <c r="JFA7" s="338"/>
      <c r="JFB7" s="338"/>
      <c r="JFC7" s="338"/>
      <c r="JFD7" s="338"/>
      <c r="JFE7" s="338"/>
      <c r="JFF7" s="338"/>
      <c r="JFG7" s="338"/>
      <c r="JFH7" s="338"/>
      <c r="JFI7" s="338"/>
      <c r="JFJ7" s="338"/>
      <c r="JFK7" s="338"/>
      <c r="JFL7" s="338"/>
      <c r="JFM7" s="338"/>
      <c r="JFN7" s="338"/>
      <c r="JFO7" s="338"/>
      <c r="JFP7" s="338"/>
      <c r="JFQ7" s="338"/>
      <c r="JFR7" s="338"/>
      <c r="JFS7" s="338"/>
      <c r="JFT7" s="338"/>
      <c r="JFU7" s="338"/>
      <c r="JFV7" s="338"/>
      <c r="JFW7" s="338"/>
      <c r="JFX7" s="338"/>
      <c r="JFY7" s="338"/>
      <c r="JFZ7" s="338"/>
      <c r="JGA7" s="338"/>
      <c r="JGB7" s="338"/>
      <c r="JGC7" s="338"/>
      <c r="JGD7" s="338"/>
      <c r="JGE7" s="338"/>
      <c r="JGF7" s="338"/>
      <c r="JGG7" s="338"/>
      <c r="JGH7" s="338"/>
      <c r="JGI7" s="338"/>
      <c r="JGJ7" s="338"/>
      <c r="JGK7" s="338"/>
      <c r="JGL7" s="338"/>
      <c r="JGM7" s="338"/>
      <c r="JGN7" s="338"/>
      <c r="JGO7" s="338"/>
      <c r="JGP7" s="338"/>
      <c r="JGQ7" s="338"/>
      <c r="JGR7" s="338"/>
      <c r="JGS7" s="338"/>
      <c r="JGT7" s="338"/>
      <c r="JGU7" s="338"/>
      <c r="JGV7" s="338"/>
      <c r="JGW7" s="338"/>
      <c r="JGX7" s="338"/>
      <c r="JGY7" s="338"/>
      <c r="JGZ7" s="338"/>
      <c r="JHA7" s="338"/>
      <c r="JHB7" s="338"/>
      <c r="JHC7" s="338"/>
      <c r="JHD7" s="338"/>
      <c r="JHE7" s="338"/>
      <c r="JHF7" s="338"/>
      <c r="JHG7" s="338"/>
      <c r="JHH7" s="338"/>
      <c r="JHI7" s="338"/>
      <c r="JHJ7" s="338"/>
      <c r="JHK7" s="338"/>
      <c r="JHL7" s="338"/>
      <c r="JHM7" s="338"/>
      <c r="JHN7" s="338"/>
      <c r="JHO7" s="338"/>
      <c r="JHP7" s="338"/>
      <c r="JHQ7" s="338"/>
      <c r="JHR7" s="338"/>
      <c r="JHS7" s="338"/>
      <c r="JHT7" s="338"/>
      <c r="JHU7" s="338"/>
      <c r="JHV7" s="338"/>
      <c r="JHW7" s="338"/>
      <c r="JHX7" s="338"/>
      <c r="JHY7" s="338"/>
      <c r="JHZ7" s="338"/>
      <c r="JIA7" s="338"/>
      <c r="JIB7" s="338"/>
      <c r="JIC7" s="338"/>
      <c r="JID7" s="338"/>
      <c r="JIE7" s="338"/>
      <c r="JIF7" s="338"/>
      <c r="JIG7" s="338"/>
      <c r="JIH7" s="338"/>
      <c r="JII7" s="338"/>
      <c r="JIJ7" s="338"/>
      <c r="JIK7" s="338"/>
      <c r="JIL7" s="338"/>
      <c r="JIM7" s="338"/>
      <c r="JIN7" s="338"/>
      <c r="JIO7" s="338"/>
      <c r="JIP7" s="338"/>
      <c r="JIQ7" s="338"/>
      <c r="JIR7" s="338"/>
      <c r="JIS7" s="338"/>
      <c r="JIT7" s="338"/>
      <c r="JIU7" s="338"/>
      <c r="JIV7" s="338"/>
      <c r="JIW7" s="338"/>
      <c r="JIX7" s="338"/>
      <c r="JIY7" s="338"/>
      <c r="JIZ7" s="338"/>
      <c r="JJA7" s="338"/>
      <c r="JJB7" s="338"/>
      <c r="JJC7" s="338"/>
      <c r="JJD7" s="338"/>
      <c r="JJE7" s="338"/>
      <c r="JJF7" s="338"/>
      <c r="JJG7" s="338"/>
      <c r="JJH7" s="338"/>
      <c r="JJI7" s="338"/>
      <c r="JJJ7" s="338"/>
      <c r="JJK7" s="338"/>
      <c r="JJL7" s="338"/>
      <c r="JJM7" s="338"/>
      <c r="JJN7" s="338"/>
      <c r="JJO7" s="338"/>
      <c r="JJP7" s="338"/>
      <c r="JJQ7" s="338"/>
      <c r="JJR7" s="338"/>
      <c r="JJS7" s="338"/>
      <c r="JJT7" s="338"/>
      <c r="JJU7" s="338"/>
      <c r="JJV7" s="338"/>
      <c r="JJW7" s="338"/>
      <c r="JJX7" s="338"/>
      <c r="JJY7" s="338"/>
      <c r="JJZ7" s="338"/>
      <c r="JKA7" s="338"/>
      <c r="JKB7" s="338"/>
      <c r="JKC7" s="338"/>
      <c r="JKD7" s="338"/>
      <c r="JKE7" s="338"/>
      <c r="JKF7" s="338"/>
      <c r="JKG7" s="338"/>
      <c r="JKH7" s="338"/>
      <c r="JKI7" s="338"/>
      <c r="JKJ7" s="338"/>
      <c r="JKK7" s="338"/>
      <c r="JKL7" s="338"/>
      <c r="JKM7" s="338"/>
      <c r="JKN7" s="338"/>
      <c r="JKO7" s="338"/>
      <c r="JKP7" s="338"/>
      <c r="JKQ7" s="338"/>
      <c r="JKR7" s="338"/>
      <c r="JKS7" s="338"/>
      <c r="JKT7" s="338"/>
      <c r="JKU7" s="338"/>
      <c r="JKV7" s="338"/>
      <c r="JKW7" s="338"/>
      <c r="JKX7" s="338"/>
      <c r="JKY7" s="338"/>
      <c r="JKZ7" s="338"/>
      <c r="JLA7" s="338"/>
      <c r="JLB7" s="338"/>
      <c r="JLC7" s="338"/>
      <c r="JLD7" s="338"/>
      <c r="JLE7" s="338"/>
      <c r="JLF7" s="338"/>
      <c r="JLG7" s="338"/>
      <c r="JLH7" s="338"/>
      <c r="JLI7" s="338"/>
      <c r="JLJ7" s="338"/>
      <c r="JLK7" s="338"/>
      <c r="JLL7" s="338"/>
      <c r="JLM7" s="338"/>
      <c r="JLN7" s="338"/>
      <c r="JLO7" s="338"/>
      <c r="JLP7" s="338"/>
      <c r="JLQ7" s="338"/>
      <c r="JLR7" s="338"/>
      <c r="JLS7" s="338"/>
      <c r="JLT7" s="338"/>
      <c r="JLU7" s="338"/>
      <c r="JLV7" s="338"/>
      <c r="JLW7" s="338"/>
      <c r="JLX7" s="338"/>
      <c r="JLY7" s="338"/>
      <c r="JLZ7" s="338"/>
      <c r="JMA7" s="338"/>
      <c r="JMB7" s="338"/>
      <c r="JMC7" s="338"/>
      <c r="JMD7" s="338"/>
      <c r="JME7" s="338"/>
      <c r="JMF7" s="338"/>
      <c r="JMG7" s="338"/>
      <c r="JMH7" s="338"/>
      <c r="JMI7" s="338"/>
      <c r="JMJ7" s="338"/>
      <c r="JMK7" s="338"/>
      <c r="JML7" s="338"/>
      <c r="JMM7" s="338"/>
      <c r="JMN7" s="338"/>
      <c r="JMO7" s="338"/>
      <c r="JMP7" s="338"/>
      <c r="JMQ7" s="338"/>
      <c r="JMR7" s="338"/>
      <c r="JMS7" s="338"/>
      <c r="JMT7" s="338"/>
      <c r="JMU7" s="338"/>
      <c r="JMV7" s="338"/>
      <c r="JMW7" s="338"/>
      <c r="JMX7" s="338"/>
      <c r="JMY7" s="338"/>
      <c r="JMZ7" s="338"/>
      <c r="JNA7" s="338"/>
      <c r="JNB7" s="338"/>
      <c r="JNC7" s="338"/>
      <c r="JND7" s="338"/>
      <c r="JNE7" s="338"/>
      <c r="JNF7" s="338"/>
      <c r="JNG7" s="338"/>
      <c r="JNH7" s="338"/>
      <c r="JNI7" s="338"/>
      <c r="JNJ7" s="338"/>
      <c r="JNK7" s="338"/>
      <c r="JNL7" s="338"/>
      <c r="JNM7" s="338"/>
      <c r="JNN7" s="338"/>
      <c r="JNO7" s="338"/>
      <c r="JNP7" s="338"/>
      <c r="JNQ7" s="338"/>
      <c r="JNR7" s="338"/>
      <c r="JNS7" s="338"/>
      <c r="JNT7" s="338"/>
      <c r="JNU7" s="338"/>
      <c r="JNV7" s="338"/>
      <c r="JNW7" s="338"/>
      <c r="JNX7" s="338"/>
      <c r="JNY7" s="338"/>
      <c r="JNZ7" s="338"/>
      <c r="JOA7" s="338"/>
      <c r="JOB7" s="338"/>
      <c r="JOC7" s="338"/>
      <c r="JOD7" s="338"/>
      <c r="JOE7" s="338"/>
      <c r="JOF7" s="338"/>
      <c r="JOG7" s="338"/>
      <c r="JOH7" s="338"/>
      <c r="JOI7" s="338"/>
      <c r="JOJ7" s="338"/>
      <c r="JOK7" s="338"/>
      <c r="JOL7" s="338"/>
      <c r="JOM7" s="338"/>
      <c r="JON7" s="338"/>
      <c r="JOO7" s="338"/>
      <c r="JOP7" s="338"/>
      <c r="JOQ7" s="338"/>
      <c r="JOR7" s="338"/>
      <c r="JOS7" s="338"/>
      <c r="JOT7" s="338"/>
      <c r="JOU7" s="338"/>
      <c r="JOV7" s="338"/>
      <c r="JOW7" s="338"/>
      <c r="JOX7" s="338"/>
      <c r="JOY7" s="338"/>
      <c r="JOZ7" s="338"/>
      <c r="JPA7" s="338"/>
      <c r="JPB7" s="338"/>
      <c r="JPC7" s="338"/>
      <c r="JPD7" s="338"/>
      <c r="JPE7" s="338"/>
      <c r="JPF7" s="338"/>
      <c r="JPG7" s="338"/>
      <c r="JPH7" s="338"/>
      <c r="JPI7" s="338"/>
      <c r="JPJ7" s="338"/>
      <c r="JPK7" s="338"/>
      <c r="JPL7" s="338"/>
      <c r="JPM7" s="338"/>
      <c r="JPN7" s="338"/>
      <c r="JPO7" s="338"/>
      <c r="JPP7" s="338"/>
      <c r="JPQ7" s="338"/>
      <c r="JPR7" s="338"/>
      <c r="JPS7" s="338"/>
      <c r="JPT7" s="338"/>
      <c r="JPU7" s="338"/>
      <c r="JPV7" s="338"/>
      <c r="JPW7" s="338"/>
      <c r="JPX7" s="338"/>
      <c r="JPY7" s="338"/>
      <c r="JPZ7" s="338"/>
      <c r="JQA7" s="338"/>
      <c r="JQB7" s="338"/>
      <c r="JQC7" s="338"/>
      <c r="JQD7" s="338"/>
      <c r="JQE7" s="338"/>
      <c r="JQF7" s="338"/>
      <c r="JQG7" s="338"/>
      <c r="JQH7" s="338"/>
      <c r="JQI7" s="338"/>
      <c r="JQJ7" s="338"/>
      <c r="JQK7" s="338"/>
      <c r="JQL7" s="338"/>
      <c r="JQM7" s="338"/>
      <c r="JQN7" s="338"/>
      <c r="JQO7" s="338"/>
      <c r="JQP7" s="338"/>
      <c r="JQQ7" s="338"/>
      <c r="JQR7" s="338"/>
      <c r="JQS7" s="338"/>
      <c r="JQT7" s="338"/>
      <c r="JQU7" s="338"/>
      <c r="JQV7" s="338"/>
      <c r="JQW7" s="338"/>
      <c r="JQX7" s="338"/>
      <c r="JQY7" s="338"/>
      <c r="JQZ7" s="338"/>
      <c r="JRA7" s="338"/>
      <c r="JRB7" s="338"/>
      <c r="JRC7" s="338"/>
      <c r="JRD7" s="338"/>
      <c r="JRE7" s="338"/>
      <c r="JRF7" s="338"/>
      <c r="JRG7" s="338"/>
      <c r="JRH7" s="338"/>
      <c r="JRI7" s="338"/>
      <c r="JRJ7" s="338"/>
      <c r="JRK7" s="338"/>
      <c r="JRL7" s="338"/>
      <c r="JRM7" s="338"/>
      <c r="JRN7" s="338"/>
      <c r="JRO7" s="338"/>
      <c r="JRP7" s="338"/>
      <c r="JRQ7" s="338"/>
      <c r="JRR7" s="338"/>
      <c r="JRS7" s="338"/>
      <c r="JRT7" s="338"/>
      <c r="JRU7" s="338"/>
      <c r="JRV7" s="338"/>
      <c r="JRW7" s="338"/>
      <c r="JRX7" s="338"/>
      <c r="JRY7" s="338"/>
      <c r="JRZ7" s="338"/>
      <c r="JSA7" s="338"/>
      <c r="JSB7" s="338"/>
      <c r="JSC7" s="338"/>
      <c r="JSD7" s="338"/>
      <c r="JSE7" s="338"/>
      <c r="JSF7" s="338"/>
      <c r="JSG7" s="338"/>
      <c r="JSH7" s="338"/>
      <c r="JSI7" s="338"/>
      <c r="JSJ7" s="338"/>
      <c r="JSK7" s="338"/>
      <c r="JSL7" s="338"/>
      <c r="JSM7" s="338"/>
      <c r="JSN7" s="338"/>
      <c r="JSO7" s="338"/>
      <c r="JSP7" s="338"/>
      <c r="JSQ7" s="338"/>
      <c r="JSR7" s="338"/>
      <c r="JSS7" s="338"/>
      <c r="JST7" s="338"/>
      <c r="JSU7" s="338"/>
      <c r="JSV7" s="338"/>
      <c r="JSW7" s="338"/>
      <c r="JSX7" s="338"/>
      <c r="JSY7" s="338"/>
      <c r="JSZ7" s="338"/>
      <c r="JTA7" s="338"/>
      <c r="JTB7" s="338"/>
      <c r="JTC7" s="338"/>
      <c r="JTD7" s="338"/>
      <c r="JTE7" s="338"/>
      <c r="JTF7" s="338"/>
      <c r="JTG7" s="338"/>
      <c r="JTH7" s="338"/>
      <c r="JTI7" s="338"/>
      <c r="JTJ7" s="338"/>
      <c r="JTK7" s="338"/>
      <c r="JTL7" s="338"/>
      <c r="JTM7" s="338"/>
      <c r="JTN7" s="338"/>
      <c r="JTO7" s="338"/>
      <c r="JTP7" s="338"/>
      <c r="JTQ7" s="338"/>
      <c r="JTR7" s="338"/>
      <c r="JTS7" s="338"/>
      <c r="JTT7" s="338"/>
      <c r="JTU7" s="338"/>
      <c r="JTV7" s="338"/>
      <c r="JTW7" s="338"/>
      <c r="JTX7" s="338"/>
      <c r="JTY7" s="338"/>
      <c r="JTZ7" s="338"/>
      <c r="JUA7" s="338"/>
      <c r="JUB7" s="338"/>
      <c r="JUC7" s="338"/>
      <c r="JUD7" s="338"/>
      <c r="JUE7" s="338"/>
      <c r="JUF7" s="338"/>
      <c r="JUG7" s="338"/>
      <c r="JUH7" s="338"/>
      <c r="JUI7" s="338"/>
      <c r="JUJ7" s="338"/>
      <c r="JUK7" s="338"/>
      <c r="JUL7" s="338"/>
      <c r="JUM7" s="338"/>
      <c r="JUN7" s="338"/>
      <c r="JUO7" s="338"/>
      <c r="JUP7" s="338"/>
      <c r="JUQ7" s="338"/>
      <c r="JUR7" s="338"/>
      <c r="JUS7" s="338"/>
      <c r="JUT7" s="338"/>
      <c r="JUU7" s="338"/>
      <c r="JUV7" s="338"/>
      <c r="JUW7" s="338"/>
      <c r="JUX7" s="338"/>
      <c r="JUY7" s="338"/>
      <c r="JUZ7" s="338"/>
      <c r="JVA7" s="338"/>
      <c r="JVB7" s="338"/>
      <c r="JVC7" s="338"/>
      <c r="JVD7" s="338"/>
      <c r="JVE7" s="338"/>
      <c r="JVF7" s="338"/>
      <c r="JVG7" s="338"/>
      <c r="JVH7" s="338"/>
      <c r="JVI7" s="338"/>
      <c r="JVJ7" s="338"/>
      <c r="JVK7" s="338"/>
      <c r="JVL7" s="338"/>
      <c r="JVM7" s="338"/>
      <c r="JVN7" s="338"/>
      <c r="JVO7" s="338"/>
      <c r="JVP7" s="338"/>
      <c r="JVQ7" s="338"/>
      <c r="JVR7" s="338"/>
      <c r="JVS7" s="338"/>
      <c r="JVT7" s="338"/>
      <c r="JVU7" s="338"/>
      <c r="JVV7" s="338"/>
      <c r="JVW7" s="338"/>
      <c r="JVX7" s="338"/>
      <c r="JVY7" s="338"/>
      <c r="JVZ7" s="338"/>
      <c r="JWA7" s="338"/>
      <c r="JWB7" s="338"/>
      <c r="JWC7" s="338"/>
      <c r="JWD7" s="338"/>
      <c r="JWE7" s="338"/>
      <c r="JWF7" s="338"/>
      <c r="JWG7" s="338"/>
      <c r="JWH7" s="338"/>
      <c r="JWI7" s="338"/>
      <c r="JWJ7" s="338"/>
      <c r="JWK7" s="338"/>
      <c r="JWL7" s="338"/>
      <c r="JWM7" s="338"/>
      <c r="JWN7" s="338"/>
      <c r="JWO7" s="338"/>
      <c r="JWP7" s="338"/>
      <c r="JWQ7" s="338"/>
      <c r="JWR7" s="338"/>
      <c r="JWS7" s="338"/>
      <c r="JWT7" s="338"/>
      <c r="JWU7" s="338"/>
      <c r="JWV7" s="338"/>
      <c r="JWW7" s="338"/>
      <c r="JWX7" s="338"/>
      <c r="JWY7" s="338"/>
      <c r="JWZ7" s="338"/>
      <c r="JXA7" s="338"/>
      <c r="JXB7" s="338"/>
      <c r="JXC7" s="338"/>
      <c r="JXD7" s="338"/>
      <c r="JXE7" s="338"/>
      <c r="JXF7" s="338"/>
      <c r="JXG7" s="338"/>
      <c r="JXH7" s="338"/>
      <c r="JXI7" s="338"/>
      <c r="JXJ7" s="338"/>
      <c r="JXK7" s="338"/>
      <c r="JXL7" s="338"/>
      <c r="JXM7" s="338"/>
      <c r="JXN7" s="338"/>
      <c r="JXO7" s="338"/>
      <c r="JXP7" s="338"/>
      <c r="JXQ7" s="338"/>
      <c r="JXR7" s="338"/>
      <c r="JXS7" s="338"/>
      <c r="JXT7" s="338"/>
      <c r="JXU7" s="338"/>
      <c r="JXV7" s="338"/>
      <c r="JXW7" s="338"/>
      <c r="JXX7" s="338"/>
      <c r="JXY7" s="338"/>
      <c r="JXZ7" s="338"/>
      <c r="JYA7" s="338"/>
      <c r="JYB7" s="338"/>
      <c r="JYC7" s="338"/>
      <c r="JYD7" s="338"/>
      <c r="JYE7" s="338"/>
      <c r="JYF7" s="338"/>
      <c r="JYG7" s="338"/>
      <c r="JYH7" s="338"/>
      <c r="JYI7" s="338"/>
      <c r="JYJ7" s="338"/>
      <c r="JYK7" s="338"/>
      <c r="JYL7" s="338"/>
      <c r="JYM7" s="338"/>
      <c r="JYN7" s="338"/>
      <c r="JYO7" s="338"/>
      <c r="JYP7" s="338"/>
      <c r="JYQ7" s="338"/>
      <c r="JYR7" s="338"/>
      <c r="JYS7" s="338"/>
      <c r="JYT7" s="338"/>
      <c r="JYU7" s="338"/>
      <c r="JYV7" s="338"/>
      <c r="JYW7" s="338"/>
      <c r="JYX7" s="338"/>
      <c r="JYY7" s="338"/>
      <c r="JYZ7" s="338"/>
      <c r="JZA7" s="338"/>
      <c r="JZB7" s="338"/>
      <c r="JZC7" s="338"/>
      <c r="JZD7" s="338"/>
      <c r="JZE7" s="338"/>
      <c r="JZF7" s="338"/>
      <c r="JZG7" s="338"/>
      <c r="JZH7" s="338"/>
      <c r="JZI7" s="338"/>
      <c r="JZJ7" s="338"/>
      <c r="JZK7" s="338"/>
      <c r="JZL7" s="338"/>
      <c r="JZM7" s="338"/>
      <c r="JZN7" s="338"/>
      <c r="JZO7" s="338"/>
      <c r="JZP7" s="338"/>
      <c r="JZQ7" s="338"/>
      <c r="JZR7" s="338"/>
      <c r="JZS7" s="338"/>
      <c r="JZT7" s="338"/>
      <c r="JZU7" s="338"/>
      <c r="JZV7" s="338"/>
      <c r="JZW7" s="338"/>
      <c r="JZX7" s="338"/>
      <c r="JZY7" s="338"/>
      <c r="JZZ7" s="338"/>
      <c r="KAA7" s="338"/>
      <c r="KAB7" s="338"/>
      <c r="KAC7" s="338"/>
      <c r="KAD7" s="338"/>
      <c r="KAE7" s="338"/>
      <c r="KAF7" s="338"/>
      <c r="KAG7" s="338"/>
      <c r="KAH7" s="338"/>
      <c r="KAI7" s="338"/>
      <c r="KAJ7" s="338"/>
      <c r="KAK7" s="338"/>
      <c r="KAL7" s="338"/>
      <c r="KAM7" s="338"/>
      <c r="KAN7" s="338"/>
      <c r="KAO7" s="338"/>
      <c r="KAP7" s="338"/>
      <c r="KAQ7" s="338"/>
      <c r="KAR7" s="338"/>
      <c r="KAS7" s="338"/>
      <c r="KAT7" s="338"/>
      <c r="KAU7" s="338"/>
      <c r="KAV7" s="338"/>
      <c r="KAW7" s="338"/>
      <c r="KAX7" s="338"/>
      <c r="KAY7" s="338"/>
      <c r="KAZ7" s="338"/>
      <c r="KBA7" s="338"/>
      <c r="KBB7" s="338"/>
      <c r="KBC7" s="338"/>
      <c r="KBD7" s="338"/>
      <c r="KBE7" s="338"/>
      <c r="KBF7" s="338"/>
      <c r="KBG7" s="338"/>
      <c r="KBH7" s="338"/>
      <c r="KBI7" s="338"/>
      <c r="KBJ7" s="338"/>
      <c r="KBK7" s="338"/>
      <c r="KBL7" s="338"/>
      <c r="KBM7" s="338"/>
      <c r="KBN7" s="338"/>
      <c r="KBO7" s="338"/>
      <c r="KBP7" s="338"/>
      <c r="KBQ7" s="338"/>
      <c r="KBR7" s="338"/>
      <c r="KBS7" s="338"/>
      <c r="KBT7" s="338"/>
      <c r="KBU7" s="338"/>
      <c r="KBV7" s="338"/>
      <c r="KBW7" s="338"/>
      <c r="KBX7" s="338"/>
      <c r="KBY7" s="338"/>
      <c r="KBZ7" s="338"/>
      <c r="KCA7" s="338"/>
      <c r="KCB7" s="338"/>
      <c r="KCC7" s="338"/>
      <c r="KCD7" s="338"/>
      <c r="KCE7" s="338"/>
      <c r="KCF7" s="338"/>
      <c r="KCG7" s="338"/>
      <c r="KCH7" s="338"/>
      <c r="KCI7" s="338"/>
      <c r="KCJ7" s="338"/>
      <c r="KCK7" s="338"/>
      <c r="KCL7" s="338"/>
      <c r="KCM7" s="338"/>
      <c r="KCN7" s="338"/>
      <c r="KCO7" s="338"/>
      <c r="KCP7" s="338"/>
      <c r="KCQ7" s="338"/>
      <c r="KCR7" s="338"/>
      <c r="KCS7" s="338"/>
      <c r="KCT7" s="338"/>
      <c r="KCU7" s="338"/>
      <c r="KCV7" s="338"/>
      <c r="KCW7" s="338"/>
      <c r="KCX7" s="338"/>
      <c r="KCY7" s="338"/>
      <c r="KCZ7" s="338"/>
      <c r="KDA7" s="338"/>
      <c r="KDB7" s="338"/>
      <c r="KDC7" s="338"/>
      <c r="KDD7" s="338"/>
      <c r="KDE7" s="338"/>
      <c r="KDF7" s="338"/>
      <c r="KDG7" s="338"/>
      <c r="KDH7" s="338"/>
      <c r="KDI7" s="338"/>
      <c r="KDJ7" s="338"/>
      <c r="KDK7" s="338"/>
      <c r="KDL7" s="338"/>
      <c r="KDM7" s="338"/>
      <c r="KDN7" s="338"/>
      <c r="KDO7" s="338"/>
      <c r="KDP7" s="338"/>
      <c r="KDQ7" s="338"/>
      <c r="KDR7" s="338"/>
      <c r="KDS7" s="338"/>
      <c r="KDT7" s="338"/>
      <c r="KDU7" s="338"/>
      <c r="KDV7" s="338"/>
      <c r="KDW7" s="338"/>
      <c r="KDX7" s="338"/>
      <c r="KDY7" s="338"/>
      <c r="KDZ7" s="338"/>
      <c r="KEA7" s="338"/>
      <c r="KEB7" s="338"/>
      <c r="KEC7" s="338"/>
      <c r="KED7" s="338"/>
      <c r="KEE7" s="338"/>
      <c r="KEF7" s="338"/>
      <c r="KEG7" s="338"/>
      <c r="KEH7" s="338"/>
      <c r="KEI7" s="338"/>
      <c r="KEJ7" s="338"/>
      <c r="KEK7" s="338"/>
      <c r="KEL7" s="338"/>
      <c r="KEM7" s="338"/>
      <c r="KEN7" s="338"/>
      <c r="KEO7" s="338"/>
      <c r="KEP7" s="338"/>
      <c r="KEQ7" s="338"/>
      <c r="KER7" s="338"/>
      <c r="KES7" s="338"/>
      <c r="KET7" s="338"/>
      <c r="KEU7" s="338"/>
      <c r="KEV7" s="338"/>
      <c r="KEW7" s="338"/>
      <c r="KEX7" s="338"/>
      <c r="KEY7" s="338"/>
      <c r="KEZ7" s="338"/>
      <c r="KFA7" s="338"/>
      <c r="KFB7" s="338"/>
      <c r="KFC7" s="338"/>
      <c r="KFD7" s="338"/>
      <c r="KFE7" s="338"/>
      <c r="KFF7" s="338"/>
      <c r="KFG7" s="338"/>
      <c r="KFH7" s="338"/>
      <c r="KFI7" s="338"/>
      <c r="KFJ7" s="338"/>
      <c r="KFK7" s="338"/>
      <c r="KFL7" s="338"/>
      <c r="KFM7" s="338"/>
      <c r="KFN7" s="338"/>
      <c r="KFO7" s="338"/>
      <c r="KFP7" s="338"/>
      <c r="KFQ7" s="338"/>
      <c r="KFR7" s="338"/>
      <c r="KFS7" s="338"/>
      <c r="KFT7" s="338"/>
      <c r="KFU7" s="338"/>
      <c r="KFV7" s="338"/>
      <c r="KFW7" s="338"/>
      <c r="KFX7" s="338"/>
      <c r="KFY7" s="338"/>
      <c r="KFZ7" s="338"/>
      <c r="KGA7" s="338"/>
      <c r="KGB7" s="338"/>
      <c r="KGC7" s="338"/>
      <c r="KGD7" s="338"/>
      <c r="KGE7" s="338"/>
      <c r="KGF7" s="338"/>
      <c r="KGG7" s="338"/>
      <c r="KGH7" s="338"/>
      <c r="KGI7" s="338"/>
      <c r="KGJ7" s="338"/>
      <c r="KGK7" s="338"/>
      <c r="KGL7" s="338"/>
      <c r="KGM7" s="338"/>
      <c r="KGN7" s="338"/>
      <c r="KGO7" s="338"/>
      <c r="KGP7" s="338"/>
      <c r="KGQ7" s="338"/>
      <c r="KGR7" s="338"/>
      <c r="KGS7" s="338"/>
      <c r="KGT7" s="338"/>
      <c r="KGU7" s="338"/>
      <c r="KGV7" s="338"/>
      <c r="KGW7" s="338"/>
      <c r="KGX7" s="338"/>
      <c r="KGY7" s="338"/>
      <c r="KGZ7" s="338"/>
      <c r="KHA7" s="338"/>
      <c r="KHB7" s="338"/>
      <c r="KHC7" s="338"/>
      <c r="KHD7" s="338"/>
      <c r="KHE7" s="338"/>
      <c r="KHF7" s="338"/>
      <c r="KHG7" s="338"/>
      <c r="KHH7" s="338"/>
      <c r="KHI7" s="338"/>
      <c r="KHJ7" s="338"/>
      <c r="KHK7" s="338"/>
      <c r="KHL7" s="338"/>
      <c r="KHM7" s="338"/>
      <c r="KHN7" s="338"/>
      <c r="KHO7" s="338"/>
      <c r="KHP7" s="338"/>
      <c r="KHQ7" s="338"/>
      <c r="KHR7" s="338"/>
      <c r="KHS7" s="338"/>
      <c r="KHT7" s="338"/>
      <c r="KHU7" s="338"/>
      <c r="KHV7" s="338"/>
      <c r="KHW7" s="338"/>
      <c r="KHX7" s="338"/>
      <c r="KHY7" s="338"/>
      <c r="KHZ7" s="338"/>
      <c r="KIA7" s="338"/>
      <c r="KIB7" s="338"/>
      <c r="KIC7" s="338"/>
      <c r="KID7" s="338"/>
      <c r="KIE7" s="338"/>
      <c r="KIF7" s="338"/>
      <c r="KIG7" s="338"/>
      <c r="KIH7" s="338"/>
      <c r="KII7" s="338"/>
      <c r="KIJ7" s="338"/>
      <c r="KIK7" s="338"/>
      <c r="KIL7" s="338"/>
      <c r="KIM7" s="338"/>
      <c r="KIN7" s="338"/>
      <c r="KIO7" s="338"/>
      <c r="KIP7" s="338"/>
      <c r="KIQ7" s="338"/>
      <c r="KIR7" s="338"/>
      <c r="KIS7" s="338"/>
      <c r="KIT7" s="338"/>
      <c r="KIU7" s="338"/>
      <c r="KIV7" s="338"/>
      <c r="KIW7" s="338"/>
      <c r="KIX7" s="338"/>
      <c r="KIY7" s="338"/>
      <c r="KIZ7" s="338"/>
      <c r="KJA7" s="338"/>
      <c r="KJB7" s="338"/>
      <c r="KJC7" s="338"/>
      <c r="KJD7" s="338"/>
      <c r="KJE7" s="338"/>
      <c r="KJF7" s="338"/>
      <c r="KJG7" s="338"/>
      <c r="KJH7" s="338"/>
      <c r="KJI7" s="338"/>
      <c r="KJJ7" s="338"/>
      <c r="KJK7" s="338"/>
      <c r="KJL7" s="338"/>
      <c r="KJM7" s="338"/>
      <c r="KJN7" s="338"/>
      <c r="KJO7" s="338"/>
      <c r="KJP7" s="338"/>
      <c r="KJQ7" s="338"/>
      <c r="KJR7" s="338"/>
      <c r="KJS7" s="338"/>
      <c r="KJT7" s="338"/>
      <c r="KJU7" s="338"/>
      <c r="KJV7" s="338"/>
      <c r="KJW7" s="338"/>
      <c r="KJX7" s="338"/>
      <c r="KJY7" s="338"/>
      <c r="KJZ7" s="338"/>
      <c r="KKA7" s="338"/>
      <c r="KKB7" s="338"/>
      <c r="KKC7" s="338"/>
      <c r="KKD7" s="338"/>
      <c r="KKE7" s="338"/>
      <c r="KKF7" s="338"/>
      <c r="KKG7" s="338"/>
      <c r="KKH7" s="338"/>
      <c r="KKI7" s="338"/>
      <c r="KKJ7" s="338"/>
      <c r="KKK7" s="338"/>
      <c r="KKL7" s="338"/>
      <c r="KKM7" s="338"/>
      <c r="KKN7" s="338"/>
      <c r="KKO7" s="338"/>
      <c r="KKP7" s="338"/>
      <c r="KKQ7" s="338"/>
      <c r="KKR7" s="338"/>
      <c r="KKS7" s="338"/>
      <c r="KKT7" s="338"/>
      <c r="KKU7" s="338"/>
      <c r="KKV7" s="338"/>
      <c r="KKW7" s="338"/>
      <c r="KKX7" s="338"/>
      <c r="KKY7" s="338"/>
      <c r="KKZ7" s="338"/>
      <c r="KLA7" s="338"/>
      <c r="KLB7" s="338"/>
      <c r="KLC7" s="338"/>
      <c r="KLD7" s="338"/>
      <c r="KLE7" s="338"/>
      <c r="KLF7" s="338"/>
      <c r="KLG7" s="338"/>
      <c r="KLH7" s="338"/>
      <c r="KLI7" s="338"/>
      <c r="KLJ7" s="338"/>
      <c r="KLK7" s="338"/>
      <c r="KLL7" s="338"/>
      <c r="KLM7" s="338"/>
      <c r="KLN7" s="338"/>
      <c r="KLO7" s="338"/>
      <c r="KLP7" s="338"/>
      <c r="KLQ7" s="338"/>
      <c r="KLR7" s="338"/>
      <c r="KLS7" s="338"/>
      <c r="KLT7" s="338"/>
      <c r="KLU7" s="338"/>
      <c r="KLV7" s="338"/>
      <c r="KLW7" s="338"/>
      <c r="KLX7" s="338"/>
      <c r="KLY7" s="338"/>
      <c r="KLZ7" s="338"/>
      <c r="KMA7" s="338"/>
      <c r="KMB7" s="338"/>
      <c r="KMC7" s="338"/>
      <c r="KMD7" s="338"/>
      <c r="KME7" s="338"/>
      <c r="KMF7" s="338"/>
      <c r="KMG7" s="338"/>
      <c r="KMH7" s="338"/>
      <c r="KMI7" s="338"/>
      <c r="KMJ7" s="338"/>
      <c r="KMK7" s="338"/>
      <c r="KML7" s="338"/>
      <c r="KMM7" s="338"/>
      <c r="KMN7" s="338"/>
      <c r="KMO7" s="338"/>
      <c r="KMP7" s="338"/>
      <c r="KMQ7" s="338"/>
      <c r="KMR7" s="338"/>
      <c r="KMS7" s="338"/>
      <c r="KMT7" s="338"/>
      <c r="KMU7" s="338"/>
      <c r="KMV7" s="338"/>
      <c r="KMW7" s="338"/>
      <c r="KMX7" s="338"/>
      <c r="KMY7" s="338"/>
      <c r="KMZ7" s="338"/>
      <c r="KNA7" s="338"/>
      <c r="KNB7" s="338"/>
      <c r="KNC7" s="338"/>
      <c r="KND7" s="338"/>
      <c r="KNE7" s="338"/>
      <c r="KNF7" s="338"/>
      <c r="KNG7" s="338"/>
      <c r="KNH7" s="338"/>
      <c r="KNI7" s="338"/>
      <c r="KNJ7" s="338"/>
      <c r="KNK7" s="338"/>
      <c r="KNL7" s="338"/>
      <c r="KNM7" s="338"/>
      <c r="KNN7" s="338"/>
      <c r="KNO7" s="338"/>
      <c r="KNP7" s="338"/>
      <c r="KNQ7" s="338"/>
      <c r="KNR7" s="338"/>
      <c r="KNS7" s="338"/>
      <c r="KNT7" s="338"/>
      <c r="KNU7" s="338"/>
      <c r="KNV7" s="338"/>
      <c r="KNW7" s="338"/>
      <c r="KNX7" s="338"/>
      <c r="KNY7" s="338"/>
      <c r="KNZ7" s="338"/>
      <c r="KOA7" s="338"/>
      <c r="KOB7" s="338"/>
      <c r="KOC7" s="338"/>
      <c r="KOD7" s="338"/>
      <c r="KOE7" s="338"/>
      <c r="KOF7" s="338"/>
      <c r="KOG7" s="338"/>
      <c r="KOH7" s="338"/>
      <c r="KOI7" s="338"/>
      <c r="KOJ7" s="338"/>
      <c r="KOK7" s="338"/>
      <c r="KOL7" s="338"/>
      <c r="KOM7" s="338"/>
      <c r="KON7" s="338"/>
      <c r="KOO7" s="338"/>
      <c r="KOP7" s="338"/>
      <c r="KOQ7" s="338"/>
      <c r="KOR7" s="338"/>
      <c r="KOS7" s="338"/>
      <c r="KOT7" s="338"/>
      <c r="KOU7" s="338"/>
      <c r="KOV7" s="338"/>
      <c r="KOW7" s="338"/>
      <c r="KOX7" s="338"/>
      <c r="KOY7" s="338"/>
      <c r="KOZ7" s="338"/>
      <c r="KPA7" s="338"/>
      <c r="KPB7" s="338"/>
      <c r="KPC7" s="338"/>
      <c r="KPD7" s="338"/>
      <c r="KPE7" s="338"/>
      <c r="KPF7" s="338"/>
      <c r="KPG7" s="338"/>
      <c r="KPH7" s="338"/>
      <c r="KPI7" s="338"/>
      <c r="KPJ7" s="338"/>
      <c r="KPK7" s="338"/>
      <c r="KPL7" s="338"/>
      <c r="KPM7" s="338"/>
      <c r="KPN7" s="338"/>
      <c r="KPO7" s="338"/>
      <c r="KPP7" s="338"/>
      <c r="KPQ7" s="338"/>
      <c r="KPR7" s="338"/>
      <c r="KPS7" s="338"/>
      <c r="KPT7" s="338"/>
      <c r="KPU7" s="338"/>
      <c r="KPV7" s="338"/>
      <c r="KPW7" s="338"/>
      <c r="KPX7" s="338"/>
      <c r="KPY7" s="338"/>
      <c r="KPZ7" s="338"/>
      <c r="KQA7" s="338"/>
      <c r="KQB7" s="338"/>
      <c r="KQC7" s="338"/>
      <c r="KQD7" s="338"/>
      <c r="KQE7" s="338"/>
      <c r="KQF7" s="338"/>
      <c r="KQG7" s="338"/>
      <c r="KQH7" s="338"/>
      <c r="KQI7" s="338"/>
      <c r="KQJ7" s="338"/>
      <c r="KQK7" s="338"/>
      <c r="KQL7" s="338"/>
      <c r="KQM7" s="338"/>
      <c r="KQN7" s="338"/>
      <c r="KQO7" s="338"/>
      <c r="KQP7" s="338"/>
      <c r="KQQ7" s="338"/>
      <c r="KQR7" s="338"/>
      <c r="KQS7" s="338"/>
      <c r="KQT7" s="338"/>
      <c r="KQU7" s="338"/>
      <c r="KQV7" s="338"/>
      <c r="KQW7" s="338"/>
      <c r="KQX7" s="338"/>
      <c r="KQY7" s="338"/>
      <c r="KQZ7" s="338"/>
      <c r="KRA7" s="338"/>
      <c r="KRB7" s="338"/>
      <c r="KRC7" s="338"/>
      <c r="KRD7" s="338"/>
      <c r="KRE7" s="338"/>
      <c r="KRF7" s="338"/>
      <c r="KRG7" s="338"/>
      <c r="KRH7" s="338"/>
      <c r="KRI7" s="338"/>
      <c r="KRJ7" s="338"/>
      <c r="KRK7" s="338"/>
      <c r="KRL7" s="338"/>
      <c r="KRM7" s="338"/>
      <c r="KRN7" s="338"/>
      <c r="KRO7" s="338"/>
      <c r="KRP7" s="338"/>
      <c r="KRQ7" s="338"/>
      <c r="KRR7" s="338"/>
      <c r="KRS7" s="338"/>
      <c r="KRT7" s="338"/>
      <c r="KRU7" s="338"/>
      <c r="KRV7" s="338"/>
      <c r="KRW7" s="338"/>
      <c r="KRX7" s="338"/>
      <c r="KRY7" s="338"/>
      <c r="KRZ7" s="338"/>
      <c r="KSA7" s="338"/>
      <c r="KSB7" s="338"/>
      <c r="KSC7" s="338"/>
      <c r="KSD7" s="338"/>
      <c r="KSE7" s="338"/>
      <c r="KSF7" s="338"/>
      <c r="KSG7" s="338"/>
      <c r="KSH7" s="338"/>
      <c r="KSI7" s="338"/>
      <c r="KSJ7" s="338"/>
      <c r="KSK7" s="338"/>
      <c r="KSL7" s="338"/>
      <c r="KSM7" s="338"/>
      <c r="KSN7" s="338"/>
      <c r="KSO7" s="338"/>
      <c r="KSP7" s="338"/>
      <c r="KSQ7" s="338"/>
      <c r="KSR7" s="338"/>
      <c r="KSS7" s="338"/>
      <c r="KST7" s="338"/>
      <c r="KSU7" s="338"/>
      <c r="KSV7" s="338"/>
      <c r="KSW7" s="338"/>
      <c r="KSX7" s="338"/>
      <c r="KSY7" s="338"/>
      <c r="KSZ7" s="338"/>
      <c r="KTA7" s="338"/>
      <c r="KTB7" s="338"/>
      <c r="KTC7" s="338"/>
      <c r="KTD7" s="338"/>
      <c r="KTE7" s="338"/>
      <c r="KTF7" s="338"/>
      <c r="KTG7" s="338"/>
      <c r="KTH7" s="338"/>
      <c r="KTI7" s="338"/>
      <c r="KTJ7" s="338"/>
      <c r="KTK7" s="338"/>
      <c r="KTL7" s="338"/>
      <c r="KTM7" s="338"/>
      <c r="KTN7" s="338"/>
      <c r="KTO7" s="338"/>
      <c r="KTP7" s="338"/>
      <c r="KTQ7" s="338"/>
      <c r="KTR7" s="338"/>
      <c r="KTS7" s="338"/>
      <c r="KTT7" s="338"/>
      <c r="KTU7" s="338"/>
      <c r="KTV7" s="338"/>
      <c r="KTW7" s="338"/>
      <c r="KTX7" s="338"/>
      <c r="KTY7" s="338"/>
      <c r="KTZ7" s="338"/>
      <c r="KUA7" s="338"/>
      <c r="KUB7" s="338"/>
      <c r="KUC7" s="338"/>
      <c r="KUD7" s="338"/>
      <c r="KUE7" s="338"/>
      <c r="KUF7" s="338"/>
      <c r="KUG7" s="338"/>
      <c r="KUH7" s="338"/>
      <c r="KUI7" s="338"/>
      <c r="KUJ7" s="338"/>
      <c r="KUK7" s="338"/>
      <c r="KUL7" s="338"/>
      <c r="KUM7" s="338"/>
      <c r="KUN7" s="338"/>
      <c r="KUO7" s="338"/>
      <c r="KUP7" s="338"/>
      <c r="KUQ7" s="338"/>
      <c r="KUR7" s="338"/>
      <c r="KUS7" s="338"/>
      <c r="KUT7" s="338"/>
      <c r="KUU7" s="338"/>
      <c r="KUV7" s="338"/>
      <c r="KUW7" s="338"/>
      <c r="KUX7" s="338"/>
      <c r="KUY7" s="338"/>
      <c r="KUZ7" s="338"/>
      <c r="KVA7" s="338"/>
      <c r="KVB7" s="338"/>
      <c r="KVC7" s="338"/>
      <c r="KVD7" s="338"/>
      <c r="KVE7" s="338"/>
      <c r="KVF7" s="338"/>
      <c r="KVG7" s="338"/>
      <c r="KVH7" s="338"/>
      <c r="KVI7" s="338"/>
      <c r="KVJ7" s="338"/>
      <c r="KVK7" s="338"/>
      <c r="KVL7" s="338"/>
      <c r="KVM7" s="338"/>
      <c r="KVN7" s="338"/>
      <c r="KVO7" s="338"/>
      <c r="KVP7" s="338"/>
      <c r="KVQ7" s="338"/>
      <c r="KVR7" s="338"/>
      <c r="KVS7" s="338"/>
      <c r="KVT7" s="338"/>
      <c r="KVU7" s="338"/>
      <c r="KVV7" s="338"/>
      <c r="KVW7" s="338"/>
      <c r="KVX7" s="338"/>
      <c r="KVY7" s="338"/>
      <c r="KVZ7" s="338"/>
      <c r="KWA7" s="338"/>
      <c r="KWB7" s="338"/>
      <c r="KWC7" s="338"/>
      <c r="KWD7" s="338"/>
      <c r="KWE7" s="338"/>
      <c r="KWF7" s="338"/>
      <c r="KWG7" s="338"/>
      <c r="KWH7" s="338"/>
      <c r="KWI7" s="338"/>
      <c r="KWJ7" s="338"/>
      <c r="KWK7" s="338"/>
      <c r="KWL7" s="338"/>
      <c r="KWM7" s="338"/>
      <c r="KWN7" s="338"/>
      <c r="KWO7" s="338"/>
      <c r="KWP7" s="338"/>
      <c r="KWQ7" s="338"/>
      <c r="KWR7" s="338"/>
      <c r="KWS7" s="338"/>
      <c r="KWT7" s="338"/>
      <c r="KWU7" s="338"/>
      <c r="KWV7" s="338"/>
      <c r="KWW7" s="338"/>
      <c r="KWX7" s="338"/>
      <c r="KWY7" s="338"/>
      <c r="KWZ7" s="338"/>
      <c r="KXA7" s="338"/>
      <c r="KXB7" s="338"/>
      <c r="KXC7" s="338"/>
      <c r="KXD7" s="338"/>
      <c r="KXE7" s="338"/>
      <c r="KXF7" s="338"/>
      <c r="KXG7" s="338"/>
      <c r="KXH7" s="338"/>
      <c r="KXI7" s="338"/>
      <c r="KXJ7" s="338"/>
      <c r="KXK7" s="338"/>
      <c r="KXL7" s="338"/>
      <c r="KXM7" s="338"/>
      <c r="KXN7" s="338"/>
      <c r="KXO7" s="338"/>
      <c r="KXP7" s="338"/>
      <c r="KXQ7" s="338"/>
      <c r="KXR7" s="338"/>
      <c r="KXS7" s="338"/>
      <c r="KXT7" s="338"/>
      <c r="KXU7" s="338"/>
      <c r="KXV7" s="338"/>
      <c r="KXW7" s="338"/>
      <c r="KXX7" s="338"/>
      <c r="KXY7" s="338"/>
      <c r="KXZ7" s="338"/>
      <c r="KYA7" s="338"/>
      <c r="KYB7" s="338"/>
      <c r="KYC7" s="338"/>
      <c r="KYD7" s="338"/>
      <c r="KYE7" s="338"/>
      <c r="KYF7" s="338"/>
      <c r="KYG7" s="338"/>
      <c r="KYH7" s="338"/>
      <c r="KYI7" s="338"/>
      <c r="KYJ7" s="338"/>
      <c r="KYK7" s="338"/>
      <c r="KYL7" s="338"/>
      <c r="KYM7" s="338"/>
      <c r="KYN7" s="338"/>
      <c r="KYO7" s="338"/>
      <c r="KYP7" s="338"/>
      <c r="KYQ7" s="338"/>
      <c r="KYR7" s="338"/>
      <c r="KYS7" s="338"/>
      <c r="KYT7" s="338"/>
      <c r="KYU7" s="338"/>
      <c r="KYV7" s="338"/>
      <c r="KYW7" s="338"/>
      <c r="KYX7" s="338"/>
      <c r="KYY7" s="338"/>
      <c r="KYZ7" s="338"/>
      <c r="KZA7" s="338"/>
      <c r="KZB7" s="338"/>
      <c r="KZC7" s="338"/>
      <c r="KZD7" s="338"/>
      <c r="KZE7" s="338"/>
      <c r="KZF7" s="338"/>
      <c r="KZG7" s="338"/>
      <c r="KZH7" s="338"/>
      <c r="KZI7" s="338"/>
      <c r="KZJ7" s="338"/>
      <c r="KZK7" s="338"/>
      <c r="KZL7" s="338"/>
      <c r="KZM7" s="338"/>
      <c r="KZN7" s="338"/>
      <c r="KZO7" s="338"/>
      <c r="KZP7" s="338"/>
      <c r="KZQ7" s="338"/>
      <c r="KZR7" s="338"/>
      <c r="KZS7" s="338"/>
      <c r="KZT7" s="338"/>
      <c r="KZU7" s="338"/>
      <c r="KZV7" s="338"/>
      <c r="KZW7" s="338"/>
      <c r="KZX7" s="338"/>
      <c r="KZY7" s="338"/>
      <c r="KZZ7" s="338"/>
      <c r="LAA7" s="338"/>
      <c r="LAB7" s="338"/>
      <c r="LAC7" s="338"/>
      <c r="LAD7" s="338"/>
      <c r="LAE7" s="338"/>
      <c r="LAF7" s="338"/>
      <c r="LAG7" s="338"/>
      <c r="LAH7" s="338"/>
      <c r="LAI7" s="338"/>
      <c r="LAJ7" s="338"/>
      <c r="LAK7" s="338"/>
      <c r="LAL7" s="338"/>
      <c r="LAM7" s="338"/>
      <c r="LAN7" s="338"/>
      <c r="LAO7" s="338"/>
      <c r="LAP7" s="338"/>
      <c r="LAQ7" s="338"/>
      <c r="LAR7" s="338"/>
      <c r="LAS7" s="338"/>
      <c r="LAT7" s="338"/>
      <c r="LAU7" s="338"/>
      <c r="LAV7" s="338"/>
      <c r="LAW7" s="338"/>
      <c r="LAX7" s="338"/>
      <c r="LAY7" s="338"/>
      <c r="LAZ7" s="338"/>
      <c r="LBA7" s="338"/>
      <c r="LBB7" s="338"/>
      <c r="LBC7" s="338"/>
      <c r="LBD7" s="338"/>
      <c r="LBE7" s="338"/>
      <c r="LBF7" s="338"/>
      <c r="LBG7" s="338"/>
      <c r="LBH7" s="338"/>
      <c r="LBI7" s="338"/>
      <c r="LBJ7" s="338"/>
      <c r="LBK7" s="338"/>
      <c r="LBL7" s="338"/>
      <c r="LBM7" s="338"/>
      <c r="LBN7" s="338"/>
      <c r="LBO7" s="338"/>
      <c r="LBP7" s="338"/>
      <c r="LBQ7" s="338"/>
      <c r="LBR7" s="338"/>
      <c r="LBS7" s="338"/>
      <c r="LBT7" s="338"/>
      <c r="LBU7" s="338"/>
      <c r="LBV7" s="338"/>
      <c r="LBW7" s="338"/>
      <c r="LBX7" s="338"/>
      <c r="LBY7" s="338"/>
      <c r="LBZ7" s="338"/>
      <c r="LCA7" s="338"/>
      <c r="LCB7" s="338"/>
      <c r="LCC7" s="338"/>
      <c r="LCD7" s="338"/>
      <c r="LCE7" s="338"/>
      <c r="LCF7" s="338"/>
      <c r="LCG7" s="338"/>
      <c r="LCH7" s="338"/>
      <c r="LCI7" s="338"/>
      <c r="LCJ7" s="338"/>
      <c r="LCK7" s="338"/>
      <c r="LCL7" s="338"/>
      <c r="LCM7" s="338"/>
      <c r="LCN7" s="338"/>
      <c r="LCO7" s="338"/>
      <c r="LCP7" s="338"/>
      <c r="LCQ7" s="338"/>
      <c r="LCR7" s="338"/>
      <c r="LCS7" s="338"/>
      <c r="LCT7" s="338"/>
      <c r="LCU7" s="338"/>
      <c r="LCV7" s="338"/>
      <c r="LCW7" s="338"/>
      <c r="LCX7" s="338"/>
      <c r="LCY7" s="338"/>
      <c r="LCZ7" s="338"/>
      <c r="LDA7" s="338"/>
      <c r="LDB7" s="338"/>
      <c r="LDC7" s="338"/>
      <c r="LDD7" s="338"/>
      <c r="LDE7" s="338"/>
      <c r="LDF7" s="338"/>
      <c r="LDG7" s="338"/>
      <c r="LDH7" s="338"/>
      <c r="LDI7" s="338"/>
      <c r="LDJ7" s="338"/>
      <c r="LDK7" s="338"/>
      <c r="LDL7" s="338"/>
      <c r="LDM7" s="338"/>
      <c r="LDN7" s="338"/>
      <c r="LDO7" s="338"/>
      <c r="LDP7" s="338"/>
      <c r="LDQ7" s="338"/>
      <c r="LDR7" s="338"/>
      <c r="LDS7" s="338"/>
      <c r="LDT7" s="338"/>
      <c r="LDU7" s="338"/>
      <c r="LDV7" s="338"/>
      <c r="LDW7" s="338"/>
      <c r="LDX7" s="338"/>
      <c r="LDY7" s="338"/>
      <c r="LDZ7" s="338"/>
      <c r="LEA7" s="338"/>
      <c r="LEB7" s="338"/>
      <c r="LEC7" s="338"/>
      <c r="LED7" s="338"/>
      <c r="LEE7" s="338"/>
      <c r="LEF7" s="338"/>
      <c r="LEG7" s="338"/>
      <c r="LEH7" s="338"/>
      <c r="LEI7" s="338"/>
      <c r="LEJ7" s="338"/>
      <c r="LEK7" s="338"/>
      <c r="LEL7" s="338"/>
      <c r="LEM7" s="338"/>
      <c r="LEN7" s="338"/>
      <c r="LEO7" s="338"/>
      <c r="LEP7" s="338"/>
      <c r="LEQ7" s="338"/>
      <c r="LER7" s="338"/>
      <c r="LES7" s="338"/>
      <c r="LET7" s="338"/>
      <c r="LEU7" s="338"/>
      <c r="LEV7" s="338"/>
      <c r="LEW7" s="338"/>
      <c r="LEX7" s="338"/>
      <c r="LEY7" s="338"/>
      <c r="LEZ7" s="338"/>
      <c r="LFA7" s="338"/>
      <c r="LFB7" s="338"/>
      <c r="LFC7" s="338"/>
      <c r="LFD7" s="338"/>
      <c r="LFE7" s="338"/>
      <c r="LFF7" s="338"/>
      <c r="LFG7" s="338"/>
      <c r="LFH7" s="338"/>
      <c r="LFI7" s="338"/>
      <c r="LFJ7" s="338"/>
      <c r="LFK7" s="338"/>
      <c r="LFL7" s="338"/>
      <c r="LFM7" s="338"/>
      <c r="LFN7" s="338"/>
      <c r="LFO7" s="338"/>
      <c r="LFP7" s="338"/>
      <c r="LFQ7" s="338"/>
      <c r="LFR7" s="338"/>
      <c r="LFS7" s="338"/>
      <c r="LFT7" s="338"/>
      <c r="LFU7" s="338"/>
      <c r="LFV7" s="338"/>
      <c r="LFW7" s="338"/>
      <c r="LFX7" s="338"/>
      <c r="LFY7" s="338"/>
      <c r="LFZ7" s="338"/>
      <c r="LGA7" s="338"/>
      <c r="LGB7" s="338"/>
      <c r="LGC7" s="338"/>
      <c r="LGD7" s="338"/>
      <c r="LGE7" s="338"/>
      <c r="LGF7" s="338"/>
      <c r="LGG7" s="338"/>
      <c r="LGH7" s="338"/>
      <c r="LGI7" s="338"/>
      <c r="LGJ7" s="338"/>
      <c r="LGK7" s="338"/>
      <c r="LGL7" s="338"/>
      <c r="LGM7" s="338"/>
      <c r="LGN7" s="338"/>
      <c r="LGO7" s="338"/>
      <c r="LGP7" s="338"/>
      <c r="LGQ7" s="338"/>
      <c r="LGR7" s="338"/>
      <c r="LGS7" s="338"/>
      <c r="LGT7" s="338"/>
      <c r="LGU7" s="338"/>
      <c r="LGV7" s="338"/>
      <c r="LGW7" s="338"/>
      <c r="LGX7" s="338"/>
      <c r="LGY7" s="338"/>
      <c r="LGZ7" s="338"/>
      <c r="LHA7" s="338"/>
      <c r="LHB7" s="338"/>
      <c r="LHC7" s="338"/>
      <c r="LHD7" s="338"/>
      <c r="LHE7" s="338"/>
      <c r="LHF7" s="338"/>
      <c r="LHG7" s="338"/>
      <c r="LHH7" s="338"/>
      <c r="LHI7" s="338"/>
      <c r="LHJ7" s="338"/>
      <c r="LHK7" s="338"/>
      <c r="LHL7" s="338"/>
      <c r="LHM7" s="338"/>
      <c r="LHN7" s="338"/>
      <c r="LHO7" s="338"/>
      <c r="LHP7" s="338"/>
      <c r="LHQ7" s="338"/>
      <c r="LHR7" s="338"/>
      <c r="LHS7" s="338"/>
      <c r="LHT7" s="338"/>
      <c r="LHU7" s="338"/>
      <c r="LHV7" s="338"/>
      <c r="LHW7" s="338"/>
      <c r="LHX7" s="338"/>
      <c r="LHY7" s="338"/>
      <c r="LHZ7" s="338"/>
      <c r="LIA7" s="338"/>
      <c r="LIB7" s="338"/>
      <c r="LIC7" s="338"/>
      <c r="LID7" s="338"/>
      <c r="LIE7" s="338"/>
      <c r="LIF7" s="338"/>
      <c r="LIG7" s="338"/>
      <c r="LIH7" s="338"/>
      <c r="LII7" s="338"/>
      <c r="LIJ7" s="338"/>
      <c r="LIK7" s="338"/>
      <c r="LIL7" s="338"/>
      <c r="LIM7" s="338"/>
      <c r="LIN7" s="338"/>
      <c r="LIO7" s="338"/>
      <c r="LIP7" s="338"/>
      <c r="LIQ7" s="338"/>
      <c r="LIR7" s="338"/>
      <c r="LIS7" s="338"/>
      <c r="LIT7" s="338"/>
      <c r="LIU7" s="338"/>
      <c r="LIV7" s="338"/>
      <c r="LIW7" s="338"/>
      <c r="LIX7" s="338"/>
      <c r="LIY7" s="338"/>
      <c r="LIZ7" s="338"/>
      <c r="LJA7" s="338"/>
      <c r="LJB7" s="338"/>
      <c r="LJC7" s="338"/>
      <c r="LJD7" s="338"/>
      <c r="LJE7" s="338"/>
      <c r="LJF7" s="338"/>
      <c r="LJG7" s="338"/>
      <c r="LJH7" s="338"/>
      <c r="LJI7" s="338"/>
      <c r="LJJ7" s="338"/>
      <c r="LJK7" s="338"/>
      <c r="LJL7" s="338"/>
      <c r="LJM7" s="338"/>
      <c r="LJN7" s="338"/>
      <c r="LJO7" s="338"/>
      <c r="LJP7" s="338"/>
      <c r="LJQ7" s="338"/>
      <c r="LJR7" s="338"/>
      <c r="LJS7" s="338"/>
      <c r="LJT7" s="338"/>
      <c r="LJU7" s="338"/>
      <c r="LJV7" s="338"/>
      <c r="LJW7" s="338"/>
      <c r="LJX7" s="338"/>
      <c r="LJY7" s="338"/>
      <c r="LJZ7" s="338"/>
      <c r="LKA7" s="338"/>
      <c r="LKB7" s="338"/>
      <c r="LKC7" s="338"/>
      <c r="LKD7" s="338"/>
      <c r="LKE7" s="338"/>
      <c r="LKF7" s="338"/>
      <c r="LKG7" s="338"/>
      <c r="LKH7" s="338"/>
      <c r="LKI7" s="338"/>
      <c r="LKJ7" s="338"/>
      <c r="LKK7" s="338"/>
      <c r="LKL7" s="338"/>
      <c r="LKM7" s="338"/>
      <c r="LKN7" s="338"/>
      <c r="LKO7" s="338"/>
      <c r="LKP7" s="338"/>
      <c r="LKQ7" s="338"/>
      <c r="LKR7" s="338"/>
      <c r="LKS7" s="338"/>
      <c r="LKT7" s="338"/>
      <c r="LKU7" s="338"/>
      <c r="LKV7" s="338"/>
      <c r="LKW7" s="338"/>
      <c r="LKX7" s="338"/>
      <c r="LKY7" s="338"/>
      <c r="LKZ7" s="338"/>
      <c r="LLA7" s="338"/>
      <c r="LLB7" s="338"/>
      <c r="LLC7" s="338"/>
      <c r="LLD7" s="338"/>
      <c r="LLE7" s="338"/>
      <c r="LLF7" s="338"/>
      <c r="LLG7" s="338"/>
      <c r="LLH7" s="338"/>
      <c r="LLI7" s="338"/>
      <c r="LLJ7" s="338"/>
      <c r="LLK7" s="338"/>
      <c r="LLL7" s="338"/>
      <c r="LLM7" s="338"/>
      <c r="LLN7" s="338"/>
      <c r="LLO7" s="338"/>
      <c r="LLP7" s="338"/>
      <c r="LLQ7" s="338"/>
      <c r="LLR7" s="338"/>
      <c r="LLS7" s="338"/>
      <c r="LLT7" s="338"/>
      <c r="LLU7" s="338"/>
      <c r="LLV7" s="338"/>
      <c r="LLW7" s="338"/>
      <c r="LLX7" s="338"/>
      <c r="LLY7" s="338"/>
      <c r="LLZ7" s="338"/>
      <c r="LMA7" s="338"/>
      <c r="LMB7" s="338"/>
      <c r="LMC7" s="338"/>
      <c r="LMD7" s="338"/>
      <c r="LME7" s="338"/>
      <c r="LMF7" s="338"/>
      <c r="LMG7" s="338"/>
      <c r="LMH7" s="338"/>
      <c r="LMI7" s="338"/>
      <c r="LMJ7" s="338"/>
      <c r="LMK7" s="338"/>
      <c r="LML7" s="338"/>
      <c r="LMM7" s="338"/>
      <c r="LMN7" s="338"/>
      <c r="LMO7" s="338"/>
      <c r="LMP7" s="338"/>
      <c r="LMQ7" s="338"/>
      <c r="LMR7" s="338"/>
      <c r="LMS7" s="338"/>
      <c r="LMT7" s="338"/>
      <c r="LMU7" s="338"/>
      <c r="LMV7" s="338"/>
      <c r="LMW7" s="338"/>
      <c r="LMX7" s="338"/>
      <c r="LMY7" s="338"/>
      <c r="LMZ7" s="338"/>
      <c r="LNA7" s="338"/>
      <c r="LNB7" s="338"/>
      <c r="LNC7" s="338"/>
      <c r="LND7" s="338"/>
      <c r="LNE7" s="338"/>
      <c r="LNF7" s="338"/>
      <c r="LNG7" s="338"/>
      <c r="LNH7" s="338"/>
      <c r="LNI7" s="338"/>
      <c r="LNJ7" s="338"/>
      <c r="LNK7" s="338"/>
      <c r="LNL7" s="338"/>
      <c r="LNM7" s="338"/>
      <c r="LNN7" s="338"/>
      <c r="LNO7" s="338"/>
      <c r="LNP7" s="338"/>
      <c r="LNQ7" s="338"/>
      <c r="LNR7" s="338"/>
      <c r="LNS7" s="338"/>
      <c r="LNT7" s="338"/>
      <c r="LNU7" s="338"/>
      <c r="LNV7" s="338"/>
      <c r="LNW7" s="338"/>
      <c r="LNX7" s="338"/>
      <c r="LNY7" s="338"/>
      <c r="LNZ7" s="338"/>
      <c r="LOA7" s="338"/>
      <c r="LOB7" s="338"/>
      <c r="LOC7" s="338"/>
      <c r="LOD7" s="338"/>
      <c r="LOE7" s="338"/>
      <c r="LOF7" s="338"/>
      <c r="LOG7" s="338"/>
      <c r="LOH7" s="338"/>
      <c r="LOI7" s="338"/>
      <c r="LOJ7" s="338"/>
      <c r="LOK7" s="338"/>
      <c r="LOL7" s="338"/>
      <c r="LOM7" s="338"/>
      <c r="LON7" s="338"/>
      <c r="LOO7" s="338"/>
      <c r="LOP7" s="338"/>
      <c r="LOQ7" s="338"/>
      <c r="LOR7" s="338"/>
      <c r="LOS7" s="338"/>
      <c r="LOT7" s="338"/>
      <c r="LOU7" s="338"/>
      <c r="LOV7" s="338"/>
      <c r="LOW7" s="338"/>
      <c r="LOX7" s="338"/>
      <c r="LOY7" s="338"/>
      <c r="LOZ7" s="338"/>
      <c r="LPA7" s="338"/>
      <c r="LPB7" s="338"/>
      <c r="LPC7" s="338"/>
      <c r="LPD7" s="338"/>
      <c r="LPE7" s="338"/>
      <c r="LPF7" s="338"/>
      <c r="LPG7" s="338"/>
      <c r="LPH7" s="338"/>
      <c r="LPI7" s="338"/>
      <c r="LPJ7" s="338"/>
      <c r="LPK7" s="338"/>
      <c r="LPL7" s="338"/>
      <c r="LPM7" s="338"/>
      <c r="LPN7" s="338"/>
      <c r="LPO7" s="338"/>
      <c r="LPP7" s="338"/>
      <c r="LPQ7" s="338"/>
      <c r="LPR7" s="338"/>
      <c r="LPS7" s="338"/>
      <c r="LPT7" s="338"/>
      <c r="LPU7" s="338"/>
      <c r="LPV7" s="338"/>
      <c r="LPW7" s="338"/>
      <c r="LPX7" s="338"/>
      <c r="LPY7" s="338"/>
      <c r="LPZ7" s="338"/>
      <c r="LQA7" s="338"/>
      <c r="LQB7" s="338"/>
      <c r="LQC7" s="338"/>
      <c r="LQD7" s="338"/>
      <c r="LQE7" s="338"/>
      <c r="LQF7" s="338"/>
      <c r="LQG7" s="338"/>
      <c r="LQH7" s="338"/>
      <c r="LQI7" s="338"/>
      <c r="LQJ7" s="338"/>
      <c r="LQK7" s="338"/>
      <c r="LQL7" s="338"/>
      <c r="LQM7" s="338"/>
      <c r="LQN7" s="338"/>
      <c r="LQO7" s="338"/>
      <c r="LQP7" s="338"/>
      <c r="LQQ7" s="338"/>
      <c r="LQR7" s="338"/>
      <c r="LQS7" s="338"/>
      <c r="LQT7" s="338"/>
      <c r="LQU7" s="338"/>
      <c r="LQV7" s="338"/>
      <c r="LQW7" s="338"/>
      <c r="LQX7" s="338"/>
      <c r="LQY7" s="338"/>
      <c r="LQZ7" s="338"/>
      <c r="LRA7" s="338"/>
      <c r="LRB7" s="338"/>
      <c r="LRC7" s="338"/>
      <c r="LRD7" s="338"/>
      <c r="LRE7" s="338"/>
      <c r="LRF7" s="338"/>
      <c r="LRG7" s="338"/>
      <c r="LRH7" s="338"/>
      <c r="LRI7" s="338"/>
      <c r="LRJ7" s="338"/>
      <c r="LRK7" s="338"/>
      <c r="LRL7" s="338"/>
      <c r="LRM7" s="338"/>
      <c r="LRN7" s="338"/>
      <c r="LRO7" s="338"/>
      <c r="LRP7" s="338"/>
      <c r="LRQ7" s="338"/>
      <c r="LRR7" s="338"/>
      <c r="LRS7" s="338"/>
      <c r="LRT7" s="338"/>
      <c r="LRU7" s="338"/>
      <c r="LRV7" s="338"/>
      <c r="LRW7" s="338"/>
      <c r="LRX7" s="338"/>
      <c r="LRY7" s="338"/>
      <c r="LRZ7" s="338"/>
      <c r="LSA7" s="338"/>
      <c r="LSB7" s="338"/>
      <c r="LSC7" s="338"/>
      <c r="LSD7" s="338"/>
      <c r="LSE7" s="338"/>
      <c r="LSF7" s="338"/>
      <c r="LSG7" s="338"/>
      <c r="LSH7" s="338"/>
      <c r="LSI7" s="338"/>
      <c r="LSJ7" s="338"/>
      <c r="LSK7" s="338"/>
      <c r="LSL7" s="338"/>
      <c r="LSM7" s="338"/>
      <c r="LSN7" s="338"/>
      <c r="LSO7" s="338"/>
      <c r="LSP7" s="338"/>
      <c r="LSQ7" s="338"/>
      <c r="LSR7" s="338"/>
      <c r="LSS7" s="338"/>
      <c r="LST7" s="338"/>
      <c r="LSU7" s="338"/>
      <c r="LSV7" s="338"/>
      <c r="LSW7" s="338"/>
      <c r="LSX7" s="338"/>
      <c r="LSY7" s="338"/>
      <c r="LSZ7" s="338"/>
      <c r="LTA7" s="338"/>
      <c r="LTB7" s="338"/>
      <c r="LTC7" s="338"/>
      <c r="LTD7" s="338"/>
      <c r="LTE7" s="338"/>
      <c r="LTF7" s="338"/>
      <c r="LTG7" s="338"/>
      <c r="LTH7" s="338"/>
      <c r="LTI7" s="338"/>
      <c r="LTJ7" s="338"/>
      <c r="LTK7" s="338"/>
      <c r="LTL7" s="338"/>
      <c r="LTM7" s="338"/>
      <c r="LTN7" s="338"/>
      <c r="LTO7" s="338"/>
      <c r="LTP7" s="338"/>
      <c r="LTQ7" s="338"/>
      <c r="LTR7" s="338"/>
      <c r="LTS7" s="338"/>
      <c r="LTT7" s="338"/>
      <c r="LTU7" s="338"/>
      <c r="LTV7" s="338"/>
      <c r="LTW7" s="338"/>
      <c r="LTX7" s="338"/>
      <c r="LTY7" s="338"/>
      <c r="LTZ7" s="338"/>
      <c r="LUA7" s="338"/>
      <c r="LUB7" s="338"/>
      <c r="LUC7" s="338"/>
      <c r="LUD7" s="338"/>
      <c r="LUE7" s="338"/>
      <c r="LUF7" s="338"/>
      <c r="LUG7" s="338"/>
      <c r="LUH7" s="338"/>
      <c r="LUI7" s="338"/>
      <c r="LUJ7" s="338"/>
      <c r="LUK7" s="338"/>
      <c r="LUL7" s="338"/>
      <c r="LUM7" s="338"/>
      <c r="LUN7" s="338"/>
      <c r="LUO7" s="338"/>
      <c r="LUP7" s="338"/>
      <c r="LUQ7" s="338"/>
      <c r="LUR7" s="338"/>
      <c r="LUS7" s="338"/>
      <c r="LUT7" s="338"/>
      <c r="LUU7" s="338"/>
      <c r="LUV7" s="338"/>
      <c r="LUW7" s="338"/>
      <c r="LUX7" s="338"/>
      <c r="LUY7" s="338"/>
      <c r="LUZ7" s="338"/>
      <c r="LVA7" s="338"/>
      <c r="LVB7" s="338"/>
      <c r="LVC7" s="338"/>
      <c r="LVD7" s="338"/>
      <c r="LVE7" s="338"/>
      <c r="LVF7" s="338"/>
      <c r="LVG7" s="338"/>
      <c r="LVH7" s="338"/>
      <c r="LVI7" s="338"/>
      <c r="LVJ7" s="338"/>
      <c r="LVK7" s="338"/>
      <c r="LVL7" s="338"/>
      <c r="LVM7" s="338"/>
      <c r="LVN7" s="338"/>
      <c r="LVO7" s="338"/>
      <c r="LVP7" s="338"/>
      <c r="LVQ7" s="338"/>
      <c r="LVR7" s="338"/>
      <c r="LVS7" s="338"/>
      <c r="LVT7" s="338"/>
      <c r="LVU7" s="338"/>
      <c r="LVV7" s="338"/>
      <c r="LVW7" s="338"/>
      <c r="LVX7" s="338"/>
      <c r="LVY7" s="338"/>
      <c r="LVZ7" s="338"/>
      <c r="LWA7" s="338"/>
      <c r="LWB7" s="338"/>
      <c r="LWC7" s="338"/>
      <c r="LWD7" s="338"/>
      <c r="LWE7" s="338"/>
      <c r="LWF7" s="338"/>
      <c r="LWG7" s="338"/>
      <c r="LWH7" s="338"/>
      <c r="LWI7" s="338"/>
      <c r="LWJ7" s="338"/>
      <c r="LWK7" s="338"/>
      <c r="LWL7" s="338"/>
      <c r="LWM7" s="338"/>
      <c r="LWN7" s="338"/>
      <c r="LWO7" s="338"/>
      <c r="LWP7" s="338"/>
      <c r="LWQ7" s="338"/>
      <c r="LWR7" s="338"/>
      <c r="LWS7" s="338"/>
      <c r="LWT7" s="338"/>
      <c r="LWU7" s="338"/>
      <c r="LWV7" s="338"/>
      <c r="LWW7" s="338"/>
      <c r="LWX7" s="338"/>
      <c r="LWY7" s="338"/>
      <c r="LWZ7" s="338"/>
      <c r="LXA7" s="338"/>
      <c r="LXB7" s="338"/>
      <c r="LXC7" s="338"/>
      <c r="LXD7" s="338"/>
      <c r="LXE7" s="338"/>
      <c r="LXF7" s="338"/>
      <c r="LXG7" s="338"/>
      <c r="LXH7" s="338"/>
      <c r="LXI7" s="338"/>
      <c r="LXJ7" s="338"/>
      <c r="LXK7" s="338"/>
      <c r="LXL7" s="338"/>
      <c r="LXM7" s="338"/>
      <c r="LXN7" s="338"/>
      <c r="LXO7" s="338"/>
      <c r="LXP7" s="338"/>
      <c r="LXQ7" s="338"/>
      <c r="LXR7" s="338"/>
      <c r="LXS7" s="338"/>
      <c r="LXT7" s="338"/>
      <c r="LXU7" s="338"/>
      <c r="LXV7" s="338"/>
      <c r="LXW7" s="338"/>
      <c r="LXX7" s="338"/>
      <c r="LXY7" s="338"/>
      <c r="LXZ7" s="338"/>
      <c r="LYA7" s="338"/>
      <c r="LYB7" s="338"/>
      <c r="LYC7" s="338"/>
      <c r="LYD7" s="338"/>
      <c r="LYE7" s="338"/>
      <c r="LYF7" s="338"/>
      <c r="LYG7" s="338"/>
      <c r="LYH7" s="338"/>
      <c r="LYI7" s="338"/>
      <c r="LYJ7" s="338"/>
      <c r="LYK7" s="338"/>
      <c r="LYL7" s="338"/>
      <c r="LYM7" s="338"/>
      <c r="LYN7" s="338"/>
      <c r="LYO7" s="338"/>
      <c r="LYP7" s="338"/>
      <c r="LYQ7" s="338"/>
      <c r="LYR7" s="338"/>
      <c r="LYS7" s="338"/>
      <c r="LYT7" s="338"/>
      <c r="LYU7" s="338"/>
      <c r="LYV7" s="338"/>
      <c r="LYW7" s="338"/>
      <c r="LYX7" s="338"/>
      <c r="LYY7" s="338"/>
      <c r="LYZ7" s="338"/>
      <c r="LZA7" s="338"/>
      <c r="LZB7" s="338"/>
      <c r="LZC7" s="338"/>
      <c r="LZD7" s="338"/>
      <c r="LZE7" s="338"/>
      <c r="LZF7" s="338"/>
      <c r="LZG7" s="338"/>
      <c r="LZH7" s="338"/>
      <c r="LZI7" s="338"/>
      <c r="LZJ7" s="338"/>
      <c r="LZK7" s="338"/>
      <c r="LZL7" s="338"/>
      <c r="LZM7" s="338"/>
      <c r="LZN7" s="338"/>
      <c r="LZO7" s="338"/>
      <c r="LZP7" s="338"/>
      <c r="LZQ7" s="338"/>
      <c r="LZR7" s="338"/>
      <c r="LZS7" s="338"/>
      <c r="LZT7" s="338"/>
      <c r="LZU7" s="338"/>
      <c r="LZV7" s="338"/>
      <c r="LZW7" s="338"/>
      <c r="LZX7" s="338"/>
      <c r="LZY7" s="338"/>
      <c r="LZZ7" s="338"/>
      <c r="MAA7" s="338"/>
      <c r="MAB7" s="338"/>
      <c r="MAC7" s="338"/>
      <c r="MAD7" s="338"/>
      <c r="MAE7" s="338"/>
      <c r="MAF7" s="338"/>
      <c r="MAG7" s="338"/>
      <c r="MAH7" s="338"/>
      <c r="MAI7" s="338"/>
      <c r="MAJ7" s="338"/>
      <c r="MAK7" s="338"/>
      <c r="MAL7" s="338"/>
      <c r="MAM7" s="338"/>
      <c r="MAN7" s="338"/>
      <c r="MAO7" s="338"/>
      <c r="MAP7" s="338"/>
      <c r="MAQ7" s="338"/>
      <c r="MAR7" s="338"/>
      <c r="MAS7" s="338"/>
      <c r="MAT7" s="338"/>
      <c r="MAU7" s="338"/>
      <c r="MAV7" s="338"/>
      <c r="MAW7" s="338"/>
      <c r="MAX7" s="338"/>
      <c r="MAY7" s="338"/>
      <c r="MAZ7" s="338"/>
      <c r="MBA7" s="338"/>
      <c r="MBB7" s="338"/>
      <c r="MBC7" s="338"/>
      <c r="MBD7" s="338"/>
      <c r="MBE7" s="338"/>
      <c r="MBF7" s="338"/>
      <c r="MBG7" s="338"/>
      <c r="MBH7" s="338"/>
      <c r="MBI7" s="338"/>
      <c r="MBJ7" s="338"/>
      <c r="MBK7" s="338"/>
      <c r="MBL7" s="338"/>
      <c r="MBM7" s="338"/>
      <c r="MBN7" s="338"/>
      <c r="MBO7" s="338"/>
      <c r="MBP7" s="338"/>
      <c r="MBQ7" s="338"/>
      <c r="MBR7" s="338"/>
      <c r="MBS7" s="338"/>
      <c r="MBT7" s="338"/>
      <c r="MBU7" s="338"/>
      <c r="MBV7" s="338"/>
      <c r="MBW7" s="338"/>
      <c r="MBX7" s="338"/>
      <c r="MBY7" s="338"/>
      <c r="MBZ7" s="338"/>
      <c r="MCA7" s="338"/>
      <c r="MCB7" s="338"/>
      <c r="MCC7" s="338"/>
      <c r="MCD7" s="338"/>
      <c r="MCE7" s="338"/>
      <c r="MCF7" s="338"/>
      <c r="MCG7" s="338"/>
      <c r="MCH7" s="338"/>
      <c r="MCI7" s="338"/>
      <c r="MCJ7" s="338"/>
      <c r="MCK7" s="338"/>
      <c r="MCL7" s="338"/>
      <c r="MCM7" s="338"/>
      <c r="MCN7" s="338"/>
      <c r="MCO7" s="338"/>
      <c r="MCP7" s="338"/>
      <c r="MCQ7" s="338"/>
      <c r="MCR7" s="338"/>
      <c r="MCS7" s="338"/>
      <c r="MCT7" s="338"/>
      <c r="MCU7" s="338"/>
      <c r="MCV7" s="338"/>
      <c r="MCW7" s="338"/>
      <c r="MCX7" s="338"/>
      <c r="MCY7" s="338"/>
      <c r="MCZ7" s="338"/>
      <c r="MDA7" s="338"/>
      <c r="MDB7" s="338"/>
      <c r="MDC7" s="338"/>
      <c r="MDD7" s="338"/>
      <c r="MDE7" s="338"/>
      <c r="MDF7" s="338"/>
      <c r="MDG7" s="338"/>
      <c r="MDH7" s="338"/>
      <c r="MDI7" s="338"/>
      <c r="MDJ7" s="338"/>
      <c r="MDK7" s="338"/>
      <c r="MDL7" s="338"/>
      <c r="MDM7" s="338"/>
      <c r="MDN7" s="338"/>
      <c r="MDO7" s="338"/>
      <c r="MDP7" s="338"/>
      <c r="MDQ7" s="338"/>
      <c r="MDR7" s="338"/>
      <c r="MDS7" s="338"/>
      <c r="MDT7" s="338"/>
      <c r="MDU7" s="338"/>
      <c r="MDV7" s="338"/>
      <c r="MDW7" s="338"/>
      <c r="MDX7" s="338"/>
      <c r="MDY7" s="338"/>
      <c r="MDZ7" s="338"/>
      <c r="MEA7" s="338"/>
      <c r="MEB7" s="338"/>
      <c r="MEC7" s="338"/>
      <c r="MED7" s="338"/>
      <c r="MEE7" s="338"/>
      <c r="MEF7" s="338"/>
      <c r="MEG7" s="338"/>
      <c r="MEH7" s="338"/>
      <c r="MEI7" s="338"/>
      <c r="MEJ7" s="338"/>
      <c r="MEK7" s="338"/>
      <c r="MEL7" s="338"/>
      <c r="MEM7" s="338"/>
      <c r="MEN7" s="338"/>
      <c r="MEO7" s="338"/>
      <c r="MEP7" s="338"/>
      <c r="MEQ7" s="338"/>
      <c r="MER7" s="338"/>
      <c r="MES7" s="338"/>
      <c r="MET7" s="338"/>
      <c r="MEU7" s="338"/>
      <c r="MEV7" s="338"/>
      <c r="MEW7" s="338"/>
      <c r="MEX7" s="338"/>
      <c r="MEY7" s="338"/>
      <c r="MEZ7" s="338"/>
      <c r="MFA7" s="338"/>
      <c r="MFB7" s="338"/>
      <c r="MFC7" s="338"/>
      <c r="MFD7" s="338"/>
      <c r="MFE7" s="338"/>
      <c r="MFF7" s="338"/>
      <c r="MFG7" s="338"/>
      <c r="MFH7" s="338"/>
      <c r="MFI7" s="338"/>
      <c r="MFJ7" s="338"/>
      <c r="MFK7" s="338"/>
      <c r="MFL7" s="338"/>
      <c r="MFM7" s="338"/>
      <c r="MFN7" s="338"/>
      <c r="MFO7" s="338"/>
      <c r="MFP7" s="338"/>
      <c r="MFQ7" s="338"/>
      <c r="MFR7" s="338"/>
      <c r="MFS7" s="338"/>
      <c r="MFT7" s="338"/>
      <c r="MFU7" s="338"/>
      <c r="MFV7" s="338"/>
      <c r="MFW7" s="338"/>
      <c r="MFX7" s="338"/>
      <c r="MFY7" s="338"/>
      <c r="MFZ7" s="338"/>
      <c r="MGA7" s="338"/>
      <c r="MGB7" s="338"/>
      <c r="MGC7" s="338"/>
      <c r="MGD7" s="338"/>
      <c r="MGE7" s="338"/>
      <c r="MGF7" s="338"/>
      <c r="MGG7" s="338"/>
      <c r="MGH7" s="338"/>
      <c r="MGI7" s="338"/>
      <c r="MGJ7" s="338"/>
      <c r="MGK7" s="338"/>
      <c r="MGL7" s="338"/>
      <c r="MGM7" s="338"/>
      <c r="MGN7" s="338"/>
      <c r="MGO7" s="338"/>
      <c r="MGP7" s="338"/>
      <c r="MGQ7" s="338"/>
      <c r="MGR7" s="338"/>
      <c r="MGS7" s="338"/>
      <c r="MGT7" s="338"/>
      <c r="MGU7" s="338"/>
      <c r="MGV7" s="338"/>
      <c r="MGW7" s="338"/>
      <c r="MGX7" s="338"/>
      <c r="MGY7" s="338"/>
      <c r="MGZ7" s="338"/>
      <c r="MHA7" s="338"/>
      <c r="MHB7" s="338"/>
      <c r="MHC7" s="338"/>
      <c r="MHD7" s="338"/>
      <c r="MHE7" s="338"/>
      <c r="MHF7" s="338"/>
      <c r="MHG7" s="338"/>
      <c r="MHH7" s="338"/>
      <c r="MHI7" s="338"/>
      <c r="MHJ7" s="338"/>
      <c r="MHK7" s="338"/>
      <c r="MHL7" s="338"/>
      <c r="MHM7" s="338"/>
      <c r="MHN7" s="338"/>
      <c r="MHO7" s="338"/>
      <c r="MHP7" s="338"/>
      <c r="MHQ7" s="338"/>
      <c r="MHR7" s="338"/>
      <c r="MHS7" s="338"/>
      <c r="MHT7" s="338"/>
      <c r="MHU7" s="338"/>
      <c r="MHV7" s="338"/>
      <c r="MHW7" s="338"/>
      <c r="MHX7" s="338"/>
      <c r="MHY7" s="338"/>
      <c r="MHZ7" s="338"/>
      <c r="MIA7" s="338"/>
      <c r="MIB7" s="338"/>
      <c r="MIC7" s="338"/>
      <c r="MID7" s="338"/>
      <c r="MIE7" s="338"/>
      <c r="MIF7" s="338"/>
      <c r="MIG7" s="338"/>
      <c r="MIH7" s="338"/>
      <c r="MII7" s="338"/>
      <c r="MIJ7" s="338"/>
      <c r="MIK7" s="338"/>
      <c r="MIL7" s="338"/>
      <c r="MIM7" s="338"/>
      <c r="MIN7" s="338"/>
      <c r="MIO7" s="338"/>
      <c r="MIP7" s="338"/>
      <c r="MIQ7" s="338"/>
      <c r="MIR7" s="338"/>
      <c r="MIS7" s="338"/>
      <c r="MIT7" s="338"/>
      <c r="MIU7" s="338"/>
      <c r="MIV7" s="338"/>
      <c r="MIW7" s="338"/>
      <c r="MIX7" s="338"/>
      <c r="MIY7" s="338"/>
      <c r="MIZ7" s="338"/>
      <c r="MJA7" s="338"/>
      <c r="MJB7" s="338"/>
      <c r="MJC7" s="338"/>
      <c r="MJD7" s="338"/>
      <c r="MJE7" s="338"/>
      <c r="MJF7" s="338"/>
      <c r="MJG7" s="338"/>
      <c r="MJH7" s="338"/>
      <c r="MJI7" s="338"/>
      <c r="MJJ7" s="338"/>
      <c r="MJK7" s="338"/>
      <c r="MJL7" s="338"/>
      <c r="MJM7" s="338"/>
      <c r="MJN7" s="338"/>
      <c r="MJO7" s="338"/>
      <c r="MJP7" s="338"/>
      <c r="MJQ7" s="338"/>
      <c r="MJR7" s="338"/>
      <c r="MJS7" s="338"/>
      <c r="MJT7" s="338"/>
      <c r="MJU7" s="338"/>
      <c r="MJV7" s="338"/>
      <c r="MJW7" s="338"/>
      <c r="MJX7" s="338"/>
      <c r="MJY7" s="338"/>
      <c r="MJZ7" s="338"/>
      <c r="MKA7" s="338"/>
      <c r="MKB7" s="338"/>
      <c r="MKC7" s="338"/>
      <c r="MKD7" s="338"/>
      <c r="MKE7" s="338"/>
      <c r="MKF7" s="338"/>
      <c r="MKG7" s="338"/>
      <c r="MKH7" s="338"/>
      <c r="MKI7" s="338"/>
      <c r="MKJ7" s="338"/>
      <c r="MKK7" s="338"/>
      <c r="MKL7" s="338"/>
      <c r="MKM7" s="338"/>
      <c r="MKN7" s="338"/>
      <c r="MKO7" s="338"/>
      <c r="MKP7" s="338"/>
      <c r="MKQ7" s="338"/>
      <c r="MKR7" s="338"/>
      <c r="MKS7" s="338"/>
      <c r="MKT7" s="338"/>
      <c r="MKU7" s="338"/>
      <c r="MKV7" s="338"/>
      <c r="MKW7" s="338"/>
      <c r="MKX7" s="338"/>
      <c r="MKY7" s="338"/>
      <c r="MKZ7" s="338"/>
      <c r="MLA7" s="338"/>
      <c r="MLB7" s="338"/>
      <c r="MLC7" s="338"/>
      <c r="MLD7" s="338"/>
      <c r="MLE7" s="338"/>
      <c r="MLF7" s="338"/>
      <c r="MLG7" s="338"/>
      <c r="MLH7" s="338"/>
      <c r="MLI7" s="338"/>
      <c r="MLJ7" s="338"/>
      <c r="MLK7" s="338"/>
      <c r="MLL7" s="338"/>
      <c r="MLM7" s="338"/>
      <c r="MLN7" s="338"/>
      <c r="MLO7" s="338"/>
      <c r="MLP7" s="338"/>
      <c r="MLQ7" s="338"/>
      <c r="MLR7" s="338"/>
      <c r="MLS7" s="338"/>
      <c r="MLT7" s="338"/>
      <c r="MLU7" s="338"/>
      <c r="MLV7" s="338"/>
      <c r="MLW7" s="338"/>
      <c r="MLX7" s="338"/>
      <c r="MLY7" s="338"/>
      <c r="MLZ7" s="338"/>
      <c r="MMA7" s="338"/>
      <c r="MMB7" s="338"/>
      <c r="MMC7" s="338"/>
      <c r="MMD7" s="338"/>
      <c r="MME7" s="338"/>
      <c r="MMF7" s="338"/>
      <c r="MMG7" s="338"/>
      <c r="MMH7" s="338"/>
      <c r="MMI7" s="338"/>
      <c r="MMJ7" s="338"/>
      <c r="MMK7" s="338"/>
      <c r="MML7" s="338"/>
      <c r="MMM7" s="338"/>
      <c r="MMN7" s="338"/>
      <c r="MMO7" s="338"/>
      <c r="MMP7" s="338"/>
      <c r="MMQ7" s="338"/>
      <c r="MMR7" s="338"/>
      <c r="MMS7" s="338"/>
      <c r="MMT7" s="338"/>
      <c r="MMU7" s="338"/>
      <c r="MMV7" s="338"/>
      <c r="MMW7" s="338"/>
      <c r="MMX7" s="338"/>
      <c r="MMY7" s="338"/>
      <c r="MMZ7" s="338"/>
      <c r="MNA7" s="338"/>
      <c r="MNB7" s="338"/>
      <c r="MNC7" s="338"/>
      <c r="MND7" s="338"/>
      <c r="MNE7" s="338"/>
      <c r="MNF7" s="338"/>
      <c r="MNG7" s="338"/>
      <c r="MNH7" s="338"/>
      <c r="MNI7" s="338"/>
      <c r="MNJ7" s="338"/>
      <c r="MNK7" s="338"/>
      <c r="MNL7" s="338"/>
      <c r="MNM7" s="338"/>
      <c r="MNN7" s="338"/>
      <c r="MNO7" s="338"/>
      <c r="MNP7" s="338"/>
      <c r="MNQ7" s="338"/>
      <c r="MNR7" s="338"/>
      <c r="MNS7" s="338"/>
      <c r="MNT7" s="338"/>
      <c r="MNU7" s="338"/>
      <c r="MNV7" s="338"/>
      <c r="MNW7" s="338"/>
      <c r="MNX7" s="338"/>
      <c r="MNY7" s="338"/>
      <c r="MNZ7" s="338"/>
      <c r="MOA7" s="338"/>
      <c r="MOB7" s="338"/>
      <c r="MOC7" s="338"/>
      <c r="MOD7" s="338"/>
      <c r="MOE7" s="338"/>
      <c r="MOF7" s="338"/>
      <c r="MOG7" s="338"/>
      <c r="MOH7" s="338"/>
      <c r="MOI7" s="338"/>
      <c r="MOJ7" s="338"/>
      <c r="MOK7" s="338"/>
      <c r="MOL7" s="338"/>
      <c r="MOM7" s="338"/>
      <c r="MON7" s="338"/>
      <c r="MOO7" s="338"/>
      <c r="MOP7" s="338"/>
      <c r="MOQ7" s="338"/>
      <c r="MOR7" s="338"/>
      <c r="MOS7" s="338"/>
      <c r="MOT7" s="338"/>
      <c r="MOU7" s="338"/>
      <c r="MOV7" s="338"/>
      <c r="MOW7" s="338"/>
      <c r="MOX7" s="338"/>
      <c r="MOY7" s="338"/>
      <c r="MOZ7" s="338"/>
      <c r="MPA7" s="338"/>
      <c r="MPB7" s="338"/>
      <c r="MPC7" s="338"/>
      <c r="MPD7" s="338"/>
      <c r="MPE7" s="338"/>
      <c r="MPF7" s="338"/>
      <c r="MPG7" s="338"/>
      <c r="MPH7" s="338"/>
      <c r="MPI7" s="338"/>
      <c r="MPJ7" s="338"/>
      <c r="MPK7" s="338"/>
      <c r="MPL7" s="338"/>
      <c r="MPM7" s="338"/>
      <c r="MPN7" s="338"/>
      <c r="MPO7" s="338"/>
      <c r="MPP7" s="338"/>
      <c r="MPQ7" s="338"/>
      <c r="MPR7" s="338"/>
      <c r="MPS7" s="338"/>
      <c r="MPT7" s="338"/>
      <c r="MPU7" s="338"/>
      <c r="MPV7" s="338"/>
      <c r="MPW7" s="338"/>
      <c r="MPX7" s="338"/>
      <c r="MPY7" s="338"/>
      <c r="MPZ7" s="338"/>
      <c r="MQA7" s="338"/>
      <c r="MQB7" s="338"/>
      <c r="MQC7" s="338"/>
      <c r="MQD7" s="338"/>
      <c r="MQE7" s="338"/>
      <c r="MQF7" s="338"/>
      <c r="MQG7" s="338"/>
      <c r="MQH7" s="338"/>
      <c r="MQI7" s="338"/>
      <c r="MQJ7" s="338"/>
      <c r="MQK7" s="338"/>
      <c r="MQL7" s="338"/>
      <c r="MQM7" s="338"/>
      <c r="MQN7" s="338"/>
      <c r="MQO7" s="338"/>
      <c r="MQP7" s="338"/>
      <c r="MQQ7" s="338"/>
      <c r="MQR7" s="338"/>
      <c r="MQS7" s="338"/>
      <c r="MQT7" s="338"/>
      <c r="MQU7" s="338"/>
      <c r="MQV7" s="338"/>
      <c r="MQW7" s="338"/>
      <c r="MQX7" s="338"/>
      <c r="MQY7" s="338"/>
      <c r="MQZ7" s="338"/>
      <c r="MRA7" s="338"/>
      <c r="MRB7" s="338"/>
      <c r="MRC7" s="338"/>
      <c r="MRD7" s="338"/>
      <c r="MRE7" s="338"/>
      <c r="MRF7" s="338"/>
      <c r="MRG7" s="338"/>
      <c r="MRH7" s="338"/>
      <c r="MRI7" s="338"/>
      <c r="MRJ7" s="338"/>
      <c r="MRK7" s="338"/>
      <c r="MRL7" s="338"/>
      <c r="MRM7" s="338"/>
      <c r="MRN7" s="338"/>
      <c r="MRO7" s="338"/>
      <c r="MRP7" s="338"/>
      <c r="MRQ7" s="338"/>
      <c r="MRR7" s="338"/>
      <c r="MRS7" s="338"/>
      <c r="MRT7" s="338"/>
      <c r="MRU7" s="338"/>
      <c r="MRV7" s="338"/>
      <c r="MRW7" s="338"/>
      <c r="MRX7" s="338"/>
      <c r="MRY7" s="338"/>
      <c r="MRZ7" s="338"/>
      <c r="MSA7" s="338"/>
      <c r="MSB7" s="338"/>
      <c r="MSC7" s="338"/>
      <c r="MSD7" s="338"/>
      <c r="MSE7" s="338"/>
      <c r="MSF7" s="338"/>
      <c r="MSG7" s="338"/>
      <c r="MSH7" s="338"/>
      <c r="MSI7" s="338"/>
      <c r="MSJ7" s="338"/>
      <c r="MSK7" s="338"/>
      <c r="MSL7" s="338"/>
      <c r="MSM7" s="338"/>
      <c r="MSN7" s="338"/>
      <c r="MSO7" s="338"/>
      <c r="MSP7" s="338"/>
      <c r="MSQ7" s="338"/>
      <c r="MSR7" s="338"/>
      <c r="MSS7" s="338"/>
      <c r="MST7" s="338"/>
      <c r="MSU7" s="338"/>
      <c r="MSV7" s="338"/>
      <c r="MSW7" s="338"/>
      <c r="MSX7" s="338"/>
      <c r="MSY7" s="338"/>
      <c r="MSZ7" s="338"/>
      <c r="MTA7" s="338"/>
      <c r="MTB7" s="338"/>
      <c r="MTC7" s="338"/>
      <c r="MTD7" s="338"/>
      <c r="MTE7" s="338"/>
      <c r="MTF7" s="338"/>
      <c r="MTG7" s="338"/>
      <c r="MTH7" s="338"/>
      <c r="MTI7" s="338"/>
      <c r="MTJ7" s="338"/>
      <c r="MTK7" s="338"/>
      <c r="MTL7" s="338"/>
      <c r="MTM7" s="338"/>
      <c r="MTN7" s="338"/>
      <c r="MTO7" s="338"/>
      <c r="MTP7" s="338"/>
      <c r="MTQ7" s="338"/>
      <c r="MTR7" s="338"/>
      <c r="MTS7" s="338"/>
      <c r="MTT7" s="338"/>
      <c r="MTU7" s="338"/>
      <c r="MTV7" s="338"/>
      <c r="MTW7" s="338"/>
      <c r="MTX7" s="338"/>
      <c r="MTY7" s="338"/>
      <c r="MTZ7" s="338"/>
      <c r="MUA7" s="338"/>
      <c r="MUB7" s="338"/>
      <c r="MUC7" s="338"/>
      <c r="MUD7" s="338"/>
      <c r="MUE7" s="338"/>
      <c r="MUF7" s="338"/>
      <c r="MUG7" s="338"/>
      <c r="MUH7" s="338"/>
      <c r="MUI7" s="338"/>
      <c r="MUJ7" s="338"/>
      <c r="MUK7" s="338"/>
      <c r="MUL7" s="338"/>
      <c r="MUM7" s="338"/>
      <c r="MUN7" s="338"/>
      <c r="MUO7" s="338"/>
      <c r="MUP7" s="338"/>
      <c r="MUQ7" s="338"/>
      <c r="MUR7" s="338"/>
      <c r="MUS7" s="338"/>
      <c r="MUT7" s="338"/>
      <c r="MUU7" s="338"/>
      <c r="MUV7" s="338"/>
      <c r="MUW7" s="338"/>
      <c r="MUX7" s="338"/>
      <c r="MUY7" s="338"/>
      <c r="MUZ7" s="338"/>
      <c r="MVA7" s="338"/>
      <c r="MVB7" s="338"/>
      <c r="MVC7" s="338"/>
      <c r="MVD7" s="338"/>
      <c r="MVE7" s="338"/>
      <c r="MVF7" s="338"/>
      <c r="MVG7" s="338"/>
      <c r="MVH7" s="338"/>
      <c r="MVI7" s="338"/>
      <c r="MVJ7" s="338"/>
      <c r="MVK7" s="338"/>
      <c r="MVL7" s="338"/>
      <c r="MVM7" s="338"/>
      <c r="MVN7" s="338"/>
      <c r="MVO7" s="338"/>
      <c r="MVP7" s="338"/>
      <c r="MVQ7" s="338"/>
      <c r="MVR7" s="338"/>
      <c r="MVS7" s="338"/>
      <c r="MVT7" s="338"/>
      <c r="MVU7" s="338"/>
      <c r="MVV7" s="338"/>
      <c r="MVW7" s="338"/>
      <c r="MVX7" s="338"/>
      <c r="MVY7" s="338"/>
      <c r="MVZ7" s="338"/>
      <c r="MWA7" s="338"/>
      <c r="MWB7" s="338"/>
      <c r="MWC7" s="338"/>
      <c r="MWD7" s="338"/>
      <c r="MWE7" s="338"/>
      <c r="MWF7" s="338"/>
      <c r="MWG7" s="338"/>
      <c r="MWH7" s="338"/>
      <c r="MWI7" s="338"/>
      <c r="MWJ7" s="338"/>
      <c r="MWK7" s="338"/>
      <c r="MWL7" s="338"/>
      <c r="MWM7" s="338"/>
      <c r="MWN7" s="338"/>
      <c r="MWO7" s="338"/>
      <c r="MWP7" s="338"/>
      <c r="MWQ7" s="338"/>
      <c r="MWR7" s="338"/>
      <c r="MWS7" s="338"/>
      <c r="MWT7" s="338"/>
      <c r="MWU7" s="338"/>
      <c r="MWV7" s="338"/>
      <c r="MWW7" s="338"/>
      <c r="MWX7" s="338"/>
      <c r="MWY7" s="338"/>
      <c r="MWZ7" s="338"/>
      <c r="MXA7" s="338"/>
      <c r="MXB7" s="338"/>
      <c r="MXC7" s="338"/>
      <c r="MXD7" s="338"/>
      <c r="MXE7" s="338"/>
      <c r="MXF7" s="338"/>
      <c r="MXG7" s="338"/>
      <c r="MXH7" s="338"/>
      <c r="MXI7" s="338"/>
      <c r="MXJ7" s="338"/>
      <c r="MXK7" s="338"/>
      <c r="MXL7" s="338"/>
      <c r="MXM7" s="338"/>
      <c r="MXN7" s="338"/>
      <c r="MXO7" s="338"/>
      <c r="MXP7" s="338"/>
      <c r="MXQ7" s="338"/>
      <c r="MXR7" s="338"/>
      <c r="MXS7" s="338"/>
      <c r="MXT7" s="338"/>
      <c r="MXU7" s="338"/>
      <c r="MXV7" s="338"/>
      <c r="MXW7" s="338"/>
      <c r="MXX7" s="338"/>
      <c r="MXY7" s="338"/>
      <c r="MXZ7" s="338"/>
      <c r="MYA7" s="338"/>
      <c r="MYB7" s="338"/>
      <c r="MYC7" s="338"/>
      <c r="MYD7" s="338"/>
      <c r="MYE7" s="338"/>
      <c r="MYF7" s="338"/>
      <c r="MYG7" s="338"/>
      <c r="MYH7" s="338"/>
      <c r="MYI7" s="338"/>
      <c r="MYJ7" s="338"/>
      <c r="MYK7" s="338"/>
      <c r="MYL7" s="338"/>
      <c r="MYM7" s="338"/>
      <c r="MYN7" s="338"/>
      <c r="MYO7" s="338"/>
      <c r="MYP7" s="338"/>
      <c r="MYQ7" s="338"/>
      <c r="MYR7" s="338"/>
      <c r="MYS7" s="338"/>
      <c r="MYT7" s="338"/>
      <c r="MYU7" s="338"/>
      <c r="MYV7" s="338"/>
      <c r="MYW7" s="338"/>
      <c r="MYX7" s="338"/>
      <c r="MYY7" s="338"/>
      <c r="MYZ7" s="338"/>
      <c r="MZA7" s="338"/>
      <c r="MZB7" s="338"/>
      <c r="MZC7" s="338"/>
      <c r="MZD7" s="338"/>
      <c r="MZE7" s="338"/>
      <c r="MZF7" s="338"/>
      <c r="MZG7" s="338"/>
      <c r="MZH7" s="338"/>
      <c r="MZI7" s="338"/>
      <c r="MZJ7" s="338"/>
      <c r="MZK7" s="338"/>
      <c r="MZL7" s="338"/>
      <c r="MZM7" s="338"/>
      <c r="MZN7" s="338"/>
      <c r="MZO7" s="338"/>
      <c r="MZP7" s="338"/>
      <c r="MZQ7" s="338"/>
      <c r="MZR7" s="338"/>
      <c r="MZS7" s="338"/>
      <c r="MZT7" s="338"/>
      <c r="MZU7" s="338"/>
      <c r="MZV7" s="338"/>
      <c r="MZW7" s="338"/>
      <c r="MZX7" s="338"/>
      <c r="MZY7" s="338"/>
      <c r="MZZ7" s="338"/>
      <c r="NAA7" s="338"/>
      <c r="NAB7" s="338"/>
      <c r="NAC7" s="338"/>
      <c r="NAD7" s="338"/>
      <c r="NAE7" s="338"/>
      <c r="NAF7" s="338"/>
      <c r="NAG7" s="338"/>
      <c r="NAH7" s="338"/>
      <c r="NAI7" s="338"/>
      <c r="NAJ7" s="338"/>
      <c r="NAK7" s="338"/>
      <c r="NAL7" s="338"/>
      <c r="NAM7" s="338"/>
      <c r="NAN7" s="338"/>
      <c r="NAO7" s="338"/>
      <c r="NAP7" s="338"/>
      <c r="NAQ7" s="338"/>
      <c r="NAR7" s="338"/>
      <c r="NAS7" s="338"/>
      <c r="NAT7" s="338"/>
      <c r="NAU7" s="338"/>
      <c r="NAV7" s="338"/>
      <c r="NAW7" s="338"/>
      <c r="NAX7" s="338"/>
      <c r="NAY7" s="338"/>
      <c r="NAZ7" s="338"/>
      <c r="NBA7" s="338"/>
      <c r="NBB7" s="338"/>
      <c r="NBC7" s="338"/>
      <c r="NBD7" s="338"/>
      <c r="NBE7" s="338"/>
      <c r="NBF7" s="338"/>
      <c r="NBG7" s="338"/>
      <c r="NBH7" s="338"/>
      <c r="NBI7" s="338"/>
      <c r="NBJ7" s="338"/>
      <c r="NBK7" s="338"/>
      <c r="NBL7" s="338"/>
      <c r="NBM7" s="338"/>
      <c r="NBN7" s="338"/>
      <c r="NBO7" s="338"/>
      <c r="NBP7" s="338"/>
      <c r="NBQ7" s="338"/>
      <c r="NBR7" s="338"/>
      <c r="NBS7" s="338"/>
      <c r="NBT7" s="338"/>
      <c r="NBU7" s="338"/>
      <c r="NBV7" s="338"/>
      <c r="NBW7" s="338"/>
      <c r="NBX7" s="338"/>
      <c r="NBY7" s="338"/>
      <c r="NBZ7" s="338"/>
      <c r="NCA7" s="338"/>
      <c r="NCB7" s="338"/>
      <c r="NCC7" s="338"/>
      <c r="NCD7" s="338"/>
      <c r="NCE7" s="338"/>
      <c r="NCF7" s="338"/>
      <c r="NCG7" s="338"/>
      <c r="NCH7" s="338"/>
      <c r="NCI7" s="338"/>
      <c r="NCJ7" s="338"/>
      <c r="NCK7" s="338"/>
      <c r="NCL7" s="338"/>
      <c r="NCM7" s="338"/>
      <c r="NCN7" s="338"/>
      <c r="NCO7" s="338"/>
      <c r="NCP7" s="338"/>
      <c r="NCQ7" s="338"/>
      <c r="NCR7" s="338"/>
      <c r="NCS7" s="338"/>
      <c r="NCT7" s="338"/>
      <c r="NCU7" s="338"/>
      <c r="NCV7" s="338"/>
      <c r="NCW7" s="338"/>
      <c r="NCX7" s="338"/>
      <c r="NCY7" s="338"/>
      <c r="NCZ7" s="338"/>
      <c r="NDA7" s="338"/>
      <c r="NDB7" s="338"/>
      <c r="NDC7" s="338"/>
      <c r="NDD7" s="338"/>
      <c r="NDE7" s="338"/>
      <c r="NDF7" s="338"/>
      <c r="NDG7" s="338"/>
      <c r="NDH7" s="338"/>
      <c r="NDI7" s="338"/>
      <c r="NDJ7" s="338"/>
      <c r="NDK7" s="338"/>
      <c r="NDL7" s="338"/>
      <c r="NDM7" s="338"/>
      <c r="NDN7" s="338"/>
      <c r="NDO7" s="338"/>
      <c r="NDP7" s="338"/>
      <c r="NDQ7" s="338"/>
      <c r="NDR7" s="338"/>
      <c r="NDS7" s="338"/>
      <c r="NDT7" s="338"/>
      <c r="NDU7" s="338"/>
      <c r="NDV7" s="338"/>
      <c r="NDW7" s="338"/>
      <c r="NDX7" s="338"/>
      <c r="NDY7" s="338"/>
      <c r="NDZ7" s="338"/>
      <c r="NEA7" s="338"/>
      <c r="NEB7" s="338"/>
      <c r="NEC7" s="338"/>
      <c r="NED7" s="338"/>
      <c r="NEE7" s="338"/>
      <c r="NEF7" s="338"/>
      <c r="NEG7" s="338"/>
      <c r="NEH7" s="338"/>
      <c r="NEI7" s="338"/>
      <c r="NEJ7" s="338"/>
      <c r="NEK7" s="338"/>
      <c r="NEL7" s="338"/>
      <c r="NEM7" s="338"/>
      <c r="NEN7" s="338"/>
      <c r="NEO7" s="338"/>
      <c r="NEP7" s="338"/>
      <c r="NEQ7" s="338"/>
      <c r="NER7" s="338"/>
      <c r="NES7" s="338"/>
      <c r="NET7" s="338"/>
      <c r="NEU7" s="338"/>
      <c r="NEV7" s="338"/>
      <c r="NEW7" s="338"/>
      <c r="NEX7" s="338"/>
      <c r="NEY7" s="338"/>
      <c r="NEZ7" s="338"/>
      <c r="NFA7" s="338"/>
      <c r="NFB7" s="338"/>
      <c r="NFC7" s="338"/>
      <c r="NFD7" s="338"/>
      <c r="NFE7" s="338"/>
      <c r="NFF7" s="338"/>
      <c r="NFG7" s="338"/>
      <c r="NFH7" s="338"/>
      <c r="NFI7" s="338"/>
      <c r="NFJ7" s="338"/>
      <c r="NFK7" s="338"/>
      <c r="NFL7" s="338"/>
      <c r="NFM7" s="338"/>
      <c r="NFN7" s="338"/>
      <c r="NFO7" s="338"/>
      <c r="NFP7" s="338"/>
      <c r="NFQ7" s="338"/>
      <c r="NFR7" s="338"/>
      <c r="NFS7" s="338"/>
      <c r="NFT7" s="338"/>
      <c r="NFU7" s="338"/>
      <c r="NFV7" s="338"/>
      <c r="NFW7" s="338"/>
      <c r="NFX7" s="338"/>
      <c r="NFY7" s="338"/>
      <c r="NFZ7" s="338"/>
      <c r="NGA7" s="338"/>
      <c r="NGB7" s="338"/>
      <c r="NGC7" s="338"/>
      <c r="NGD7" s="338"/>
      <c r="NGE7" s="338"/>
      <c r="NGF7" s="338"/>
      <c r="NGG7" s="338"/>
      <c r="NGH7" s="338"/>
      <c r="NGI7" s="338"/>
      <c r="NGJ7" s="338"/>
      <c r="NGK7" s="338"/>
      <c r="NGL7" s="338"/>
      <c r="NGM7" s="338"/>
      <c r="NGN7" s="338"/>
      <c r="NGO7" s="338"/>
      <c r="NGP7" s="338"/>
      <c r="NGQ7" s="338"/>
      <c r="NGR7" s="338"/>
      <c r="NGS7" s="338"/>
      <c r="NGT7" s="338"/>
      <c r="NGU7" s="338"/>
      <c r="NGV7" s="338"/>
      <c r="NGW7" s="338"/>
      <c r="NGX7" s="338"/>
      <c r="NGY7" s="338"/>
      <c r="NGZ7" s="338"/>
      <c r="NHA7" s="338"/>
      <c r="NHB7" s="338"/>
      <c r="NHC7" s="338"/>
      <c r="NHD7" s="338"/>
      <c r="NHE7" s="338"/>
      <c r="NHF7" s="338"/>
      <c r="NHG7" s="338"/>
      <c r="NHH7" s="338"/>
      <c r="NHI7" s="338"/>
      <c r="NHJ7" s="338"/>
      <c r="NHK7" s="338"/>
      <c r="NHL7" s="338"/>
      <c r="NHM7" s="338"/>
      <c r="NHN7" s="338"/>
      <c r="NHO7" s="338"/>
      <c r="NHP7" s="338"/>
      <c r="NHQ7" s="338"/>
      <c r="NHR7" s="338"/>
      <c r="NHS7" s="338"/>
      <c r="NHT7" s="338"/>
      <c r="NHU7" s="338"/>
      <c r="NHV7" s="338"/>
      <c r="NHW7" s="338"/>
      <c r="NHX7" s="338"/>
      <c r="NHY7" s="338"/>
      <c r="NHZ7" s="338"/>
      <c r="NIA7" s="338"/>
      <c r="NIB7" s="338"/>
      <c r="NIC7" s="338"/>
      <c r="NID7" s="338"/>
      <c r="NIE7" s="338"/>
      <c r="NIF7" s="338"/>
      <c r="NIG7" s="338"/>
      <c r="NIH7" s="338"/>
      <c r="NII7" s="338"/>
      <c r="NIJ7" s="338"/>
      <c r="NIK7" s="338"/>
      <c r="NIL7" s="338"/>
      <c r="NIM7" s="338"/>
      <c r="NIN7" s="338"/>
      <c r="NIO7" s="338"/>
      <c r="NIP7" s="338"/>
      <c r="NIQ7" s="338"/>
      <c r="NIR7" s="338"/>
      <c r="NIS7" s="338"/>
      <c r="NIT7" s="338"/>
      <c r="NIU7" s="338"/>
      <c r="NIV7" s="338"/>
      <c r="NIW7" s="338"/>
      <c r="NIX7" s="338"/>
      <c r="NIY7" s="338"/>
      <c r="NIZ7" s="338"/>
      <c r="NJA7" s="338"/>
      <c r="NJB7" s="338"/>
      <c r="NJC7" s="338"/>
      <c r="NJD7" s="338"/>
      <c r="NJE7" s="338"/>
      <c r="NJF7" s="338"/>
      <c r="NJG7" s="338"/>
      <c r="NJH7" s="338"/>
      <c r="NJI7" s="338"/>
      <c r="NJJ7" s="338"/>
      <c r="NJK7" s="338"/>
      <c r="NJL7" s="338"/>
      <c r="NJM7" s="338"/>
      <c r="NJN7" s="338"/>
      <c r="NJO7" s="338"/>
      <c r="NJP7" s="338"/>
      <c r="NJQ7" s="338"/>
      <c r="NJR7" s="338"/>
      <c r="NJS7" s="338"/>
      <c r="NJT7" s="338"/>
      <c r="NJU7" s="338"/>
      <c r="NJV7" s="338"/>
      <c r="NJW7" s="338"/>
      <c r="NJX7" s="338"/>
      <c r="NJY7" s="338"/>
      <c r="NJZ7" s="338"/>
      <c r="NKA7" s="338"/>
      <c r="NKB7" s="338"/>
      <c r="NKC7" s="338"/>
      <c r="NKD7" s="338"/>
      <c r="NKE7" s="338"/>
      <c r="NKF7" s="338"/>
      <c r="NKG7" s="338"/>
      <c r="NKH7" s="338"/>
      <c r="NKI7" s="338"/>
      <c r="NKJ7" s="338"/>
      <c r="NKK7" s="338"/>
      <c r="NKL7" s="338"/>
      <c r="NKM7" s="338"/>
      <c r="NKN7" s="338"/>
      <c r="NKO7" s="338"/>
      <c r="NKP7" s="338"/>
      <c r="NKQ7" s="338"/>
      <c r="NKR7" s="338"/>
      <c r="NKS7" s="338"/>
      <c r="NKT7" s="338"/>
      <c r="NKU7" s="338"/>
      <c r="NKV7" s="338"/>
      <c r="NKW7" s="338"/>
      <c r="NKX7" s="338"/>
      <c r="NKY7" s="338"/>
      <c r="NKZ7" s="338"/>
      <c r="NLA7" s="338"/>
      <c r="NLB7" s="338"/>
      <c r="NLC7" s="338"/>
      <c r="NLD7" s="338"/>
      <c r="NLE7" s="338"/>
      <c r="NLF7" s="338"/>
      <c r="NLG7" s="338"/>
      <c r="NLH7" s="338"/>
      <c r="NLI7" s="338"/>
      <c r="NLJ7" s="338"/>
      <c r="NLK7" s="338"/>
      <c r="NLL7" s="338"/>
      <c r="NLM7" s="338"/>
      <c r="NLN7" s="338"/>
      <c r="NLO7" s="338"/>
      <c r="NLP7" s="338"/>
      <c r="NLQ7" s="338"/>
      <c r="NLR7" s="338"/>
      <c r="NLS7" s="338"/>
      <c r="NLT7" s="338"/>
      <c r="NLU7" s="338"/>
      <c r="NLV7" s="338"/>
      <c r="NLW7" s="338"/>
      <c r="NLX7" s="338"/>
      <c r="NLY7" s="338"/>
      <c r="NLZ7" s="338"/>
      <c r="NMA7" s="338"/>
      <c r="NMB7" s="338"/>
      <c r="NMC7" s="338"/>
      <c r="NMD7" s="338"/>
      <c r="NME7" s="338"/>
      <c r="NMF7" s="338"/>
      <c r="NMG7" s="338"/>
      <c r="NMH7" s="338"/>
      <c r="NMI7" s="338"/>
      <c r="NMJ7" s="338"/>
      <c r="NMK7" s="338"/>
      <c r="NML7" s="338"/>
      <c r="NMM7" s="338"/>
      <c r="NMN7" s="338"/>
      <c r="NMO7" s="338"/>
      <c r="NMP7" s="338"/>
      <c r="NMQ7" s="338"/>
      <c r="NMR7" s="338"/>
      <c r="NMS7" s="338"/>
      <c r="NMT7" s="338"/>
      <c r="NMU7" s="338"/>
      <c r="NMV7" s="338"/>
      <c r="NMW7" s="338"/>
      <c r="NMX7" s="338"/>
      <c r="NMY7" s="338"/>
      <c r="NMZ7" s="338"/>
      <c r="NNA7" s="338"/>
      <c r="NNB7" s="338"/>
      <c r="NNC7" s="338"/>
      <c r="NND7" s="338"/>
      <c r="NNE7" s="338"/>
      <c r="NNF7" s="338"/>
      <c r="NNG7" s="338"/>
      <c r="NNH7" s="338"/>
      <c r="NNI7" s="338"/>
      <c r="NNJ7" s="338"/>
      <c r="NNK7" s="338"/>
      <c r="NNL7" s="338"/>
      <c r="NNM7" s="338"/>
      <c r="NNN7" s="338"/>
      <c r="NNO7" s="338"/>
      <c r="NNP7" s="338"/>
      <c r="NNQ7" s="338"/>
      <c r="NNR7" s="338"/>
      <c r="NNS7" s="338"/>
      <c r="NNT7" s="338"/>
      <c r="NNU7" s="338"/>
      <c r="NNV7" s="338"/>
      <c r="NNW7" s="338"/>
      <c r="NNX7" s="338"/>
      <c r="NNY7" s="338"/>
      <c r="NNZ7" s="338"/>
      <c r="NOA7" s="338"/>
      <c r="NOB7" s="338"/>
      <c r="NOC7" s="338"/>
      <c r="NOD7" s="338"/>
      <c r="NOE7" s="338"/>
      <c r="NOF7" s="338"/>
      <c r="NOG7" s="338"/>
      <c r="NOH7" s="338"/>
      <c r="NOI7" s="338"/>
      <c r="NOJ7" s="338"/>
      <c r="NOK7" s="338"/>
      <c r="NOL7" s="338"/>
      <c r="NOM7" s="338"/>
      <c r="NON7" s="338"/>
      <c r="NOO7" s="338"/>
      <c r="NOP7" s="338"/>
      <c r="NOQ7" s="338"/>
      <c r="NOR7" s="338"/>
      <c r="NOS7" s="338"/>
      <c r="NOT7" s="338"/>
      <c r="NOU7" s="338"/>
      <c r="NOV7" s="338"/>
      <c r="NOW7" s="338"/>
      <c r="NOX7" s="338"/>
      <c r="NOY7" s="338"/>
      <c r="NOZ7" s="338"/>
      <c r="NPA7" s="338"/>
      <c r="NPB7" s="338"/>
      <c r="NPC7" s="338"/>
      <c r="NPD7" s="338"/>
      <c r="NPE7" s="338"/>
      <c r="NPF7" s="338"/>
      <c r="NPG7" s="338"/>
      <c r="NPH7" s="338"/>
      <c r="NPI7" s="338"/>
      <c r="NPJ7" s="338"/>
      <c r="NPK7" s="338"/>
      <c r="NPL7" s="338"/>
      <c r="NPM7" s="338"/>
      <c r="NPN7" s="338"/>
      <c r="NPO7" s="338"/>
      <c r="NPP7" s="338"/>
      <c r="NPQ7" s="338"/>
      <c r="NPR7" s="338"/>
      <c r="NPS7" s="338"/>
      <c r="NPT7" s="338"/>
      <c r="NPU7" s="338"/>
      <c r="NPV7" s="338"/>
      <c r="NPW7" s="338"/>
      <c r="NPX7" s="338"/>
      <c r="NPY7" s="338"/>
      <c r="NPZ7" s="338"/>
      <c r="NQA7" s="338"/>
      <c r="NQB7" s="338"/>
      <c r="NQC7" s="338"/>
      <c r="NQD7" s="338"/>
      <c r="NQE7" s="338"/>
      <c r="NQF7" s="338"/>
      <c r="NQG7" s="338"/>
      <c r="NQH7" s="338"/>
      <c r="NQI7" s="338"/>
      <c r="NQJ7" s="338"/>
      <c r="NQK7" s="338"/>
      <c r="NQL7" s="338"/>
      <c r="NQM7" s="338"/>
      <c r="NQN7" s="338"/>
      <c r="NQO7" s="338"/>
      <c r="NQP7" s="338"/>
      <c r="NQQ7" s="338"/>
      <c r="NQR7" s="338"/>
      <c r="NQS7" s="338"/>
      <c r="NQT7" s="338"/>
      <c r="NQU7" s="338"/>
      <c r="NQV7" s="338"/>
      <c r="NQW7" s="338"/>
      <c r="NQX7" s="338"/>
      <c r="NQY7" s="338"/>
      <c r="NQZ7" s="338"/>
      <c r="NRA7" s="338"/>
      <c r="NRB7" s="338"/>
      <c r="NRC7" s="338"/>
      <c r="NRD7" s="338"/>
      <c r="NRE7" s="338"/>
      <c r="NRF7" s="338"/>
      <c r="NRG7" s="338"/>
      <c r="NRH7" s="338"/>
      <c r="NRI7" s="338"/>
      <c r="NRJ7" s="338"/>
      <c r="NRK7" s="338"/>
      <c r="NRL7" s="338"/>
      <c r="NRM7" s="338"/>
      <c r="NRN7" s="338"/>
      <c r="NRO7" s="338"/>
      <c r="NRP7" s="338"/>
      <c r="NRQ7" s="338"/>
      <c r="NRR7" s="338"/>
      <c r="NRS7" s="338"/>
      <c r="NRT7" s="338"/>
      <c r="NRU7" s="338"/>
      <c r="NRV7" s="338"/>
      <c r="NRW7" s="338"/>
      <c r="NRX7" s="338"/>
      <c r="NRY7" s="338"/>
      <c r="NRZ7" s="338"/>
      <c r="NSA7" s="338"/>
      <c r="NSB7" s="338"/>
      <c r="NSC7" s="338"/>
      <c r="NSD7" s="338"/>
      <c r="NSE7" s="338"/>
      <c r="NSF7" s="338"/>
      <c r="NSG7" s="338"/>
      <c r="NSH7" s="338"/>
      <c r="NSI7" s="338"/>
      <c r="NSJ7" s="338"/>
      <c r="NSK7" s="338"/>
      <c r="NSL7" s="338"/>
      <c r="NSM7" s="338"/>
      <c r="NSN7" s="338"/>
      <c r="NSO7" s="338"/>
      <c r="NSP7" s="338"/>
      <c r="NSQ7" s="338"/>
      <c r="NSR7" s="338"/>
      <c r="NSS7" s="338"/>
      <c r="NST7" s="338"/>
      <c r="NSU7" s="338"/>
      <c r="NSV7" s="338"/>
      <c r="NSW7" s="338"/>
      <c r="NSX7" s="338"/>
      <c r="NSY7" s="338"/>
      <c r="NSZ7" s="338"/>
      <c r="NTA7" s="338"/>
      <c r="NTB7" s="338"/>
      <c r="NTC7" s="338"/>
      <c r="NTD7" s="338"/>
      <c r="NTE7" s="338"/>
      <c r="NTF7" s="338"/>
      <c r="NTG7" s="338"/>
      <c r="NTH7" s="338"/>
      <c r="NTI7" s="338"/>
      <c r="NTJ7" s="338"/>
      <c r="NTK7" s="338"/>
      <c r="NTL7" s="338"/>
      <c r="NTM7" s="338"/>
      <c r="NTN7" s="338"/>
      <c r="NTO7" s="338"/>
      <c r="NTP7" s="338"/>
      <c r="NTQ7" s="338"/>
      <c r="NTR7" s="338"/>
      <c r="NTS7" s="338"/>
      <c r="NTT7" s="338"/>
      <c r="NTU7" s="338"/>
      <c r="NTV7" s="338"/>
      <c r="NTW7" s="338"/>
      <c r="NTX7" s="338"/>
      <c r="NTY7" s="338"/>
      <c r="NTZ7" s="338"/>
      <c r="NUA7" s="338"/>
      <c r="NUB7" s="338"/>
      <c r="NUC7" s="338"/>
      <c r="NUD7" s="338"/>
      <c r="NUE7" s="338"/>
      <c r="NUF7" s="338"/>
      <c r="NUG7" s="338"/>
      <c r="NUH7" s="338"/>
      <c r="NUI7" s="338"/>
      <c r="NUJ7" s="338"/>
      <c r="NUK7" s="338"/>
      <c r="NUL7" s="338"/>
      <c r="NUM7" s="338"/>
      <c r="NUN7" s="338"/>
      <c r="NUO7" s="338"/>
      <c r="NUP7" s="338"/>
      <c r="NUQ7" s="338"/>
      <c r="NUR7" s="338"/>
      <c r="NUS7" s="338"/>
      <c r="NUT7" s="338"/>
      <c r="NUU7" s="338"/>
      <c r="NUV7" s="338"/>
      <c r="NUW7" s="338"/>
      <c r="NUX7" s="338"/>
      <c r="NUY7" s="338"/>
      <c r="NUZ7" s="338"/>
      <c r="NVA7" s="338"/>
      <c r="NVB7" s="338"/>
      <c r="NVC7" s="338"/>
      <c r="NVD7" s="338"/>
      <c r="NVE7" s="338"/>
      <c r="NVF7" s="338"/>
      <c r="NVG7" s="338"/>
      <c r="NVH7" s="338"/>
      <c r="NVI7" s="338"/>
      <c r="NVJ7" s="338"/>
      <c r="NVK7" s="338"/>
      <c r="NVL7" s="338"/>
      <c r="NVM7" s="338"/>
      <c r="NVN7" s="338"/>
      <c r="NVO7" s="338"/>
      <c r="NVP7" s="338"/>
      <c r="NVQ7" s="338"/>
      <c r="NVR7" s="338"/>
      <c r="NVS7" s="338"/>
      <c r="NVT7" s="338"/>
      <c r="NVU7" s="338"/>
      <c r="NVV7" s="338"/>
      <c r="NVW7" s="338"/>
      <c r="NVX7" s="338"/>
      <c r="NVY7" s="338"/>
      <c r="NVZ7" s="338"/>
      <c r="NWA7" s="338"/>
      <c r="NWB7" s="338"/>
      <c r="NWC7" s="338"/>
      <c r="NWD7" s="338"/>
      <c r="NWE7" s="338"/>
      <c r="NWF7" s="338"/>
      <c r="NWG7" s="338"/>
      <c r="NWH7" s="338"/>
      <c r="NWI7" s="338"/>
      <c r="NWJ7" s="338"/>
      <c r="NWK7" s="338"/>
      <c r="NWL7" s="338"/>
      <c r="NWM7" s="338"/>
      <c r="NWN7" s="338"/>
      <c r="NWO7" s="338"/>
      <c r="NWP7" s="338"/>
      <c r="NWQ7" s="338"/>
      <c r="NWR7" s="338"/>
      <c r="NWS7" s="338"/>
      <c r="NWT7" s="338"/>
      <c r="NWU7" s="338"/>
      <c r="NWV7" s="338"/>
      <c r="NWW7" s="338"/>
      <c r="NWX7" s="338"/>
      <c r="NWY7" s="338"/>
      <c r="NWZ7" s="338"/>
      <c r="NXA7" s="338"/>
      <c r="NXB7" s="338"/>
      <c r="NXC7" s="338"/>
      <c r="NXD7" s="338"/>
      <c r="NXE7" s="338"/>
      <c r="NXF7" s="338"/>
      <c r="NXG7" s="338"/>
      <c r="NXH7" s="338"/>
      <c r="NXI7" s="338"/>
      <c r="NXJ7" s="338"/>
      <c r="NXK7" s="338"/>
      <c r="NXL7" s="338"/>
      <c r="NXM7" s="338"/>
      <c r="NXN7" s="338"/>
      <c r="NXO7" s="338"/>
      <c r="NXP7" s="338"/>
      <c r="NXQ7" s="338"/>
      <c r="NXR7" s="338"/>
      <c r="NXS7" s="338"/>
      <c r="NXT7" s="338"/>
      <c r="NXU7" s="338"/>
      <c r="NXV7" s="338"/>
      <c r="NXW7" s="338"/>
      <c r="NXX7" s="338"/>
      <c r="NXY7" s="338"/>
      <c r="NXZ7" s="338"/>
      <c r="NYA7" s="338"/>
      <c r="NYB7" s="338"/>
      <c r="NYC7" s="338"/>
      <c r="NYD7" s="338"/>
      <c r="NYE7" s="338"/>
      <c r="NYF7" s="338"/>
      <c r="NYG7" s="338"/>
      <c r="NYH7" s="338"/>
      <c r="NYI7" s="338"/>
      <c r="NYJ7" s="338"/>
      <c r="NYK7" s="338"/>
      <c r="NYL7" s="338"/>
      <c r="NYM7" s="338"/>
      <c r="NYN7" s="338"/>
      <c r="NYO7" s="338"/>
      <c r="NYP7" s="338"/>
      <c r="NYQ7" s="338"/>
      <c r="NYR7" s="338"/>
      <c r="NYS7" s="338"/>
      <c r="NYT7" s="338"/>
      <c r="NYU7" s="338"/>
      <c r="NYV7" s="338"/>
      <c r="NYW7" s="338"/>
      <c r="NYX7" s="338"/>
      <c r="NYY7" s="338"/>
      <c r="NYZ7" s="338"/>
      <c r="NZA7" s="338"/>
      <c r="NZB7" s="338"/>
      <c r="NZC7" s="338"/>
      <c r="NZD7" s="338"/>
      <c r="NZE7" s="338"/>
      <c r="NZF7" s="338"/>
      <c r="NZG7" s="338"/>
      <c r="NZH7" s="338"/>
      <c r="NZI7" s="338"/>
      <c r="NZJ7" s="338"/>
      <c r="NZK7" s="338"/>
      <c r="NZL7" s="338"/>
      <c r="NZM7" s="338"/>
      <c r="NZN7" s="338"/>
      <c r="NZO7" s="338"/>
      <c r="NZP7" s="338"/>
      <c r="NZQ7" s="338"/>
      <c r="NZR7" s="338"/>
      <c r="NZS7" s="338"/>
      <c r="NZT7" s="338"/>
      <c r="NZU7" s="338"/>
      <c r="NZV7" s="338"/>
      <c r="NZW7" s="338"/>
      <c r="NZX7" s="338"/>
      <c r="NZY7" s="338"/>
      <c r="NZZ7" s="338"/>
      <c r="OAA7" s="338"/>
      <c r="OAB7" s="338"/>
      <c r="OAC7" s="338"/>
      <c r="OAD7" s="338"/>
      <c r="OAE7" s="338"/>
      <c r="OAF7" s="338"/>
      <c r="OAG7" s="338"/>
      <c r="OAH7" s="338"/>
      <c r="OAI7" s="338"/>
      <c r="OAJ7" s="338"/>
      <c r="OAK7" s="338"/>
      <c r="OAL7" s="338"/>
      <c r="OAM7" s="338"/>
      <c r="OAN7" s="338"/>
      <c r="OAO7" s="338"/>
      <c r="OAP7" s="338"/>
      <c r="OAQ7" s="338"/>
      <c r="OAR7" s="338"/>
      <c r="OAS7" s="338"/>
      <c r="OAT7" s="338"/>
      <c r="OAU7" s="338"/>
      <c r="OAV7" s="338"/>
      <c r="OAW7" s="338"/>
      <c r="OAX7" s="338"/>
      <c r="OAY7" s="338"/>
      <c r="OAZ7" s="338"/>
      <c r="OBA7" s="338"/>
      <c r="OBB7" s="338"/>
      <c r="OBC7" s="338"/>
      <c r="OBD7" s="338"/>
      <c r="OBE7" s="338"/>
      <c r="OBF7" s="338"/>
      <c r="OBG7" s="338"/>
      <c r="OBH7" s="338"/>
      <c r="OBI7" s="338"/>
      <c r="OBJ7" s="338"/>
      <c r="OBK7" s="338"/>
      <c r="OBL7" s="338"/>
      <c r="OBM7" s="338"/>
      <c r="OBN7" s="338"/>
      <c r="OBO7" s="338"/>
      <c r="OBP7" s="338"/>
      <c r="OBQ7" s="338"/>
      <c r="OBR7" s="338"/>
      <c r="OBS7" s="338"/>
      <c r="OBT7" s="338"/>
      <c r="OBU7" s="338"/>
      <c r="OBV7" s="338"/>
      <c r="OBW7" s="338"/>
      <c r="OBX7" s="338"/>
      <c r="OBY7" s="338"/>
      <c r="OBZ7" s="338"/>
      <c r="OCA7" s="338"/>
      <c r="OCB7" s="338"/>
      <c r="OCC7" s="338"/>
      <c r="OCD7" s="338"/>
      <c r="OCE7" s="338"/>
      <c r="OCF7" s="338"/>
      <c r="OCG7" s="338"/>
      <c r="OCH7" s="338"/>
      <c r="OCI7" s="338"/>
      <c r="OCJ7" s="338"/>
      <c r="OCK7" s="338"/>
      <c r="OCL7" s="338"/>
      <c r="OCM7" s="338"/>
      <c r="OCN7" s="338"/>
      <c r="OCO7" s="338"/>
      <c r="OCP7" s="338"/>
      <c r="OCQ7" s="338"/>
      <c r="OCR7" s="338"/>
      <c r="OCS7" s="338"/>
      <c r="OCT7" s="338"/>
      <c r="OCU7" s="338"/>
      <c r="OCV7" s="338"/>
      <c r="OCW7" s="338"/>
      <c r="OCX7" s="338"/>
      <c r="OCY7" s="338"/>
      <c r="OCZ7" s="338"/>
      <c r="ODA7" s="338"/>
      <c r="ODB7" s="338"/>
      <c r="ODC7" s="338"/>
      <c r="ODD7" s="338"/>
      <c r="ODE7" s="338"/>
      <c r="ODF7" s="338"/>
      <c r="ODG7" s="338"/>
      <c r="ODH7" s="338"/>
      <c r="ODI7" s="338"/>
      <c r="ODJ7" s="338"/>
      <c r="ODK7" s="338"/>
      <c r="ODL7" s="338"/>
      <c r="ODM7" s="338"/>
      <c r="ODN7" s="338"/>
      <c r="ODO7" s="338"/>
      <c r="ODP7" s="338"/>
      <c r="ODQ7" s="338"/>
      <c r="ODR7" s="338"/>
      <c r="ODS7" s="338"/>
      <c r="ODT7" s="338"/>
      <c r="ODU7" s="338"/>
      <c r="ODV7" s="338"/>
      <c r="ODW7" s="338"/>
      <c r="ODX7" s="338"/>
      <c r="ODY7" s="338"/>
      <c r="ODZ7" s="338"/>
      <c r="OEA7" s="338"/>
      <c r="OEB7" s="338"/>
      <c r="OEC7" s="338"/>
      <c r="OED7" s="338"/>
      <c r="OEE7" s="338"/>
      <c r="OEF7" s="338"/>
      <c r="OEG7" s="338"/>
      <c r="OEH7" s="338"/>
      <c r="OEI7" s="338"/>
      <c r="OEJ7" s="338"/>
      <c r="OEK7" s="338"/>
      <c r="OEL7" s="338"/>
      <c r="OEM7" s="338"/>
      <c r="OEN7" s="338"/>
      <c r="OEO7" s="338"/>
      <c r="OEP7" s="338"/>
      <c r="OEQ7" s="338"/>
      <c r="OER7" s="338"/>
      <c r="OES7" s="338"/>
      <c r="OET7" s="338"/>
      <c r="OEU7" s="338"/>
      <c r="OEV7" s="338"/>
      <c r="OEW7" s="338"/>
      <c r="OEX7" s="338"/>
      <c r="OEY7" s="338"/>
      <c r="OEZ7" s="338"/>
      <c r="OFA7" s="338"/>
      <c r="OFB7" s="338"/>
      <c r="OFC7" s="338"/>
      <c r="OFD7" s="338"/>
      <c r="OFE7" s="338"/>
      <c r="OFF7" s="338"/>
      <c r="OFG7" s="338"/>
      <c r="OFH7" s="338"/>
      <c r="OFI7" s="338"/>
      <c r="OFJ7" s="338"/>
      <c r="OFK7" s="338"/>
      <c r="OFL7" s="338"/>
      <c r="OFM7" s="338"/>
      <c r="OFN7" s="338"/>
      <c r="OFO7" s="338"/>
      <c r="OFP7" s="338"/>
      <c r="OFQ7" s="338"/>
      <c r="OFR7" s="338"/>
      <c r="OFS7" s="338"/>
      <c r="OFT7" s="338"/>
      <c r="OFU7" s="338"/>
      <c r="OFV7" s="338"/>
      <c r="OFW7" s="338"/>
      <c r="OFX7" s="338"/>
      <c r="OFY7" s="338"/>
      <c r="OFZ7" s="338"/>
      <c r="OGA7" s="338"/>
      <c r="OGB7" s="338"/>
      <c r="OGC7" s="338"/>
      <c r="OGD7" s="338"/>
      <c r="OGE7" s="338"/>
      <c r="OGF7" s="338"/>
      <c r="OGG7" s="338"/>
      <c r="OGH7" s="338"/>
      <c r="OGI7" s="338"/>
      <c r="OGJ7" s="338"/>
      <c r="OGK7" s="338"/>
      <c r="OGL7" s="338"/>
      <c r="OGM7" s="338"/>
      <c r="OGN7" s="338"/>
      <c r="OGO7" s="338"/>
      <c r="OGP7" s="338"/>
      <c r="OGQ7" s="338"/>
      <c r="OGR7" s="338"/>
      <c r="OGS7" s="338"/>
      <c r="OGT7" s="338"/>
      <c r="OGU7" s="338"/>
      <c r="OGV7" s="338"/>
      <c r="OGW7" s="338"/>
      <c r="OGX7" s="338"/>
      <c r="OGY7" s="338"/>
      <c r="OGZ7" s="338"/>
      <c r="OHA7" s="338"/>
      <c r="OHB7" s="338"/>
      <c r="OHC7" s="338"/>
      <c r="OHD7" s="338"/>
      <c r="OHE7" s="338"/>
      <c r="OHF7" s="338"/>
      <c r="OHG7" s="338"/>
      <c r="OHH7" s="338"/>
      <c r="OHI7" s="338"/>
      <c r="OHJ7" s="338"/>
      <c r="OHK7" s="338"/>
      <c r="OHL7" s="338"/>
      <c r="OHM7" s="338"/>
      <c r="OHN7" s="338"/>
      <c r="OHO7" s="338"/>
      <c r="OHP7" s="338"/>
      <c r="OHQ7" s="338"/>
      <c r="OHR7" s="338"/>
      <c r="OHS7" s="338"/>
      <c r="OHT7" s="338"/>
      <c r="OHU7" s="338"/>
      <c r="OHV7" s="338"/>
      <c r="OHW7" s="338"/>
      <c r="OHX7" s="338"/>
      <c r="OHY7" s="338"/>
      <c r="OHZ7" s="338"/>
      <c r="OIA7" s="338"/>
      <c r="OIB7" s="338"/>
      <c r="OIC7" s="338"/>
      <c r="OID7" s="338"/>
      <c r="OIE7" s="338"/>
      <c r="OIF7" s="338"/>
      <c r="OIG7" s="338"/>
      <c r="OIH7" s="338"/>
      <c r="OII7" s="338"/>
      <c r="OIJ7" s="338"/>
      <c r="OIK7" s="338"/>
      <c r="OIL7" s="338"/>
      <c r="OIM7" s="338"/>
      <c r="OIN7" s="338"/>
      <c r="OIO7" s="338"/>
      <c r="OIP7" s="338"/>
      <c r="OIQ7" s="338"/>
      <c r="OIR7" s="338"/>
      <c r="OIS7" s="338"/>
      <c r="OIT7" s="338"/>
      <c r="OIU7" s="338"/>
      <c r="OIV7" s="338"/>
      <c r="OIW7" s="338"/>
      <c r="OIX7" s="338"/>
      <c r="OIY7" s="338"/>
      <c r="OIZ7" s="338"/>
      <c r="OJA7" s="338"/>
      <c r="OJB7" s="338"/>
      <c r="OJC7" s="338"/>
      <c r="OJD7" s="338"/>
      <c r="OJE7" s="338"/>
      <c r="OJF7" s="338"/>
      <c r="OJG7" s="338"/>
      <c r="OJH7" s="338"/>
      <c r="OJI7" s="338"/>
      <c r="OJJ7" s="338"/>
      <c r="OJK7" s="338"/>
      <c r="OJL7" s="338"/>
      <c r="OJM7" s="338"/>
      <c r="OJN7" s="338"/>
      <c r="OJO7" s="338"/>
      <c r="OJP7" s="338"/>
      <c r="OJQ7" s="338"/>
      <c r="OJR7" s="338"/>
      <c r="OJS7" s="338"/>
      <c r="OJT7" s="338"/>
      <c r="OJU7" s="338"/>
      <c r="OJV7" s="338"/>
      <c r="OJW7" s="338"/>
      <c r="OJX7" s="338"/>
      <c r="OJY7" s="338"/>
      <c r="OJZ7" s="338"/>
      <c r="OKA7" s="338"/>
      <c r="OKB7" s="338"/>
      <c r="OKC7" s="338"/>
      <c r="OKD7" s="338"/>
      <c r="OKE7" s="338"/>
      <c r="OKF7" s="338"/>
      <c r="OKG7" s="338"/>
      <c r="OKH7" s="338"/>
      <c r="OKI7" s="338"/>
      <c r="OKJ7" s="338"/>
      <c r="OKK7" s="338"/>
      <c r="OKL7" s="338"/>
      <c r="OKM7" s="338"/>
      <c r="OKN7" s="338"/>
      <c r="OKO7" s="338"/>
      <c r="OKP7" s="338"/>
      <c r="OKQ7" s="338"/>
      <c r="OKR7" s="338"/>
      <c r="OKS7" s="338"/>
      <c r="OKT7" s="338"/>
      <c r="OKU7" s="338"/>
      <c r="OKV7" s="338"/>
      <c r="OKW7" s="338"/>
      <c r="OKX7" s="338"/>
      <c r="OKY7" s="338"/>
      <c r="OKZ7" s="338"/>
      <c r="OLA7" s="338"/>
      <c r="OLB7" s="338"/>
      <c r="OLC7" s="338"/>
      <c r="OLD7" s="338"/>
      <c r="OLE7" s="338"/>
      <c r="OLF7" s="338"/>
      <c r="OLG7" s="338"/>
      <c r="OLH7" s="338"/>
      <c r="OLI7" s="338"/>
      <c r="OLJ7" s="338"/>
      <c r="OLK7" s="338"/>
      <c r="OLL7" s="338"/>
      <c r="OLM7" s="338"/>
      <c r="OLN7" s="338"/>
      <c r="OLO7" s="338"/>
      <c r="OLP7" s="338"/>
      <c r="OLQ7" s="338"/>
      <c r="OLR7" s="338"/>
      <c r="OLS7" s="338"/>
      <c r="OLT7" s="338"/>
      <c r="OLU7" s="338"/>
      <c r="OLV7" s="338"/>
      <c r="OLW7" s="338"/>
      <c r="OLX7" s="338"/>
      <c r="OLY7" s="338"/>
      <c r="OLZ7" s="338"/>
      <c r="OMA7" s="338"/>
      <c r="OMB7" s="338"/>
      <c r="OMC7" s="338"/>
      <c r="OMD7" s="338"/>
      <c r="OME7" s="338"/>
      <c r="OMF7" s="338"/>
      <c r="OMG7" s="338"/>
      <c r="OMH7" s="338"/>
      <c r="OMI7" s="338"/>
      <c r="OMJ7" s="338"/>
      <c r="OMK7" s="338"/>
      <c r="OML7" s="338"/>
      <c r="OMM7" s="338"/>
      <c r="OMN7" s="338"/>
      <c r="OMO7" s="338"/>
      <c r="OMP7" s="338"/>
      <c r="OMQ7" s="338"/>
      <c r="OMR7" s="338"/>
      <c r="OMS7" s="338"/>
      <c r="OMT7" s="338"/>
      <c r="OMU7" s="338"/>
      <c r="OMV7" s="338"/>
      <c r="OMW7" s="338"/>
      <c r="OMX7" s="338"/>
      <c r="OMY7" s="338"/>
      <c r="OMZ7" s="338"/>
      <c r="ONA7" s="338"/>
      <c r="ONB7" s="338"/>
      <c r="ONC7" s="338"/>
      <c r="OND7" s="338"/>
      <c r="ONE7" s="338"/>
      <c r="ONF7" s="338"/>
      <c r="ONG7" s="338"/>
      <c r="ONH7" s="338"/>
      <c r="ONI7" s="338"/>
      <c r="ONJ7" s="338"/>
      <c r="ONK7" s="338"/>
      <c r="ONL7" s="338"/>
      <c r="ONM7" s="338"/>
      <c r="ONN7" s="338"/>
      <c r="ONO7" s="338"/>
      <c r="ONP7" s="338"/>
      <c r="ONQ7" s="338"/>
      <c r="ONR7" s="338"/>
      <c r="ONS7" s="338"/>
      <c r="ONT7" s="338"/>
      <c r="ONU7" s="338"/>
      <c r="ONV7" s="338"/>
      <c r="ONW7" s="338"/>
      <c r="ONX7" s="338"/>
      <c r="ONY7" s="338"/>
      <c r="ONZ7" s="338"/>
      <c r="OOA7" s="338"/>
      <c r="OOB7" s="338"/>
      <c r="OOC7" s="338"/>
      <c r="OOD7" s="338"/>
      <c r="OOE7" s="338"/>
      <c r="OOF7" s="338"/>
      <c r="OOG7" s="338"/>
      <c r="OOH7" s="338"/>
      <c r="OOI7" s="338"/>
      <c r="OOJ7" s="338"/>
      <c r="OOK7" s="338"/>
      <c r="OOL7" s="338"/>
      <c r="OOM7" s="338"/>
      <c r="OON7" s="338"/>
      <c r="OOO7" s="338"/>
      <c r="OOP7" s="338"/>
      <c r="OOQ7" s="338"/>
      <c r="OOR7" s="338"/>
      <c r="OOS7" s="338"/>
      <c r="OOT7" s="338"/>
      <c r="OOU7" s="338"/>
      <c r="OOV7" s="338"/>
      <c r="OOW7" s="338"/>
      <c r="OOX7" s="338"/>
      <c r="OOY7" s="338"/>
      <c r="OOZ7" s="338"/>
      <c r="OPA7" s="338"/>
      <c r="OPB7" s="338"/>
      <c r="OPC7" s="338"/>
      <c r="OPD7" s="338"/>
      <c r="OPE7" s="338"/>
      <c r="OPF7" s="338"/>
      <c r="OPG7" s="338"/>
      <c r="OPH7" s="338"/>
      <c r="OPI7" s="338"/>
      <c r="OPJ7" s="338"/>
      <c r="OPK7" s="338"/>
      <c r="OPL7" s="338"/>
      <c r="OPM7" s="338"/>
      <c r="OPN7" s="338"/>
      <c r="OPO7" s="338"/>
      <c r="OPP7" s="338"/>
      <c r="OPQ7" s="338"/>
      <c r="OPR7" s="338"/>
      <c r="OPS7" s="338"/>
      <c r="OPT7" s="338"/>
      <c r="OPU7" s="338"/>
      <c r="OPV7" s="338"/>
      <c r="OPW7" s="338"/>
      <c r="OPX7" s="338"/>
      <c r="OPY7" s="338"/>
      <c r="OPZ7" s="338"/>
      <c r="OQA7" s="338"/>
      <c r="OQB7" s="338"/>
      <c r="OQC7" s="338"/>
      <c r="OQD7" s="338"/>
      <c r="OQE7" s="338"/>
      <c r="OQF7" s="338"/>
      <c r="OQG7" s="338"/>
      <c r="OQH7" s="338"/>
      <c r="OQI7" s="338"/>
      <c r="OQJ7" s="338"/>
      <c r="OQK7" s="338"/>
      <c r="OQL7" s="338"/>
      <c r="OQM7" s="338"/>
      <c r="OQN7" s="338"/>
      <c r="OQO7" s="338"/>
      <c r="OQP7" s="338"/>
      <c r="OQQ7" s="338"/>
      <c r="OQR7" s="338"/>
      <c r="OQS7" s="338"/>
      <c r="OQT7" s="338"/>
      <c r="OQU7" s="338"/>
      <c r="OQV7" s="338"/>
      <c r="OQW7" s="338"/>
      <c r="OQX7" s="338"/>
      <c r="OQY7" s="338"/>
      <c r="OQZ7" s="338"/>
      <c r="ORA7" s="338"/>
      <c r="ORB7" s="338"/>
      <c r="ORC7" s="338"/>
      <c r="ORD7" s="338"/>
      <c r="ORE7" s="338"/>
      <c r="ORF7" s="338"/>
      <c r="ORG7" s="338"/>
      <c r="ORH7" s="338"/>
      <c r="ORI7" s="338"/>
      <c r="ORJ7" s="338"/>
      <c r="ORK7" s="338"/>
      <c r="ORL7" s="338"/>
      <c r="ORM7" s="338"/>
      <c r="ORN7" s="338"/>
      <c r="ORO7" s="338"/>
      <c r="ORP7" s="338"/>
      <c r="ORQ7" s="338"/>
      <c r="ORR7" s="338"/>
      <c r="ORS7" s="338"/>
      <c r="ORT7" s="338"/>
      <c r="ORU7" s="338"/>
      <c r="ORV7" s="338"/>
      <c r="ORW7" s="338"/>
      <c r="ORX7" s="338"/>
      <c r="ORY7" s="338"/>
      <c r="ORZ7" s="338"/>
      <c r="OSA7" s="338"/>
      <c r="OSB7" s="338"/>
      <c r="OSC7" s="338"/>
      <c r="OSD7" s="338"/>
      <c r="OSE7" s="338"/>
      <c r="OSF7" s="338"/>
      <c r="OSG7" s="338"/>
      <c r="OSH7" s="338"/>
      <c r="OSI7" s="338"/>
      <c r="OSJ7" s="338"/>
      <c r="OSK7" s="338"/>
      <c r="OSL7" s="338"/>
      <c r="OSM7" s="338"/>
      <c r="OSN7" s="338"/>
      <c r="OSO7" s="338"/>
      <c r="OSP7" s="338"/>
      <c r="OSQ7" s="338"/>
      <c r="OSR7" s="338"/>
      <c r="OSS7" s="338"/>
      <c r="OST7" s="338"/>
      <c r="OSU7" s="338"/>
      <c r="OSV7" s="338"/>
      <c r="OSW7" s="338"/>
      <c r="OSX7" s="338"/>
      <c r="OSY7" s="338"/>
      <c r="OSZ7" s="338"/>
      <c r="OTA7" s="338"/>
      <c r="OTB7" s="338"/>
      <c r="OTC7" s="338"/>
      <c r="OTD7" s="338"/>
      <c r="OTE7" s="338"/>
      <c r="OTF7" s="338"/>
      <c r="OTG7" s="338"/>
      <c r="OTH7" s="338"/>
      <c r="OTI7" s="338"/>
      <c r="OTJ7" s="338"/>
      <c r="OTK7" s="338"/>
      <c r="OTL7" s="338"/>
      <c r="OTM7" s="338"/>
      <c r="OTN7" s="338"/>
      <c r="OTO7" s="338"/>
      <c r="OTP7" s="338"/>
      <c r="OTQ7" s="338"/>
      <c r="OTR7" s="338"/>
      <c r="OTS7" s="338"/>
      <c r="OTT7" s="338"/>
      <c r="OTU7" s="338"/>
      <c r="OTV7" s="338"/>
      <c r="OTW7" s="338"/>
      <c r="OTX7" s="338"/>
      <c r="OTY7" s="338"/>
      <c r="OTZ7" s="338"/>
      <c r="OUA7" s="338"/>
      <c r="OUB7" s="338"/>
      <c r="OUC7" s="338"/>
      <c r="OUD7" s="338"/>
      <c r="OUE7" s="338"/>
      <c r="OUF7" s="338"/>
      <c r="OUG7" s="338"/>
      <c r="OUH7" s="338"/>
      <c r="OUI7" s="338"/>
      <c r="OUJ7" s="338"/>
      <c r="OUK7" s="338"/>
      <c r="OUL7" s="338"/>
      <c r="OUM7" s="338"/>
      <c r="OUN7" s="338"/>
      <c r="OUO7" s="338"/>
      <c r="OUP7" s="338"/>
      <c r="OUQ7" s="338"/>
      <c r="OUR7" s="338"/>
      <c r="OUS7" s="338"/>
      <c r="OUT7" s="338"/>
      <c r="OUU7" s="338"/>
      <c r="OUV7" s="338"/>
      <c r="OUW7" s="338"/>
      <c r="OUX7" s="338"/>
      <c r="OUY7" s="338"/>
      <c r="OUZ7" s="338"/>
      <c r="OVA7" s="338"/>
      <c r="OVB7" s="338"/>
      <c r="OVC7" s="338"/>
      <c r="OVD7" s="338"/>
      <c r="OVE7" s="338"/>
      <c r="OVF7" s="338"/>
      <c r="OVG7" s="338"/>
      <c r="OVH7" s="338"/>
      <c r="OVI7" s="338"/>
      <c r="OVJ7" s="338"/>
      <c r="OVK7" s="338"/>
      <c r="OVL7" s="338"/>
      <c r="OVM7" s="338"/>
      <c r="OVN7" s="338"/>
      <c r="OVO7" s="338"/>
      <c r="OVP7" s="338"/>
      <c r="OVQ7" s="338"/>
      <c r="OVR7" s="338"/>
      <c r="OVS7" s="338"/>
      <c r="OVT7" s="338"/>
      <c r="OVU7" s="338"/>
      <c r="OVV7" s="338"/>
      <c r="OVW7" s="338"/>
      <c r="OVX7" s="338"/>
      <c r="OVY7" s="338"/>
      <c r="OVZ7" s="338"/>
      <c r="OWA7" s="338"/>
      <c r="OWB7" s="338"/>
      <c r="OWC7" s="338"/>
      <c r="OWD7" s="338"/>
      <c r="OWE7" s="338"/>
      <c r="OWF7" s="338"/>
      <c r="OWG7" s="338"/>
      <c r="OWH7" s="338"/>
      <c r="OWI7" s="338"/>
      <c r="OWJ7" s="338"/>
      <c r="OWK7" s="338"/>
      <c r="OWL7" s="338"/>
      <c r="OWM7" s="338"/>
      <c r="OWN7" s="338"/>
      <c r="OWO7" s="338"/>
      <c r="OWP7" s="338"/>
      <c r="OWQ7" s="338"/>
      <c r="OWR7" s="338"/>
      <c r="OWS7" s="338"/>
      <c r="OWT7" s="338"/>
      <c r="OWU7" s="338"/>
      <c r="OWV7" s="338"/>
      <c r="OWW7" s="338"/>
      <c r="OWX7" s="338"/>
      <c r="OWY7" s="338"/>
      <c r="OWZ7" s="338"/>
      <c r="OXA7" s="338"/>
      <c r="OXB7" s="338"/>
      <c r="OXC7" s="338"/>
      <c r="OXD7" s="338"/>
      <c r="OXE7" s="338"/>
      <c r="OXF7" s="338"/>
      <c r="OXG7" s="338"/>
      <c r="OXH7" s="338"/>
      <c r="OXI7" s="338"/>
      <c r="OXJ7" s="338"/>
      <c r="OXK7" s="338"/>
      <c r="OXL7" s="338"/>
      <c r="OXM7" s="338"/>
      <c r="OXN7" s="338"/>
      <c r="OXO7" s="338"/>
      <c r="OXP7" s="338"/>
      <c r="OXQ7" s="338"/>
      <c r="OXR7" s="338"/>
      <c r="OXS7" s="338"/>
      <c r="OXT7" s="338"/>
      <c r="OXU7" s="338"/>
      <c r="OXV7" s="338"/>
      <c r="OXW7" s="338"/>
      <c r="OXX7" s="338"/>
      <c r="OXY7" s="338"/>
      <c r="OXZ7" s="338"/>
      <c r="OYA7" s="338"/>
      <c r="OYB7" s="338"/>
      <c r="OYC7" s="338"/>
      <c r="OYD7" s="338"/>
      <c r="OYE7" s="338"/>
      <c r="OYF7" s="338"/>
      <c r="OYG7" s="338"/>
      <c r="OYH7" s="338"/>
      <c r="OYI7" s="338"/>
      <c r="OYJ7" s="338"/>
      <c r="OYK7" s="338"/>
      <c r="OYL7" s="338"/>
      <c r="OYM7" s="338"/>
      <c r="OYN7" s="338"/>
      <c r="OYO7" s="338"/>
      <c r="OYP7" s="338"/>
      <c r="OYQ7" s="338"/>
      <c r="OYR7" s="338"/>
      <c r="OYS7" s="338"/>
      <c r="OYT7" s="338"/>
      <c r="OYU7" s="338"/>
      <c r="OYV7" s="338"/>
      <c r="OYW7" s="338"/>
      <c r="OYX7" s="338"/>
      <c r="OYY7" s="338"/>
      <c r="OYZ7" s="338"/>
      <c r="OZA7" s="338"/>
      <c r="OZB7" s="338"/>
      <c r="OZC7" s="338"/>
      <c r="OZD7" s="338"/>
      <c r="OZE7" s="338"/>
      <c r="OZF7" s="338"/>
      <c r="OZG7" s="338"/>
      <c r="OZH7" s="338"/>
      <c r="OZI7" s="338"/>
      <c r="OZJ7" s="338"/>
      <c r="OZK7" s="338"/>
      <c r="OZL7" s="338"/>
      <c r="OZM7" s="338"/>
      <c r="OZN7" s="338"/>
      <c r="OZO7" s="338"/>
      <c r="OZP7" s="338"/>
      <c r="OZQ7" s="338"/>
      <c r="OZR7" s="338"/>
      <c r="OZS7" s="338"/>
      <c r="OZT7" s="338"/>
      <c r="OZU7" s="338"/>
      <c r="OZV7" s="338"/>
      <c r="OZW7" s="338"/>
      <c r="OZX7" s="338"/>
      <c r="OZY7" s="338"/>
      <c r="OZZ7" s="338"/>
      <c r="PAA7" s="338"/>
      <c r="PAB7" s="338"/>
      <c r="PAC7" s="338"/>
      <c r="PAD7" s="338"/>
      <c r="PAE7" s="338"/>
      <c r="PAF7" s="338"/>
      <c r="PAG7" s="338"/>
      <c r="PAH7" s="338"/>
      <c r="PAI7" s="338"/>
      <c r="PAJ7" s="338"/>
      <c r="PAK7" s="338"/>
      <c r="PAL7" s="338"/>
      <c r="PAM7" s="338"/>
      <c r="PAN7" s="338"/>
      <c r="PAO7" s="338"/>
      <c r="PAP7" s="338"/>
      <c r="PAQ7" s="338"/>
      <c r="PAR7" s="338"/>
      <c r="PAS7" s="338"/>
      <c r="PAT7" s="338"/>
      <c r="PAU7" s="338"/>
      <c r="PAV7" s="338"/>
      <c r="PAW7" s="338"/>
      <c r="PAX7" s="338"/>
      <c r="PAY7" s="338"/>
      <c r="PAZ7" s="338"/>
      <c r="PBA7" s="338"/>
      <c r="PBB7" s="338"/>
      <c r="PBC7" s="338"/>
      <c r="PBD7" s="338"/>
      <c r="PBE7" s="338"/>
      <c r="PBF7" s="338"/>
      <c r="PBG7" s="338"/>
      <c r="PBH7" s="338"/>
      <c r="PBI7" s="338"/>
      <c r="PBJ7" s="338"/>
      <c r="PBK7" s="338"/>
      <c r="PBL7" s="338"/>
      <c r="PBM7" s="338"/>
      <c r="PBN7" s="338"/>
      <c r="PBO7" s="338"/>
      <c r="PBP7" s="338"/>
      <c r="PBQ7" s="338"/>
      <c r="PBR7" s="338"/>
      <c r="PBS7" s="338"/>
      <c r="PBT7" s="338"/>
      <c r="PBU7" s="338"/>
      <c r="PBV7" s="338"/>
      <c r="PBW7" s="338"/>
      <c r="PBX7" s="338"/>
      <c r="PBY7" s="338"/>
      <c r="PBZ7" s="338"/>
      <c r="PCA7" s="338"/>
      <c r="PCB7" s="338"/>
      <c r="PCC7" s="338"/>
      <c r="PCD7" s="338"/>
      <c r="PCE7" s="338"/>
      <c r="PCF7" s="338"/>
      <c r="PCG7" s="338"/>
      <c r="PCH7" s="338"/>
      <c r="PCI7" s="338"/>
      <c r="PCJ7" s="338"/>
      <c r="PCK7" s="338"/>
      <c r="PCL7" s="338"/>
      <c r="PCM7" s="338"/>
      <c r="PCN7" s="338"/>
      <c r="PCO7" s="338"/>
      <c r="PCP7" s="338"/>
      <c r="PCQ7" s="338"/>
      <c r="PCR7" s="338"/>
      <c r="PCS7" s="338"/>
      <c r="PCT7" s="338"/>
      <c r="PCU7" s="338"/>
      <c r="PCV7" s="338"/>
      <c r="PCW7" s="338"/>
      <c r="PCX7" s="338"/>
      <c r="PCY7" s="338"/>
      <c r="PCZ7" s="338"/>
      <c r="PDA7" s="338"/>
      <c r="PDB7" s="338"/>
      <c r="PDC7" s="338"/>
      <c r="PDD7" s="338"/>
      <c r="PDE7" s="338"/>
      <c r="PDF7" s="338"/>
      <c r="PDG7" s="338"/>
      <c r="PDH7" s="338"/>
      <c r="PDI7" s="338"/>
      <c r="PDJ7" s="338"/>
      <c r="PDK7" s="338"/>
      <c r="PDL7" s="338"/>
      <c r="PDM7" s="338"/>
      <c r="PDN7" s="338"/>
      <c r="PDO7" s="338"/>
      <c r="PDP7" s="338"/>
      <c r="PDQ7" s="338"/>
      <c r="PDR7" s="338"/>
      <c r="PDS7" s="338"/>
      <c r="PDT7" s="338"/>
      <c r="PDU7" s="338"/>
      <c r="PDV7" s="338"/>
      <c r="PDW7" s="338"/>
      <c r="PDX7" s="338"/>
      <c r="PDY7" s="338"/>
      <c r="PDZ7" s="338"/>
      <c r="PEA7" s="338"/>
      <c r="PEB7" s="338"/>
      <c r="PEC7" s="338"/>
      <c r="PED7" s="338"/>
      <c r="PEE7" s="338"/>
      <c r="PEF7" s="338"/>
      <c r="PEG7" s="338"/>
      <c r="PEH7" s="338"/>
      <c r="PEI7" s="338"/>
      <c r="PEJ7" s="338"/>
      <c r="PEK7" s="338"/>
      <c r="PEL7" s="338"/>
      <c r="PEM7" s="338"/>
      <c r="PEN7" s="338"/>
      <c r="PEO7" s="338"/>
      <c r="PEP7" s="338"/>
      <c r="PEQ7" s="338"/>
      <c r="PER7" s="338"/>
      <c r="PES7" s="338"/>
      <c r="PET7" s="338"/>
      <c r="PEU7" s="338"/>
      <c r="PEV7" s="338"/>
      <c r="PEW7" s="338"/>
      <c r="PEX7" s="338"/>
      <c r="PEY7" s="338"/>
      <c r="PEZ7" s="338"/>
      <c r="PFA7" s="338"/>
      <c r="PFB7" s="338"/>
      <c r="PFC7" s="338"/>
      <c r="PFD7" s="338"/>
      <c r="PFE7" s="338"/>
      <c r="PFF7" s="338"/>
      <c r="PFG7" s="338"/>
      <c r="PFH7" s="338"/>
      <c r="PFI7" s="338"/>
      <c r="PFJ7" s="338"/>
      <c r="PFK7" s="338"/>
      <c r="PFL7" s="338"/>
      <c r="PFM7" s="338"/>
      <c r="PFN7" s="338"/>
      <c r="PFO7" s="338"/>
      <c r="PFP7" s="338"/>
      <c r="PFQ7" s="338"/>
      <c r="PFR7" s="338"/>
      <c r="PFS7" s="338"/>
      <c r="PFT7" s="338"/>
      <c r="PFU7" s="338"/>
      <c r="PFV7" s="338"/>
      <c r="PFW7" s="338"/>
      <c r="PFX7" s="338"/>
      <c r="PFY7" s="338"/>
      <c r="PFZ7" s="338"/>
      <c r="PGA7" s="338"/>
      <c r="PGB7" s="338"/>
      <c r="PGC7" s="338"/>
      <c r="PGD7" s="338"/>
      <c r="PGE7" s="338"/>
      <c r="PGF7" s="338"/>
      <c r="PGG7" s="338"/>
      <c r="PGH7" s="338"/>
      <c r="PGI7" s="338"/>
      <c r="PGJ7" s="338"/>
      <c r="PGK7" s="338"/>
      <c r="PGL7" s="338"/>
      <c r="PGM7" s="338"/>
      <c r="PGN7" s="338"/>
      <c r="PGO7" s="338"/>
      <c r="PGP7" s="338"/>
      <c r="PGQ7" s="338"/>
      <c r="PGR7" s="338"/>
      <c r="PGS7" s="338"/>
      <c r="PGT7" s="338"/>
      <c r="PGU7" s="338"/>
      <c r="PGV7" s="338"/>
      <c r="PGW7" s="338"/>
      <c r="PGX7" s="338"/>
      <c r="PGY7" s="338"/>
      <c r="PGZ7" s="338"/>
      <c r="PHA7" s="338"/>
      <c r="PHB7" s="338"/>
      <c r="PHC7" s="338"/>
      <c r="PHD7" s="338"/>
      <c r="PHE7" s="338"/>
      <c r="PHF7" s="338"/>
      <c r="PHG7" s="338"/>
      <c r="PHH7" s="338"/>
      <c r="PHI7" s="338"/>
      <c r="PHJ7" s="338"/>
      <c r="PHK7" s="338"/>
      <c r="PHL7" s="338"/>
      <c r="PHM7" s="338"/>
      <c r="PHN7" s="338"/>
      <c r="PHO7" s="338"/>
      <c r="PHP7" s="338"/>
      <c r="PHQ7" s="338"/>
      <c r="PHR7" s="338"/>
      <c r="PHS7" s="338"/>
      <c r="PHT7" s="338"/>
      <c r="PHU7" s="338"/>
      <c r="PHV7" s="338"/>
      <c r="PHW7" s="338"/>
      <c r="PHX7" s="338"/>
      <c r="PHY7" s="338"/>
      <c r="PHZ7" s="338"/>
      <c r="PIA7" s="338"/>
      <c r="PIB7" s="338"/>
      <c r="PIC7" s="338"/>
      <c r="PID7" s="338"/>
      <c r="PIE7" s="338"/>
      <c r="PIF7" s="338"/>
      <c r="PIG7" s="338"/>
      <c r="PIH7" s="338"/>
      <c r="PII7" s="338"/>
      <c r="PIJ7" s="338"/>
      <c r="PIK7" s="338"/>
      <c r="PIL7" s="338"/>
      <c r="PIM7" s="338"/>
      <c r="PIN7" s="338"/>
      <c r="PIO7" s="338"/>
      <c r="PIP7" s="338"/>
      <c r="PIQ7" s="338"/>
      <c r="PIR7" s="338"/>
      <c r="PIS7" s="338"/>
      <c r="PIT7" s="338"/>
      <c r="PIU7" s="338"/>
      <c r="PIV7" s="338"/>
      <c r="PIW7" s="338"/>
      <c r="PIX7" s="338"/>
      <c r="PIY7" s="338"/>
      <c r="PIZ7" s="338"/>
      <c r="PJA7" s="338"/>
      <c r="PJB7" s="338"/>
      <c r="PJC7" s="338"/>
      <c r="PJD7" s="338"/>
      <c r="PJE7" s="338"/>
      <c r="PJF7" s="338"/>
      <c r="PJG7" s="338"/>
      <c r="PJH7" s="338"/>
      <c r="PJI7" s="338"/>
      <c r="PJJ7" s="338"/>
      <c r="PJK7" s="338"/>
      <c r="PJL7" s="338"/>
      <c r="PJM7" s="338"/>
      <c r="PJN7" s="338"/>
      <c r="PJO7" s="338"/>
      <c r="PJP7" s="338"/>
      <c r="PJQ7" s="338"/>
      <c r="PJR7" s="338"/>
      <c r="PJS7" s="338"/>
      <c r="PJT7" s="338"/>
      <c r="PJU7" s="338"/>
      <c r="PJV7" s="338"/>
      <c r="PJW7" s="338"/>
      <c r="PJX7" s="338"/>
      <c r="PJY7" s="338"/>
      <c r="PJZ7" s="338"/>
      <c r="PKA7" s="338"/>
      <c r="PKB7" s="338"/>
      <c r="PKC7" s="338"/>
      <c r="PKD7" s="338"/>
      <c r="PKE7" s="338"/>
      <c r="PKF7" s="338"/>
      <c r="PKG7" s="338"/>
      <c r="PKH7" s="338"/>
      <c r="PKI7" s="338"/>
      <c r="PKJ7" s="338"/>
      <c r="PKK7" s="338"/>
      <c r="PKL7" s="338"/>
      <c r="PKM7" s="338"/>
      <c r="PKN7" s="338"/>
      <c r="PKO7" s="338"/>
      <c r="PKP7" s="338"/>
      <c r="PKQ7" s="338"/>
      <c r="PKR7" s="338"/>
      <c r="PKS7" s="338"/>
      <c r="PKT7" s="338"/>
      <c r="PKU7" s="338"/>
      <c r="PKV7" s="338"/>
      <c r="PKW7" s="338"/>
      <c r="PKX7" s="338"/>
      <c r="PKY7" s="338"/>
      <c r="PKZ7" s="338"/>
      <c r="PLA7" s="338"/>
      <c r="PLB7" s="338"/>
      <c r="PLC7" s="338"/>
      <c r="PLD7" s="338"/>
      <c r="PLE7" s="338"/>
      <c r="PLF7" s="338"/>
      <c r="PLG7" s="338"/>
      <c r="PLH7" s="338"/>
      <c r="PLI7" s="338"/>
      <c r="PLJ7" s="338"/>
      <c r="PLK7" s="338"/>
      <c r="PLL7" s="338"/>
      <c r="PLM7" s="338"/>
      <c r="PLN7" s="338"/>
      <c r="PLO7" s="338"/>
      <c r="PLP7" s="338"/>
      <c r="PLQ7" s="338"/>
      <c r="PLR7" s="338"/>
      <c r="PLS7" s="338"/>
      <c r="PLT7" s="338"/>
      <c r="PLU7" s="338"/>
      <c r="PLV7" s="338"/>
      <c r="PLW7" s="338"/>
      <c r="PLX7" s="338"/>
      <c r="PLY7" s="338"/>
      <c r="PLZ7" s="338"/>
      <c r="PMA7" s="338"/>
      <c r="PMB7" s="338"/>
      <c r="PMC7" s="338"/>
      <c r="PMD7" s="338"/>
      <c r="PME7" s="338"/>
      <c r="PMF7" s="338"/>
      <c r="PMG7" s="338"/>
      <c r="PMH7" s="338"/>
      <c r="PMI7" s="338"/>
      <c r="PMJ7" s="338"/>
      <c r="PMK7" s="338"/>
      <c r="PML7" s="338"/>
      <c r="PMM7" s="338"/>
      <c r="PMN7" s="338"/>
      <c r="PMO7" s="338"/>
      <c r="PMP7" s="338"/>
      <c r="PMQ7" s="338"/>
      <c r="PMR7" s="338"/>
      <c r="PMS7" s="338"/>
      <c r="PMT7" s="338"/>
      <c r="PMU7" s="338"/>
      <c r="PMV7" s="338"/>
      <c r="PMW7" s="338"/>
      <c r="PMX7" s="338"/>
      <c r="PMY7" s="338"/>
      <c r="PMZ7" s="338"/>
      <c r="PNA7" s="338"/>
      <c r="PNB7" s="338"/>
      <c r="PNC7" s="338"/>
      <c r="PND7" s="338"/>
      <c r="PNE7" s="338"/>
      <c r="PNF7" s="338"/>
      <c r="PNG7" s="338"/>
      <c r="PNH7" s="338"/>
      <c r="PNI7" s="338"/>
      <c r="PNJ7" s="338"/>
      <c r="PNK7" s="338"/>
      <c r="PNL7" s="338"/>
      <c r="PNM7" s="338"/>
      <c r="PNN7" s="338"/>
      <c r="PNO7" s="338"/>
      <c r="PNP7" s="338"/>
      <c r="PNQ7" s="338"/>
      <c r="PNR7" s="338"/>
      <c r="PNS7" s="338"/>
      <c r="PNT7" s="338"/>
      <c r="PNU7" s="338"/>
      <c r="PNV7" s="338"/>
      <c r="PNW7" s="338"/>
      <c r="PNX7" s="338"/>
      <c r="PNY7" s="338"/>
      <c r="PNZ7" s="338"/>
      <c r="POA7" s="338"/>
      <c r="POB7" s="338"/>
      <c r="POC7" s="338"/>
      <c r="POD7" s="338"/>
      <c r="POE7" s="338"/>
      <c r="POF7" s="338"/>
      <c r="POG7" s="338"/>
      <c r="POH7" s="338"/>
      <c r="POI7" s="338"/>
      <c r="POJ7" s="338"/>
      <c r="POK7" s="338"/>
      <c r="POL7" s="338"/>
      <c r="POM7" s="338"/>
      <c r="PON7" s="338"/>
      <c r="POO7" s="338"/>
      <c r="POP7" s="338"/>
      <c r="POQ7" s="338"/>
      <c r="POR7" s="338"/>
      <c r="POS7" s="338"/>
      <c r="POT7" s="338"/>
      <c r="POU7" s="338"/>
      <c r="POV7" s="338"/>
      <c r="POW7" s="338"/>
      <c r="POX7" s="338"/>
      <c r="POY7" s="338"/>
      <c r="POZ7" s="338"/>
      <c r="PPA7" s="338"/>
      <c r="PPB7" s="338"/>
      <c r="PPC7" s="338"/>
      <c r="PPD7" s="338"/>
      <c r="PPE7" s="338"/>
      <c r="PPF7" s="338"/>
      <c r="PPG7" s="338"/>
      <c r="PPH7" s="338"/>
      <c r="PPI7" s="338"/>
      <c r="PPJ7" s="338"/>
      <c r="PPK7" s="338"/>
      <c r="PPL7" s="338"/>
      <c r="PPM7" s="338"/>
      <c r="PPN7" s="338"/>
      <c r="PPO7" s="338"/>
      <c r="PPP7" s="338"/>
      <c r="PPQ7" s="338"/>
      <c r="PPR7" s="338"/>
      <c r="PPS7" s="338"/>
      <c r="PPT7" s="338"/>
      <c r="PPU7" s="338"/>
      <c r="PPV7" s="338"/>
      <c r="PPW7" s="338"/>
      <c r="PPX7" s="338"/>
      <c r="PPY7" s="338"/>
      <c r="PPZ7" s="338"/>
      <c r="PQA7" s="338"/>
      <c r="PQB7" s="338"/>
      <c r="PQC7" s="338"/>
      <c r="PQD7" s="338"/>
      <c r="PQE7" s="338"/>
      <c r="PQF7" s="338"/>
      <c r="PQG7" s="338"/>
      <c r="PQH7" s="338"/>
      <c r="PQI7" s="338"/>
      <c r="PQJ7" s="338"/>
      <c r="PQK7" s="338"/>
      <c r="PQL7" s="338"/>
      <c r="PQM7" s="338"/>
      <c r="PQN7" s="338"/>
      <c r="PQO7" s="338"/>
      <c r="PQP7" s="338"/>
      <c r="PQQ7" s="338"/>
      <c r="PQR7" s="338"/>
      <c r="PQS7" s="338"/>
      <c r="PQT7" s="338"/>
      <c r="PQU7" s="338"/>
      <c r="PQV7" s="338"/>
      <c r="PQW7" s="338"/>
      <c r="PQX7" s="338"/>
      <c r="PQY7" s="338"/>
      <c r="PQZ7" s="338"/>
      <c r="PRA7" s="338"/>
      <c r="PRB7" s="338"/>
      <c r="PRC7" s="338"/>
      <c r="PRD7" s="338"/>
      <c r="PRE7" s="338"/>
      <c r="PRF7" s="338"/>
      <c r="PRG7" s="338"/>
      <c r="PRH7" s="338"/>
      <c r="PRI7" s="338"/>
      <c r="PRJ7" s="338"/>
      <c r="PRK7" s="338"/>
      <c r="PRL7" s="338"/>
      <c r="PRM7" s="338"/>
      <c r="PRN7" s="338"/>
      <c r="PRO7" s="338"/>
      <c r="PRP7" s="338"/>
      <c r="PRQ7" s="338"/>
      <c r="PRR7" s="338"/>
      <c r="PRS7" s="338"/>
      <c r="PRT7" s="338"/>
      <c r="PRU7" s="338"/>
      <c r="PRV7" s="338"/>
      <c r="PRW7" s="338"/>
      <c r="PRX7" s="338"/>
      <c r="PRY7" s="338"/>
      <c r="PRZ7" s="338"/>
      <c r="PSA7" s="338"/>
      <c r="PSB7" s="338"/>
      <c r="PSC7" s="338"/>
      <c r="PSD7" s="338"/>
      <c r="PSE7" s="338"/>
      <c r="PSF7" s="338"/>
      <c r="PSG7" s="338"/>
      <c r="PSH7" s="338"/>
      <c r="PSI7" s="338"/>
      <c r="PSJ7" s="338"/>
      <c r="PSK7" s="338"/>
      <c r="PSL7" s="338"/>
      <c r="PSM7" s="338"/>
      <c r="PSN7" s="338"/>
      <c r="PSO7" s="338"/>
      <c r="PSP7" s="338"/>
      <c r="PSQ7" s="338"/>
      <c r="PSR7" s="338"/>
      <c r="PSS7" s="338"/>
      <c r="PST7" s="338"/>
      <c r="PSU7" s="338"/>
      <c r="PSV7" s="338"/>
      <c r="PSW7" s="338"/>
      <c r="PSX7" s="338"/>
      <c r="PSY7" s="338"/>
      <c r="PSZ7" s="338"/>
      <c r="PTA7" s="338"/>
      <c r="PTB7" s="338"/>
      <c r="PTC7" s="338"/>
      <c r="PTD7" s="338"/>
      <c r="PTE7" s="338"/>
      <c r="PTF7" s="338"/>
      <c r="PTG7" s="338"/>
      <c r="PTH7" s="338"/>
      <c r="PTI7" s="338"/>
      <c r="PTJ7" s="338"/>
      <c r="PTK7" s="338"/>
      <c r="PTL7" s="338"/>
      <c r="PTM7" s="338"/>
      <c r="PTN7" s="338"/>
      <c r="PTO7" s="338"/>
      <c r="PTP7" s="338"/>
      <c r="PTQ7" s="338"/>
      <c r="PTR7" s="338"/>
      <c r="PTS7" s="338"/>
      <c r="PTT7" s="338"/>
      <c r="PTU7" s="338"/>
      <c r="PTV7" s="338"/>
      <c r="PTW7" s="338"/>
      <c r="PTX7" s="338"/>
      <c r="PTY7" s="338"/>
      <c r="PTZ7" s="338"/>
      <c r="PUA7" s="338"/>
      <c r="PUB7" s="338"/>
      <c r="PUC7" s="338"/>
      <c r="PUD7" s="338"/>
      <c r="PUE7" s="338"/>
      <c r="PUF7" s="338"/>
      <c r="PUG7" s="338"/>
      <c r="PUH7" s="338"/>
      <c r="PUI7" s="338"/>
      <c r="PUJ7" s="338"/>
      <c r="PUK7" s="338"/>
      <c r="PUL7" s="338"/>
      <c r="PUM7" s="338"/>
      <c r="PUN7" s="338"/>
      <c r="PUO7" s="338"/>
      <c r="PUP7" s="338"/>
      <c r="PUQ7" s="338"/>
      <c r="PUR7" s="338"/>
      <c r="PUS7" s="338"/>
      <c r="PUT7" s="338"/>
      <c r="PUU7" s="338"/>
      <c r="PUV7" s="338"/>
      <c r="PUW7" s="338"/>
      <c r="PUX7" s="338"/>
      <c r="PUY7" s="338"/>
      <c r="PUZ7" s="338"/>
      <c r="PVA7" s="338"/>
      <c r="PVB7" s="338"/>
      <c r="PVC7" s="338"/>
      <c r="PVD7" s="338"/>
      <c r="PVE7" s="338"/>
      <c r="PVF7" s="338"/>
      <c r="PVG7" s="338"/>
      <c r="PVH7" s="338"/>
      <c r="PVI7" s="338"/>
      <c r="PVJ7" s="338"/>
      <c r="PVK7" s="338"/>
      <c r="PVL7" s="338"/>
      <c r="PVM7" s="338"/>
      <c r="PVN7" s="338"/>
      <c r="PVO7" s="338"/>
      <c r="PVP7" s="338"/>
      <c r="PVQ7" s="338"/>
      <c r="PVR7" s="338"/>
      <c r="PVS7" s="338"/>
      <c r="PVT7" s="338"/>
      <c r="PVU7" s="338"/>
      <c r="PVV7" s="338"/>
      <c r="PVW7" s="338"/>
      <c r="PVX7" s="338"/>
      <c r="PVY7" s="338"/>
      <c r="PVZ7" s="338"/>
      <c r="PWA7" s="338"/>
      <c r="PWB7" s="338"/>
      <c r="PWC7" s="338"/>
      <c r="PWD7" s="338"/>
      <c r="PWE7" s="338"/>
      <c r="PWF7" s="338"/>
      <c r="PWG7" s="338"/>
      <c r="PWH7" s="338"/>
      <c r="PWI7" s="338"/>
      <c r="PWJ7" s="338"/>
      <c r="PWK7" s="338"/>
      <c r="PWL7" s="338"/>
      <c r="PWM7" s="338"/>
      <c r="PWN7" s="338"/>
      <c r="PWO7" s="338"/>
      <c r="PWP7" s="338"/>
      <c r="PWQ7" s="338"/>
      <c r="PWR7" s="338"/>
      <c r="PWS7" s="338"/>
      <c r="PWT7" s="338"/>
      <c r="PWU7" s="338"/>
      <c r="PWV7" s="338"/>
      <c r="PWW7" s="338"/>
      <c r="PWX7" s="338"/>
      <c r="PWY7" s="338"/>
      <c r="PWZ7" s="338"/>
      <c r="PXA7" s="338"/>
      <c r="PXB7" s="338"/>
      <c r="PXC7" s="338"/>
      <c r="PXD7" s="338"/>
      <c r="PXE7" s="338"/>
      <c r="PXF7" s="338"/>
      <c r="PXG7" s="338"/>
      <c r="PXH7" s="338"/>
      <c r="PXI7" s="338"/>
      <c r="PXJ7" s="338"/>
      <c r="PXK7" s="338"/>
      <c r="PXL7" s="338"/>
      <c r="PXM7" s="338"/>
      <c r="PXN7" s="338"/>
      <c r="PXO7" s="338"/>
      <c r="PXP7" s="338"/>
      <c r="PXQ7" s="338"/>
      <c r="PXR7" s="338"/>
      <c r="PXS7" s="338"/>
      <c r="PXT7" s="338"/>
      <c r="PXU7" s="338"/>
      <c r="PXV7" s="338"/>
      <c r="PXW7" s="338"/>
      <c r="PXX7" s="338"/>
      <c r="PXY7" s="338"/>
      <c r="PXZ7" s="338"/>
      <c r="PYA7" s="338"/>
      <c r="PYB7" s="338"/>
      <c r="PYC7" s="338"/>
      <c r="PYD7" s="338"/>
      <c r="PYE7" s="338"/>
      <c r="PYF7" s="338"/>
      <c r="PYG7" s="338"/>
      <c r="PYH7" s="338"/>
      <c r="PYI7" s="338"/>
      <c r="PYJ7" s="338"/>
      <c r="PYK7" s="338"/>
      <c r="PYL7" s="338"/>
      <c r="PYM7" s="338"/>
      <c r="PYN7" s="338"/>
      <c r="PYO7" s="338"/>
      <c r="PYP7" s="338"/>
      <c r="PYQ7" s="338"/>
      <c r="PYR7" s="338"/>
      <c r="PYS7" s="338"/>
      <c r="PYT7" s="338"/>
      <c r="PYU7" s="338"/>
      <c r="PYV7" s="338"/>
      <c r="PYW7" s="338"/>
      <c r="PYX7" s="338"/>
      <c r="PYY7" s="338"/>
      <c r="PYZ7" s="338"/>
      <c r="PZA7" s="338"/>
      <c r="PZB7" s="338"/>
      <c r="PZC7" s="338"/>
      <c r="PZD7" s="338"/>
      <c r="PZE7" s="338"/>
      <c r="PZF7" s="338"/>
      <c r="PZG7" s="338"/>
      <c r="PZH7" s="338"/>
      <c r="PZI7" s="338"/>
      <c r="PZJ7" s="338"/>
      <c r="PZK7" s="338"/>
      <c r="PZL7" s="338"/>
      <c r="PZM7" s="338"/>
      <c r="PZN7" s="338"/>
      <c r="PZO7" s="338"/>
      <c r="PZP7" s="338"/>
      <c r="PZQ7" s="338"/>
      <c r="PZR7" s="338"/>
      <c r="PZS7" s="338"/>
      <c r="PZT7" s="338"/>
      <c r="PZU7" s="338"/>
      <c r="PZV7" s="338"/>
      <c r="PZW7" s="338"/>
      <c r="PZX7" s="338"/>
      <c r="PZY7" s="338"/>
      <c r="PZZ7" s="338"/>
      <c r="QAA7" s="338"/>
      <c r="QAB7" s="338"/>
      <c r="QAC7" s="338"/>
      <c r="QAD7" s="338"/>
      <c r="QAE7" s="338"/>
      <c r="QAF7" s="338"/>
      <c r="QAG7" s="338"/>
      <c r="QAH7" s="338"/>
      <c r="QAI7" s="338"/>
      <c r="QAJ7" s="338"/>
      <c r="QAK7" s="338"/>
      <c r="QAL7" s="338"/>
      <c r="QAM7" s="338"/>
      <c r="QAN7" s="338"/>
      <c r="QAO7" s="338"/>
      <c r="QAP7" s="338"/>
      <c r="QAQ7" s="338"/>
      <c r="QAR7" s="338"/>
      <c r="QAS7" s="338"/>
      <c r="QAT7" s="338"/>
      <c r="QAU7" s="338"/>
      <c r="QAV7" s="338"/>
      <c r="QAW7" s="338"/>
      <c r="QAX7" s="338"/>
      <c r="QAY7" s="338"/>
      <c r="QAZ7" s="338"/>
      <c r="QBA7" s="338"/>
      <c r="QBB7" s="338"/>
      <c r="QBC7" s="338"/>
      <c r="QBD7" s="338"/>
      <c r="QBE7" s="338"/>
      <c r="QBF7" s="338"/>
      <c r="QBG7" s="338"/>
      <c r="QBH7" s="338"/>
      <c r="QBI7" s="338"/>
      <c r="QBJ7" s="338"/>
      <c r="QBK7" s="338"/>
      <c r="QBL7" s="338"/>
      <c r="QBM7" s="338"/>
      <c r="QBN7" s="338"/>
      <c r="QBO7" s="338"/>
      <c r="QBP7" s="338"/>
      <c r="QBQ7" s="338"/>
      <c r="QBR7" s="338"/>
      <c r="QBS7" s="338"/>
      <c r="QBT7" s="338"/>
      <c r="QBU7" s="338"/>
      <c r="QBV7" s="338"/>
      <c r="QBW7" s="338"/>
      <c r="QBX7" s="338"/>
      <c r="QBY7" s="338"/>
      <c r="QBZ7" s="338"/>
      <c r="QCA7" s="338"/>
      <c r="QCB7" s="338"/>
      <c r="QCC7" s="338"/>
      <c r="QCD7" s="338"/>
      <c r="QCE7" s="338"/>
      <c r="QCF7" s="338"/>
      <c r="QCG7" s="338"/>
      <c r="QCH7" s="338"/>
      <c r="QCI7" s="338"/>
      <c r="QCJ7" s="338"/>
      <c r="QCK7" s="338"/>
      <c r="QCL7" s="338"/>
      <c r="QCM7" s="338"/>
      <c r="QCN7" s="338"/>
      <c r="QCO7" s="338"/>
      <c r="QCP7" s="338"/>
      <c r="QCQ7" s="338"/>
      <c r="QCR7" s="338"/>
      <c r="QCS7" s="338"/>
      <c r="QCT7" s="338"/>
      <c r="QCU7" s="338"/>
      <c r="QCV7" s="338"/>
      <c r="QCW7" s="338"/>
      <c r="QCX7" s="338"/>
      <c r="QCY7" s="338"/>
      <c r="QCZ7" s="338"/>
      <c r="QDA7" s="338"/>
      <c r="QDB7" s="338"/>
      <c r="QDC7" s="338"/>
      <c r="QDD7" s="338"/>
      <c r="QDE7" s="338"/>
      <c r="QDF7" s="338"/>
      <c r="QDG7" s="338"/>
      <c r="QDH7" s="338"/>
      <c r="QDI7" s="338"/>
      <c r="QDJ7" s="338"/>
      <c r="QDK7" s="338"/>
      <c r="QDL7" s="338"/>
      <c r="QDM7" s="338"/>
      <c r="QDN7" s="338"/>
      <c r="QDO7" s="338"/>
      <c r="QDP7" s="338"/>
      <c r="QDQ7" s="338"/>
      <c r="QDR7" s="338"/>
      <c r="QDS7" s="338"/>
      <c r="QDT7" s="338"/>
      <c r="QDU7" s="338"/>
      <c r="QDV7" s="338"/>
      <c r="QDW7" s="338"/>
      <c r="QDX7" s="338"/>
      <c r="QDY7" s="338"/>
      <c r="QDZ7" s="338"/>
      <c r="QEA7" s="338"/>
      <c r="QEB7" s="338"/>
      <c r="QEC7" s="338"/>
      <c r="QED7" s="338"/>
      <c r="QEE7" s="338"/>
      <c r="QEF7" s="338"/>
      <c r="QEG7" s="338"/>
      <c r="QEH7" s="338"/>
      <c r="QEI7" s="338"/>
      <c r="QEJ7" s="338"/>
      <c r="QEK7" s="338"/>
      <c r="QEL7" s="338"/>
      <c r="QEM7" s="338"/>
      <c r="QEN7" s="338"/>
      <c r="QEO7" s="338"/>
      <c r="QEP7" s="338"/>
      <c r="QEQ7" s="338"/>
      <c r="QER7" s="338"/>
      <c r="QES7" s="338"/>
      <c r="QET7" s="338"/>
      <c r="QEU7" s="338"/>
      <c r="QEV7" s="338"/>
      <c r="QEW7" s="338"/>
      <c r="QEX7" s="338"/>
      <c r="QEY7" s="338"/>
      <c r="QEZ7" s="338"/>
      <c r="QFA7" s="338"/>
      <c r="QFB7" s="338"/>
      <c r="QFC7" s="338"/>
      <c r="QFD7" s="338"/>
      <c r="QFE7" s="338"/>
      <c r="QFF7" s="338"/>
      <c r="QFG7" s="338"/>
      <c r="QFH7" s="338"/>
      <c r="QFI7" s="338"/>
      <c r="QFJ7" s="338"/>
      <c r="QFK7" s="338"/>
      <c r="QFL7" s="338"/>
      <c r="QFM7" s="338"/>
      <c r="QFN7" s="338"/>
      <c r="QFO7" s="338"/>
      <c r="QFP7" s="338"/>
      <c r="QFQ7" s="338"/>
      <c r="QFR7" s="338"/>
      <c r="QFS7" s="338"/>
      <c r="QFT7" s="338"/>
      <c r="QFU7" s="338"/>
      <c r="QFV7" s="338"/>
      <c r="QFW7" s="338"/>
      <c r="QFX7" s="338"/>
      <c r="QFY7" s="338"/>
      <c r="QFZ7" s="338"/>
      <c r="QGA7" s="338"/>
      <c r="QGB7" s="338"/>
      <c r="QGC7" s="338"/>
      <c r="QGD7" s="338"/>
      <c r="QGE7" s="338"/>
      <c r="QGF7" s="338"/>
      <c r="QGG7" s="338"/>
      <c r="QGH7" s="338"/>
      <c r="QGI7" s="338"/>
      <c r="QGJ7" s="338"/>
      <c r="QGK7" s="338"/>
      <c r="QGL7" s="338"/>
      <c r="QGM7" s="338"/>
      <c r="QGN7" s="338"/>
      <c r="QGO7" s="338"/>
      <c r="QGP7" s="338"/>
      <c r="QGQ7" s="338"/>
      <c r="QGR7" s="338"/>
      <c r="QGS7" s="338"/>
      <c r="QGT7" s="338"/>
      <c r="QGU7" s="338"/>
      <c r="QGV7" s="338"/>
      <c r="QGW7" s="338"/>
      <c r="QGX7" s="338"/>
      <c r="QGY7" s="338"/>
      <c r="QGZ7" s="338"/>
      <c r="QHA7" s="338"/>
      <c r="QHB7" s="338"/>
      <c r="QHC7" s="338"/>
      <c r="QHD7" s="338"/>
      <c r="QHE7" s="338"/>
      <c r="QHF7" s="338"/>
      <c r="QHG7" s="338"/>
      <c r="QHH7" s="338"/>
      <c r="QHI7" s="338"/>
      <c r="QHJ7" s="338"/>
      <c r="QHK7" s="338"/>
      <c r="QHL7" s="338"/>
      <c r="QHM7" s="338"/>
      <c r="QHN7" s="338"/>
      <c r="QHO7" s="338"/>
      <c r="QHP7" s="338"/>
      <c r="QHQ7" s="338"/>
      <c r="QHR7" s="338"/>
      <c r="QHS7" s="338"/>
      <c r="QHT7" s="338"/>
      <c r="QHU7" s="338"/>
      <c r="QHV7" s="338"/>
      <c r="QHW7" s="338"/>
      <c r="QHX7" s="338"/>
      <c r="QHY7" s="338"/>
      <c r="QHZ7" s="338"/>
      <c r="QIA7" s="338"/>
      <c r="QIB7" s="338"/>
      <c r="QIC7" s="338"/>
      <c r="QID7" s="338"/>
      <c r="QIE7" s="338"/>
      <c r="QIF7" s="338"/>
      <c r="QIG7" s="338"/>
      <c r="QIH7" s="338"/>
      <c r="QII7" s="338"/>
      <c r="QIJ7" s="338"/>
      <c r="QIK7" s="338"/>
      <c r="QIL7" s="338"/>
      <c r="QIM7" s="338"/>
      <c r="QIN7" s="338"/>
      <c r="QIO7" s="338"/>
      <c r="QIP7" s="338"/>
      <c r="QIQ7" s="338"/>
      <c r="QIR7" s="338"/>
      <c r="QIS7" s="338"/>
      <c r="QIT7" s="338"/>
      <c r="QIU7" s="338"/>
      <c r="QIV7" s="338"/>
      <c r="QIW7" s="338"/>
      <c r="QIX7" s="338"/>
      <c r="QIY7" s="338"/>
      <c r="QIZ7" s="338"/>
      <c r="QJA7" s="338"/>
      <c r="QJB7" s="338"/>
      <c r="QJC7" s="338"/>
      <c r="QJD7" s="338"/>
      <c r="QJE7" s="338"/>
      <c r="QJF7" s="338"/>
      <c r="QJG7" s="338"/>
      <c r="QJH7" s="338"/>
      <c r="QJI7" s="338"/>
      <c r="QJJ7" s="338"/>
      <c r="QJK7" s="338"/>
      <c r="QJL7" s="338"/>
      <c r="QJM7" s="338"/>
      <c r="QJN7" s="338"/>
      <c r="QJO7" s="338"/>
      <c r="QJP7" s="338"/>
      <c r="QJQ7" s="338"/>
      <c r="QJR7" s="338"/>
      <c r="QJS7" s="338"/>
      <c r="QJT7" s="338"/>
      <c r="QJU7" s="338"/>
      <c r="QJV7" s="338"/>
      <c r="QJW7" s="338"/>
      <c r="QJX7" s="338"/>
      <c r="QJY7" s="338"/>
      <c r="QJZ7" s="338"/>
      <c r="QKA7" s="338"/>
      <c r="QKB7" s="338"/>
      <c r="QKC7" s="338"/>
      <c r="QKD7" s="338"/>
      <c r="QKE7" s="338"/>
      <c r="QKF7" s="338"/>
      <c r="QKG7" s="338"/>
      <c r="QKH7" s="338"/>
      <c r="QKI7" s="338"/>
      <c r="QKJ7" s="338"/>
      <c r="QKK7" s="338"/>
      <c r="QKL7" s="338"/>
      <c r="QKM7" s="338"/>
      <c r="QKN7" s="338"/>
      <c r="QKO7" s="338"/>
      <c r="QKP7" s="338"/>
      <c r="QKQ7" s="338"/>
      <c r="QKR7" s="338"/>
      <c r="QKS7" s="338"/>
      <c r="QKT7" s="338"/>
      <c r="QKU7" s="338"/>
      <c r="QKV7" s="338"/>
      <c r="QKW7" s="338"/>
      <c r="QKX7" s="338"/>
      <c r="QKY7" s="338"/>
      <c r="QKZ7" s="338"/>
      <c r="QLA7" s="338"/>
      <c r="QLB7" s="338"/>
      <c r="QLC7" s="338"/>
      <c r="QLD7" s="338"/>
      <c r="QLE7" s="338"/>
      <c r="QLF7" s="338"/>
      <c r="QLG7" s="338"/>
      <c r="QLH7" s="338"/>
      <c r="QLI7" s="338"/>
      <c r="QLJ7" s="338"/>
      <c r="QLK7" s="338"/>
      <c r="QLL7" s="338"/>
      <c r="QLM7" s="338"/>
      <c r="QLN7" s="338"/>
      <c r="QLO7" s="338"/>
      <c r="QLP7" s="338"/>
      <c r="QLQ7" s="338"/>
      <c r="QLR7" s="338"/>
      <c r="QLS7" s="338"/>
      <c r="QLT7" s="338"/>
      <c r="QLU7" s="338"/>
      <c r="QLV7" s="338"/>
      <c r="QLW7" s="338"/>
      <c r="QLX7" s="338"/>
      <c r="QLY7" s="338"/>
      <c r="QLZ7" s="338"/>
      <c r="QMA7" s="338"/>
      <c r="QMB7" s="338"/>
      <c r="QMC7" s="338"/>
      <c r="QMD7" s="338"/>
      <c r="QME7" s="338"/>
      <c r="QMF7" s="338"/>
      <c r="QMG7" s="338"/>
      <c r="QMH7" s="338"/>
      <c r="QMI7" s="338"/>
      <c r="QMJ7" s="338"/>
      <c r="QMK7" s="338"/>
      <c r="QML7" s="338"/>
      <c r="QMM7" s="338"/>
      <c r="QMN7" s="338"/>
      <c r="QMO7" s="338"/>
      <c r="QMP7" s="338"/>
      <c r="QMQ7" s="338"/>
      <c r="QMR7" s="338"/>
      <c r="QMS7" s="338"/>
      <c r="QMT7" s="338"/>
      <c r="QMU7" s="338"/>
      <c r="QMV7" s="338"/>
      <c r="QMW7" s="338"/>
      <c r="QMX7" s="338"/>
      <c r="QMY7" s="338"/>
      <c r="QMZ7" s="338"/>
      <c r="QNA7" s="338"/>
      <c r="QNB7" s="338"/>
      <c r="QNC7" s="338"/>
      <c r="QND7" s="338"/>
      <c r="QNE7" s="338"/>
      <c r="QNF7" s="338"/>
      <c r="QNG7" s="338"/>
      <c r="QNH7" s="338"/>
      <c r="QNI7" s="338"/>
      <c r="QNJ7" s="338"/>
      <c r="QNK7" s="338"/>
      <c r="QNL7" s="338"/>
      <c r="QNM7" s="338"/>
      <c r="QNN7" s="338"/>
      <c r="QNO7" s="338"/>
      <c r="QNP7" s="338"/>
      <c r="QNQ7" s="338"/>
      <c r="QNR7" s="338"/>
      <c r="QNS7" s="338"/>
      <c r="QNT7" s="338"/>
      <c r="QNU7" s="338"/>
      <c r="QNV7" s="338"/>
      <c r="QNW7" s="338"/>
      <c r="QNX7" s="338"/>
      <c r="QNY7" s="338"/>
      <c r="QNZ7" s="338"/>
      <c r="QOA7" s="338"/>
      <c r="QOB7" s="338"/>
      <c r="QOC7" s="338"/>
      <c r="QOD7" s="338"/>
      <c r="QOE7" s="338"/>
      <c r="QOF7" s="338"/>
      <c r="QOG7" s="338"/>
      <c r="QOH7" s="338"/>
      <c r="QOI7" s="338"/>
      <c r="QOJ7" s="338"/>
      <c r="QOK7" s="338"/>
      <c r="QOL7" s="338"/>
      <c r="QOM7" s="338"/>
      <c r="QON7" s="338"/>
      <c r="QOO7" s="338"/>
      <c r="QOP7" s="338"/>
      <c r="QOQ7" s="338"/>
      <c r="QOR7" s="338"/>
      <c r="QOS7" s="338"/>
      <c r="QOT7" s="338"/>
      <c r="QOU7" s="338"/>
      <c r="QOV7" s="338"/>
      <c r="QOW7" s="338"/>
      <c r="QOX7" s="338"/>
      <c r="QOY7" s="338"/>
      <c r="QOZ7" s="338"/>
      <c r="QPA7" s="338"/>
      <c r="QPB7" s="338"/>
      <c r="QPC7" s="338"/>
      <c r="QPD7" s="338"/>
      <c r="QPE7" s="338"/>
      <c r="QPF7" s="338"/>
      <c r="QPG7" s="338"/>
      <c r="QPH7" s="338"/>
      <c r="QPI7" s="338"/>
      <c r="QPJ7" s="338"/>
      <c r="QPK7" s="338"/>
      <c r="QPL7" s="338"/>
      <c r="QPM7" s="338"/>
      <c r="QPN7" s="338"/>
      <c r="QPO7" s="338"/>
      <c r="QPP7" s="338"/>
      <c r="QPQ7" s="338"/>
      <c r="QPR7" s="338"/>
      <c r="QPS7" s="338"/>
      <c r="QPT7" s="338"/>
      <c r="QPU7" s="338"/>
      <c r="QPV7" s="338"/>
      <c r="QPW7" s="338"/>
      <c r="QPX7" s="338"/>
      <c r="QPY7" s="338"/>
      <c r="QPZ7" s="338"/>
      <c r="QQA7" s="338"/>
      <c r="QQB7" s="338"/>
      <c r="QQC7" s="338"/>
      <c r="QQD7" s="338"/>
      <c r="QQE7" s="338"/>
      <c r="QQF7" s="338"/>
      <c r="QQG7" s="338"/>
      <c r="QQH7" s="338"/>
      <c r="QQI7" s="338"/>
      <c r="QQJ7" s="338"/>
      <c r="QQK7" s="338"/>
      <c r="QQL7" s="338"/>
      <c r="QQM7" s="338"/>
      <c r="QQN7" s="338"/>
      <c r="QQO7" s="338"/>
      <c r="QQP7" s="338"/>
      <c r="QQQ7" s="338"/>
      <c r="QQR7" s="338"/>
      <c r="QQS7" s="338"/>
      <c r="QQT7" s="338"/>
      <c r="QQU7" s="338"/>
      <c r="QQV7" s="338"/>
      <c r="QQW7" s="338"/>
      <c r="QQX7" s="338"/>
      <c r="QQY7" s="338"/>
      <c r="QQZ7" s="338"/>
      <c r="QRA7" s="338"/>
      <c r="QRB7" s="338"/>
      <c r="QRC7" s="338"/>
      <c r="QRD7" s="338"/>
      <c r="QRE7" s="338"/>
      <c r="QRF7" s="338"/>
      <c r="QRG7" s="338"/>
      <c r="QRH7" s="338"/>
      <c r="QRI7" s="338"/>
      <c r="QRJ7" s="338"/>
      <c r="QRK7" s="338"/>
      <c r="QRL7" s="338"/>
      <c r="QRM7" s="338"/>
      <c r="QRN7" s="338"/>
      <c r="QRO7" s="338"/>
      <c r="QRP7" s="338"/>
      <c r="QRQ7" s="338"/>
      <c r="QRR7" s="338"/>
      <c r="QRS7" s="338"/>
      <c r="QRT7" s="338"/>
      <c r="QRU7" s="338"/>
      <c r="QRV7" s="338"/>
      <c r="QRW7" s="338"/>
      <c r="QRX7" s="338"/>
      <c r="QRY7" s="338"/>
      <c r="QRZ7" s="338"/>
      <c r="QSA7" s="338"/>
      <c r="QSB7" s="338"/>
      <c r="QSC7" s="338"/>
      <c r="QSD7" s="338"/>
      <c r="QSE7" s="338"/>
      <c r="QSF7" s="338"/>
      <c r="QSG7" s="338"/>
      <c r="QSH7" s="338"/>
      <c r="QSI7" s="338"/>
      <c r="QSJ7" s="338"/>
      <c r="QSK7" s="338"/>
      <c r="QSL7" s="338"/>
      <c r="QSM7" s="338"/>
      <c r="QSN7" s="338"/>
      <c r="QSO7" s="338"/>
      <c r="QSP7" s="338"/>
      <c r="QSQ7" s="338"/>
      <c r="QSR7" s="338"/>
      <c r="QSS7" s="338"/>
      <c r="QST7" s="338"/>
      <c r="QSU7" s="338"/>
      <c r="QSV7" s="338"/>
      <c r="QSW7" s="338"/>
      <c r="QSX7" s="338"/>
      <c r="QSY7" s="338"/>
      <c r="QSZ7" s="338"/>
      <c r="QTA7" s="338"/>
      <c r="QTB7" s="338"/>
      <c r="QTC7" s="338"/>
      <c r="QTD7" s="338"/>
      <c r="QTE7" s="338"/>
      <c r="QTF7" s="338"/>
      <c r="QTG7" s="338"/>
      <c r="QTH7" s="338"/>
      <c r="QTI7" s="338"/>
      <c r="QTJ7" s="338"/>
      <c r="QTK7" s="338"/>
      <c r="QTL7" s="338"/>
      <c r="QTM7" s="338"/>
      <c r="QTN7" s="338"/>
      <c r="QTO7" s="338"/>
      <c r="QTP7" s="338"/>
      <c r="QTQ7" s="338"/>
      <c r="QTR7" s="338"/>
      <c r="QTS7" s="338"/>
      <c r="QTT7" s="338"/>
      <c r="QTU7" s="338"/>
      <c r="QTV7" s="338"/>
      <c r="QTW7" s="338"/>
      <c r="QTX7" s="338"/>
      <c r="QTY7" s="338"/>
      <c r="QTZ7" s="338"/>
      <c r="QUA7" s="338"/>
      <c r="QUB7" s="338"/>
      <c r="QUC7" s="338"/>
      <c r="QUD7" s="338"/>
      <c r="QUE7" s="338"/>
      <c r="QUF7" s="338"/>
      <c r="QUG7" s="338"/>
      <c r="QUH7" s="338"/>
      <c r="QUI7" s="338"/>
      <c r="QUJ7" s="338"/>
      <c r="QUK7" s="338"/>
      <c r="QUL7" s="338"/>
      <c r="QUM7" s="338"/>
      <c r="QUN7" s="338"/>
      <c r="QUO7" s="338"/>
      <c r="QUP7" s="338"/>
      <c r="QUQ7" s="338"/>
      <c r="QUR7" s="338"/>
      <c r="QUS7" s="338"/>
      <c r="QUT7" s="338"/>
      <c r="QUU7" s="338"/>
      <c r="QUV7" s="338"/>
      <c r="QUW7" s="338"/>
      <c r="QUX7" s="338"/>
      <c r="QUY7" s="338"/>
      <c r="QUZ7" s="338"/>
      <c r="QVA7" s="338"/>
      <c r="QVB7" s="338"/>
      <c r="QVC7" s="338"/>
      <c r="QVD7" s="338"/>
      <c r="QVE7" s="338"/>
      <c r="QVF7" s="338"/>
      <c r="QVG7" s="338"/>
      <c r="QVH7" s="338"/>
      <c r="QVI7" s="338"/>
      <c r="QVJ7" s="338"/>
      <c r="QVK7" s="338"/>
      <c r="QVL7" s="338"/>
      <c r="QVM7" s="338"/>
      <c r="QVN7" s="338"/>
      <c r="QVO7" s="338"/>
      <c r="QVP7" s="338"/>
      <c r="QVQ7" s="338"/>
      <c r="QVR7" s="338"/>
      <c r="QVS7" s="338"/>
      <c r="QVT7" s="338"/>
      <c r="QVU7" s="338"/>
      <c r="QVV7" s="338"/>
      <c r="QVW7" s="338"/>
      <c r="QVX7" s="338"/>
      <c r="QVY7" s="338"/>
      <c r="QVZ7" s="338"/>
      <c r="QWA7" s="338"/>
      <c r="QWB7" s="338"/>
      <c r="QWC7" s="338"/>
      <c r="QWD7" s="338"/>
      <c r="QWE7" s="338"/>
      <c r="QWF7" s="338"/>
      <c r="QWG7" s="338"/>
      <c r="QWH7" s="338"/>
      <c r="QWI7" s="338"/>
      <c r="QWJ7" s="338"/>
      <c r="QWK7" s="338"/>
      <c r="QWL7" s="338"/>
      <c r="QWM7" s="338"/>
      <c r="QWN7" s="338"/>
      <c r="QWO7" s="338"/>
      <c r="QWP7" s="338"/>
      <c r="QWQ7" s="338"/>
      <c r="QWR7" s="338"/>
      <c r="QWS7" s="338"/>
      <c r="QWT7" s="338"/>
      <c r="QWU7" s="338"/>
      <c r="QWV7" s="338"/>
      <c r="QWW7" s="338"/>
      <c r="QWX7" s="338"/>
      <c r="QWY7" s="338"/>
      <c r="QWZ7" s="338"/>
      <c r="QXA7" s="338"/>
      <c r="QXB7" s="338"/>
      <c r="QXC7" s="338"/>
      <c r="QXD7" s="338"/>
      <c r="QXE7" s="338"/>
      <c r="QXF7" s="338"/>
      <c r="QXG7" s="338"/>
      <c r="QXH7" s="338"/>
      <c r="QXI7" s="338"/>
      <c r="QXJ7" s="338"/>
      <c r="QXK7" s="338"/>
      <c r="QXL7" s="338"/>
      <c r="QXM7" s="338"/>
      <c r="QXN7" s="338"/>
      <c r="QXO7" s="338"/>
      <c r="QXP7" s="338"/>
      <c r="QXQ7" s="338"/>
      <c r="QXR7" s="338"/>
      <c r="QXS7" s="338"/>
      <c r="QXT7" s="338"/>
      <c r="QXU7" s="338"/>
      <c r="QXV7" s="338"/>
      <c r="QXW7" s="338"/>
      <c r="QXX7" s="338"/>
      <c r="QXY7" s="338"/>
      <c r="QXZ7" s="338"/>
      <c r="QYA7" s="338"/>
      <c r="QYB7" s="338"/>
      <c r="QYC7" s="338"/>
      <c r="QYD7" s="338"/>
      <c r="QYE7" s="338"/>
      <c r="QYF7" s="338"/>
      <c r="QYG7" s="338"/>
      <c r="QYH7" s="338"/>
      <c r="QYI7" s="338"/>
      <c r="QYJ7" s="338"/>
      <c r="QYK7" s="338"/>
      <c r="QYL7" s="338"/>
      <c r="QYM7" s="338"/>
      <c r="QYN7" s="338"/>
      <c r="QYO7" s="338"/>
      <c r="QYP7" s="338"/>
      <c r="QYQ7" s="338"/>
      <c r="QYR7" s="338"/>
      <c r="QYS7" s="338"/>
      <c r="QYT7" s="338"/>
      <c r="QYU7" s="338"/>
      <c r="QYV7" s="338"/>
      <c r="QYW7" s="338"/>
      <c r="QYX7" s="338"/>
      <c r="QYY7" s="338"/>
      <c r="QYZ7" s="338"/>
      <c r="QZA7" s="338"/>
      <c r="QZB7" s="338"/>
      <c r="QZC7" s="338"/>
      <c r="QZD7" s="338"/>
      <c r="QZE7" s="338"/>
      <c r="QZF7" s="338"/>
      <c r="QZG7" s="338"/>
      <c r="QZH7" s="338"/>
      <c r="QZI7" s="338"/>
      <c r="QZJ7" s="338"/>
      <c r="QZK7" s="338"/>
      <c r="QZL7" s="338"/>
      <c r="QZM7" s="338"/>
      <c r="QZN7" s="338"/>
      <c r="QZO7" s="338"/>
      <c r="QZP7" s="338"/>
      <c r="QZQ7" s="338"/>
      <c r="QZR7" s="338"/>
      <c r="QZS7" s="338"/>
      <c r="QZT7" s="338"/>
      <c r="QZU7" s="338"/>
      <c r="QZV7" s="338"/>
      <c r="QZW7" s="338"/>
      <c r="QZX7" s="338"/>
      <c r="QZY7" s="338"/>
      <c r="QZZ7" s="338"/>
      <c r="RAA7" s="338"/>
      <c r="RAB7" s="338"/>
      <c r="RAC7" s="338"/>
      <c r="RAD7" s="338"/>
      <c r="RAE7" s="338"/>
      <c r="RAF7" s="338"/>
      <c r="RAG7" s="338"/>
      <c r="RAH7" s="338"/>
      <c r="RAI7" s="338"/>
      <c r="RAJ7" s="338"/>
      <c r="RAK7" s="338"/>
      <c r="RAL7" s="338"/>
      <c r="RAM7" s="338"/>
      <c r="RAN7" s="338"/>
      <c r="RAO7" s="338"/>
      <c r="RAP7" s="338"/>
      <c r="RAQ7" s="338"/>
      <c r="RAR7" s="338"/>
      <c r="RAS7" s="338"/>
      <c r="RAT7" s="338"/>
      <c r="RAU7" s="338"/>
      <c r="RAV7" s="338"/>
      <c r="RAW7" s="338"/>
      <c r="RAX7" s="338"/>
      <c r="RAY7" s="338"/>
      <c r="RAZ7" s="338"/>
      <c r="RBA7" s="338"/>
      <c r="RBB7" s="338"/>
      <c r="RBC7" s="338"/>
      <c r="RBD7" s="338"/>
      <c r="RBE7" s="338"/>
      <c r="RBF7" s="338"/>
      <c r="RBG7" s="338"/>
      <c r="RBH7" s="338"/>
      <c r="RBI7" s="338"/>
      <c r="RBJ7" s="338"/>
      <c r="RBK7" s="338"/>
      <c r="RBL7" s="338"/>
      <c r="RBM7" s="338"/>
      <c r="RBN7" s="338"/>
      <c r="RBO7" s="338"/>
      <c r="RBP7" s="338"/>
      <c r="RBQ7" s="338"/>
      <c r="RBR7" s="338"/>
      <c r="RBS7" s="338"/>
      <c r="RBT7" s="338"/>
      <c r="RBU7" s="338"/>
      <c r="RBV7" s="338"/>
      <c r="RBW7" s="338"/>
      <c r="RBX7" s="338"/>
      <c r="RBY7" s="338"/>
      <c r="RBZ7" s="338"/>
      <c r="RCA7" s="338"/>
      <c r="RCB7" s="338"/>
      <c r="RCC7" s="338"/>
      <c r="RCD7" s="338"/>
      <c r="RCE7" s="338"/>
      <c r="RCF7" s="338"/>
      <c r="RCG7" s="338"/>
      <c r="RCH7" s="338"/>
      <c r="RCI7" s="338"/>
      <c r="RCJ7" s="338"/>
      <c r="RCK7" s="338"/>
      <c r="RCL7" s="338"/>
      <c r="RCM7" s="338"/>
      <c r="RCN7" s="338"/>
      <c r="RCO7" s="338"/>
      <c r="RCP7" s="338"/>
      <c r="RCQ7" s="338"/>
      <c r="RCR7" s="338"/>
      <c r="RCS7" s="338"/>
      <c r="RCT7" s="338"/>
      <c r="RCU7" s="338"/>
      <c r="RCV7" s="338"/>
      <c r="RCW7" s="338"/>
      <c r="RCX7" s="338"/>
      <c r="RCY7" s="338"/>
      <c r="RCZ7" s="338"/>
      <c r="RDA7" s="338"/>
      <c r="RDB7" s="338"/>
      <c r="RDC7" s="338"/>
      <c r="RDD7" s="338"/>
      <c r="RDE7" s="338"/>
      <c r="RDF7" s="338"/>
      <c r="RDG7" s="338"/>
      <c r="RDH7" s="338"/>
      <c r="RDI7" s="338"/>
      <c r="RDJ7" s="338"/>
      <c r="RDK7" s="338"/>
      <c r="RDL7" s="338"/>
      <c r="RDM7" s="338"/>
      <c r="RDN7" s="338"/>
      <c r="RDO7" s="338"/>
      <c r="RDP7" s="338"/>
      <c r="RDQ7" s="338"/>
      <c r="RDR7" s="338"/>
      <c r="RDS7" s="338"/>
      <c r="RDT7" s="338"/>
      <c r="RDU7" s="338"/>
      <c r="RDV7" s="338"/>
      <c r="RDW7" s="338"/>
      <c r="RDX7" s="338"/>
      <c r="RDY7" s="338"/>
      <c r="RDZ7" s="338"/>
      <c r="REA7" s="338"/>
      <c r="REB7" s="338"/>
      <c r="REC7" s="338"/>
      <c r="RED7" s="338"/>
      <c r="REE7" s="338"/>
      <c r="REF7" s="338"/>
      <c r="REG7" s="338"/>
      <c r="REH7" s="338"/>
      <c r="REI7" s="338"/>
      <c r="REJ7" s="338"/>
      <c r="REK7" s="338"/>
      <c r="REL7" s="338"/>
      <c r="REM7" s="338"/>
      <c r="REN7" s="338"/>
      <c r="REO7" s="338"/>
      <c r="REP7" s="338"/>
      <c r="REQ7" s="338"/>
      <c r="RER7" s="338"/>
      <c r="RES7" s="338"/>
      <c r="RET7" s="338"/>
      <c r="REU7" s="338"/>
      <c r="REV7" s="338"/>
      <c r="REW7" s="338"/>
      <c r="REX7" s="338"/>
      <c r="REY7" s="338"/>
      <c r="REZ7" s="338"/>
      <c r="RFA7" s="338"/>
      <c r="RFB7" s="338"/>
      <c r="RFC7" s="338"/>
      <c r="RFD7" s="338"/>
      <c r="RFE7" s="338"/>
      <c r="RFF7" s="338"/>
      <c r="RFG7" s="338"/>
      <c r="RFH7" s="338"/>
      <c r="RFI7" s="338"/>
      <c r="RFJ7" s="338"/>
      <c r="RFK7" s="338"/>
      <c r="RFL7" s="338"/>
      <c r="RFM7" s="338"/>
      <c r="RFN7" s="338"/>
      <c r="RFO7" s="338"/>
      <c r="RFP7" s="338"/>
      <c r="RFQ7" s="338"/>
      <c r="RFR7" s="338"/>
      <c r="RFS7" s="338"/>
      <c r="RFT7" s="338"/>
      <c r="RFU7" s="338"/>
      <c r="RFV7" s="338"/>
      <c r="RFW7" s="338"/>
      <c r="RFX7" s="338"/>
      <c r="RFY7" s="338"/>
      <c r="RFZ7" s="338"/>
      <c r="RGA7" s="338"/>
      <c r="RGB7" s="338"/>
      <c r="RGC7" s="338"/>
      <c r="RGD7" s="338"/>
      <c r="RGE7" s="338"/>
      <c r="RGF7" s="338"/>
      <c r="RGG7" s="338"/>
      <c r="RGH7" s="338"/>
      <c r="RGI7" s="338"/>
      <c r="RGJ7" s="338"/>
      <c r="RGK7" s="338"/>
      <c r="RGL7" s="338"/>
      <c r="RGM7" s="338"/>
      <c r="RGN7" s="338"/>
      <c r="RGO7" s="338"/>
      <c r="RGP7" s="338"/>
      <c r="RGQ7" s="338"/>
      <c r="RGR7" s="338"/>
      <c r="RGS7" s="338"/>
      <c r="RGT7" s="338"/>
      <c r="RGU7" s="338"/>
      <c r="RGV7" s="338"/>
      <c r="RGW7" s="338"/>
      <c r="RGX7" s="338"/>
      <c r="RGY7" s="338"/>
      <c r="RGZ7" s="338"/>
      <c r="RHA7" s="338"/>
      <c r="RHB7" s="338"/>
      <c r="RHC7" s="338"/>
      <c r="RHD7" s="338"/>
      <c r="RHE7" s="338"/>
      <c r="RHF7" s="338"/>
      <c r="RHG7" s="338"/>
      <c r="RHH7" s="338"/>
      <c r="RHI7" s="338"/>
      <c r="RHJ7" s="338"/>
      <c r="RHK7" s="338"/>
      <c r="RHL7" s="338"/>
      <c r="RHM7" s="338"/>
      <c r="RHN7" s="338"/>
      <c r="RHO7" s="338"/>
      <c r="RHP7" s="338"/>
      <c r="RHQ7" s="338"/>
      <c r="RHR7" s="338"/>
      <c r="RHS7" s="338"/>
      <c r="RHT7" s="338"/>
      <c r="RHU7" s="338"/>
      <c r="RHV7" s="338"/>
      <c r="RHW7" s="338"/>
      <c r="RHX7" s="338"/>
      <c r="RHY7" s="338"/>
      <c r="RHZ7" s="338"/>
      <c r="RIA7" s="338"/>
      <c r="RIB7" s="338"/>
      <c r="RIC7" s="338"/>
      <c r="RID7" s="338"/>
      <c r="RIE7" s="338"/>
      <c r="RIF7" s="338"/>
      <c r="RIG7" s="338"/>
      <c r="RIH7" s="338"/>
      <c r="RII7" s="338"/>
      <c r="RIJ7" s="338"/>
      <c r="RIK7" s="338"/>
      <c r="RIL7" s="338"/>
      <c r="RIM7" s="338"/>
      <c r="RIN7" s="338"/>
      <c r="RIO7" s="338"/>
      <c r="RIP7" s="338"/>
      <c r="RIQ7" s="338"/>
      <c r="RIR7" s="338"/>
      <c r="RIS7" s="338"/>
      <c r="RIT7" s="338"/>
      <c r="RIU7" s="338"/>
      <c r="RIV7" s="338"/>
      <c r="RIW7" s="338"/>
      <c r="RIX7" s="338"/>
      <c r="RIY7" s="338"/>
      <c r="RIZ7" s="338"/>
      <c r="RJA7" s="338"/>
      <c r="RJB7" s="338"/>
      <c r="RJC7" s="338"/>
      <c r="RJD7" s="338"/>
      <c r="RJE7" s="338"/>
      <c r="RJF7" s="338"/>
      <c r="RJG7" s="338"/>
      <c r="RJH7" s="338"/>
      <c r="RJI7" s="338"/>
      <c r="RJJ7" s="338"/>
      <c r="RJK7" s="338"/>
      <c r="RJL7" s="338"/>
      <c r="RJM7" s="338"/>
      <c r="RJN7" s="338"/>
      <c r="RJO7" s="338"/>
      <c r="RJP7" s="338"/>
      <c r="RJQ7" s="338"/>
      <c r="RJR7" s="338"/>
      <c r="RJS7" s="338"/>
      <c r="RJT7" s="338"/>
      <c r="RJU7" s="338"/>
      <c r="RJV7" s="338"/>
      <c r="RJW7" s="338"/>
      <c r="RJX7" s="338"/>
      <c r="RJY7" s="338"/>
      <c r="RJZ7" s="338"/>
      <c r="RKA7" s="338"/>
      <c r="RKB7" s="338"/>
      <c r="RKC7" s="338"/>
      <c r="RKD7" s="338"/>
      <c r="RKE7" s="338"/>
      <c r="RKF7" s="338"/>
      <c r="RKG7" s="338"/>
      <c r="RKH7" s="338"/>
      <c r="RKI7" s="338"/>
      <c r="RKJ7" s="338"/>
      <c r="RKK7" s="338"/>
      <c r="RKL7" s="338"/>
      <c r="RKM7" s="338"/>
      <c r="RKN7" s="338"/>
      <c r="RKO7" s="338"/>
      <c r="RKP7" s="338"/>
      <c r="RKQ7" s="338"/>
      <c r="RKR7" s="338"/>
      <c r="RKS7" s="338"/>
      <c r="RKT7" s="338"/>
      <c r="RKU7" s="338"/>
      <c r="RKV7" s="338"/>
      <c r="RKW7" s="338"/>
      <c r="RKX7" s="338"/>
      <c r="RKY7" s="338"/>
      <c r="RKZ7" s="338"/>
      <c r="RLA7" s="338"/>
      <c r="RLB7" s="338"/>
      <c r="RLC7" s="338"/>
      <c r="RLD7" s="338"/>
      <c r="RLE7" s="338"/>
      <c r="RLF7" s="338"/>
      <c r="RLG7" s="338"/>
      <c r="RLH7" s="338"/>
      <c r="RLI7" s="338"/>
      <c r="RLJ7" s="338"/>
      <c r="RLK7" s="338"/>
      <c r="RLL7" s="338"/>
      <c r="RLM7" s="338"/>
      <c r="RLN7" s="338"/>
      <c r="RLO7" s="338"/>
      <c r="RLP7" s="338"/>
      <c r="RLQ7" s="338"/>
      <c r="RLR7" s="338"/>
      <c r="RLS7" s="338"/>
      <c r="RLT7" s="338"/>
      <c r="RLU7" s="338"/>
      <c r="RLV7" s="338"/>
      <c r="RLW7" s="338"/>
      <c r="RLX7" s="338"/>
      <c r="RLY7" s="338"/>
      <c r="RLZ7" s="338"/>
      <c r="RMA7" s="338"/>
      <c r="RMB7" s="338"/>
      <c r="RMC7" s="338"/>
      <c r="RMD7" s="338"/>
      <c r="RME7" s="338"/>
      <c r="RMF7" s="338"/>
      <c r="RMG7" s="338"/>
      <c r="RMH7" s="338"/>
      <c r="RMI7" s="338"/>
      <c r="RMJ7" s="338"/>
      <c r="RMK7" s="338"/>
      <c r="RML7" s="338"/>
      <c r="RMM7" s="338"/>
      <c r="RMN7" s="338"/>
      <c r="RMO7" s="338"/>
      <c r="RMP7" s="338"/>
      <c r="RMQ7" s="338"/>
      <c r="RMR7" s="338"/>
      <c r="RMS7" s="338"/>
      <c r="RMT7" s="338"/>
      <c r="RMU7" s="338"/>
      <c r="RMV7" s="338"/>
      <c r="RMW7" s="338"/>
      <c r="RMX7" s="338"/>
      <c r="RMY7" s="338"/>
      <c r="RMZ7" s="338"/>
      <c r="RNA7" s="338"/>
      <c r="RNB7" s="338"/>
      <c r="RNC7" s="338"/>
      <c r="RND7" s="338"/>
      <c r="RNE7" s="338"/>
      <c r="RNF7" s="338"/>
      <c r="RNG7" s="338"/>
      <c r="RNH7" s="338"/>
      <c r="RNI7" s="338"/>
      <c r="RNJ7" s="338"/>
      <c r="RNK7" s="338"/>
      <c r="RNL7" s="338"/>
      <c r="RNM7" s="338"/>
      <c r="RNN7" s="338"/>
      <c r="RNO7" s="338"/>
      <c r="RNP7" s="338"/>
      <c r="RNQ7" s="338"/>
      <c r="RNR7" s="338"/>
      <c r="RNS7" s="338"/>
      <c r="RNT7" s="338"/>
      <c r="RNU7" s="338"/>
      <c r="RNV7" s="338"/>
      <c r="RNW7" s="338"/>
      <c r="RNX7" s="338"/>
      <c r="RNY7" s="338"/>
      <c r="RNZ7" s="338"/>
      <c r="ROA7" s="338"/>
      <c r="ROB7" s="338"/>
      <c r="ROC7" s="338"/>
      <c r="ROD7" s="338"/>
      <c r="ROE7" s="338"/>
      <c r="ROF7" s="338"/>
      <c r="ROG7" s="338"/>
      <c r="ROH7" s="338"/>
      <c r="ROI7" s="338"/>
      <c r="ROJ7" s="338"/>
      <c r="ROK7" s="338"/>
      <c r="ROL7" s="338"/>
      <c r="ROM7" s="338"/>
      <c r="RON7" s="338"/>
      <c r="ROO7" s="338"/>
      <c r="ROP7" s="338"/>
      <c r="ROQ7" s="338"/>
      <c r="ROR7" s="338"/>
      <c r="ROS7" s="338"/>
      <c r="ROT7" s="338"/>
      <c r="ROU7" s="338"/>
      <c r="ROV7" s="338"/>
      <c r="ROW7" s="338"/>
      <c r="ROX7" s="338"/>
      <c r="ROY7" s="338"/>
      <c r="ROZ7" s="338"/>
      <c r="RPA7" s="338"/>
      <c r="RPB7" s="338"/>
      <c r="RPC7" s="338"/>
      <c r="RPD7" s="338"/>
      <c r="RPE7" s="338"/>
      <c r="RPF7" s="338"/>
      <c r="RPG7" s="338"/>
      <c r="RPH7" s="338"/>
      <c r="RPI7" s="338"/>
      <c r="RPJ7" s="338"/>
      <c r="RPK7" s="338"/>
      <c r="RPL7" s="338"/>
      <c r="RPM7" s="338"/>
      <c r="RPN7" s="338"/>
      <c r="RPO7" s="338"/>
      <c r="RPP7" s="338"/>
      <c r="RPQ7" s="338"/>
      <c r="RPR7" s="338"/>
      <c r="RPS7" s="338"/>
      <c r="RPT7" s="338"/>
      <c r="RPU7" s="338"/>
      <c r="RPV7" s="338"/>
      <c r="RPW7" s="338"/>
      <c r="RPX7" s="338"/>
      <c r="RPY7" s="338"/>
      <c r="RPZ7" s="338"/>
      <c r="RQA7" s="338"/>
      <c r="RQB7" s="338"/>
      <c r="RQC7" s="338"/>
      <c r="RQD7" s="338"/>
      <c r="RQE7" s="338"/>
      <c r="RQF7" s="338"/>
      <c r="RQG7" s="338"/>
      <c r="RQH7" s="338"/>
      <c r="RQI7" s="338"/>
      <c r="RQJ7" s="338"/>
      <c r="RQK7" s="338"/>
      <c r="RQL7" s="338"/>
      <c r="RQM7" s="338"/>
      <c r="RQN7" s="338"/>
      <c r="RQO7" s="338"/>
      <c r="RQP7" s="338"/>
      <c r="RQQ7" s="338"/>
      <c r="RQR7" s="338"/>
      <c r="RQS7" s="338"/>
      <c r="RQT7" s="338"/>
      <c r="RQU7" s="338"/>
      <c r="RQV7" s="338"/>
      <c r="RQW7" s="338"/>
      <c r="RQX7" s="338"/>
      <c r="RQY7" s="338"/>
      <c r="RQZ7" s="338"/>
      <c r="RRA7" s="338"/>
      <c r="RRB7" s="338"/>
      <c r="RRC7" s="338"/>
      <c r="RRD7" s="338"/>
      <c r="RRE7" s="338"/>
      <c r="RRF7" s="338"/>
      <c r="RRG7" s="338"/>
      <c r="RRH7" s="338"/>
      <c r="RRI7" s="338"/>
      <c r="RRJ7" s="338"/>
      <c r="RRK7" s="338"/>
      <c r="RRL7" s="338"/>
      <c r="RRM7" s="338"/>
      <c r="RRN7" s="338"/>
      <c r="RRO7" s="338"/>
      <c r="RRP7" s="338"/>
      <c r="RRQ7" s="338"/>
      <c r="RRR7" s="338"/>
      <c r="RRS7" s="338"/>
      <c r="RRT7" s="338"/>
      <c r="RRU7" s="338"/>
      <c r="RRV7" s="338"/>
      <c r="RRW7" s="338"/>
      <c r="RRX7" s="338"/>
      <c r="RRY7" s="338"/>
      <c r="RRZ7" s="338"/>
      <c r="RSA7" s="338"/>
      <c r="RSB7" s="338"/>
      <c r="RSC7" s="338"/>
      <c r="RSD7" s="338"/>
      <c r="RSE7" s="338"/>
      <c r="RSF7" s="338"/>
      <c r="RSG7" s="338"/>
      <c r="RSH7" s="338"/>
      <c r="RSI7" s="338"/>
      <c r="RSJ7" s="338"/>
      <c r="RSK7" s="338"/>
      <c r="RSL7" s="338"/>
      <c r="RSM7" s="338"/>
      <c r="RSN7" s="338"/>
      <c r="RSO7" s="338"/>
      <c r="RSP7" s="338"/>
      <c r="RSQ7" s="338"/>
      <c r="RSR7" s="338"/>
      <c r="RSS7" s="338"/>
      <c r="RST7" s="338"/>
      <c r="RSU7" s="338"/>
      <c r="RSV7" s="338"/>
      <c r="RSW7" s="338"/>
      <c r="RSX7" s="338"/>
      <c r="RSY7" s="338"/>
      <c r="RSZ7" s="338"/>
      <c r="RTA7" s="338"/>
      <c r="RTB7" s="338"/>
      <c r="RTC7" s="338"/>
      <c r="RTD7" s="338"/>
      <c r="RTE7" s="338"/>
      <c r="RTF7" s="338"/>
      <c r="RTG7" s="338"/>
      <c r="RTH7" s="338"/>
      <c r="RTI7" s="338"/>
      <c r="RTJ7" s="338"/>
      <c r="RTK7" s="338"/>
      <c r="RTL7" s="338"/>
      <c r="RTM7" s="338"/>
      <c r="RTN7" s="338"/>
      <c r="RTO7" s="338"/>
      <c r="RTP7" s="338"/>
      <c r="RTQ7" s="338"/>
      <c r="RTR7" s="338"/>
      <c r="RTS7" s="338"/>
      <c r="RTT7" s="338"/>
      <c r="RTU7" s="338"/>
      <c r="RTV7" s="338"/>
      <c r="RTW7" s="338"/>
      <c r="RTX7" s="338"/>
      <c r="RTY7" s="338"/>
      <c r="RTZ7" s="338"/>
      <c r="RUA7" s="338"/>
      <c r="RUB7" s="338"/>
      <c r="RUC7" s="338"/>
      <c r="RUD7" s="338"/>
      <c r="RUE7" s="338"/>
      <c r="RUF7" s="338"/>
      <c r="RUG7" s="338"/>
      <c r="RUH7" s="338"/>
      <c r="RUI7" s="338"/>
      <c r="RUJ7" s="338"/>
      <c r="RUK7" s="338"/>
      <c r="RUL7" s="338"/>
      <c r="RUM7" s="338"/>
      <c r="RUN7" s="338"/>
      <c r="RUO7" s="338"/>
      <c r="RUP7" s="338"/>
      <c r="RUQ7" s="338"/>
      <c r="RUR7" s="338"/>
      <c r="RUS7" s="338"/>
      <c r="RUT7" s="338"/>
      <c r="RUU7" s="338"/>
      <c r="RUV7" s="338"/>
      <c r="RUW7" s="338"/>
      <c r="RUX7" s="338"/>
      <c r="RUY7" s="338"/>
      <c r="RUZ7" s="338"/>
      <c r="RVA7" s="338"/>
      <c r="RVB7" s="338"/>
      <c r="RVC7" s="338"/>
      <c r="RVD7" s="338"/>
      <c r="RVE7" s="338"/>
      <c r="RVF7" s="338"/>
      <c r="RVG7" s="338"/>
      <c r="RVH7" s="338"/>
      <c r="RVI7" s="338"/>
      <c r="RVJ7" s="338"/>
      <c r="RVK7" s="338"/>
      <c r="RVL7" s="338"/>
      <c r="RVM7" s="338"/>
      <c r="RVN7" s="338"/>
      <c r="RVO7" s="338"/>
      <c r="RVP7" s="338"/>
      <c r="RVQ7" s="338"/>
      <c r="RVR7" s="338"/>
      <c r="RVS7" s="338"/>
      <c r="RVT7" s="338"/>
      <c r="RVU7" s="338"/>
      <c r="RVV7" s="338"/>
      <c r="RVW7" s="338"/>
      <c r="RVX7" s="338"/>
      <c r="RVY7" s="338"/>
      <c r="RVZ7" s="338"/>
      <c r="RWA7" s="338"/>
      <c r="RWB7" s="338"/>
      <c r="RWC7" s="338"/>
      <c r="RWD7" s="338"/>
      <c r="RWE7" s="338"/>
      <c r="RWF7" s="338"/>
      <c r="RWG7" s="338"/>
      <c r="RWH7" s="338"/>
      <c r="RWI7" s="338"/>
      <c r="RWJ7" s="338"/>
      <c r="RWK7" s="338"/>
      <c r="RWL7" s="338"/>
      <c r="RWM7" s="338"/>
      <c r="RWN7" s="338"/>
      <c r="RWO7" s="338"/>
      <c r="RWP7" s="338"/>
      <c r="RWQ7" s="338"/>
      <c r="RWR7" s="338"/>
      <c r="RWS7" s="338"/>
      <c r="RWT7" s="338"/>
      <c r="RWU7" s="338"/>
      <c r="RWV7" s="338"/>
      <c r="RWW7" s="338"/>
      <c r="RWX7" s="338"/>
      <c r="RWY7" s="338"/>
      <c r="RWZ7" s="338"/>
      <c r="RXA7" s="338"/>
      <c r="RXB7" s="338"/>
      <c r="RXC7" s="338"/>
      <c r="RXD7" s="338"/>
      <c r="RXE7" s="338"/>
      <c r="RXF7" s="338"/>
      <c r="RXG7" s="338"/>
      <c r="RXH7" s="338"/>
      <c r="RXI7" s="338"/>
      <c r="RXJ7" s="338"/>
      <c r="RXK7" s="338"/>
      <c r="RXL7" s="338"/>
      <c r="RXM7" s="338"/>
      <c r="RXN7" s="338"/>
      <c r="RXO7" s="338"/>
      <c r="RXP7" s="338"/>
      <c r="RXQ7" s="338"/>
      <c r="RXR7" s="338"/>
      <c r="RXS7" s="338"/>
      <c r="RXT7" s="338"/>
      <c r="RXU7" s="338"/>
      <c r="RXV7" s="338"/>
      <c r="RXW7" s="338"/>
      <c r="RXX7" s="338"/>
      <c r="RXY7" s="338"/>
      <c r="RXZ7" s="338"/>
      <c r="RYA7" s="338"/>
      <c r="RYB7" s="338"/>
      <c r="RYC7" s="338"/>
      <c r="RYD7" s="338"/>
      <c r="RYE7" s="338"/>
      <c r="RYF7" s="338"/>
      <c r="RYG7" s="338"/>
      <c r="RYH7" s="338"/>
      <c r="RYI7" s="338"/>
      <c r="RYJ7" s="338"/>
      <c r="RYK7" s="338"/>
      <c r="RYL7" s="338"/>
      <c r="RYM7" s="338"/>
      <c r="RYN7" s="338"/>
      <c r="RYO7" s="338"/>
      <c r="RYP7" s="338"/>
      <c r="RYQ7" s="338"/>
      <c r="RYR7" s="338"/>
      <c r="RYS7" s="338"/>
      <c r="RYT7" s="338"/>
      <c r="RYU7" s="338"/>
      <c r="RYV7" s="338"/>
      <c r="RYW7" s="338"/>
      <c r="RYX7" s="338"/>
      <c r="RYY7" s="338"/>
      <c r="RYZ7" s="338"/>
      <c r="RZA7" s="338"/>
      <c r="RZB7" s="338"/>
      <c r="RZC7" s="338"/>
      <c r="RZD7" s="338"/>
      <c r="RZE7" s="338"/>
      <c r="RZF7" s="338"/>
      <c r="RZG7" s="338"/>
      <c r="RZH7" s="338"/>
      <c r="RZI7" s="338"/>
      <c r="RZJ7" s="338"/>
      <c r="RZK7" s="338"/>
      <c r="RZL7" s="338"/>
      <c r="RZM7" s="338"/>
      <c r="RZN7" s="338"/>
      <c r="RZO7" s="338"/>
      <c r="RZP7" s="338"/>
      <c r="RZQ7" s="338"/>
      <c r="RZR7" s="338"/>
      <c r="RZS7" s="338"/>
      <c r="RZT7" s="338"/>
      <c r="RZU7" s="338"/>
      <c r="RZV7" s="338"/>
      <c r="RZW7" s="338"/>
      <c r="RZX7" s="338"/>
      <c r="RZY7" s="338"/>
      <c r="RZZ7" s="338"/>
      <c r="SAA7" s="338"/>
      <c r="SAB7" s="338"/>
      <c r="SAC7" s="338"/>
      <c r="SAD7" s="338"/>
      <c r="SAE7" s="338"/>
      <c r="SAF7" s="338"/>
      <c r="SAG7" s="338"/>
      <c r="SAH7" s="338"/>
      <c r="SAI7" s="338"/>
      <c r="SAJ7" s="338"/>
      <c r="SAK7" s="338"/>
      <c r="SAL7" s="338"/>
      <c r="SAM7" s="338"/>
      <c r="SAN7" s="338"/>
      <c r="SAO7" s="338"/>
      <c r="SAP7" s="338"/>
      <c r="SAQ7" s="338"/>
      <c r="SAR7" s="338"/>
      <c r="SAS7" s="338"/>
      <c r="SAT7" s="338"/>
      <c r="SAU7" s="338"/>
      <c r="SAV7" s="338"/>
      <c r="SAW7" s="338"/>
      <c r="SAX7" s="338"/>
      <c r="SAY7" s="338"/>
      <c r="SAZ7" s="338"/>
      <c r="SBA7" s="338"/>
      <c r="SBB7" s="338"/>
      <c r="SBC7" s="338"/>
      <c r="SBD7" s="338"/>
      <c r="SBE7" s="338"/>
      <c r="SBF7" s="338"/>
      <c r="SBG7" s="338"/>
      <c r="SBH7" s="338"/>
      <c r="SBI7" s="338"/>
      <c r="SBJ7" s="338"/>
      <c r="SBK7" s="338"/>
      <c r="SBL7" s="338"/>
      <c r="SBM7" s="338"/>
      <c r="SBN7" s="338"/>
      <c r="SBO7" s="338"/>
      <c r="SBP7" s="338"/>
      <c r="SBQ7" s="338"/>
      <c r="SBR7" s="338"/>
      <c r="SBS7" s="338"/>
      <c r="SBT7" s="338"/>
      <c r="SBU7" s="338"/>
      <c r="SBV7" s="338"/>
      <c r="SBW7" s="338"/>
      <c r="SBX7" s="338"/>
      <c r="SBY7" s="338"/>
      <c r="SBZ7" s="338"/>
      <c r="SCA7" s="338"/>
      <c r="SCB7" s="338"/>
      <c r="SCC7" s="338"/>
      <c r="SCD7" s="338"/>
      <c r="SCE7" s="338"/>
      <c r="SCF7" s="338"/>
      <c r="SCG7" s="338"/>
      <c r="SCH7" s="338"/>
      <c r="SCI7" s="338"/>
      <c r="SCJ7" s="338"/>
      <c r="SCK7" s="338"/>
      <c r="SCL7" s="338"/>
      <c r="SCM7" s="338"/>
      <c r="SCN7" s="338"/>
      <c r="SCO7" s="338"/>
      <c r="SCP7" s="338"/>
      <c r="SCQ7" s="338"/>
      <c r="SCR7" s="338"/>
      <c r="SCS7" s="338"/>
      <c r="SCT7" s="338"/>
      <c r="SCU7" s="338"/>
      <c r="SCV7" s="338"/>
      <c r="SCW7" s="338"/>
      <c r="SCX7" s="338"/>
      <c r="SCY7" s="338"/>
      <c r="SCZ7" s="338"/>
      <c r="SDA7" s="338"/>
      <c r="SDB7" s="338"/>
      <c r="SDC7" s="338"/>
      <c r="SDD7" s="338"/>
      <c r="SDE7" s="338"/>
      <c r="SDF7" s="338"/>
      <c r="SDG7" s="338"/>
      <c r="SDH7" s="338"/>
      <c r="SDI7" s="338"/>
      <c r="SDJ7" s="338"/>
      <c r="SDK7" s="338"/>
      <c r="SDL7" s="338"/>
      <c r="SDM7" s="338"/>
      <c r="SDN7" s="338"/>
      <c r="SDO7" s="338"/>
      <c r="SDP7" s="338"/>
      <c r="SDQ7" s="338"/>
      <c r="SDR7" s="338"/>
      <c r="SDS7" s="338"/>
      <c r="SDT7" s="338"/>
      <c r="SDU7" s="338"/>
      <c r="SDV7" s="338"/>
      <c r="SDW7" s="338"/>
      <c r="SDX7" s="338"/>
      <c r="SDY7" s="338"/>
      <c r="SDZ7" s="338"/>
      <c r="SEA7" s="338"/>
      <c r="SEB7" s="338"/>
      <c r="SEC7" s="338"/>
      <c r="SED7" s="338"/>
      <c r="SEE7" s="338"/>
      <c r="SEF7" s="338"/>
      <c r="SEG7" s="338"/>
      <c r="SEH7" s="338"/>
      <c r="SEI7" s="338"/>
      <c r="SEJ7" s="338"/>
      <c r="SEK7" s="338"/>
      <c r="SEL7" s="338"/>
      <c r="SEM7" s="338"/>
      <c r="SEN7" s="338"/>
      <c r="SEO7" s="338"/>
      <c r="SEP7" s="338"/>
      <c r="SEQ7" s="338"/>
      <c r="SER7" s="338"/>
      <c r="SES7" s="338"/>
      <c r="SET7" s="338"/>
      <c r="SEU7" s="338"/>
      <c r="SEV7" s="338"/>
      <c r="SEW7" s="338"/>
      <c r="SEX7" s="338"/>
      <c r="SEY7" s="338"/>
      <c r="SEZ7" s="338"/>
      <c r="SFA7" s="338"/>
      <c r="SFB7" s="338"/>
      <c r="SFC7" s="338"/>
      <c r="SFD7" s="338"/>
      <c r="SFE7" s="338"/>
      <c r="SFF7" s="338"/>
      <c r="SFG7" s="338"/>
      <c r="SFH7" s="338"/>
      <c r="SFI7" s="338"/>
      <c r="SFJ7" s="338"/>
      <c r="SFK7" s="338"/>
      <c r="SFL7" s="338"/>
      <c r="SFM7" s="338"/>
      <c r="SFN7" s="338"/>
      <c r="SFO7" s="338"/>
      <c r="SFP7" s="338"/>
      <c r="SFQ7" s="338"/>
      <c r="SFR7" s="338"/>
      <c r="SFS7" s="338"/>
      <c r="SFT7" s="338"/>
      <c r="SFU7" s="338"/>
      <c r="SFV7" s="338"/>
      <c r="SFW7" s="338"/>
      <c r="SFX7" s="338"/>
      <c r="SFY7" s="338"/>
      <c r="SFZ7" s="338"/>
      <c r="SGA7" s="338"/>
      <c r="SGB7" s="338"/>
      <c r="SGC7" s="338"/>
      <c r="SGD7" s="338"/>
      <c r="SGE7" s="338"/>
      <c r="SGF7" s="338"/>
      <c r="SGG7" s="338"/>
      <c r="SGH7" s="338"/>
      <c r="SGI7" s="338"/>
      <c r="SGJ7" s="338"/>
      <c r="SGK7" s="338"/>
      <c r="SGL7" s="338"/>
      <c r="SGM7" s="338"/>
      <c r="SGN7" s="338"/>
      <c r="SGO7" s="338"/>
      <c r="SGP7" s="338"/>
      <c r="SGQ7" s="338"/>
      <c r="SGR7" s="338"/>
      <c r="SGS7" s="338"/>
      <c r="SGT7" s="338"/>
      <c r="SGU7" s="338"/>
      <c r="SGV7" s="338"/>
      <c r="SGW7" s="338"/>
      <c r="SGX7" s="338"/>
      <c r="SGY7" s="338"/>
      <c r="SGZ7" s="338"/>
      <c r="SHA7" s="338"/>
      <c r="SHB7" s="338"/>
      <c r="SHC7" s="338"/>
      <c r="SHD7" s="338"/>
      <c r="SHE7" s="338"/>
      <c r="SHF7" s="338"/>
      <c r="SHG7" s="338"/>
      <c r="SHH7" s="338"/>
      <c r="SHI7" s="338"/>
      <c r="SHJ7" s="338"/>
      <c r="SHK7" s="338"/>
      <c r="SHL7" s="338"/>
      <c r="SHM7" s="338"/>
      <c r="SHN7" s="338"/>
      <c r="SHO7" s="338"/>
      <c r="SHP7" s="338"/>
      <c r="SHQ7" s="338"/>
      <c r="SHR7" s="338"/>
      <c r="SHS7" s="338"/>
      <c r="SHT7" s="338"/>
      <c r="SHU7" s="338"/>
      <c r="SHV7" s="338"/>
      <c r="SHW7" s="338"/>
      <c r="SHX7" s="338"/>
      <c r="SHY7" s="338"/>
      <c r="SHZ7" s="338"/>
      <c r="SIA7" s="338"/>
      <c r="SIB7" s="338"/>
      <c r="SIC7" s="338"/>
      <c r="SID7" s="338"/>
      <c r="SIE7" s="338"/>
      <c r="SIF7" s="338"/>
      <c r="SIG7" s="338"/>
      <c r="SIH7" s="338"/>
      <c r="SII7" s="338"/>
      <c r="SIJ7" s="338"/>
      <c r="SIK7" s="338"/>
      <c r="SIL7" s="338"/>
      <c r="SIM7" s="338"/>
      <c r="SIN7" s="338"/>
      <c r="SIO7" s="338"/>
      <c r="SIP7" s="338"/>
      <c r="SIQ7" s="338"/>
      <c r="SIR7" s="338"/>
      <c r="SIS7" s="338"/>
      <c r="SIT7" s="338"/>
      <c r="SIU7" s="338"/>
      <c r="SIV7" s="338"/>
      <c r="SIW7" s="338"/>
      <c r="SIX7" s="338"/>
      <c r="SIY7" s="338"/>
      <c r="SIZ7" s="338"/>
      <c r="SJA7" s="338"/>
      <c r="SJB7" s="338"/>
      <c r="SJC7" s="338"/>
      <c r="SJD7" s="338"/>
      <c r="SJE7" s="338"/>
      <c r="SJF7" s="338"/>
      <c r="SJG7" s="338"/>
      <c r="SJH7" s="338"/>
      <c r="SJI7" s="338"/>
      <c r="SJJ7" s="338"/>
      <c r="SJK7" s="338"/>
      <c r="SJL7" s="338"/>
      <c r="SJM7" s="338"/>
      <c r="SJN7" s="338"/>
      <c r="SJO7" s="338"/>
      <c r="SJP7" s="338"/>
      <c r="SJQ7" s="338"/>
      <c r="SJR7" s="338"/>
      <c r="SJS7" s="338"/>
      <c r="SJT7" s="338"/>
      <c r="SJU7" s="338"/>
      <c r="SJV7" s="338"/>
      <c r="SJW7" s="338"/>
      <c r="SJX7" s="338"/>
      <c r="SJY7" s="338"/>
      <c r="SJZ7" s="338"/>
      <c r="SKA7" s="338"/>
      <c r="SKB7" s="338"/>
      <c r="SKC7" s="338"/>
      <c r="SKD7" s="338"/>
      <c r="SKE7" s="338"/>
      <c r="SKF7" s="338"/>
      <c r="SKG7" s="338"/>
      <c r="SKH7" s="338"/>
      <c r="SKI7" s="338"/>
      <c r="SKJ7" s="338"/>
      <c r="SKK7" s="338"/>
      <c r="SKL7" s="338"/>
      <c r="SKM7" s="338"/>
      <c r="SKN7" s="338"/>
      <c r="SKO7" s="338"/>
      <c r="SKP7" s="338"/>
      <c r="SKQ7" s="338"/>
      <c r="SKR7" s="338"/>
      <c r="SKS7" s="338"/>
      <c r="SKT7" s="338"/>
      <c r="SKU7" s="338"/>
      <c r="SKV7" s="338"/>
      <c r="SKW7" s="338"/>
      <c r="SKX7" s="338"/>
      <c r="SKY7" s="338"/>
      <c r="SKZ7" s="338"/>
      <c r="SLA7" s="338"/>
      <c r="SLB7" s="338"/>
      <c r="SLC7" s="338"/>
      <c r="SLD7" s="338"/>
      <c r="SLE7" s="338"/>
      <c r="SLF7" s="338"/>
      <c r="SLG7" s="338"/>
      <c r="SLH7" s="338"/>
      <c r="SLI7" s="338"/>
      <c r="SLJ7" s="338"/>
      <c r="SLK7" s="338"/>
      <c r="SLL7" s="338"/>
      <c r="SLM7" s="338"/>
      <c r="SLN7" s="338"/>
      <c r="SLO7" s="338"/>
      <c r="SLP7" s="338"/>
      <c r="SLQ7" s="338"/>
      <c r="SLR7" s="338"/>
      <c r="SLS7" s="338"/>
      <c r="SLT7" s="338"/>
      <c r="SLU7" s="338"/>
      <c r="SLV7" s="338"/>
      <c r="SLW7" s="338"/>
      <c r="SLX7" s="338"/>
      <c r="SLY7" s="338"/>
      <c r="SLZ7" s="338"/>
      <c r="SMA7" s="338"/>
      <c r="SMB7" s="338"/>
      <c r="SMC7" s="338"/>
      <c r="SMD7" s="338"/>
      <c r="SME7" s="338"/>
      <c r="SMF7" s="338"/>
      <c r="SMG7" s="338"/>
      <c r="SMH7" s="338"/>
      <c r="SMI7" s="338"/>
      <c r="SMJ7" s="338"/>
      <c r="SMK7" s="338"/>
      <c r="SML7" s="338"/>
      <c r="SMM7" s="338"/>
      <c r="SMN7" s="338"/>
      <c r="SMO7" s="338"/>
      <c r="SMP7" s="338"/>
      <c r="SMQ7" s="338"/>
      <c r="SMR7" s="338"/>
      <c r="SMS7" s="338"/>
      <c r="SMT7" s="338"/>
      <c r="SMU7" s="338"/>
      <c r="SMV7" s="338"/>
      <c r="SMW7" s="338"/>
      <c r="SMX7" s="338"/>
      <c r="SMY7" s="338"/>
      <c r="SMZ7" s="338"/>
      <c r="SNA7" s="338"/>
      <c r="SNB7" s="338"/>
      <c r="SNC7" s="338"/>
      <c r="SND7" s="338"/>
      <c r="SNE7" s="338"/>
      <c r="SNF7" s="338"/>
      <c r="SNG7" s="338"/>
      <c r="SNH7" s="338"/>
      <c r="SNI7" s="338"/>
      <c r="SNJ7" s="338"/>
      <c r="SNK7" s="338"/>
      <c r="SNL7" s="338"/>
      <c r="SNM7" s="338"/>
      <c r="SNN7" s="338"/>
      <c r="SNO7" s="338"/>
      <c r="SNP7" s="338"/>
      <c r="SNQ7" s="338"/>
      <c r="SNR7" s="338"/>
      <c r="SNS7" s="338"/>
      <c r="SNT7" s="338"/>
      <c r="SNU7" s="338"/>
      <c r="SNV7" s="338"/>
      <c r="SNW7" s="338"/>
      <c r="SNX7" s="338"/>
      <c r="SNY7" s="338"/>
      <c r="SNZ7" s="338"/>
      <c r="SOA7" s="338"/>
      <c r="SOB7" s="338"/>
      <c r="SOC7" s="338"/>
      <c r="SOD7" s="338"/>
      <c r="SOE7" s="338"/>
      <c r="SOF7" s="338"/>
      <c r="SOG7" s="338"/>
      <c r="SOH7" s="338"/>
      <c r="SOI7" s="338"/>
      <c r="SOJ7" s="338"/>
      <c r="SOK7" s="338"/>
      <c r="SOL7" s="338"/>
      <c r="SOM7" s="338"/>
      <c r="SON7" s="338"/>
      <c r="SOO7" s="338"/>
      <c r="SOP7" s="338"/>
      <c r="SOQ7" s="338"/>
      <c r="SOR7" s="338"/>
      <c r="SOS7" s="338"/>
      <c r="SOT7" s="338"/>
      <c r="SOU7" s="338"/>
      <c r="SOV7" s="338"/>
      <c r="SOW7" s="338"/>
      <c r="SOX7" s="338"/>
      <c r="SOY7" s="338"/>
      <c r="SOZ7" s="338"/>
      <c r="SPA7" s="338"/>
      <c r="SPB7" s="338"/>
      <c r="SPC7" s="338"/>
      <c r="SPD7" s="338"/>
      <c r="SPE7" s="338"/>
      <c r="SPF7" s="338"/>
      <c r="SPG7" s="338"/>
      <c r="SPH7" s="338"/>
      <c r="SPI7" s="338"/>
      <c r="SPJ7" s="338"/>
      <c r="SPK7" s="338"/>
      <c r="SPL7" s="338"/>
      <c r="SPM7" s="338"/>
      <c r="SPN7" s="338"/>
      <c r="SPO7" s="338"/>
      <c r="SPP7" s="338"/>
      <c r="SPQ7" s="338"/>
      <c r="SPR7" s="338"/>
      <c r="SPS7" s="338"/>
      <c r="SPT7" s="338"/>
      <c r="SPU7" s="338"/>
      <c r="SPV7" s="338"/>
      <c r="SPW7" s="338"/>
      <c r="SPX7" s="338"/>
      <c r="SPY7" s="338"/>
      <c r="SPZ7" s="338"/>
      <c r="SQA7" s="338"/>
      <c r="SQB7" s="338"/>
      <c r="SQC7" s="338"/>
      <c r="SQD7" s="338"/>
      <c r="SQE7" s="338"/>
      <c r="SQF7" s="338"/>
      <c r="SQG7" s="338"/>
      <c r="SQH7" s="338"/>
      <c r="SQI7" s="338"/>
      <c r="SQJ7" s="338"/>
      <c r="SQK7" s="338"/>
      <c r="SQL7" s="338"/>
      <c r="SQM7" s="338"/>
      <c r="SQN7" s="338"/>
      <c r="SQO7" s="338"/>
      <c r="SQP7" s="338"/>
      <c r="SQQ7" s="338"/>
      <c r="SQR7" s="338"/>
      <c r="SQS7" s="338"/>
      <c r="SQT7" s="338"/>
      <c r="SQU7" s="338"/>
      <c r="SQV7" s="338"/>
      <c r="SQW7" s="338"/>
      <c r="SQX7" s="338"/>
      <c r="SQY7" s="338"/>
      <c r="SQZ7" s="338"/>
      <c r="SRA7" s="338"/>
      <c r="SRB7" s="338"/>
      <c r="SRC7" s="338"/>
      <c r="SRD7" s="338"/>
      <c r="SRE7" s="338"/>
      <c r="SRF7" s="338"/>
      <c r="SRG7" s="338"/>
      <c r="SRH7" s="338"/>
      <c r="SRI7" s="338"/>
      <c r="SRJ7" s="338"/>
      <c r="SRK7" s="338"/>
      <c r="SRL7" s="338"/>
      <c r="SRM7" s="338"/>
      <c r="SRN7" s="338"/>
      <c r="SRO7" s="338"/>
      <c r="SRP7" s="338"/>
      <c r="SRQ7" s="338"/>
      <c r="SRR7" s="338"/>
      <c r="SRS7" s="338"/>
      <c r="SRT7" s="338"/>
      <c r="SRU7" s="338"/>
      <c r="SRV7" s="338"/>
      <c r="SRW7" s="338"/>
      <c r="SRX7" s="338"/>
      <c r="SRY7" s="338"/>
      <c r="SRZ7" s="338"/>
      <c r="SSA7" s="338"/>
      <c r="SSB7" s="338"/>
      <c r="SSC7" s="338"/>
      <c r="SSD7" s="338"/>
      <c r="SSE7" s="338"/>
      <c r="SSF7" s="338"/>
      <c r="SSG7" s="338"/>
      <c r="SSH7" s="338"/>
      <c r="SSI7" s="338"/>
      <c r="SSJ7" s="338"/>
      <c r="SSK7" s="338"/>
      <c r="SSL7" s="338"/>
      <c r="SSM7" s="338"/>
      <c r="SSN7" s="338"/>
      <c r="SSO7" s="338"/>
      <c r="SSP7" s="338"/>
      <c r="SSQ7" s="338"/>
      <c r="SSR7" s="338"/>
      <c r="SSS7" s="338"/>
      <c r="SST7" s="338"/>
      <c r="SSU7" s="338"/>
      <c r="SSV7" s="338"/>
      <c r="SSW7" s="338"/>
      <c r="SSX7" s="338"/>
      <c r="SSY7" s="338"/>
      <c r="SSZ7" s="338"/>
      <c r="STA7" s="338"/>
      <c r="STB7" s="338"/>
      <c r="STC7" s="338"/>
      <c r="STD7" s="338"/>
      <c r="STE7" s="338"/>
      <c r="STF7" s="338"/>
      <c r="STG7" s="338"/>
      <c r="STH7" s="338"/>
      <c r="STI7" s="338"/>
      <c r="STJ7" s="338"/>
      <c r="STK7" s="338"/>
      <c r="STL7" s="338"/>
      <c r="STM7" s="338"/>
      <c r="STN7" s="338"/>
      <c r="STO7" s="338"/>
      <c r="STP7" s="338"/>
      <c r="STQ7" s="338"/>
      <c r="STR7" s="338"/>
      <c r="STS7" s="338"/>
      <c r="STT7" s="338"/>
      <c r="STU7" s="338"/>
      <c r="STV7" s="338"/>
      <c r="STW7" s="338"/>
      <c r="STX7" s="338"/>
      <c r="STY7" s="338"/>
      <c r="STZ7" s="338"/>
      <c r="SUA7" s="338"/>
      <c r="SUB7" s="338"/>
      <c r="SUC7" s="338"/>
      <c r="SUD7" s="338"/>
      <c r="SUE7" s="338"/>
      <c r="SUF7" s="338"/>
      <c r="SUG7" s="338"/>
      <c r="SUH7" s="338"/>
      <c r="SUI7" s="338"/>
      <c r="SUJ7" s="338"/>
      <c r="SUK7" s="338"/>
      <c r="SUL7" s="338"/>
      <c r="SUM7" s="338"/>
      <c r="SUN7" s="338"/>
      <c r="SUO7" s="338"/>
      <c r="SUP7" s="338"/>
      <c r="SUQ7" s="338"/>
      <c r="SUR7" s="338"/>
      <c r="SUS7" s="338"/>
      <c r="SUT7" s="338"/>
      <c r="SUU7" s="338"/>
      <c r="SUV7" s="338"/>
      <c r="SUW7" s="338"/>
      <c r="SUX7" s="338"/>
      <c r="SUY7" s="338"/>
      <c r="SUZ7" s="338"/>
      <c r="SVA7" s="338"/>
      <c r="SVB7" s="338"/>
      <c r="SVC7" s="338"/>
      <c r="SVD7" s="338"/>
      <c r="SVE7" s="338"/>
      <c r="SVF7" s="338"/>
      <c r="SVG7" s="338"/>
      <c r="SVH7" s="338"/>
      <c r="SVI7" s="338"/>
      <c r="SVJ7" s="338"/>
      <c r="SVK7" s="338"/>
      <c r="SVL7" s="338"/>
      <c r="SVM7" s="338"/>
      <c r="SVN7" s="338"/>
      <c r="SVO7" s="338"/>
      <c r="SVP7" s="338"/>
      <c r="SVQ7" s="338"/>
      <c r="SVR7" s="338"/>
      <c r="SVS7" s="338"/>
      <c r="SVT7" s="338"/>
      <c r="SVU7" s="338"/>
      <c r="SVV7" s="338"/>
      <c r="SVW7" s="338"/>
      <c r="SVX7" s="338"/>
      <c r="SVY7" s="338"/>
      <c r="SVZ7" s="338"/>
      <c r="SWA7" s="338"/>
      <c r="SWB7" s="338"/>
      <c r="SWC7" s="338"/>
      <c r="SWD7" s="338"/>
      <c r="SWE7" s="338"/>
      <c r="SWF7" s="338"/>
      <c r="SWG7" s="338"/>
      <c r="SWH7" s="338"/>
      <c r="SWI7" s="338"/>
      <c r="SWJ7" s="338"/>
      <c r="SWK7" s="338"/>
      <c r="SWL7" s="338"/>
      <c r="SWM7" s="338"/>
      <c r="SWN7" s="338"/>
      <c r="SWO7" s="338"/>
      <c r="SWP7" s="338"/>
      <c r="SWQ7" s="338"/>
      <c r="SWR7" s="338"/>
      <c r="SWS7" s="338"/>
      <c r="SWT7" s="338"/>
      <c r="SWU7" s="338"/>
      <c r="SWV7" s="338"/>
      <c r="SWW7" s="338"/>
      <c r="SWX7" s="338"/>
      <c r="SWY7" s="338"/>
      <c r="SWZ7" s="338"/>
      <c r="SXA7" s="338"/>
      <c r="SXB7" s="338"/>
      <c r="SXC7" s="338"/>
      <c r="SXD7" s="338"/>
      <c r="SXE7" s="338"/>
      <c r="SXF7" s="338"/>
      <c r="SXG7" s="338"/>
      <c r="SXH7" s="338"/>
      <c r="SXI7" s="338"/>
      <c r="SXJ7" s="338"/>
      <c r="SXK7" s="338"/>
      <c r="SXL7" s="338"/>
      <c r="SXM7" s="338"/>
      <c r="SXN7" s="338"/>
      <c r="SXO7" s="338"/>
      <c r="SXP7" s="338"/>
      <c r="SXQ7" s="338"/>
      <c r="SXR7" s="338"/>
      <c r="SXS7" s="338"/>
      <c r="SXT7" s="338"/>
      <c r="SXU7" s="338"/>
      <c r="SXV7" s="338"/>
      <c r="SXW7" s="338"/>
      <c r="SXX7" s="338"/>
      <c r="SXY7" s="338"/>
      <c r="SXZ7" s="338"/>
      <c r="SYA7" s="338"/>
      <c r="SYB7" s="338"/>
      <c r="SYC7" s="338"/>
      <c r="SYD7" s="338"/>
      <c r="SYE7" s="338"/>
      <c r="SYF7" s="338"/>
      <c r="SYG7" s="338"/>
      <c r="SYH7" s="338"/>
      <c r="SYI7" s="338"/>
      <c r="SYJ7" s="338"/>
      <c r="SYK7" s="338"/>
      <c r="SYL7" s="338"/>
      <c r="SYM7" s="338"/>
      <c r="SYN7" s="338"/>
      <c r="SYO7" s="338"/>
      <c r="SYP7" s="338"/>
      <c r="SYQ7" s="338"/>
      <c r="SYR7" s="338"/>
      <c r="SYS7" s="338"/>
      <c r="SYT7" s="338"/>
      <c r="SYU7" s="338"/>
      <c r="SYV7" s="338"/>
      <c r="SYW7" s="338"/>
      <c r="SYX7" s="338"/>
      <c r="SYY7" s="338"/>
      <c r="SYZ7" s="338"/>
      <c r="SZA7" s="338"/>
      <c r="SZB7" s="338"/>
      <c r="SZC7" s="338"/>
      <c r="SZD7" s="338"/>
      <c r="SZE7" s="338"/>
      <c r="SZF7" s="338"/>
      <c r="SZG7" s="338"/>
      <c r="SZH7" s="338"/>
      <c r="SZI7" s="338"/>
      <c r="SZJ7" s="338"/>
      <c r="SZK7" s="338"/>
      <c r="SZL7" s="338"/>
      <c r="SZM7" s="338"/>
      <c r="SZN7" s="338"/>
      <c r="SZO7" s="338"/>
      <c r="SZP7" s="338"/>
      <c r="SZQ7" s="338"/>
      <c r="SZR7" s="338"/>
      <c r="SZS7" s="338"/>
      <c r="SZT7" s="338"/>
      <c r="SZU7" s="338"/>
      <c r="SZV7" s="338"/>
      <c r="SZW7" s="338"/>
      <c r="SZX7" s="338"/>
      <c r="SZY7" s="338"/>
      <c r="SZZ7" s="338"/>
      <c r="TAA7" s="338"/>
      <c r="TAB7" s="338"/>
      <c r="TAC7" s="338"/>
      <c r="TAD7" s="338"/>
      <c r="TAE7" s="338"/>
      <c r="TAF7" s="338"/>
      <c r="TAG7" s="338"/>
      <c r="TAH7" s="338"/>
      <c r="TAI7" s="338"/>
      <c r="TAJ7" s="338"/>
      <c r="TAK7" s="338"/>
      <c r="TAL7" s="338"/>
      <c r="TAM7" s="338"/>
      <c r="TAN7" s="338"/>
      <c r="TAO7" s="338"/>
      <c r="TAP7" s="338"/>
      <c r="TAQ7" s="338"/>
      <c r="TAR7" s="338"/>
      <c r="TAS7" s="338"/>
      <c r="TAT7" s="338"/>
      <c r="TAU7" s="338"/>
      <c r="TAV7" s="338"/>
      <c r="TAW7" s="338"/>
      <c r="TAX7" s="338"/>
      <c r="TAY7" s="338"/>
      <c r="TAZ7" s="338"/>
      <c r="TBA7" s="338"/>
      <c r="TBB7" s="338"/>
      <c r="TBC7" s="338"/>
      <c r="TBD7" s="338"/>
      <c r="TBE7" s="338"/>
      <c r="TBF7" s="338"/>
      <c r="TBG7" s="338"/>
      <c r="TBH7" s="338"/>
      <c r="TBI7" s="338"/>
      <c r="TBJ7" s="338"/>
      <c r="TBK7" s="338"/>
      <c r="TBL7" s="338"/>
      <c r="TBM7" s="338"/>
      <c r="TBN7" s="338"/>
      <c r="TBO7" s="338"/>
      <c r="TBP7" s="338"/>
      <c r="TBQ7" s="338"/>
      <c r="TBR7" s="338"/>
      <c r="TBS7" s="338"/>
      <c r="TBT7" s="338"/>
      <c r="TBU7" s="338"/>
      <c r="TBV7" s="338"/>
      <c r="TBW7" s="338"/>
      <c r="TBX7" s="338"/>
      <c r="TBY7" s="338"/>
      <c r="TBZ7" s="338"/>
      <c r="TCA7" s="338"/>
      <c r="TCB7" s="338"/>
      <c r="TCC7" s="338"/>
      <c r="TCD7" s="338"/>
      <c r="TCE7" s="338"/>
      <c r="TCF7" s="338"/>
      <c r="TCG7" s="338"/>
      <c r="TCH7" s="338"/>
      <c r="TCI7" s="338"/>
      <c r="TCJ7" s="338"/>
      <c r="TCK7" s="338"/>
      <c r="TCL7" s="338"/>
      <c r="TCM7" s="338"/>
      <c r="TCN7" s="338"/>
      <c r="TCO7" s="338"/>
      <c r="TCP7" s="338"/>
      <c r="TCQ7" s="338"/>
      <c r="TCR7" s="338"/>
      <c r="TCS7" s="338"/>
      <c r="TCT7" s="338"/>
      <c r="TCU7" s="338"/>
      <c r="TCV7" s="338"/>
      <c r="TCW7" s="338"/>
      <c r="TCX7" s="338"/>
      <c r="TCY7" s="338"/>
      <c r="TCZ7" s="338"/>
      <c r="TDA7" s="338"/>
      <c r="TDB7" s="338"/>
      <c r="TDC7" s="338"/>
      <c r="TDD7" s="338"/>
      <c r="TDE7" s="338"/>
      <c r="TDF7" s="338"/>
      <c r="TDG7" s="338"/>
      <c r="TDH7" s="338"/>
      <c r="TDI7" s="338"/>
      <c r="TDJ7" s="338"/>
      <c r="TDK7" s="338"/>
      <c r="TDL7" s="338"/>
      <c r="TDM7" s="338"/>
      <c r="TDN7" s="338"/>
      <c r="TDO7" s="338"/>
      <c r="TDP7" s="338"/>
      <c r="TDQ7" s="338"/>
      <c r="TDR7" s="338"/>
      <c r="TDS7" s="338"/>
      <c r="TDT7" s="338"/>
      <c r="TDU7" s="338"/>
      <c r="TDV7" s="338"/>
      <c r="TDW7" s="338"/>
      <c r="TDX7" s="338"/>
      <c r="TDY7" s="338"/>
      <c r="TDZ7" s="338"/>
      <c r="TEA7" s="338"/>
      <c r="TEB7" s="338"/>
      <c r="TEC7" s="338"/>
      <c r="TED7" s="338"/>
      <c r="TEE7" s="338"/>
      <c r="TEF7" s="338"/>
      <c r="TEG7" s="338"/>
      <c r="TEH7" s="338"/>
      <c r="TEI7" s="338"/>
      <c r="TEJ7" s="338"/>
      <c r="TEK7" s="338"/>
      <c r="TEL7" s="338"/>
      <c r="TEM7" s="338"/>
      <c r="TEN7" s="338"/>
      <c r="TEO7" s="338"/>
      <c r="TEP7" s="338"/>
      <c r="TEQ7" s="338"/>
      <c r="TER7" s="338"/>
      <c r="TES7" s="338"/>
      <c r="TET7" s="338"/>
      <c r="TEU7" s="338"/>
      <c r="TEV7" s="338"/>
      <c r="TEW7" s="338"/>
      <c r="TEX7" s="338"/>
      <c r="TEY7" s="338"/>
      <c r="TEZ7" s="338"/>
      <c r="TFA7" s="338"/>
      <c r="TFB7" s="338"/>
      <c r="TFC7" s="338"/>
      <c r="TFD7" s="338"/>
      <c r="TFE7" s="338"/>
      <c r="TFF7" s="338"/>
      <c r="TFG7" s="338"/>
      <c r="TFH7" s="338"/>
      <c r="TFI7" s="338"/>
      <c r="TFJ7" s="338"/>
      <c r="TFK7" s="338"/>
      <c r="TFL7" s="338"/>
      <c r="TFM7" s="338"/>
      <c r="TFN7" s="338"/>
      <c r="TFO7" s="338"/>
      <c r="TFP7" s="338"/>
      <c r="TFQ7" s="338"/>
      <c r="TFR7" s="338"/>
      <c r="TFS7" s="338"/>
      <c r="TFT7" s="338"/>
      <c r="TFU7" s="338"/>
      <c r="TFV7" s="338"/>
      <c r="TFW7" s="338"/>
      <c r="TFX7" s="338"/>
      <c r="TFY7" s="338"/>
      <c r="TFZ7" s="338"/>
      <c r="TGA7" s="338"/>
      <c r="TGB7" s="338"/>
      <c r="TGC7" s="338"/>
      <c r="TGD7" s="338"/>
      <c r="TGE7" s="338"/>
      <c r="TGF7" s="338"/>
      <c r="TGG7" s="338"/>
      <c r="TGH7" s="338"/>
      <c r="TGI7" s="338"/>
      <c r="TGJ7" s="338"/>
      <c r="TGK7" s="338"/>
      <c r="TGL7" s="338"/>
      <c r="TGM7" s="338"/>
      <c r="TGN7" s="338"/>
      <c r="TGO7" s="338"/>
      <c r="TGP7" s="338"/>
      <c r="TGQ7" s="338"/>
      <c r="TGR7" s="338"/>
      <c r="TGS7" s="338"/>
      <c r="TGT7" s="338"/>
      <c r="TGU7" s="338"/>
      <c r="TGV7" s="338"/>
      <c r="TGW7" s="338"/>
      <c r="TGX7" s="338"/>
      <c r="TGY7" s="338"/>
      <c r="TGZ7" s="338"/>
      <c r="THA7" s="338"/>
      <c r="THB7" s="338"/>
      <c r="THC7" s="338"/>
      <c r="THD7" s="338"/>
      <c r="THE7" s="338"/>
      <c r="THF7" s="338"/>
      <c r="THG7" s="338"/>
      <c r="THH7" s="338"/>
      <c r="THI7" s="338"/>
      <c r="THJ7" s="338"/>
      <c r="THK7" s="338"/>
      <c r="THL7" s="338"/>
      <c r="THM7" s="338"/>
      <c r="THN7" s="338"/>
      <c r="THO7" s="338"/>
      <c r="THP7" s="338"/>
      <c r="THQ7" s="338"/>
      <c r="THR7" s="338"/>
      <c r="THS7" s="338"/>
      <c r="THT7" s="338"/>
      <c r="THU7" s="338"/>
      <c r="THV7" s="338"/>
      <c r="THW7" s="338"/>
      <c r="THX7" s="338"/>
      <c r="THY7" s="338"/>
      <c r="THZ7" s="338"/>
      <c r="TIA7" s="338"/>
      <c r="TIB7" s="338"/>
      <c r="TIC7" s="338"/>
      <c r="TID7" s="338"/>
      <c r="TIE7" s="338"/>
      <c r="TIF7" s="338"/>
      <c r="TIG7" s="338"/>
      <c r="TIH7" s="338"/>
      <c r="TII7" s="338"/>
      <c r="TIJ7" s="338"/>
      <c r="TIK7" s="338"/>
      <c r="TIL7" s="338"/>
      <c r="TIM7" s="338"/>
      <c r="TIN7" s="338"/>
      <c r="TIO7" s="338"/>
      <c r="TIP7" s="338"/>
      <c r="TIQ7" s="338"/>
      <c r="TIR7" s="338"/>
      <c r="TIS7" s="338"/>
      <c r="TIT7" s="338"/>
      <c r="TIU7" s="338"/>
      <c r="TIV7" s="338"/>
      <c r="TIW7" s="338"/>
      <c r="TIX7" s="338"/>
      <c r="TIY7" s="338"/>
      <c r="TIZ7" s="338"/>
      <c r="TJA7" s="338"/>
      <c r="TJB7" s="338"/>
      <c r="TJC7" s="338"/>
      <c r="TJD7" s="338"/>
      <c r="TJE7" s="338"/>
      <c r="TJF7" s="338"/>
      <c r="TJG7" s="338"/>
      <c r="TJH7" s="338"/>
      <c r="TJI7" s="338"/>
      <c r="TJJ7" s="338"/>
      <c r="TJK7" s="338"/>
      <c r="TJL7" s="338"/>
      <c r="TJM7" s="338"/>
      <c r="TJN7" s="338"/>
      <c r="TJO7" s="338"/>
      <c r="TJP7" s="338"/>
      <c r="TJQ7" s="338"/>
      <c r="TJR7" s="338"/>
      <c r="TJS7" s="338"/>
      <c r="TJT7" s="338"/>
      <c r="TJU7" s="338"/>
      <c r="TJV7" s="338"/>
      <c r="TJW7" s="338"/>
      <c r="TJX7" s="338"/>
      <c r="TJY7" s="338"/>
      <c r="TJZ7" s="338"/>
      <c r="TKA7" s="338"/>
      <c r="TKB7" s="338"/>
      <c r="TKC7" s="338"/>
      <c r="TKD7" s="338"/>
      <c r="TKE7" s="338"/>
      <c r="TKF7" s="338"/>
      <c r="TKG7" s="338"/>
      <c r="TKH7" s="338"/>
      <c r="TKI7" s="338"/>
      <c r="TKJ7" s="338"/>
      <c r="TKK7" s="338"/>
      <c r="TKL7" s="338"/>
      <c r="TKM7" s="338"/>
      <c r="TKN7" s="338"/>
      <c r="TKO7" s="338"/>
      <c r="TKP7" s="338"/>
      <c r="TKQ7" s="338"/>
      <c r="TKR7" s="338"/>
      <c r="TKS7" s="338"/>
      <c r="TKT7" s="338"/>
      <c r="TKU7" s="338"/>
      <c r="TKV7" s="338"/>
      <c r="TKW7" s="338"/>
      <c r="TKX7" s="338"/>
      <c r="TKY7" s="338"/>
      <c r="TKZ7" s="338"/>
      <c r="TLA7" s="338"/>
      <c r="TLB7" s="338"/>
      <c r="TLC7" s="338"/>
      <c r="TLD7" s="338"/>
      <c r="TLE7" s="338"/>
      <c r="TLF7" s="338"/>
      <c r="TLG7" s="338"/>
      <c r="TLH7" s="338"/>
      <c r="TLI7" s="338"/>
      <c r="TLJ7" s="338"/>
      <c r="TLK7" s="338"/>
      <c r="TLL7" s="338"/>
      <c r="TLM7" s="338"/>
      <c r="TLN7" s="338"/>
      <c r="TLO7" s="338"/>
      <c r="TLP7" s="338"/>
      <c r="TLQ7" s="338"/>
      <c r="TLR7" s="338"/>
      <c r="TLS7" s="338"/>
      <c r="TLT7" s="338"/>
      <c r="TLU7" s="338"/>
      <c r="TLV7" s="338"/>
      <c r="TLW7" s="338"/>
      <c r="TLX7" s="338"/>
      <c r="TLY7" s="338"/>
      <c r="TLZ7" s="338"/>
      <c r="TMA7" s="338"/>
      <c r="TMB7" s="338"/>
      <c r="TMC7" s="338"/>
      <c r="TMD7" s="338"/>
      <c r="TME7" s="338"/>
      <c r="TMF7" s="338"/>
      <c r="TMG7" s="338"/>
      <c r="TMH7" s="338"/>
      <c r="TMI7" s="338"/>
      <c r="TMJ7" s="338"/>
      <c r="TMK7" s="338"/>
      <c r="TML7" s="338"/>
      <c r="TMM7" s="338"/>
      <c r="TMN7" s="338"/>
      <c r="TMO7" s="338"/>
      <c r="TMP7" s="338"/>
      <c r="TMQ7" s="338"/>
      <c r="TMR7" s="338"/>
      <c r="TMS7" s="338"/>
      <c r="TMT7" s="338"/>
      <c r="TMU7" s="338"/>
      <c r="TMV7" s="338"/>
      <c r="TMW7" s="338"/>
      <c r="TMX7" s="338"/>
      <c r="TMY7" s="338"/>
      <c r="TMZ7" s="338"/>
      <c r="TNA7" s="338"/>
      <c r="TNB7" s="338"/>
      <c r="TNC7" s="338"/>
      <c r="TND7" s="338"/>
      <c r="TNE7" s="338"/>
      <c r="TNF7" s="338"/>
      <c r="TNG7" s="338"/>
      <c r="TNH7" s="338"/>
      <c r="TNI7" s="338"/>
      <c r="TNJ7" s="338"/>
      <c r="TNK7" s="338"/>
      <c r="TNL7" s="338"/>
      <c r="TNM7" s="338"/>
      <c r="TNN7" s="338"/>
      <c r="TNO7" s="338"/>
      <c r="TNP7" s="338"/>
      <c r="TNQ7" s="338"/>
      <c r="TNR7" s="338"/>
      <c r="TNS7" s="338"/>
      <c r="TNT7" s="338"/>
      <c r="TNU7" s="338"/>
      <c r="TNV7" s="338"/>
      <c r="TNW7" s="338"/>
      <c r="TNX7" s="338"/>
      <c r="TNY7" s="338"/>
      <c r="TNZ7" s="338"/>
      <c r="TOA7" s="338"/>
      <c r="TOB7" s="338"/>
      <c r="TOC7" s="338"/>
      <c r="TOD7" s="338"/>
      <c r="TOE7" s="338"/>
      <c r="TOF7" s="338"/>
      <c r="TOG7" s="338"/>
      <c r="TOH7" s="338"/>
      <c r="TOI7" s="338"/>
      <c r="TOJ7" s="338"/>
      <c r="TOK7" s="338"/>
      <c r="TOL7" s="338"/>
      <c r="TOM7" s="338"/>
      <c r="TON7" s="338"/>
      <c r="TOO7" s="338"/>
      <c r="TOP7" s="338"/>
      <c r="TOQ7" s="338"/>
      <c r="TOR7" s="338"/>
      <c r="TOS7" s="338"/>
      <c r="TOT7" s="338"/>
      <c r="TOU7" s="338"/>
      <c r="TOV7" s="338"/>
      <c r="TOW7" s="338"/>
      <c r="TOX7" s="338"/>
      <c r="TOY7" s="338"/>
      <c r="TOZ7" s="338"/>
      <c r="TPA7" s="338"/>
      <c r="TPB7" s="338"/>
      <c r="TPC7" s="338"/>
      <c r="TPD7" s="338"/>
      <c r="TPE7" s="338"/>
      <c r="TPF7" s="338"/>
      <c r="TPG7" s="338"/>
      <c r="TPH7" s="338"/>
      <c r="TPI7" s="338"/>
      <c r="TPJ7" s="338"/>
      <c r="TPK7" s="338"/>
      <c r="TPL7" s="338"/>
      <c r="TPM7" s="338"/>
      <c r="TPN7" s="338"/>
      <c r="TPO7" s="338"/>
      <c r="TPP7" s="338"/>
      <c r="TPQ7" s="338"/>
      <c r="TPR7" s="338"/>
      <c r="TPS7" s="338"/>
      <c r="TPT7" s="338"/>
      <c r="TPU7" s="338"/>
      <c r="TPV7" s="338"/>
      <c r="TPW7" s="338"/>
      <c r="TPX7" s="338"/>
      <c r="TPY7" s="338"/>
      <c r="TPZ7" s="338"/>
      <c r="TQA7" s="338"/>
      <c r="TQB7" s="338"/>
      <c r="TQC7" s="338"/>
      <c r="TQD7" s="338"/>
      <c r="TQE7" s="338"/>
      <c r="TQF7" s="338"/>
      <c r="TQG7" s="338"/>
      <c r="TQH7" s="338"/>
      <c r="TQI7" s="338"/>
      <c r="TQJ7" s="338"/>
      <c r="TQK7" s="338"/>
      <c r="TQL7" s="338"/>
      <c r="TQM7" s="338"/>
      <c r="TQN7" s="338"/>
      <c r="TQO7" s="338"/>
      <c r="TQP7" s="338"/>
      <c r="TQQ7" s="338"/>
      <c r="TQR7" s="338"/>
      <c r="TQS7" s="338"/>
      <c r="TQT7" s="338"/>
      <c r="TQU7" s="338"/>
      <c r="TQV7" s="338"/>
      <c r="TQW7" s="338"/>
      <c r="TQX7" s="338"/>
      <c r="TQY7" s="338"/>
      <c r="TQZ7" s="338"/>
      <c r="TRA7" s="338"/>
      <c r="TRB7" s="338"/>
      <c r="TRC7" s="338"/>
      <c r="TRD7" s="338"/>
      <c r="TRE7" s="338"/>
      <c r="TRF7" s="338"/>
      <c r="TRG7" s="338"/>
      <c r="TRH7" s="338"/>
      <c r="TRI7" s="338"/>
      <c r="TRJ7" s="338"/>
      <c r="TRK7" s="338"/>
      <c r="TRL7" s="338"/>
      <c r="TRM7" s="338"/>
      <c r="TRN7" s="338"/>
      <c r="TRO7" s="338"/>
      <c r="TRP7" s="338"/>
      <c r="TRQ7" s="338"/>
      <c r="TRR7" s="338"/>
      <c r="TRS7" s="338"/>
      <c r="TRT7" s="338"/>
      <c r="TRU7" s="338"/>
      <c r="TRV7" s="338"/>
      <c r="TRW7" s="338"/>
      <c r="TRX7" s="338"/>
      <c r="TRY7" s="338"/>
      <c r="TRZ7" s="338"/>
      <c r="TSA7" s="338"/>
      <c r="TSB7" s="338"/>
      <c r="TSC7" s="338"/>
      <c r="TSD7" s="338"/>
      <c r="TSE7" s="338"/>
      <c r="TSF7" s="338"/>
      <c r="TSG7" s="338"/>
      <c r="TSH7" s="338"/>
      <c r="TSI7" s="338"/>
      <c r="TSJ7" s="338"/>
      <c r="TSK7" s="338"/>
      <c r="TSL7" s="338"/>
      <c r="TSM7" s="338"/>
      <c r="TSN7" s="338"/>
      <c r="TSO7" s="338"/>
      <c r="TSP7" s="338"/>
      <c r="TSQ7" s="338"/>
      <c r="TSR7" s="338"/>
      <c r="TSS7" s="338"/>
      <c r="TST7" s="338"/>
      <c r="TSU7" s="338"/>
      <c r="TSV7" s="338"/>
      <c r="TSW7" s="338"/>
      <c r="TSX7" s="338"/>
      <c r="TSY7" s="338"/>
      <c r="TSZ7" s="338"/>
      <c r="TTA7" s="338"/>
      <c r="TTB7" s="338"/>
      <c r="TTC7" s="338"/>
      <c r="TTD7" s="338"/>
      <c r="TTE7" s="338"/>
      <c r="TTF7" s="338"/>
      <c r="TTG7" s="338"/>
      <c r="TTH7" s="338"/>
      <c r="TTI7" s="338"/>
      <c r="TTJ7" s="338"/>
      <c r="TTK7" s="338"/>
      <c r="TTL7" s="338"/>
      <c r="TTM7" s="338"/>
      <c r="TTN7" s="338"/>
      <c r="TTO7" s="338"/>
      <c r="TTP7" s="338"/>
      <c r="TTQ7" s="338"/>
      <c r="TTR7" s="338"/>
      <c r="TTS7" s="338"/>
      <c r="TTT7" s="338"/>
      <c r="TTU7" s="338"/>
      <c r="TTV7" s="338"/>
      <c r="TTW7" s="338"/>
      <c r="TTX7" s="338"/>
      <c r="TTY7" s="338"/>
      <c r="TTZ7" s="338"/>
      <c r="TUA7" s="338"/>
      <c r="TUB7" s="338"/>
      <c r="TUC7" s="338"/>
      <c r="TUD7" s="338"/>
      <c r="TUE7" s="338"/>
      <c r="TUF7" s="338"/>
      <c r="TUG7" s="338"/>
      <c r="TUH7" s="338"/>
      <c r="TUI7" s="338"/>
      <c r="TUJ7" s="338"/>
      <c r="TUK7" s="338"/>
      <c r="TUL7" s="338"/>
      <c r="TUM7" s="338"/>
      <c r="TUN7" s="338"/>
      <c r="TUO7" s="338"/>
      <c r="TUP7" s="338"/>
      <c r="TUQ7" s="338"/>
      <c r="TUR7" s="338"/>
      <c r="TUS7" s="338"/>
      <c r="TUT7" s="338"/>
      <c r="TUU7" s="338"/>
      <c r="TUV7" s="338"/>
      <c r="TUW7" s="338"/>
      <c r="TUX7" s="338"/>
      <c r="TUY7" s="338"/>
      <c r="TUZ7" s="338"/>
      <c r="TVA7" s="338"/>
      <c r="TVB7" s="338"/>
      <c r="TVC7" s="338"/>
      <c r="TVD7" s="338"/>
      <c r="TVE7" s="338"/>
      <c r="TVF7" s="338"/>
      <c r="TVG7" s="338"/>
      <c r="TVH7" s="338"/>
      <c r="TVI7" s="338"/>
      <c r="TVJ7" s="338"/>
      <c r="TVK7" s="338"/>
      <c r="TVL7" s="338"/>
      <c r="TVM7" s="338"/>
      <c r="TVN7" s="338"/>
      <c r="TVO7" s="338"/>
      <c r="TVP7" s="338"/>
      <c r="TVQ7" s="338"/>
      <c r="TVR7" s="338"/>
      <c r="TVS7" s="338"/>
      <c r="TVT7" s="338"/>
      <c r="TVU7" s="338"/>
      <c r="TVV7" s="338"/>
      <c r="TVW7" s="338"/>
      <c r="TVX7" s="338"/>
      <c r="TVY7" s="338"/>
      <c r="TVZ7" s="338"/>
      <c r="TWA7" s="338"/>
      <c r="TWB7" s="338"/>
      <c r="TWC7" s="338"/>
      <c r="TWD7" s="338"/>
      <c r="TWE7" s="338"/>
      <c r="TWF7" s="338"/>
      <c r="TWG7" s="338"/>
      <c r="TWH7" s="338"/>
      <c r="TWI7" s="338"/>
      <c r="TWJ7" s="338"/>
      <c r="TWK7" s="338"/>
      <c r="TWL7" s="338"/>
      <c r="TWM7" s="338"/>
      <c r="TWN7" s="338"/>
      <c r="TWO7" s="338"/>
      <c r="TWP7" s="338"/>
      <c r="TWQ7" s="338"/>
      <c r="TWR7" s="338"/>
      <c r="TWS7" s="338"/>
      <c r="TWT7" s="338"/>
      <c r="TWU7" s="338"/>
      <c r="TWV7" s="338"/>
      <c r="TWW7" s="338"/>
      <c r="TWX7" s="338"/>
      <c r="TWY7" s="338"/>
      <c r="TWZ7" s="338"/>
      <c r="TXA7" s="338"/>
      <c r="TXB7" s="338"/>
      <c r="TXC7" s="338"/>
      <c r="TXD7" s="338"/>
      <c r="TXE7" s="338"/>
      <c r="TXF7" s="338"/>
      <c r="TXG7" s="338"/>
      <c r="TXH7" s="338"/>
      <c r="TXI7" s="338"/>
      <c r="TXJ7" s="338"/>
      <c r="TXK7" s="338"/>
      <c r="TXL7" s="338"/>
      <c r="TXM7" s="338"/>
      <c r="TXN7" s="338"/>
      <c r="TXO7" s="338"/>
      <c r="TXP7" s="338"/>
      <c r="TXQ7" s="338"/>
      <c r="TXR7" s="338"/>
      <c r="TXS7" s="338"/>
      <c r="TXT7" s="338"/>
      <c r="TXU7" s="338"/>
      <c r="TXV7" s="338"/>
      <c r="TXW7" s="338"/>
      <c r="TXX7" s="338"/>
      <c r="TXY7" s="338"/>
      <c r="TXZ7" s="338"/>
      <c r="TYA7" s="338"/>
      <c r="TYB7" s="338"/>
      <c r="TYC7" s="338"/>
      <c r="TYD7" s="338"/>
      <c r="TYE7" s="338"/>
      <c r="TYF7" s="338"/>
      <c r="TYG7" s="338"/>
      <c r="TYH7" s="338"/>
      <c r="TYI7" s="338"/>
      <c r="TYJ7" s="338"/>
      <c r="TYK7" s="338"/>
      <c r="TYL7" s="338"/>
      <c r="TYM7" s="338"/>
      <c r="TYN7" s="338"/>
      <c r="TYO7" s="338"/>
      <c r="TYP7" s="338"/>
      <c r="TYQ7" s="338"/>
      <c r="TYR7" s="338"/>
      <c r="TYS7" s="338"/>
      <c r="TYT7" s="338"/>
      <c r="TYU7" s="338"/>
      <c r="TYV7" s="338"/>
      <c r="TYW7" s="338"/>
      <c r="TYX7" s="338"/>
      <c r="TYY7" s="338"/>
      <c r="TYZ7" s="338"/>
      <c r="TZA7" s="338"/>
      <c r="TZB7" s="338"/>
      <c r="TZC7" s="338"/>
      <c r="TZD7" s="338"/>
      <c r="TZE7" s="338"/>
      <c r="TZF7" s="338"/>
      <c r="TZG7" s="338"/>
      <c r="TZH7" s="338"/>
      <c r="TZI7" s="338"/>
      <c r="TZJ7" s="338"/>
      <c r="TZK7" s="338"/>
      <c r="TZL7" s="338"/>
      <c r="TZM7" s="338"/>
      <c r="TZN7" s="338"/>
      <c r="TZO7" s="338"/>
      <c r="TZP7" s="338"/>
      <c r="TZQ7" s="338"/>
      <c r="TZR7" s="338"/>
      <c r="TZS7" s="338"/>
      <c r="TZT7" s="338"/>
      <c r="TZU7" s="338"/>
      <c r="TZV7" s="338"/>
      <c r="TZW7" s="338"/>
      <c r="TZX7" s="338"/>
      <c r="TZY7" s="338"/>
      <c r="TZZ7" s="338"/>
      <c r="UAA7" s="338"/>
      <c r="UAB7" s="338"/>
      <c r="UAC7" s="338"/>
      <c r="UAD7" s="338"/>
      <c r="UAE7" s="338"/>
      <c r="UAF7" s="338"/>
      <c r="UAG7" s="338"/>
      <c r="UAH7" s="338"/>
      <c r="UAI7" s="338"/>
      <c r="UAJ7" s="338"/>
      <c r="UAK7" s="338"/>
      <c r="UAL7" s="338"/>
      <c r="UAM7" s="338"/>
      <c r="UAN7" s="338"/>
      <c r="UAO7" s="338"/>
      <c r="UAP7" s="338"/>
      <c r="UAQ7" s="338"/>
      <c r="UAR7" s="338"/>
      <c r="UAS7" s="338"/>
      <c r="UAT7" s="338"/>
      <c r="UAU7" s="338"/>
      <c r="UAV7" s="338"/>
      <c r="UAW7" s="338"/>
      <c r="UAX7" s="338"/>
      <c r="UAY7" s="338"/>
      <c r="UAZ7" s="338"/>
      <c r="UBA7" s="338"/>
      <c r="UBB7" s="338"/>
      <c r="UBC7" s="338"/>
      <c r="UBD7" s="338"/>
      <c r="UBE7" s="338"/>
      <c r="UBF7" s="338"/>
      <c r="UBG7" s="338"/>
      <c r="UBH7" s="338"/>
      <c r="UBI7" s="338"/>
      <c r="UBJ7" s="338"/>
      <c r="UBK7" s="338"/>
      <c r="UBL7" s="338"/>
      <c r="UBM7" s="338"/>
      <c r="UBN7" s="338"/>
      <c r="UBO7" s="338"/>
      <c r="UBP7" s="338"/>
      <c r="UBQ7" s="338"/>
      <c r="UBR7" s="338"/>
      <c r="UBS7" s="338"/>
      <c r="UBT7" s="338"/>
      <c r="UBU7" s="338"/>
      <c r="UBV7" s="338"/>
      <c r="UBW7" s="338"/>
      <c r="UBX7" s="338"/>
      <c r="UBY7" s="338"/>
      <c r="UBZ7" s="338"/>
      <c r="UCA7" s="338"/>
      <c r="UCB7" s="338"/>
      <c r="UCC7" s="338"/>
      <c r="UCD7" s="338"/>
      <c r="UCE7" s="338"/>
      <c r="UCF7" s="338"/>
      <c r="UCG7" s="338"/>
      <c r="UCH7" s="338"/>
      <c r="UCI7" s="338"/>
      <c r="UCJ7" s="338"/>
      <c r="UCK7" s="338"/>
      <c r="UCL7" s="338"/>
      <c r="UCM7" s="338"/>
      <c r="UCN7" s="338"/>
      <c r="UCO7" s="338"/>
      <c r="UCP7" s="338"/>
      <c r="UCQ7" s="338"/>
      <c r="UCR7" s="338"/>
      <c r="UCS7" s="338"/>
      <c r="UCT7" s="338"/>
      <c r="UCU7" s="338"/>
      <c r="UCV7" s="338"/>
      <c r="UCW7" s="338"/>
      <c r="UCX7" s="338"/>
      <c r="UCY7" s="338"/>
      <c r="UCZ7" s="338"/>
      <c r="UDA7" s="338"/>
      <c r="UDB7" s="338"/>
      <c r="UDC7" s="338"/>
      <c r="UDD7" s="338"/>
      <c r="UDE7" s="338"/>
      <c r="UDF7" s="338"/>
      <c r="UDG7" s="338"/>
      <c r="UDH7" s="338"/>
      <c r="UDI7" s="338"/>
      <c r="UDJ7" s="338"/>
      <c r="UDK7" s="338"/>
      <c r="UDL7" s="338"/>
      <c r="UDM7" s="338"/>
      <c r="UDN7" s="338"/>
      <c r="UDO7" s="338"/>
      <c r="UDP7" s="338"/>
      <c r="UDQ7" s="338"/>
      <c r="UDR7" s="338"/>
      <c r="UDS7" s="338"/>
      <c r="UDT7" s="338"/>
      <c r="UDU7" s="338"/>
      <c r="UDV7" s="338"/>
      <c r="UDW7" s="338"/>
      <c r="UDX7" s="338"/>
      <c r="UDY7" s="338"/>
      <c r="UDZ7" s="338"/>
      <c r="UEA7" s="338"/>
      <c r="UEB7" s="338"/>
      <c r="UEC7" s="338"/>
      <c r="UED7" s="338"/>
      <c r="UEE7" s="338"/>
      <c r="UEF7" s="338"/>
      <c r="UEG7" s="338"/>
      <c r="UEH7" s="338"/>
      <c r="UEI7" s="338"/>
      <c r="UEJ7" s="338"/>
      <c r="UEK7" s="338"/>
      <c r="UEL7" s="338"/>
      <c r="UEM7" s="338"/>
      <c r="UEN7" s="338"/>
      <c r="UEO7" s="338"/>
      <c r="UEP7" s="338"/>
      <c r="UEQ7" s="338"/>
      <c r="UER7" s="338"/>
      <c r="UES7" s="338"/>
      <c r="UET7" s="338"/>
      <c r="UEU7" s="338"/>
      <c r="UEV7" s="338"/>
      <c r="UEW7" s="338"/>
      <c r="UEX7" s="338"/>
      <c r="UEY7" s="338"/>
      <c r="UEZ7" s="338"/>
      <c r="UFA7" s="338"/>
      <c r="UFB7" s="338"/>
      <c r="UFC7" s="338"/>
      <c r="UFD7" s="338"/>
      <c r="UFE7" s="338"/>
      <c r="UFF7" s="338"/>
      <c r="UFG7" s="338"/>
      <c r="UFH7" s="338"/>
      <c r="UFI7" s="338"/>
      <c r="UFJ7" s="338"/>
      <c r="UFK7" s="338"/>
      <c r="UFL7" s="338"/>
      <c r="UFM7" s="338"/>
      <c r="UFN7" s="338"/>
      <c r="UFO7" s="338"/>
      <c r="UFP7" s="338"/>
      <c r="UFQ7" s="338"/>
      <c r="UFR7" s="338"/>
      <c r="UFS7" s="338"/>
      <c r="UFT7" s="338"/>
      <c r="UFU7" s="338"/>
      <c r="UFV7" s="338"/>
      <c r="UFW7" s="338"/>
      <c r="UFX7" s="338"/>
      <c r="UFY7" s="338"/>
      <c r="UFZ7" s="338"/>
      <c r="UGA7" s="338"/>
      <c r="UGB7" s="338"/>
      <c r="UGC7" s="338"/>
      <c r="UGD7" s="338"/>
      <c r="UGE7" s="338"/>
      <c r="UGF7" s="338"/>
      <c r="UGG7" s="338"/>
      <c r="UGH7" s="338"/>
      <c r="UGI7" s="338"/>
      <c r="UGJ7" s="338"/>
      <c r="UGK7" s="338"/>
      <c r="UGL7" s="338"/>
      <c r="UGM7" s="338"/>
      <c r="UGN7" s="338"/>
      <c r="UGO7" s="338"/>
      <c r="UGP7" s="338"/>
      <c r="UGQ7" s="338"/>
      <c r="UGR7" s="338"/>
      <c r="UGS7" s="338"/>
      <c r="UGT7" s="338"/>
      <c r="UGU7" s="338"/>
      <c r="UGV7" s="338"/>
      <c r="UGW7" s="338"/>
      <c r="UGX7" s="338"/>
      <c r="UGY7" s="338"/>
      <c r="UGZ7" s="338"/>
      <c r="UHA7" s="338"/>
      <c r="UHB7" s="338"/>
      <c r="UHC7" s="338"/>
      <c r="UHD7" s="338"/>
      <c r="UHE7" s="338"/>
      <c r="UHF7" s="338"/>
      <c r="UHG7" s="338"/>
      <c r="UHH7" s="338"/>
      <c r="UHI7" s="338"/>
      <c r="UHJ7" s="338"/>
      <c r="UHK7" s="338"/>
      <c r="UHL7" s="338"/>
      <c r="UHM7" s="338"/>
      <c r="UHN7" s="338"/>
      <c r="UHO7" s="338"/>
      <c r="UHP7" s="338"/>
      <c r="UHQ7" s="338"/>
      <c r="UHR7" s="338"/>
      <c r="UHS7" s="338"/>
      <c r="UHT7" s="338"/>
      <c r="UHU7" s="338"/>
      <c r="UHV7" s="338"/>
      <c r="UHW7" s="338"/>
      <c r="UHX7" s="338"/>
      <c r="UHY7" s="338"/>
      <c r="UHZ7" s="338"/>
      <c r="UIA7" s="338"/>
      <c r="UIB7" s="338"/>
      <c r="UIC7" s="338"/>
      <c r="UID7" s="338"/>
      <c r="UIE7" s="338"/>
      <c r="UIF7" s="338"/>
      <c r="UIG7" s="338"/>
      <c r="UIH7" s="338"/>
      <c r="UII7" s="338"/>
      <c r="UIJ7" s="338"/>
      <c r="UIK7" s="338"/>
      <c r="UIL7" s="338"/>
      <c r="UIM7" s="338"/>
      <c r="UIN7" s="338"/>
      <c r="UIO7" s="338"/>
      <c r="UIP7" s="338"/>
      <c r="UIQ7" s="338"/>
      <c r="UIR7" s="338"/>
      <c r="UIS7" s="338"/>
      <c r="UIT7" s="338"/>
      <c r="UIU7" s="338"/>
      <c r="UIV7" s="338"/>
      <c r="UIW7" s="338"/>
      <c r="UIX7" s="338"/>
      <c r="UIY7" s="338"/>
      <c r="UIZ7" s="338"/>
      <c r="UJA7" s="338"/>
      <c r="UJB7" s="338"/>
      <c r="UJC7" s="338"/>
      <c r="UJD7" s="338"/>
      <c r="UJE7" s="338"/>
      <c r="UJF7" s="338"/>
      <c r="UJG7" s="338"/>
      <c r="UJH7" s="338"/>
      <c r="UJI7" s="338"/>
      <c r="UJJ7" s="338"/>
      <c r="UJK7" s="338"/>
      <c r="UJL7" s="338"/>
      <c r="UJM7" s="338"/>
      <c r="UJN7" s="338"/>
      <c r="UJO7" s="338"/>
      <c r="UJP7" s="338"/>
      <c r="UJQ7" s="338"/>
      <c r="UJR7" s="338"/>
      <c r="UJS7" s="338"/>
      <c r="UJT7" s="338"/>
      <c r="UJU7" s="338"/>
      <c r="UJV7" s="338"/>
      <c r="UJW7" s="338"/>
      <c r="UJX7" s="338"/>
      <c r="UJY7" s="338"/>
      <c r="UJZ7" s="338"/>
      <c r="UKA7" s="338"/>
      <c r="UKB7" s="338"/>
      <c r="UKC7" s="338"/>
      <c r="UKD7" s="338"/>
      <c r="UKE7" s="338"/>
      <c r="UKF7" s="338"/>
      <c r="UKG7" s="338"/>
      <c r="UKH7" s="338"/>
      <c r="UKI7" s="338"/>
      <c r="UKJ7" s="338"/>
      <c r="UKK7" s="338"/>
      <c r="UKL7" s="338"/>
      <c r="UKM7" s="338"/>
      <c r="UKN7" s="338"/>
      <c r="UKO7" s="338"/>
      <c r="UKP7" s="338"/>
      <c r="UKQ7" s="338"/>
      <c r="UKR7" s="338"/>
      <c r="UKS7" s="338"/>
      <c r="UKT7" s="338"/>
      <c r="UKU7" s="338"/>
      <c r="UKV7" s="338"/>
      <c r="UKW7" s="338"/>
      <c r="UKX7" s="338"/>
      <c r="UKY7" s="338"/>
      <c r="UKZ7" s="338"/>
      <c r="ULA7" s="338"/>
      <c r="ULB7" s="338"/>
      <c r="ULC7" s="338"/>
      <c r="ULD7" s="338"/>
      <c r="ULE7" s="338"/>
      <c r="ULF7" s="338"/>
      <c r="ULG7" s="338"/>
      <c r="ULH7" s="338"/>
      <c r="ULI7" s="338"/>
      <c r="ULJ7" s="338"/>
      <c r="ULK7" s="338"/>
      <c r="ULL7" s="338"/>
      <c r="ULM7" s="338"/>
      <c r="ULN7" s="338"/>
      <c r="ULO7" s="338"/>
      <c r="ULP7" s="338"/>
      <c r="ULQ7" s="338"/>
      <c r="ULR7" s="338"/>
      <c r="ULS7" s="338"/>
      <c r="ULT7" s="338"/>
      <c r="ULU7" s="338"/>
      <c r="ULV7" s="338"/>
      <c r="ULW7" s="338"/>
      <c r="ULX7" s="338"/>
      <c r="ULY7" s="338"/>
      <c r="ULZ7" s="338"/>
      <c r="UMA7" s="338"/>
      <c r="UMB7" s="338"/>
      <c r="UMC7" s="338"/>
      <c r="UMD7" s="338"/>
      <c r="UME7" s="338"/>
      <c r="UMF7" s="338"/>
      <c r="UMG7" s="338"/>
      <c r="UMH7" s="338"/>
      <c r="UMI7" s="338"/>
      <c r="UMJ7" s="338"/>
      <c r="UMK7" s="338"/>
      <c r="UML7" s="338"/>
      <c r="UMM7" s="338"/>
      <c r="UMN7" s="338"/>
      <c r="UMO7" s="338"/>
      <c r="UMP7" s="338"/>
      <c r="UMQ7" s="338"/>
      <c r="UMR7" s="338"/>
      <c r="UMS7" s="338"/>
      <c r="UMT7" s="338"/>
      <c r="UMU7" s="338"/>
      <c r="UMV7" s="338"/>
      <c r="UMW7" s="338"/>
      <c r="UMX7" s="338"/>
      <c r="UMY7" s="338"/>
      <c r="UMZ7" s="338"/>
      <c r="UNA7" s="338"/>
      <c r="UNB7" s="338"/>
      <c r="UNC7" s="338"/>
      <c r="UND7" s="338"/>
      <c r="UNE7" s="338"/>
      <c r="UNF7" s="338"/>
      <c r="UNG7" s="338"/>
      <c r="UNH7" s="338"/>
      <c r="UNI7" s="338"/>
      <c r="UNJ7" s="338"/>
      <c r="UNK7" s="338"/>
      <c r="UNL7" s="338"/>
      <c r="UNM7" s="338"/>
      <c r="UNN7" s="338"/>
      <c r="UNO7" s="338"/>
      <c r="UNP7" s="338"/>
      <c r="UNQ7" s="338"/>
      <c r="UNR7" s="338"/>
      <c r="UNS7" s="338"/>
      <c r="UNT7" s="338"/>
      <c r="UNU7" s="338"/>
      <c r="UNV7" s="338"/>
      <c r="UNW7" s="338"/>
      <c r="UNX7" s="338"/>
      <c r="UNY7" s="338"/>
      <c r="UNZ7" s="338"/>
      <c r="UOA7" s="338"/>
      <c r="UOB7" s="338"/>
      <c r="UOC7" s="338"/>
      <c r="UOD7" s="338"/>
      <c r="UOE7" s="338"/>
      <c r="UOF7" s="338"/>
      <c r="UOG7" s="338"/>
      <c r="UOH7" s="338"/>
      <c r="UOI7" s="338"/>
      <c r="UOJ7" s="338"/>
      <c r="UOK7" s="338"/>
      <c r="UOL7" s="338"/>
      <c r="UOM7" s="338"/>
      <c r="UON7" s="338"/>
      <c r="UOO7" s="338"/>
      <c r="UOP7" s="338"/>
      <c r="UOQ7" s="338"/>
      <c r="UOR7" s="338"/>
      <c r="UOS7" s="338"/>
      <c r="UOT7" s="338"/>
      <c r="UOU7" s="338"/>
      <c r="UOV7" s="338"/>
      <c r="UOW7" s="338"/>
      <c r="UOX7" s="338"/>
      <c r="UOY7" s="338"/>
      <c r="UOZ7" s="338"/>
      <c r="UPA7" s="338"/>
      <c r="UPB7" s="338"/>
      <c r="UPC7" s="338"/>
      <c r="UPD7" s="338"/>
      <c r="UPE7" s="338"/>
      <c r="UPF7" s="338"/>
      <c r="UPG7" s="338"/>
      <c r="UPH7" s="338"/>
      <c r="UPI7" s="338"/>
      <c r="UPJ7" s="338"/>
      <c r="UPK7" s="338"/>
      <c r="UPL7" s="338"/>
      <c r="UPM7" s="338"/>
      <c r="UPN7" s="338"/>
      <c r="UPO7" s="338"/>
      <c r="UPP7" s="338"/>
      <c r="UPQ7" s="338"/>
      <c r="UPR7" s="338"/>
      <c r="UPS7" s="338"/>
      <c r="UPT7" s="338"/>
      <c r="UPU7" s="338"/>
      <c r="UPV7" s="338"/>
      <c r="UPW7" s="338"/>
      <c r="UPX7" s="338"/>
      <c r="UPY7" s="338"/>
      <c r="UPZ7" s="338"/>
      <c r="UQA7" s="338"/>
      <c r="UQB7" s="338"/>
      <c r="UQC7" s="338"/>
      <c r="UQD7" s="338"/>
      <c r="UQE7" s="338"/>
      <c r="UQF7" s="338"/>
      <c r="UQG7" s="338"/>
      <c r="UQH7" s="338"/>
      <c r="UQI7" s="338"/>
      <c r="UQJ7" s="338"/>
      <c r="UQK7" s="338"/>
      <c r="UQL7" s="338"/>
      <c r="UQM7" s="338"/>
      <c r="UQN7" s="338"/>
      <c r="UQO7" s="338"/>
      <c r="UQP7" s="338"/>
      <c r="UQQ7" s="338"/>
      <c r="UQR7" s="338"/>
      <c r="UQS7" s="338"/>
      <c r="UQT7" s="338"/>
      <c r="UQU7" s="338"/>
      <c r="UQV7" s="338"/>
      <c r="UQW7" s="338"/>
      <c r="UQX7" s="338"/>
      <c r="UQY7" s="338"/>
      <c r="UQZ7" s="338"/>
      <c r="URA7" s="338"/>
      <c r="URB7" s="338"/>
      <c r="URC7" s="338"/>
      <c r="URD7" s="338"/>
      <c r="URE7" s="338"/>
      <c r="URF7" s="338"/>
      <c r="URG7" s="338"/>
      <c r="URH7" s="338"/>
      <c r="URI7" s="338"/>
      <c r="URJ7" s="338"/>
      <c r="URK7" s="338"/>
      <c r="URL7" s="338"/>
      <c r="URM7" s="338"/>
      <c r="URN7" s="338"/>
      <c r="URO7" s="338"/>
      <c r="URP7" s="338"/>
      <c r="URQ7" s="338"/>
      <c r="URR7" s="338"/>
      <c r="URS7" s="338"/>
      <c r="URT7" s="338"/>
      <c r="URU7" s="338"/>
      <c r="URV7" s="338"/>
      <c r="URW7" s="338"/>
      <c r="URX7" s="338"/>
      <c r="URY7" s="338"/>
      <c r="URZ7" s="338"/>
      <c r="USA7" s="338"/>
      <c r="USB7" s="338"/>
      <c r="USC7" s="338"/>
      <c r="USD7" s="338"/>
      <c r="USE7" s="338"/>
      <c r="USF7" s="338"/>
      <c r="USG7" s="338"/>
      <c r="USH7" s="338"/>
      <c r="USI7" s="338"/>
      <c r="USJ7" s="338"/>
      <c r="USK7" s="338"/>
      <c r="USL7" s="338"/>
      <c r="USM7" s="338"/>
      <c r="USN7" s="338"/>
      <c r="USO7" s="338"/>
      <c r="USP7" s="338"/>
      <c r="USQ7" s="338"/>
      <c r="USR7" s="338"/>
      <c r="USS7" s="338"/>
      <c r="UST7" s="338"/>
      <c r="USU7" s="338"/>
      <c r="USV7" s="338"/>
      <c r="USW7" s="338"/>
      <c r="USX7" s="338"/>
      <c r="USY7" s="338"/>
      <c r="USZ7" s="338"/>
      <c r="UTA7" s="338"/>
      <c r="UTB7" s="338"/>
      <c r="UTC7" s="338"/>
      <c r="UTD7" s="338"/>
      <c r="UTE7" s="338"/>
      <c r="UTF7" s="338"/>
      <c r="UTG7" s="338"/>
      <c r="UTH7" s="338"/>
      <c r="UTI7" s="338"/>
      <c r="UTJ7" s="338"/>
      <c r="UTK7" s="338"/>
      <c r="UTL7" s="338"/>
      <c r="UTM7" s="338"/>
      <c r="UTN7" s="338"/>
      <c r="UTO7" s="338"/>
      <c r="UTP7" s="338"/>
      <c r="UTQ7" s="338"/>
      <c r="UTR7" s="338"/>
      <c r="UTS7" s="338"/>
      <c r="UTT7" s="338"/>
      <c r="UTU7" s="338"/>
      <c r="UTV7" s="338"/>
      <c r="UTW7" s="338"/>
      <c r="UTX7" s="338"/>
      <c r="UTY7" s="338"/>
      <c r="UTZ7" s="338"/>
      <c r="UUA7" s="338"/>
      <c r="UUB7" s="338"/>
      <c r="UUC7" s="338"/>
      <c r="UUD7" s="338"/>
      <c r="UUE7" s="338"/>
      <c r="UUF7" s="338"/>
      <c r="UUG7" s="338"/>
      <c r="UUH7" s="338"/>
      <c r="UUI7" s="338"/>
      <c r="UUJ7" s="338"/>
      <c r="UUK7" s="338"/>
      <c r="UUL7" s="338"/>
      <c r="UUM7" s="338"/>
      <c r="UUN7" s="338"/>
      <c r="UUO7" s="338"/>
      <c r="UUP7" s="338"/>
      <c r="UUQ7" s="338"/>
      <c r="UUR7" s="338"/>
      <c r="UUS7" s="338"/>
      <c r="UUT7" s="338"/>
      <c r="UUU7" s="338"/>
      <c r="UUV7" s="338"/>
      <c r="UUW7" s="338"/>
      <c r="UUX7" s="338"/>
      <c r="UUY7" s="338"/>
      <c r="UUZ7" s="338"/>
      <c r="UVA7" s="338"/>
      <c r="UVB7" s="338"/>
      <c r="UVC7" s="338"/>
      <c r="UVD7" s="338"/>
      <c r="UVE7" s="338"/>
      <c r="UVF7" s="338"/>
      <c r="UVG7" s="338"/>
      <c r="UVH7" s="338"/>
      <c r="UVI7" s="338"/>
      <c r="UVJ7" s="338"/>
      <c r="UVK7" s="338"/>
      <c r="UVL7" s="338"/>
      <c r="UVM7" s="338"/>
      <c r="UVN7" s="338"/>
      <c r="UVO7" s="338"/>
      <c r="UVP7" s="338"/>
      <c r="UVQ7" s="338"/>
      <c r="UVR7" s="338"/>
      <c r="UVS7" s="338"/>
      <c r="UVT7" s="338"/>
      <c r="UVU7" s="338"/>
      <c r="UVV7" s="338"/>
      <c r="UVW7" s="338"/>
      <c r="UVX7" s="338"/>
      <c r="UVY7" s="338"/>
      <c r="UVZ7" s="338"/>
      <c r="UWA7" s="338"/>
      <c r="UWB7" s="338"/>
      <c r="UWC7" s="338"/>
      <c r="UWD7" s="338"/>
      <c r="UWE7" s="338"/>
      <c r="UWF7" s="338"/>
      <c r="UWG7" s="338"/>
      <c r="UWH7" s="338"/>
      <c r="UWI7" s="338"/>
      <c r="UWJ7" s="338"/>
      <c r="UWK7" s="338"/>
      <c r="UWL7" s="338"/>
      <c r="UWM7" s="338"/>
      <c r="UWN7" s="338"/>
      <c r="UWO7" s="338"/>
      <c r="UWP7" s="338"/>
      <c r="UWQ7" s="338"/>
      <c r="UWR7" s="338"/>
      <c r="UWS7" s="338"/>
      <c r="UWT7" s="338"/>
      <c r="UWU7" s="338"/>
      <c r="UWV7" s="338"/>
      <c r="UWW7" s="338"/>
      <c r="UWX7" s="338"/>
      <c r="UWY7" s="338"/>
      <c r="UWZ7" s="338"/>
      <c r="UXA7" s="338"/>
      <c r="UXB7" s="338"/>
      <c r="UXC7" s="338"/>
      <c r="UXD7" s="338"/>
      <c r="UXE7" s="338"/>
      <c r="UXF7" s="338"/>
      <c r="UXG7" s="338"/>
      <c r="UXH7" s="338"/>
      <c r="UXI7" s="338"/>
      <c r="UXJ7" s="338"/>
      <c r="UXK7" s="338"/>
      <c r="UXL7" s="338"/>
      <c r="UXM7" s="338"/>
      <c r="UXN7" s="338"/>
      <c r="UXO7" s="338"/>
      <c r="UXP7" s="338"/>
      <c r="UXQ7" s="338"/>
      <c r="UXR7" s="338"/>
      <c r="UXS7" s="338"/>
      <c r="UXT7" s="338"/>
      <c r="UXU7" s="338"/>
      <c r="UXV7" s="338"/>
      <c r="UXW7" s="338"/>
      <c r="UXX7" s="338"/>
      <c r="UXY7" s="338"/>
      <c r="UXZ7" s="338"/>
      <c r="UYA7" s="338"/>
      <c r="UYB7" s="338"/>
      <c r="UYC7" s="338"/>
      <c r="UYD7" s="338"/>
      <c r="UYE7" s="338"/>
      <c r="UYF7" s="338"/>
      <c r="UYG7" s="338"/>
      <c r="UYH7" s="338"/>
      <c r="UYI7" s="338"/>
      <c r="UYJ7" s="338"/>
      <c r="UYK7" s="338"/>
      <c r="UYL7" s="338"/>
      <c r="UYM7" s="338"/>
      <c r="UYN7" s="338"/>
      <c r="UYO7" s="338"/>
      <c r="UYP7" s="338"/>
      <c r="UYQ7" s="338"/>
      <c r="UYR7" s="338"/>
      <c r="UYS7" s="338"/>
      <c r="UYT7" s="338"/>
      <c r="UYU7" s="338"/>
      <c r="UYV7" s="338"/>
      <c r="UYW7" s="338"/>
      <c r="UYX7" s="338"/>
      <c r="UYY7" s="338"/>
      <c r="UYZ7" s="338"/>
      <c r="UZA7" s="338"/>
      <c r="UZB7" s="338"/>
      <c r="UZC7" s="338"/>
      <c r="UZD7" s="338"/>
      <c r="UZE7" s="338"/>
      <c r="UZF7" s="338"/>
      <c r="UZG7" s="338"/>
      <c r="UZH7" s="338"/>
      <c r="UZI7" s="338"/>
      <c r="UZJ7" s="338"/>
      <c r="UZK7" s="338"/>
      <c r="UZL7" s="338"/>
      <c r="UZM7" s="338"/>
      <c r="UZN7" s="338"/>
      <c r="UZO7" s="338"/>
      <c r="UZP7" s="338"/>
      <c r="UZQ7" s="338"/>
      <c r="UZR7" s="338"/>
      <c r="UZS7" s="338"/>
      <c r="UZT7" s="338"/>
      <c r="UZU7" s="338"/>
      <c r="UZV7" s="338"/>
      <c r="UZW7" s="338"/>
      <c r="UZX7" s="338"/>
      <c r="UZY7" s="338"/>
      <c r="UZZ7" s="338"/>
      <c r="VAA7" s="338"/>
      <c r="VAB7" s="338"/>
      <c r="VAC7" s="338"/>
      <c r="VAD7" s="338"/>
      <c r="VAE7" s="338"/>
      <c r="VAF7" s="338"/>
      <c r="VAG7" s="338"/>
      <c r="VAH7" s="338"/>
      <c r="VAI7" s="338"/>
      <c r="VAJ7" s="338"/>
      <c r="VAK7" s="338"/>
      <c r="VAL7" s="338"/>
      <c r="VAM7" s="338"/>
      <c r="VAN7" s="338"/>
      <c r="VAO7" s="338"/>
      <c r="VAP7" s="338"/>
      <c r="VAQ7" s="338"/>
      <c r="VAR7" s="338"/>
      <c r="VAS7" s="338"/>
      <c r="VAT7" s="338"/>
      <c r="VAU7" s="338"/>
      <c r="VAV7" s="338"/>
      <c r="VAW7" s="338"/>
      <c r="VAX7" s="338"/>
      <c r="VAY7" s="338"/>
      <c r="VAZ7" s="338"/>
      <c r="VBA7" s="338"/>
      <c r="VBB7" s="338"/>
      <c r="VBC7" s="338"/>
      <c r="VBD7" s="338"/>
      <c r="VBE7" s="338"/>
      <c r="VBF7" s="338"/>
      <c r="VBG7" s="338"/>
      <c r="VBH7" s="338"/>
      <c r="VBI7" s="338"/>
      <c r="VBJ7" s="338"/>
      <c r="VBK7" s="338"/>
      <c r="VBL7" s="338"/>
      <c r="VBM7" s="338"/>
      <c r="VBN7" s="338"/>
      <c r="VBO7" s="338"/>
      <c r="VBP7" s="338"/>
      <c r="VBQ7" s="338"/>
      <c r="VBR7" s="338"/>
      <c r="VBS7" s="338"/>
      <c r="VBT7" s="338"/>
      <c r="VBU7" s="338"/>
      <c r="VBV7" s="338"/>
      <c r="VBW7" s="338"/>
      <c r="VBX7" s="338"/>
      <c r="VBY7" s="338"/>
      <c r="VBZ7" s="338"/>
      <c r="VCA7" s="338"/>
      <c r="VCB7" s="338"/>
      <c r="VCC7" s="338"/>
      <c r="VCD7" s="338"/>
      <c r="VCE7" s="338"/>
      <c r="VCF7" s="338"/>
      <c r="VCG7" s="338"/>
      <c r="VCH7" s="338"/>
      <c r="VCI7" s="338"/>
      <c r="VCJ7" s="338"/>
      <c r="VCK7" s="338"/>
      <c r="VCL7" s="338"/>
      <c r="VCM7" s="338"/>
      <c r="VCN7" s="338"/>
      <c r="VCO7" s="338"/>
      <c r="VCP7" s="338"/>
      <c r="VCQ7" s="338"/>
      <c r="VCR7" s="338"/>
      <c r="VCS7" s="338"/>
      <c r="VCT7" s="338"/>
      <c r="VCU7" s="338"/>
      <c r="VCV7" s="338"/>
      <c r="VCW7" s="338"/>
      <c r="VCX7" s="338"/>
      <c r="VCY7" s="338"/>
      <c r="VCZ7" s="338"/>
      <c r="VDA7" s="338"/>
      <c r="VDB7" s="338"/>
      <c r="VDC7" s="338"/>
      <c r="VDD7" s="338"/>
      <c r="VDE7" s="338"/>
      <c r="VDF7" s="338"/>
      <c r="VDG7" s="338"/>
      <c r="VDH7" s="338"/>
      <c r="VDI7" s="338"/>
      <c r="VDJ7" s="338"/>
      <c r="VDK7" s="338"/>
      <c r="VDL7" s="338"/>
      <c r="VDM7" s="338"/>
      <c r="VDN7" s="338"/>
      <c r="VDO7" s="338"/>
      <c r="VDP7" s="338"/>
      <c r="VDQ7" s="338"/>
      <c r="VDR7" s="338"/>
      <c r="VDS7" s="338"/>
      <c r="VDT7" s="338"/>
      <c r="VDU7" s="338"/>
      <c r="VDV7" s="338"/>
      <c r="VDW7" s="338"/>
      <c r="VDX7" s="338"/>
      <c r="VDY7" s="338"/>
      <c r="VDZ7" s="338"/>
      <c r="VEA7" s="338"/>
      <c r="VEB7" s="338"/>
      <c r="VEC7" s="338"/>
      <c r="VED7" s="338"/>
      <c r="VEE7" s="338"/>
      <c r="VEF7" s="338"/>
      <c r="VEG7" s="338"/>
      <c r="VEH7" s="338"/>
      <c r="VEI7" s="338"/>
      <c r="VEJ7" s="338"/>
      <c r="VEK7" s="338"/>
      <c r="VEL7" s="338"/>
      <c r="VEM7" s="338"/>
      <c r="VEN7" s="338"/>
      <c r="VEO7" s="338"/>
      <c r="VEP7" s="338"/>
      <c r="VEQ7" s="338"/>
      <c r="VER7" s="338"/>
      <c r="VES7" s="338"/>
      <c r="VET7" s="338"/>
      <c r="VEU7" s="338"/>
      <c r="VEV7" s="338"/>
      <c r="VEW7" s="338"/>
      <c r="VEX7" s="338"/>
      <c r="VEY7" s="338"/>
      <c r="VEZ7" s="338"/>
      <c r="VFA7" s="338"/>
      <c r="VFB7" s="338"/>
      <c r="VFC7" s="338"/>
      <c r="VFD7" s="338"/>
      <c r="VFE7" s="338"/>
      <c r="VFF7" s="338"/>
      <c r="VFG7" s="338"/>
      <c r="VFH7" s="338"/>
      <c r="VFI7" s="338"/>
      <c r="VFJ7" s="338"/>
      <c r="VFK7" s="338"/>
      <c r="VFL7" s="338"/>
      <c r="VFM7" s="338"/>
      <c r="VFN7" s="338"/>
      <c r="VFO7" s="338"/>
      <c r="VFP7" s="338"/>
      <c r="VFQ7" s="338"/>
      <c r="VFR7" s="338"/>
      <c r="VFS7" s="338"/>
      <c r="VFT7" s="338"/>
      <c r="VFU7" s="338"/>
      <c r="VFV7" s="338"/>
      <c r="VFW7" s="338"/>
      <c r="VFX7" s="338"/>
      <c r="VFY7" s="338"/>
      <c r="VFZ7" s="338"/>
      <c r="VGA7" s="338"/>
      <c r="VGB7" s="338"/>
      <c r="VGC7" s="338"/>
      <c r="VGD7" s="338"/>
      <c r="VGE7" s="338"/>
      <c r="VGF7" s="338"/>
      <c r="VGG7" s="338"/>
      <c r="VGH7" s="338"/>
      <c r="VGI7" s="338"/>
      <c r="VGJ7" s="338"/>
      <c r="VGK7" s="338"/>
      <c r="VGL7" s="338"/>
      <c r="VGM7" s="338"/>
      <c r="VGN7" s="338"/>
      <c r="VGO7" s="338"/>
      <c r="VGP7" s="338"/>
      <c r="VGQ7" s="338"/>
      <c r="VGR7" s="338"/>
      <c r="VGS7" s="338"/>
      <c r="VGT7" s="338"/>
      <c r="VGU7" s="338"/>
      <c r="VGV7" s="338"/>
      <c r="VGW7" s="338"/>
      <c r="VGX7" s="338"/>
      <c r="VGY7" s="338"/>
      <c r="VGZ7" s="338"/>
      <c r="VHA7" s="338"/>
      <c r="VHB7" s="338"/>
      <c r="VHC7" s="338"/>
      <c r="VHD7" s="338"/>
      <c r="VHE7" s="338"/>
      <c r="VHF7" s="338"/>
      <c r="VHG7" s="338"/>
      <c r="VHH7" s="338"/>
      <c r="VHI7" s="338"/>
      <c r="VHJ7" s="338"/>
      <c r="VHK7" s="338"/>
      <c r="VHL7" s="338"/>
      <c r="VHM7" s="338"/>
      <c r="VHN7" s="338"/>
      <c r="VHO7" s="338"/>
      <c r="VHP7" s="338"/>
      <c r="VHQ7" s="338"/>
      <c r="VHR7" s="338"/>
      <c r="VHS7" s="338"/>
      <c r="VHT7" s="338"/>
      <c r="VHU7" s="338"/>
      <c r="VHV7" s="338"/>
      <c r="VHW7" s="338"/>
      <c r="VHX7" s="338"/>
      <c r="VHY7" s="338"/>
      <c r="VHZ7" s="338"/>
      <c r="VIA7" s="338"/>
      <c r="VIB7" s="338"/>
      <c r="VIC7" s="338"/>
      <c r="VID7" s="338"/>
      <c r="VIE7" s="338"/>
      <c r="VIF7" s="338"/>
      <c r="VIG7" s="338"/>
      <c r="VIH7" s="338"/>
      <c r="VII7" s="338"/>
      <c r="VIJ7" s="338"/>
      <c r="VIK7" s="338"/>
      <c r="VIL7" s="338"/>
      <c r="VIM7" s="338"/>
      <c r="VIN7" s="338"/>
      <c r="VIO7" s="338"/>
      <c r="VIP7" s="338"/>
      <c r="VIQ7" s="338"/>
      <c r="VIR7" s="338"/>
      <c r="VIS7" s="338"/>
      <c r="VIT7" s="338"/>
      <c r="VIU7" s="338"/>
      <c r="VIV7" s="338"/>
      <c r="VIW7" s="338"/>
      <c r="VIX7" s="338"/>
      <c r="VIY7" s="338"/>
      <c r="VIZ7" s="338"/>
      <c r="VJA7" s="338"/>
      <c r="VJB7" s="338"/>
      <c r="VJC7" s="338"/>
      <c r="VJD7" s="338"/>
      <c r="VJE7" s="338"/>
      <c r="VJF7" s="338"/>
      <c r="VJG7" s="338"/>
      <c r="VJH7" s="338"/>
      <c r="VJI7" s="338"/>
      <c r="VJJ7" s="338"/>
      <c r="VJK7" s="338"/>
      <c r="VJL7" s="338"/>
      <c r="VJM7" s="338"/>
      <c r="VJN7" s="338"/>
      <c r="VJO7" s="338"/>
      <c r="VJP7" s="338"/>
      <c r="VJQ7" s="338"/>
      <c r="VJR7" s="338"/>
      <c r="VJS7" s="338"/>
      <c r="VJT7" s="338"/>
      <c r="VJU7" s="338"/>
      <c r="VJV7" s="338"/>
      <c r="VJW7" s="338"/>
      <c r="VJX7" s="338"/>
      <c r="VJY7" s="338"/>
      <c r="VJZ7" s="338"/>
      <c r="VKA7" s="338"/>
      <c r="VKB7" s="338"/>
      <c r="VKC7" s="338"/>
      <c r="VKD7" s="338"/>
      <c r="VKE7" s="338"/>
      <c r="VKF7" s="338"/>
      <c r="VKG7" s="338"/>
      <c r="VKH7" s="338"/>
      <c r="VKI7" s="338"/>
      <c r="VKJ7" s="338"/>
      <c r="VKK7" s="338"/>
      <c r="VKL7" s="338"/>
      <c r="VKM7" s="338"/>
      <c r="VKN7" s="338"/>
      <c r="VKO7" s="338"/>
      <c r="VKP7" s="338"/>
      <c r="VKQ7" s="338"/>
      <c r="VKR7" s="338"/>
      <c r="VKS7" s="338"/>
      <c r="VKT7" s="338"/>
      <c r="VKU7" s="338"/>
      <c r="VKV7" s="338"/>
      <c r="VKW7" s="338"/>
      <c r="VKX7" s="338"/>
      <c r="VKY7" s="338"/>
      <c r="VKZ7" s="338"/>
      <c r="VLA7" s="338"/>
      <c r="VLB7" s="338"/>
      <c r="VLC7" s="338"/>
      <c r="VLD7" s="338"/>
      <c r="VLE7" s="338"/>
      <c r="VLF7" s="338"/>
      <c r="VLG7" s="338"/>
      <c r="VLH7" s="338"/>
      <c r="VLI7" s="338"/>
      <c r="VLJ7" s="338"/>
      <c r="VLK7" s="338"/>
      <c r="VLL7" s="338"/>
      <c r="VLM7" s="338"/>
      <c r="VLN7" s="338"/>
      <c r="VLO7" s="338"/>
      <c r="VLP7" s="338"/>
      <c r="VLQ7" s="338"/>
      <c r="VLR7" s="338"/>
      <c r="VLS7" s="338"/>
      <c r="VLT7" s="338"/>
      <c r="VLU7" s="338"/>
      <c r="VLV7" s="338"/>
      <c r="VLW7" s="338"/>
      <c r="VLX7" s="338"/>
      <c r="VLY7" s="338"/>
      <c r="VLZ7" s="338"/>
      <c r="VMA7" s="338"/>
      <c r="VMB7" s="338"/>
      <c r="VMC7" s="338"/>
      <c r="VMD7" s="338"/>
      <c r="VME7" s="338"/>
      <c r="VMF7" s="338"/>
      <c r="VMG7" s="338"/>
      <c r="VMH7" s="338"/>
      <c r="VMI7" s="338"/>
      <c r="VMJ7" s="338"/>
      <c r="VMK7" s="338"/>
      <c r="VML7" s="338"/>
      <c r="VMM7" s="338"/>
      <c r="VMN7" s="338"/>
      <c r="VMO7" s="338"/>
      <c r="VMP7" s="338"/>
      <c r="VMQ7" s="338"/>
      <c r="VMR7" s="338"/>
      <c r="VMS7" s="338"/>
      <c r="VMT7" s="338"/>
      <c r="VMU7" s="338"/>
      <c r="VMV7" s="338"/>
      <c r="VMW7" s="338"/>
      <c r="VMX7" s="338"/>
      <c r="VMY7" s="338"/>
      <c r="VMZ7" s="338"/>
      <c r="VNA7" s="338"/>
      <c r="VNB7" s="338"/>
      <c r="VNC7" s="338"/>
      <c r="VND7" s="338"/>
      <c r="VNE7" s="338"/>
      <c r="VNF7" s="338"/>
      <c r="VNG7" s="338"/>
      <c r="VNH7" s="338"/>
      <c r="VNI7" s="338"/>
      <c r="VNJ7" s="338"/>
      <c r="VNK7" s="338"/>
      <c r="VNL7" s="338"/>
      <c r="VNM7" s="338"/>
      <c r="VNN7" s="338"/>
      <c r="VNO7" s="338"/>
      <c r="VNP7" s="338"/>
      <c r="VNQ7" s="338"/>
      <c r="VNR7" s="338"/>
      <c r="VNS7" s="338"/>
      <c r="VNT7" s="338"/>
      <c r="VNU7" s="338"/>
      <c r="VNV7" s="338"/>
      <c r="VNW7" s="338"/>
      <c r="VNX7" s="338"/>
      <c r="VNY7" s="338"/>
      <c r="VNZ7" s="338"/>
      <c r="VOA7" s="338"/>
      <c r="VOB7" s="338"/>
      <c r="VOC7" s="338"/>
      <c r="VOD7" s="338"/>
      <c r="VOE7" s="338"/>
      <c r="VOF7" s="338"/>
      <c r="VOG7" s="338"/>
      <c r="VOH7" s="338"/>
      <c r="VOI7" s="338"/>
      <c r="VOJ7" s="338"/>
      <c r="VOK7" s="338"/>
      <c r="VOL7" s="338"/>
      <c r="VOM7" s="338"/>
      <c r="VON7" s="338"/>
      <c r="VOO7" s="338"/>
      <c r="VOP7" s="338"/>
      <c r="VOQ7" s="338"/>
      <c r="VOR7" s="338"/>
      <c r="VOS7" s="338"/>
      <c r="VOT7" s="338"/>
      <c r="VOU7" s="338"/>
      <c r="VOV7" s="338"/>
      <c r="VOW7" s="338"/>
      <c r="VOX7" s="338"/>
      <c r="VOY7" s="338"/>
      <c r="VOZ7" s="338"/>
      <c r="VPA7" s="338"/>
      <c r="VPB7" s="338"/>
      <c r="VPC7" s="338"/>
      <c r="VPD7" s="338"/>
      <c r="VPE7" s="338"/>
      <c r="VPF7" s="338"/>
      <c r="VPG7" s="338"/>
      <c r="VPH7" s="338"/>
      <c r="VPI7" s="338"/>
      <c r="VPJ7" s="338"/>
      <c r="VPK7" s="338"/>
      <c r="VPL7" s="338"/>
      <c r="VPM7" s="338"/>
      <c r="VPN7" s="338"/>
      <c r="VPO7" s="338"/>
      <c r="VPP7" s="338"/>
      <c r="VPQ7" s="338"/>
      <c r="VPR7" s="338"/>
      <c r="VPS7" s="338"/>
      <c r="VPT7" s="338"/>
      <c r="VPU7" s="338"/>
      <c r="VPV7" s="338"/>
      <c r="VPW7" s="338"/>
      <c r="VPX7" s="338"/>
      <c r="VPY7" s="338"/>
      <c r="VPZ7" s="338"/>
      <c r="VQA7" s="338"/>
      <c r="VQB7" s="338"/>
      <c r="VQC7" s="338"/>
      <c r="VQD7" s="338"/>
      <c r="VQE7" s="338"/>
      <c r="VQF7" s="338"/>
      <c r="VQG7" s="338"/>
      <c r="VQH7" s="338"/>
      <c r="VQI7" s="338"/>
      <c r="VQJ7" s="338"/>
      <c r="VQK7" s="338"/>
      <c r="VQL7" s="338"/>
      <c r="VQM7" s="338"/>
      <c r="VQN7" s="338"/>
      <c r="VQO7" s="338"/>
      <c r="VQP7" s="338"/>
      <c r="VQQ7" s="338"/>
      <c r="VQR7" s="338"/>
      <c r="VQS7" s="338"/>
      <c r="VQT7" s="338"/>
      <c r="VQU7" s="338"/>
      <c r="VQV7" s="338"/>
      <c r="VQW7" s="338"/>
      <c r="VQX7" s="338"/>
      <c r="VQY7" s="338"/>
      <c r="VQZ7" s="338"/>
      <c r="VRA7" s="338"/>
      <c r="VRB7" s="338"/>
      <c r="VRC7" s="338"/>
      <c r="VRD7" s="338"/>
      <c r="VRE7" s="338"/>
      <c r="VRF7" s="338"/>
      <c r="VRG7" s="338"/>
      <c r="VRH7" s="338"/>
      <c r="VRI7" s="338"/>
      <c r="VRJ7" s="338"/>
      <c r="VRK7" s="338"/>
      <c r="VRL7" s="338"/>
      <c r="VRM7" s="338"/>
      <c r="VRN7" s="338"/>
      <c r="VRO7" s="338"/>
      <c r="VRP7" s="338"/>
      <c r="VRQ7" s="338"/>
      <c r="VRR7" s="338"/>
      <c r="VRS7" s="338"/>
      <c r="VRT7" s="338"/>
      <c r="VRU7" s="338"/>
      <c r="VRV7" s="338"/>
      <c r="VRW7" s="338"/>
      <c r="VRX7" s="338"/>
      <c r="VRY7" s="338"/>
      <c r="VRZ7" s="338"/>
      <c r="VSA7" s="338"/>
      <c r="VSB7" s="338"/>
      <c r="VSC7" s="338"/>
      <c r="VSD7" s="338"/>
      <c r="VSE7" s="338"/>
      <c r="VSF7" s="338"/>
      <c r="VSG7" s="338"/>
      <c r="VSH7" s="338"/>
      <c r="VSI7" s="338"/>
      <c r="VSJ7" s="338"/>
      <c r="VSK7" s="338"/>
      <c r="VSL7" s="338"/>
      <c r="VSM7" s="338"/>
      <c r="VSN7" s="338"/>
      <c r="VSO7" s="338"/>
      <c r="VSP7" s="338"/>
      <c r="VSQ7" s="338"/>
      <c r="VSR7" s="338"/>
      <c r="VSS7" s="338"/>
      <c r="VST7" s="338"/>
      <c r="VSU7" s="338"/>
      <c r="VSV7" s="338"/>
      <c r="VSW7" s="338"/>
      <c r="VSX7" s="338"/>
      <c r="VSY7" s="338"/>
      <c r="VSZ7" s="338"/>
      <c r="VTA7" s="338"/>
      <c r="VTB7" s="338"/>
      <c r="VTC7" s="338"/>
      <c r="VTD7" s="338"/>
      <c r="VTE7" s="338"/>
      <c r="VTF7" s="338"/>
      <c r="VTG7" s="338"/>
      <c r="VTH7" s="338"/>
      <c r="VTI7" s="338"/>
      <c r="VTJ7" s="338"/>
      <c r="VTK7" s="338"/>
      <c r="VTL7" s="338"/>
      <c r="VTM7" s="338"/>
      <c r="VTN7" s="338"/>
      <c r="VTO7" s="338"/>
      <c r="VTP7" s="338"/>
      <c r="VTQ7" s="338"/>
      <c r="VTR7" s="338"/>
      <c r="VTS7" s="338"/>
      <c r="VTT7" s="338"/>
      <c r="VTU7" s="338"/>
      <c r="VTV7" s="338"/>
      <c r="VTW7" s="338"/>
      <c r="VTX7" s="338"/>
      <c r="VTY7" s="338"/>
      <c r="VTZ7" s="338"/>
      <c r="VUA7" s="338"/>
      <c r="VUB7" s="338"/>
      <c r="VUC7" s="338"/>
      <c r="VUD7" s="338"/>
      <c r="VUE7" s="338"/>
      <c r="VUF7" s="338"/>
      <c r="VUG7" s="338"/>
      <c r="VUH7" s="338"/>
      <c r="VUI7" s="338"/>
      <c r="VUJ7" s="338"/>
      <c r="VUK7" s="338"/>
      <c r="VUL7" s="338"/>
      <c r="VUM7" s="338"/>
      <c r="VUN7" s="338"/>
      <c r="VUO7" s="338"/>
      <c r="VUP7" s="338"/>
      <c r="VUQ7" s="338"/>
      <c r="VUR7" s="338"/>
      <c r="VUS7" s="338"/>
      <c r="VUT7" s="338"/>
      <c r="VUU7" s="338"/>
      <c r="VUV7" s="338"/>
      <c r="VUW7" s="338"/>
      <c r="VUX7" s="338"/>
      <c r="VUY7" s="338"/>
      <c r="VUZ7" s="338"/>
      <c r="VVA7" s="338"/>
      <c r="VVB7" s="338"/>
      <c r="VVC7" s="338"/>
      <c r="VVD7" s="338"/>
      <c r="VVE7" s="338"/>
      <c r="VVF7" s="338"/>
      <c r="VVG7" s="338"/>
      <c r="VVH7" s="338"/>
      <c r="VVI7" s="338"/>
      <c r="VVJ7" s="338"/>
      <c r="VVK7" s="338"/>
      <c r="VVL7" s="338"/>
      <c r="VVM7" s="338"/>
      <c r="VVN7" s="338"/>
      <c r="VVO7" s="338"/>
      <c r="VVP7" s="338"/>
      <c r="VVQ7" s="338"/>
      <c r="VVR7" s="338"/>
      <c r="VVS7" s="338"/>
      <c r="VVT7" s="338"/>
      <c r="VVU7" s="338"/>
      <c r="VVV7" s="338"/>
      <c r="VVW7" s="338"/>
      <c r="VVX7" s="338"/>
      <c r="VVY7" s="338"/>
      <c r="VVZ7" s="338"/>
      <c r="VWA7" s="338"/>
      <c r="VWB7" s="338"/>
      <c r="VWC7" s="338"/>
      <c r="VWD7" s="338"/>
      <c r="VWE7" s="338"/>
      <c r="VWF7" s="338"/>
      <c r="VWG7" s="338"/>
      <c r="VWH7" s="338"/>
      <c r="VWI7" s="338"/>
      <c r="VWJ7" s="338"/>
      <c r="VWK7" s="338"/>
      <c r="VWL7" s="338"/>
      <c r="VWM7" s="338"/>
      <c r="VWN7" s="338"/>
      <c r="VWO7" s="338"/>
      <c r="VWP7" s="338"/>
      <c r="VWQ7" s="338"/>
      <c r="VWR7" s="338"/>
      <c r="VWS7" s="338"/>
      <c r="VWT7" s="338"/>
      <c r="VWU7" s="338"/>
      <c r="VWV7" s="338"/>
      <c r="VWW7" s="338"/>
      <c r="VWX7" s="338"/>
      <c r="VWY7" s="338"/>
      <c r="VWZ7" s="338"/>
      <c r="VXA7" s="338"/>
      <c r="VXB7" s="338"/>
      <c r="VXC7" s="338"/>
      <c r="VXD7" s="338"/>
      <c r="VXE7" s="338"/>
      <c r="VXF7" s="338"/>
      <c r="VXG7" s="338"/>
      <c r="VXH7" s="338"/>
      <c r="VXI7" s="338"/>
      <c r="VXJ7" s="338"/>
      <c r="VXK7" s="338"/>
      <c r="VXL7" s="338"/>
      <c r="VXM7" s="338"/>
      <c r="VXN7" s="338"/>
      <c r="VXO7" s="338"/>
      <c r="VXP7" s="338"/>
      <c r="VXQ7" s="338"/>
      <c r="VXR7" s="338"/>
      <c r="VXS7" s="338"/>
      <c r="VXT7" s="338"/>
      <c r="VXU7" s="338"/>
      <c r="VXV7" s="338"/>
      <c r="VXW7" s="338"/>
      <c r="VXX7" s="338"/>
      <c r="VXY7" s="338"/>
      <c r="VXZ7" s="338"/>
      <c r="VYA7" s="338"/>
      <c r="VYB7" s="338"/>
      <c r="VYC7" s="338"/>
      <c r="VYD7" s="338"/>
      <c r="VYE7" s="338"/>
      <c r="VYF7" s="338"/>
      <c r="VYG7" s="338"/>
      <c r="VYH7" s="338"/>
      <c r="VYI7" s="338"/>
      <c r="VYJ7" s="338"/>
      <c r="VYK7" s="338"/>
      <c r="VYL7" s="338"/>
      <c r="VYM7" s="338"/>
      <c r="VYN7" s="338"/>
      <c r="VYO7" s="338"/>
      <c r="VYP7" s="338"/>
      <c r="VYQ7" s="338"/>
      <c r="VYR7" s="338"/>
      <c r="VYS7" s="338"/>
      <c r="VYT7" s="338"/>
      <c r="VYU7" s="338"/>
      <c r="VYV7" s="338"/>
      <c r="VYW7" s="338"/>
      <c r="VYX7" s="338"/>
      <c r="VYY7" s="338"/>
      <c r="VYZ7" s="338"/>
      <c r="VZA7" s="338"/>
      <c r="VZB7" s="338"/>
      <c r="VZC7" s="338"/>
      <c r="VZD7" s="338"/>
      <c r="VZE7" s="338"/>
      <c r="VZF7" s="338"/>
      <c r="VZG7" s="338"/>
      <c r="VZH7" s="338"/>
      <c r="VZI7" s="338"/>
      <c r="VZJ7" s="338"/>
      <c r="VZK7" s="338"/>
      <c r="VZL7" s="338"/>
      <c r="VZM7" s="338"/>
      <c r="VZN7" s="338"/>
      <c r="VZO7" s="338"/>
      <c r="VZP7" s="338"/>
      <c r="VZQ7" s="338"/>
      <c r="VZR7" s="338"/>
      <c r="VZS7" s="338"/>
      <c r="VZT7" s="338"/>
      <c r="VZU7" s="338"/>
      <c r="VZV7" s="338"/>
      <c r="VZW7" s="338"/>
      <c r="VZX7" s="338"/>
      <c r="VZY7" s="338"/>
      <c r="VZZ7" s="338"/>
      <c r="WAA7" s="338"/>
      <c r="WAB7" s="338"/>
      <c r="WAC7" s="338"/>
      <c r="WAD7" s="338"/>
      <c r="WAE7" s="338"/>
      <c r="WAF7" s="338"/>
      <c r="WAG7" s="338"/>
      <c r="WAH7" s="338"/>
      <c r="WAI7" s="338"/>
      <c r="WAJ7" s="338"/>
      <c r="WAK7" s="338"/>
      <c r="WAL7" s="338"/>
      <c r="WAM7" s="338"/>
      <c r="WAN7" s="338"/>
      <c r="WAO7" s="338"/>
      <c r="WAP7" s="338"/>
      <c r="WAQ7" s="338"/>
      <c r="WAR7" s="338"/>
      <c r="WAS7" s="338"/>
      <c r="WAT7" s="338"/>
      <c r="WAU7" s="338"/>
      <c r="WAV7" s="338"/>
      <c r="WAW7" s="338"/>
      <c r="WAX7" s="338"/>
      <c r="WAY7" s="338"/>
      <c r="WAZ7" s="338"/>
      <c r="WBA7" s="338"/>
      <c r="WBB7" s="338"/>
      <c r="WBC7" s="338"/>
      <c r="WBD7" s="338"/>
      <c r="WBE7" s="338"/>
      <c r="WBF7" s="338"/>
      <c r="WBG7" s="338"/>
      <c r="WBH7" s="338"/>
      <c r="WBI7" s="338"/>
      <c r="WBJ7" s="338"/>
      <c r="WBK7" s="338"/>
      <c r="WBL7" s="338"/>
      <c r="WBM7" s="338"/>
      <c r="WBN7" s="338"/>
      <c r="WBO7" s="338"/>
      <c r="WBP7" s="338"/>
      <c r="WBQ7" s="338"/>
      <c r="WBR7" s="338"/>
      <c r="WBS7" s="338"/>
      <c r="WBT7" s="338"/>
      <c r="WBU7" s="338"/>
      <c r="WBV7" s="338"/>
      <c r="WBW7" s="338"/>
      <c r="WBX7" s="338"/>
      <c r="WBY7" s="338"/>
      <c r="WBZ7" s="338"/>
      <c r="WCA7" s="338"/>
      <c r="WCB7" s="338"/>
      <c r="WCC7" s="338"/>
      <c r="WCD7" s="338"/>
      <c r="WCE7" s="338"/>
      <c r="WCF7" s="338"/>
      <c r="WCG7" s="338"/>
      <c r="WCH7" s="338"/>
      <c r="WCI7" s="338"/>
      <c r="WCJ7" s="338"/>
      <c r="WCK7" s="338"/>
      <c r="WCL7" s="338"/>
      <c r="WCM7" s="338"/>
      <c r="WCN7" s="338"/>
      <c r="WCO7" s="338"/>
      <c r="WCP7" s="338"/>
      <c r="WCQ7" s="338"/>
      <c r="WCR7" s="338"/>
      <c r="WCS7" s="338"/>
      <c r="WCT7" s="338"/>
      <c r="WCU7" s="338"/>
      <c r="WCV7" s="338"/>
      <c r="WCW7" s="338"/>
      <c r="WCX7" s="338"/>
      <c r="WCY7" s="338"/>
      <c r="WCZ7" s="338"/>
      <c r="WDA7" s="338"/>
      <c r="WDB7" s="338"/>
      <c r="WDC7" s="338"/>
      <c r="WDD7" s="338"/>
      <c r="WDE7" s="338"/>
      <c r="WDF7" s="338"/>
      <c r="WDG7" s="338"/>
      <c r="WDH7" s="338"/>
      <c r="WDI7" s="338"/>
      <c r="WDJ7" s="338"/>
      <c r="WDK7" s="338"/>
      <c r="WDL7" s="338"/>
      <c r="WDM7" s="338"/>
      <c r="WDN7" s="338"/>
      <c r="WDO7" s="338"/>
      <c r="WDP7" s="338"/>
      <c r="WDQ7" s="338"/>
      <c r="WDR7" s="338"/>
      <c r="WDS7" s="338"/>
      <c r="WDT7" s="338"/>
      <c r="WDU7" s="338"/>
      <c r="WDV7" s="338"/>
      <c r="WDW7" s="338"/>
      <c r="WDX7" s="338"/>
      <c r="WDY7" s="338"/>
      <c r="WDZ7" s="338"/>
      <c r="WEA7" s="338"/>
      <c r="WEB7" s="338"/>
      <c r="WEC7" s="338"/>
      <c r="WED7" s="338"/>
      <c r="WEE7" s="338"/>
      <c r="WEF7" s="338"/>
      <c r="WEG7" s="338"/>
      <c r="WEH7" s="338"/>
      <c r="WEI7" s="338"/>
      <c r="WEJ7" s="338"/>
      <c r="WEK7" s="338"/>
      <c r="WEL7" s="338"/>
      <c r="WEM7" s="338"/>
      <c r="WEN7" s="338"/>
      <c r="WEO7" s="338"/>
      <c r="WEP7" s="338"/>
      <c r="WEQ7" s="338"/>
      <c r="WER7" s="338"/>
      <c r="WES7" s="338"/>
      <c r="WET7" s="338"/>
      <c r="WEU7" s="338"/>
      <c r="WEV7" s="338"/>
      <c r="WEW7" s="338"/>
      <c r="WEX7" s="338"/>
      <c r="WEY7" s="338"/>
      <c r="WEZ7" s="338"/>
      <c r="WFA7" s="338"/>
      <c r="WFB7" s="338"/>
      <c r="WFC7" s="338"/>
      <c r="WFD7" s="338"/>
      <c r="WFE7" s="338"/>
      <c r="WFF7" s="338"/>
      <c r="WFG7" s="338"/>
      <c r="WFH7" s="338"/>
      <c r="WFI7" s="338"/>
      <c r="WFJ7" s="338"/>
      <c r="WFK7" s="338"/>
      <c r="WFL7" s="338"/>
      <c r="WFM7" s="338"/>
      <c r="WFN7" s="338"/>
      <c r="WFO7" s="338"/>
      <c r="WFP7" s="338"/>
      <c r="WFQ7" s="338"/>
      <c r="WFR7" s="338"/>
      <c r="WFS7" s="338"/>
      <c r="WFT7" s="338"/>
      <c r="WFU7" s="338"/>
      <c r="WFV7" s="338"/>
      <c r="WFW7" s="338"/>
      <c r="WFX7" s="338"/>
      <c r="WFY7" s="338"/>
      <c r="WFZ7" s="338"/>
      <c r="WGA7" s="338"/>
      <c r="WGB7" s="338"/>
      <c r="WGC7" s="338"/>
      <c r="WGD7" s="338"/>
      <c r="WGE7" s="338"/>
      <c r="WGF7" s="338"/>
      <c r="WGG7" s="338"/>
      <c r="WGH7" s="338"/>
      <c r="WGI7" s="338"/>
      <c r="WGJ7" s="338"/>
      <c r="WGK7" s="338"/>
      <c r="WGL7" s="338"/>
      <c r="WGM7" s="338"/>
      <c r="WGN7" s="338"/>
      <c r="WGO7" s="338"/>
      <c r="WGP7" s="338"/>
      <c r="WGQ7" s="338"/>
      <c r="WGR7" s="338"/>
      <c r="WGS7" s="338"/>
      <c r="WGT7" s="338"/>
      <c r="WGU7" s="338"/>
      <c r="WGV7" s="338"/>
      <c r="WGW7" s="338"/>
      <c r="WGX7" s="338"/>
      <c r="WGY7" s="338"/>
      <c r="WGZ7" s="338"/>
      <c r="WHA7" s="338"/>
      <c r="WHB7" s="338"/>
      <c r="WHC7" s="338"/>
      <c r="WHD7" s="338"/>
      <c r="WHE7" s="338"/>
      <c r="WHF7" s="338"/>
      <c r="WHG7" s="338"/>
      <c r="WHH7" s="338"/>
      <c r="WHI7" s="338"/>
      <c r="WHJ7" s="338"/>
      <c r="WHK7" s="338"/>
      <c r="WHL7" s="338"/>
      <c r="WHM7" s="338"/>
      <c r="WHN7" s="338"/>
      <c r="WHO7" s="338"/>
      <c r="WHP7" s="338"/>
      <c r="WHQ7" s="338"/>
      <c r="WHR7" s="338"/>
      <c r="WHS7" s="338"/>
      <c r="WHT7" s="338"/>
      <c r="WHU7" s="338"/>
      <c r="WHV7" s="338"/>
      <c r="WHW7" s="338"/>
      <c r="WHX7" s="338"/>
      <c r="WHY7" s="338"/>
      <c r="WHZ7" s="338"/>
      <c r="WIA7" s="338"/>
      <c r="WIB7" s="338"/>
      <c r="WIC7" s="338"/>
      <c r="WID7" s="338"/>
      <c r="WIE7" s="338"/>
      <c r="WIF7" s="338"/>
      <c r="WIG7" s="338"/>
      <c r="WIH7" s="338"/>
      <c r="WII7" s="338"/>
      <c r="WIJ7" s="338"/>
      <c r="WIK7" s="338"/>
      <c r="WIL7" s="338"/>
      <c r="WIM7" s="338"/>
      <c r="WIN7" s="338"/>
      <c r="WIO7" s="338"/>
      <c r="WIP7" s="338"/>
      <c r="WIQ7" s="338"/>
      <c r="WIR7" s="338"/>
      <c r="WIS7" s="338"/>
      <c r="WIT7" s="338"/>
      <c r="WIU7" s="338"/>
      <c r="WIV7" s="338"/>
      <c r="WIW7" s="338"/>
      <c r="WIX7" s="338"/>
      <c r="WIY7" s="338"/>
      <c r="WIZ7" s="338"/>
      <c r="WJA7" s="338"/>
      <c r="WJB7" s="338"/>
      <c r="WJC7" s="338"/>
      <c r="WJD7" s="338"/>
      <c r="WJE7" s="338"/>
      <c r="WJF7" s="338"/>
      <c r="WJG7" s="338"/>
      <c r="WJH7" s="338"/>
      <c r="WJI7" s="338"/>
      <c r="WJJ7" s="338"/>
      <c r="WJK7" s="338"/>
      <c r="WJL7" s="338"/>
      <c r="WJM7" s="338"/>
      <c r="WJN7" s="338"/>
      <c r="WJO7" s="338"/>
      <c r="WJP7" s="338"/>
      <c r="WJQ7" s="338"/>
      <c r="WJR7" s="338"/>
      <c r="WJS7" s="338"/>
      <c r="WJT7" s="338"/>
      <c r="WJU7" s="338"/>
      <c r="WJV7" s="338"/>
      <c r="WJW7" s="338"/>
      <c r="WJX7" s="338"/>
      <c r="WJY7" s="338"/>
      <c r="WJZ7" s="338"/>
      <c r="WKA7" s="338"/>
      <c r="WKB7" s="338"/>
      <c r="WKC7" s="338"/>
      <c r="WKD7" s="338"/>
      <c r="WKE7" s="338"/>
      <c r="WKF7" s="338"/>
      <c r="WKG7" s="338"/>
      <c r="WKH7" s="338"/>
      <c r="WKI7" s="338"/>
      <c r="WKJ7" s="338"/>
      <c r="WKK7" s="338"/>
      <c r="WKL7" s="338"/>
      <c r="WKM7" s="338"/>
      <c r="WKN7" s="338"/>
      <c r="WKO7" s="338"/>
      <c r="WKP7" s="338"/>
      <c r="WKQ7" s="338"/>
      <c r="WKR7" s="338"/>
      <c r="WKS7" s="338"/>
      <c r="WKT7" s="338"/>
      <c r="WKU7" s="338"/>
      <c r="WKV7" s="338"/>
      <c r="WKW7" s="338"/>
      <c r="WKX7" s="338"/>
      <c r="WKY7" s="338"/>
      <c r="WKZ7" s="338"/>
      <c r="WLA7" s="338"/>
      <c r="WLB7" s="338"/>
      <c r="WLC7" s="338"/>
      <c r="WLD7" s="338"/>
      <c r="WLE7" s="338"/>
      <c r="WLF7" s="338"/>
      <c r="WLG7" s="338"/>
      <c r="WLH7" s="338"/>
      <c r="WLI7" s="338"/>
      <c r="WLJ7" s="338"/>
      <c r="WLK7" s="338"/>
      <c r="WLL7" s="338"/>
      <c r="WLM7" s="338"/>
      <c r="WLN7" s="338"/>
      <c r="WLO7" s="338"/>
      <c r="WLP7" s="338"/>
      <c r="WLQ7" s="338"/>
      <c r="WLR7" s="338"/>
      <c r="WLS7" s="338"/>
      <c r="WLT7" s="338"/>
      <c r="WLU7" s="338"/>
      <c r="WLV7" s="338"/>
      <c r="WLW7" s="338"/>
      <c r="WLX7" s="338"/>
      <c r="WLY7" s="338"/>
      <c r="WLZ7" s="338"/>
      <c r="WMA7" s="338"/>
      <c r="WMB7" s="338"/>
      <c r="WMC7" s="338"/>
      <c r="WMD7" s="338"/>
      <c r="WME7" s="338"/>
      <c r="WMF7" s="338"/>
      <c r="WMG7" s="338"/>
      <c r="WMH7" s="338"/>
      <c r="WMI7" s="338"/>
      <c r="WMJ7" s="338"/>
      <c r="WMK7" s="338"/>
      <c r="WML7" s="338"/>
      <c r="WMM7" s="338"/>
      <c r="WMN7" s="338"/>
      <c r="WMO7" s="338"/>
      <c r="WMP7" s="338"/>
      <c r="WMQ7" s="338"/>
      <c r="WMR7" s="338"/>
      <c r="WMS7" s="338"/>
      <c r="WMT7" s="338"/>
      <c r="WMU7" s="338"/>
      <c r="WMV7" s="338"/>
      <c r="WMW7" s="338"/>
      <c r="WMX7" s="338"/>
      <c r="WMY7" s="338"/>
      <c r="WMZ7" s="338"/>
      <c r="WNA7" s="338"/>
      <c r="WNB7" s="338"/>
      <c r="WNC7" s="338"/>
      <c r="WND7" s="338"/>
      <c r="WNE7" s="338"/>
      <c r="WNF7" s="338"/>
      <c r="WNG7" s="338"/>
      <c r="WNH7" s="338"/>
      <c r="WNI7" s="338"/>
      <c r="WNJ7" s="338"/>
      <c r="WNK7" s="338"/>
      <c r="WNL7" s="338"/>
      <c r="WNM7" s="338"/>
      <c r="WNN7" s="338"/>
      <c r="WNO7" s="338"/>
      <c r="WNP7" s="338"/>
      <c r="WNQ7" s="338"/>
      <c r="WNR7" s="338"/>
      <c r="WNS7" s="338"/>
      <c r="WNT7" s="338"/>
      <c r="WNU7" s="338"/>
      <c r="WNV7" s="338"/>
      <c r="WNW7" s="338"/>
      <c r="WNX7" s="338"/>
      <c r="WNY7" s="338"/>
      <c r="WNZ7" s="338"/>
      <c r="WOA7" s="338"/>
      <c r="WOB7" s="338"/>
      <c r="WOC7" s="338"/>
      <c r="WOD7" s="338"/>
      <c r="WOE7" s="338"/>
      <c r="WOF7" s="338"/>
      <c r="WOG7" s="338"/>
      <c r="WOH7" s="338"/>
      <c r="WOI7" s="338"/>
      <c r="WOJ7" s="338"/>
      <c r="WOK7" s="338"/>
      <c r="WOL7" s="338"/>
      <c r="WOM7" s="338"/>
      <c r="WON7" s="338"/>
      <c r="WOO7" s="338"/>
      <c r="WOP7" s="338"/>
      <c r="WOQ7" s="338"/>
      <c r="WOR7" s="338"/>
      <c r="WOS7" s="338"/>
      <c r="WOT7" s="338"/>
      <c r="WOU7" s="338"/>
      <c r="WOV7" s="338"/>
      <c r="WOW7" s="338"/>
      <c r="WOX7" s="338"/>
      <c r="WOY7" s="338"/>
      <c r="WOZ7" s="338"/>
      <c r="WPA7" s="338"/>
      <c r="WPB7" s="338"/>
      <c r="WPC7" s="338"/>
      <c r="WPD7" s="338"/>
      <c r="WPE7" s="338"/>
      <c r="WPF7" s="338"/>
      <c r="WPG7" s="338"/>
      <c r="WPH7" s="338"/>
      <c r="WPI7" s="338"/>
      <c r="WPJ7" s="338"/>
      <c r="WPK7" s="338"/>
      <c r="WPL7" s="338"/>
      <c r="WPM7" s="338"/>
      <c r="WPN7" s="338"/>
      <c r="WPO7" s="338"/>
      <c r="WPP7" s="338"/>
      <c r="WPQ7" s="338"/>
      <c r="WPR7" s="338"/>
      <c r="WPS7" s="338"/>
      <c r="WPT7" s="338"/>
      <c r="WPU7" s="338"/>
      <c r="WPV7" s="338"/>
      <c r="WPW7" s="338"/>
      <c r="WPX7" s="338"/>
      <c r="WPY7" s="338"/>
      <c r="WPZ7" s="338"/>
      <c r="WQA7" s="338"/>
      <c r="WQB7" s="338"/>
      <c r="WQC7" s="338"/>
      <c r="WQD7" s="338"/>
      <c r="WQE7" s="338"/>
      <c r="WQF7" s="338"/>
      <c r="WQG7" s="338"/>
      <c r="WQH7" s="338"/>
      <c r="WQI7" s="338"/>
      <c r="WQJ7" s="338"/>
      <c r="WQK7" s="338"/>
      <c r="WQL7" s="338"/>
      <c r="WQM7" s="338"/>
      <c r="WQN7" s="338"/>
      <c r="WQO7" s="338"/>
      <c r="WQP7" s="338"/>
      <c r="WQQ7" s="338"/>
      <c r="WQR7" s="338"/>
      <c r="WQS7" s="338"/>
      <c r="WQT7" s="338"/>
      <c r="WQU7" s="338"/>
      <c r="WQV7" s="338"/>
      <c r="WQW7" s="338"/>
      <c r="WQX7" s="338"/>
      <c r="WQY7" s="338"/>
      <c r="WQZ7" s="338"/>
      <c r="WRA7" s="338"/>
      <c r="WRB7" s="338"/>
      <c r="WRC7" s="338"/>
      <c r="WRD7" s="338"/>
      <c r="WRE7" s="338"/>
      <c r="WRF7" s="338"/>
      <c r="WRG7" s="338"/>
      <c r="WRH7" s="338"/>
      <c r="WRI7" s="338"/>
      <c r="WRJ7" s="338"/>
      <c r="WRK7" s="338"/>
      <c r="WRL7" s="338"/>
      <c r="WRM7" s="338"/>
      <c r="WRN7" s="338"/>
      <c r="WRO7" s="338"/>
      <c r="WRP7" s="338"/>
      <c r="WRQ7" s="338"/>
      <c r="WRR7" s="338"/>
      <c r="WRS7" s="338"/>
      <c r="WRT7" s="338"/>
      <c r="WRU7" s="338"/>
      <c r="WRV7" s="338"/>
      <c r="WRW7" s="338"/>
      <c r="WRX7" s="338"/>
      <c r="WRY7" s="338"/>
      <c r="WRZ7" s="338"/>
      <c r="WSA7" s="338"/>
      <c r="WSB7" s="338"/>
      <c r="WSC7" s="338"/>
      <c r="WSD7" s="338"/>
      <c r="WSE7" s="338"/>
      <c r="WSF7" s="338"/>
      <c r="WSG7" s="338"/>
      <c r="WSH7" s="338"/>
      <c r="WSI7" s="338"/>
      <c r="WSJ7" s="338"/>
      <c r="WSK7" s="338"/>
      <c r="WSL7" s="338"/>
      <c r="WSM7" s="338"/>
      <c r="WSN7" s="338"/>
      <c r="WSO7" s="338"/>
      <c r="WSP7" s="338"/>
      <c r="WSQ7" s="338"/>
      <c r="WSR7" s="338"/>
      <c r="WSS7" s="338"/>
      <c r="WST7" s="338"/>
      <c r="WSU7" s="338"/>
      <c r="WSV7" s="338"/>
      <c r="WSW7" s="338"/>
      <c r="WSX7" s="338"/>
      <c r="WSY7" s="338"/>
      <c r="WSZ7" s="338"/>
      <c r="WTA7" s="338"/>
      <c r="WTB7" s="338"/>
      <c r="WTC7" s="338"/>
      <c r="WTD7" s="338"/>
      <c r="WTE7" s="338"/>
      <c r="WTF7" s="338"/>
      <c r="WTG7" s="338"/>
      <c r="WTH7" s="338"/>
      <c r="WTI7" s="338"/>
      <c r="WTJ7" s="338"/>
      <c r="WTK7" s="338"/>
      <c r="WTL7" s="338"/>
      <c r="WTM7" s="338"/>
      <c r="WTN7" s="338"/>
      <c r="WTO7" s="338"/>
      <c r="WTP7" s="338"/>
      <c r="WTQ7" s="338"/>
      <c r="WTR7" s="338"/>
      <c r="WTS7" s="338"/>
      <c r="WTT7" s="338"/>
      <c r="WTU7" s="338"/>
      <c r="WTV7" s="338"/>
      <c r="WTW7" s="338"/>
      <c r="WTX7" s="338"/>
      <c r="WTY7" s="338"/>
      <c r="WTZ7" s="338"/>
      <c r="WUA7" s="338"/>
      <c r="WUB7" s="338"/>
      <c r="WUC7" s="338"/>
      <c r="WUD7" s="338"/>
      <c r="WUE7" s="338"/>
      <c r="WUF7" s="338"/>
      <c r="WUG7" s="338"/>
      <c r="WUH7" s="338"/>
      <c r="WUI7" s="338"/>
      <c r="WUJ7" s="338"/>
      <c r="WUK7" s="338"/>
      <c r="WUL7" s="338"/>
      <c r="WUM7" s="338"/>
      <c r="WUN7" s="338"/>
      <c r="WUO7" s="338"/>
      <c r="WUP7" s="338"/>
      <c r="WUQ7" s="338"/>
      <c r="WUR7" s="338"/>
      <c r="WUS7" s="338"/>
      <c r="WUT7" s="338"/>
      <c r="WUU7" s="338"/>
      <c r="WUV7" s="338"/>
      <c r="WUW7" s="338"/>
      <c r="WUX7" s="338"/>
      <c r="WUY7" s="338"/>
      <c r="WUZ7" s="338"/>
      <c r="WVA7" s="338"/>
      <c r="WVB7" s="338"/>
      <c r="WVC7" s="338"/>
      <c r="WVD7" s="338"/>
      <c r="WVE7" s="338"/>
      <c r="WVF7" s="338"/>
      <c r="WVG7" s="338"/>
      <c r="WVH7" s="338"/>
      <c r="WVI7" s="338"/>
      <c r="WVJ7" s="338"/>
      <c r="WVK7" s="338"/>
      <c r="WVL7" s="338"/>
      <c r="WVM7" s="338"/>
      <c r="WVN7" s="338"/>
      <c r="WVO7" s="338"/>
      <c r="WVP7" s="338"/>
      <c r="WVQ7" s="338"/>
      <c r="WVR7" s="338"/>
      <c r="WVS7" s="338"/>
      <c r="WVT7" s="338"/>
      <c r="WVU7" s="338"/>
      <c r="WVV7" s="338"/>
      <c r="WVW7" s="338"/>
      <c r="WVX7" s="338"/>
      <c r="WVY7" s="338"/>
      <c r="WVZ7" s="338"/>
      <c r="WWA7" s="338"/>
      <c r="WWB7" s="338"/>
      <c r="WWC7" s="338"/>
      <c r="WWD7" s="338"/>
      <c r="WWE7" s="338"/>
      <c r="WWF7" s="338"/>
      <c r="WWG7" s="338"/>
      <c r="WWH7" s="338"/>
      <c r="WWI7" s="338"/>
      <c r="WWJ7" s="338"/>
      <c r="WWK7" s="338"/>
      <c r="WWL7" s="338"/>
      <c r="WWM7" s="338"/>
      <c r="WWN7" s="338"/>
      <c r="WWO7" s="338"/>
      <c r="WWP7" s="338"/>
      <c r="WWQ7" s="338"/>
      <c r="WWR7" s="338"/>
      <c r="WWS7" s="338"/>
      <c r="WWT7" s="338"/>
      <c r="WWU7" s="338"/>
      <c r="WWV7" s="338"/>
      <c r="WWW7" s="338"/>
      <c r="WWX7" s="338"/>
      <c r="WWY7" s="338"/>
      <c r="WWZ7" s="338"/>
      <c r="WXA7" s="338"/>
      <c r="WXB7" s="338"/>
      <c r="WXC7" s="338"/>
      <c r="WXD7" s="338"/>
      <c r="WXE7" s="338"/>
      <c r="WXF7" s="338"/>
      <c r="WXG7" s="338"/>
      <c r="WXH7" s="338"/>
      <c r="WXI7" s="338"/>
      <c r="WXJ7" s="338"/>
      <c r="WXK7" s="338"/>
      <c r="WXL7" s="338"/>
      <c r="WXM7" s="338"/>
      <c r="WXN7" s="338"/>
      <c r="WXO7" s="338"/>
      <c r="WXP7" s="338"/>
      <c r="WXQ7" s="338"/>
      <c r="WXR7" s="338"/>
      <c r="WXS7" s="338"/>
      <c r="WXT7" s="338"/>
      <c r="WXU7" s="338"/>
      <c r="WXV7" s="338"/>
      <c r="WXW7" s="338"/>
      <c r="WXX7" s="338"/>
      <c r="WXY7" s="338"/>
      <c r="WXZ7" s="338"/>
      <c r="WYA7" s="338"/>
      <c r="WYB7" s="338"/>
      <c r="WYC7" s="338"/>
      <c r="WYD7" s="338"/>
      <c r="WYE7" s="338"/>
      <c r="WYF7" s="338"/>
      <c r="WYG7" s="338"/>
      <c r="WYH7" s="338"/>
      <c r="WYI7" s="338"/>
      <c r="WYJ7" s="338"/>
      <c r="WYK7" s="338"/>
      <c r="WYL7" s="338"/>
      <c r="WYM7" s="338"/>
      <c r="WYN7" s="338"/>
      <c r="WYO7" s="338"/>
      <c r="WYP7" s="338"/>
      <c r="WYQ7" s="338"/>
      <c r="WYR7" s="338"/>
      <c r="WYS7" s="338"/>
      <c r="WYT7" s="338"/>
      <c r="WYU7" s="338"/>
      <c r="WYV7" s="338"/>
      <c r="WYW7" s="338"/>
      <c r="WYX7" s="338"/>
      <c r="WYY7" s="338"/>
      <c r="WYZ7" s="338"/>
      <c r="WZA7" s="338"/>
      <c r="WZB7" s="338"/>
      <c r="WZC7" s="338"/>
      <c r="WZD7" s="338"/>
      <c r="WZE7" s="338"/>
      <c r="WZF7" s="338"/>
      <c r="WZG7" s="338"/>
      <c r="WZH7" s="338"/>
      <c r="WZI7" s="338"/>
      <c r="WZJ7" s="338"/>
      <c r="WZK7" s="338"/>
      <c r="WZL7" s="338"/>
      <c r="WZM7" s="338"/>
      <c r="WZN7" s="338"/>
      <c r="WZO7" s="338"/>
      <c r="WZP7" s="338"/>
      <c r="WZQ7" s="338"/>
      <c r="WZR7" s="338"/>
      <c r="WZS7" s="338"/>
      <c r="WZT7" s="338"/>
      <c r="WZU7" s="338"/>
      <c r="WZV7" s="338"/>
      <c r="WZW7" s="338"/>
      <c r="WZX7" s="338"/>
      <c r="WZY7" s="338"/>
      <c r="WZZ7" s="338"/>
      <c r="XAA7" s="338"/>
      <c r="XAB7" s="338"/>
      <c r="XAC7" s="338"/>
      <c r="XAD7" s="338"/>
      <c r="XAE7" s="338"/>
      <c r="XAF7" s="338"/>
      <c r="XAG7" s="338"/>
      <c r="XAH7" s="338"/>
      <c r="XAI7" s="338"/>
      <c r="XAJ7" s="338"/>
      <c r="XAK7" s="338"/>
      <c r="XAL7" s="338"/>
      <c r="XAM7" s="338"/>
      <c r="XAN7" s="338"/>
      <c r="XAO7" s="338"/>
      <c r="XAP7" s="338"/>
      <c r="XAQ7" s="338"/>
      <c r="XAR7" s="338"/>
      <c r="XAS7" s="338"/>
      <c r="XAT7" s="338"/>
      <c r="XAU7" s="338"/>
      <c r="XAV7" s="338"/>
      <c r="XAW7" s="338"/>
      <c r="XAX7" s="338"/>
      <c r="XAY7" s="338"/>
      <c r="XAZ7" s="338"/>
      <c r="XBA7" s="338"/>
      <c r="XBB7" s="338"/>
      <c r="XBC7" s="338"/>
      <c r="XBD7" s="338"/>
      <c r="XBE7" s="338"/>
      <c r="XBF7" s="338"/>
      <c r="XBG7" s="338"/>
      <c r="XBH7" s="338"/>
      <c r="XBI7" s="338"/>
      <c r="XBJ7" s="338"/>
      <c r="XBK7" s="338"/>
      <c r="XBL7" s="338"/>
      <c r="XBM7" s="338"/>
      <c r="XBN7" s="338"/>
      <c r="XBO7" s="338"/>
      <c r="XBP7" s="338"/>
      <c r="XBQ7" s="338"/>
      <c r="XBR7" s="338"/>
      <c r="XBS7" s="338"/>
      <c r="XBT7" s="338"/>
      <c r="XBU7" s="338"/>
      <c r="XBV7" s="338"/>
      <c r="XBW7" s="338"/>
      <c r="XBX7" s="338"/>
      <c r="XBY7" s="338"/>
      <c r="XBZ7" s="338"/>
      <c r="XCA7" s="338"/>
      <c r="XCB7" s="338"/>
      <c r="XCC7" s="338"/>
      <c r="XCD7" s="338"/>
      <c r="XCE7" s="338"/>
      <c r="XCF7" s="338"/>
      <c r="XCG7" s="338"/>
      <c r="XCH7" s="338"/>
      <c r="XCI7" s="338"/>
      <c r="XCJ7" s="338"/>
      <c r="XCK7" s="338"/>
      <c r="XCL7" s="338"/>
      <c r="XCM7" s="338"/>
      <c r="XCN7" s="338"/>
      <c r="XCO7" s="338"/>
      <c r="XCP7" s="338"/>
      <c r="XCQ7" s="338"/>
      <c r="XCR7" s="338"/>
      <c r="XCS7" s="338"/>
      <c r="XCT7" s="338"/>
      <c r="XCU7" s="338"/>
      <c r="XCV7" s="338"/>
      <c r="XCW7" s="338"/>
      <c r="XCX7" s="338"/>
      <c r="XCY7" s="338"/>
      <c r="XCZ7" s="338"/>
      <c r="XDA7" s="338"/>
      <c r="XDB7" s="338"/>
      <c r="XDC7" s="338"/>
      <c r="XDD7" s="338"/>
      <c r="XDE7" s="338"/>
      <c r="XDF7" s="338"/>
      <c r="XDG7" s="338"/>
      <c r="XDH7" s="338"/>
      <c r="XDI7" s="338"/>
      <c r="XDJ7" s="338"/>
      <c r="XDK7" s="338"/>
      <c r="XDL7" s="338"/>
      <c r="XDM7" s="338"/>
      <c r="XDN7" s="338"/>
      <c r="XDO7" s="338"/>
      <c r="XDP7" s="338"/>
      <c r="XDQ7" s="338"/>
      <c r="XDR7" s="338"/>
      <c r="XDS7" s="338"/>
      <c r="XDT7" s="338"/>
      <c r="XDU7" s="338"/>
      <c r="XDV7" s="338"/>
      <c r="XDW7" s="338"/>
      <c r="XDX7" s="338"/>
      <c r="XDY7" s="338"/>
      <c r="XDZ7" s="338"/>
      <c r="XEA7" s="338"/>
      <c r="XEB7" s="338"/>
      <c r="XEC7" s="338"/>
      <c r="XED7" s="338"/>
      <c r="XEE7" s="338"/>
      <c r="XEF7" s="338"/>
      <c r="XEG7" s="338"/>
      <c r="XEH7" s="338"/>
      <c r="XEI7" s="338"/>
      <c r="XEJ7" s="338"/>
      <c r="XEK7" s="338"/>
      <c r="XEL7" s="338"/>
      <c r="XEM7" s="338"/>
      <c r="XEN7" s="338"/>
      <c r="XEO7" s="338"/>
      <c r="XEP7" s="338"/>
      <c r="XEQ7" s="338"/>
      <c r="XER7" s="338"/>
      <c r="XES7" s="338"/>
      <c r="XET7" s="338"/>
      <c r="XEU7" s="338"/>
      <c r="XEV7" s="338"/>
      <c r="XEW7" s="338"/>
      <c r="XEX7" s="338"/>
      <c r="XEY7" s="338"/>
      <c r="XEZ7" s="338"/>
      <c r="XFA7" s="338"/>
      <c r="XFB7" s="338"/>
      <c r="XFC7" s="338"/>
      <c r="XFD7" s="338"/>
    </row>
    <row r="9" spans="1:16384" x14ac:dyDescent="0.2">
      <c r="B9" s="344" t="s">
        <v>195</v>
      </c>
      <c r="C9" s="344"/>
      <c r="D9" s="344"/>
      <c r="E9" s="344"/>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338"/>
      <c r="FM9" s="338"/>
      <c r="FN9" s="338"/>
      <c r="FO9" s="338"/>
      <c r="FP9" s="338"/>
      <c r="FQ9" s="338"/>
      <c r="FR9" s="338"/>
      <c r="FS9" s="338"/>
      <c r="FT9" s="338"/>
      <c r="FU9" s="338"/>
      <c r="FV9" s="338"/>
      <c r="FW9" s="338"/>
      <c r="FX9" s="338"/>
      <c r="FY9" s="338"/>
      <c r="FZ9" s="338"/>
      <c r="GA9" s="338"/>
      <c r="GB9" s="338"/>
      <c r="GC9" s="338"/>
      <c r="GD9" s="338"/>
      <c r="GE9" s="338"/>
      <c r="GF9" s="338"/>
      <c r="GG9" s="338"/>
      <c r="GH9" s="338"/>
      <c r="GI9" s="338"/>
      <c r="GJ9" s="338"/>
      <c r="GK9" s="338"/>
      <c r="GL9" s="338"/>
      <c r="GM9" s="338"/>
      <c r="GN9" s="338"/>
      <c r="GO9" s="338"/>
      <c r="GP9" s="338"/>
      <c r="GQ9" s="338"/>
      <c r="GR9" s="338"/>
      <c r="GS9" s="338"/>
      <c r="GT9" s="338"/>
      <c r="GU9" s="338"/>
      <c r="GV9" s="338"/>
      <c r="GW9" s="338"/>
      <c r="GX9" s="338"/>
      <c r="GY9" s="338"/>
      <c r="GZ9" s="338"/>
      <c r="HA9" s="338"/>
      <c r="HB9" s="338"/>
      <c r="HC9" s="338"/>
      <c r="HD9" s="338"/>
      <c r="HE9" s="338"/>
      <c r="HF9" s="338"/>
      <c r="HG9" s="338"/>
      <c r="HH9" s="338"/>
      <c r="HI9" s="338"/>
      <c r="HJ9" s="338"/>
      <c r="HK9" s="338"/>
      <c r="HL9" s="338"/>
      <c r="HM9" s="338"/>
      <c r="HN9" s="338"/>
      <c r="HO9" s="338"/>
      <c r="HP9" s="338"/>
      <c r="HQ9" s="338"/>
      <c r="HR9" s="338"/>
      <c r="HS9" s="338"/>
      <c r="HT9" s="338"/>
      <c r="HU9" s="338"/>
      <c r="HV9" s="338"/>
      <c r="HW9" s="338"/>
      <c r="HX9" s="338"/>
      <c r="HY9" s="338"/>
      <c r="HZ9" s="338"/>
      <c r="IA9" s="338"/>
      <c r="IB9" s="338"/>
      <c r="IC9" s="338"/>
      <c r="ID9" s="338"/>
      <c r="IE9" s="338"/>
      <c r="IF9" s="338"/>
      <c r="IG9" s="338"/>
      <c r="IH9" s="338"/>
      <c r="II9" s="338"/>
      <c r="IJ9" s="338"/>
      <c r="IK9" s="338"/>
      <c r="IL9" s="338"/>
      <c r="IM9" s="338"/>
      <c r="IN9" s="338"/>
      <c r="IO9" s="338"/>
      <c r="IP9" s="338"/>
      <c r="IQ9" s="338"/>
      <c r="IR9" s="338"/>
      <c r="IS9" s="338"/>
      <c r="IT9" s="338"/>
      <c r="IU9" s="338"/>
      <c r="IV9" s="338"/>
      <c r="IW9" s="338"/>
      <c r="IX9" s="338"/>
      <c r="IY9" s="338"/>
      <c r="IZ9" s="338"/>
      <c r="JA9" s="338"/>
      <c r="JB9" s="338"/>
      <c r="JC9" s="338"/>
      <c r="JD9" s="338"/>
      <c r="JE9" s="338"/>
      <c r="JF9" s="338"/>
      <c r="JG9" s="338"/>
      <c r="JH9" s="338"/>
      <c r="JI9" s="338"/>
      <c r="JJ9" s="338"/>
      <c r="JK9" s="338"/>
      <c r="JL9" s="338"/>
      <c r="JM9" s="338"/>
      <c r="JN9" s="338"/>
      <c r="JO9" s="338"/>
      <c r="JP9" s="338"/>
      <c r="JQ9" s="338"/>
      <c r="JR9" s="338"/>
      <c r="JS9" s="338"/>
      <c r="JT9" s="338"/>
      <c r="JU9" s="338"/>
      <c r="JV9" s="338"/>
      <c r="JW9" s="338"/>
      <c r="JX9" s="338"/>
      <c r="JY9" s="338"/>
      <c r="JZ9" s="338"/>
      <c r="KA9" s="338"/>
      <c r="KB9" s="338"/>
      <c r="KC9" s="338"/>
      <c r="KD9" s="338"/>
      <c r="KE9" s="338"/>
      <c r="KF9" s="338"/>
      <c r="KG9" s="338"/>
      <c r="KH9" s="338"/>
      <c r="KI9" s="338"/>
      <c r="KJ9" s="338"/>
      <c r="KK9" s="338"/>
      <c r="KL9" s="338"/>
      <c r="KM9" s="338"/>
      <c r="KN9" s="338"/>
      <c r="KO9" s="338"/>
      <c r="KP9" s="338"/>
      <c r="KQ9" s="338"/>
      <c r="KR9" s="338"/>
      <c r="KS9" s="338"/>
      <c r="KT9" s="338"/>
      <c r="KU9" s="338"/>
      <c r="KV9" s="338"/>
      <c r="KW9" s="338"/>
      <c r="KX9" s="338"/>
      <c r="KY9" s="338"/>
      <c r="KZ9" s="338"/>
      <c r="LA9" s="338"/>
      <c r="LB9" s="338"/>
      <c r="LC9" s="338"/>
      <c r="LD9" s="338"/>
      <c r="LE9" s="338"/>
      <c r="LF9" s="338"/>
      <c r="LG9" s="338"/>
      <c r="LH9" s="338"/>
      <c r="LI9" s="338"/>
      <c r="LJ9" s="338"/>
      <c r="LK9" s="338"/>
      <c r="LL9" s="338"/>
      <c r="LM9" s="338"/>
      <c r="LN9" s="338"/>
      <c r="LO9" s="338"/>
      <c r="LP9" s="338"/>
      <c r="LQ9" s="338"/>
      <c r="LR9" s="338"/>
      <c r="LS9" s="338"/>
      <c r="LT9" s="338"/>
      <c r="LU9" s="338"/>
      <c r="LV9" s="338"/>
      <c r="LW9" s="338"/>
      <c r="LX9" s="338"/>
      <c r="LY9" s="338"/>
      <c r="LZ9" s="338"/>
      <c r="MA9" s="338"/>
      <c r="MB9" s="338"/>
      <c r="MC9" s="338"/>
      <c r="MD9" s="338"/>
      <c r="ME9" s="338"/>
      <c r="MF9" s="338"/>
      <c r="MG9" s="338"/>
      <c r="MH9" s="338"/>
      <c r="MI9" s="338"/>
      <c r="MJ9" s="338"/>
      <c r="MK9" s="338"/>
      <c r="ML9" s="338"/>
      <c r="MM9" s="338"/>
      <c r="MN9" s="338"/>
      <c r="MO9" s="338"/>
      <c r="MP9" s="338"/>
      <c r="MQ9" s="338"/>
      <c r="MR9" s="338"/>
      <c r="MS9" s="338"/>
      <c r="MT9" s="338"/>
      <c r="MU9" s="338"/>
      <c r="MV9" s="338"/>
      <c r="MW9" s="338"/>
      <c r="MX9" s="338"/>
      <c r="MY9" s="338"/>
      <c r="MZ9" s="338"/>
      <c r="NA9" s="338"/>
      <c r="NB9" s="338"/>
      <c r="NC9" s="338"/>
      <c r="ND9" s="338"/>
      <c r="NE9" s="338"/>
      <c r="NF9" s="338"/>
      <c r="NG9" s="338"/>
      <c r="NH9" s="338"/>
      <c r="NI9" s="338"/>
      <c r="NJ9" s="338"/>
      <c r="NK9" s="338"/>
      <c r="NL9" s="338"/>
      <c r="NM9" s="338"/>
      <c r="NN9" s="338"/>
      <c r="NO9" s="338"/>
      <c r="NP9" s="338"/>
      <c r="NQ9" s="338"/>
      <c r="NR9" s="338"/>
      <c r="NS9" s="338"/>
      <c r="NT9" s="338"/>
      <c r="NU9" s="338"/>
      <c r="NV9" s="338"/>
      <c r="NW9" s="338"/>
      <c r="NX9" s="338"/>
      <c r="NY9" s="338"/>
      <c r="NZ9" s="338"/>
      <c r="OA9" s="338"/>
      <c r="OB9" s="338"/>
      <c r="OC9" s="338"/>
      <c r="OD9" s="338"/>
      <c r="OE9" s="338"/>
      <c r="OF9" s="338"/>
      <c r="OG9" s="338"/>
      <c r="OH9" s="338"/>
      <c r="OI9" s="338"/>
      <c r="OJ9" s="338"/>
      <c r="OK9" s="338"/>
      <c r="OL9" s="338"/>
      <c r="OM9" s="338"/>
      <c r="ON9" s="338"/>
      <c r="OO9" s="338"/>
      <c r="OP9" s="338"/>
      <c r="OQ9" s="338"/>
      <c r="OR9" s="338"/>
      <c r="OS9" s="338"/>
      <c r="OT9" s="338"/>
      <c r="OU9" s="338"/>
      <c r="OV9" s="338"/>
      <c r="OW9" s="338"/>
      <c r="OX9" s="338"/>
      <c r="OY9" s="338"/>
      <c r="OZ9" s="338"/>
      <c r="PA9" s="338"/>
      <c r="PB9" s="338"/>
      <c r="PC9" s="338"/>
      <c r="PD9" s="338"/>
      <c r="PE9" s="338"/>
      <c r="PF9" s="338"/>
      <c r="PG9" s="338"/>
      <c r="PH9" s="338"/>
      <c r="PI9" s="338"/>
      <c r="PJ9" s="338"/>
      <c r="PK9" s="338"/>
      <c r="PL9" s="338"/>
      <c r="PM9" s="338"/>
      <c r="PN9" s="338"/>
      <c r="PO9" s="338"/>
      <c r="PP9" s="338"/>
      <c r="PQ9" s="338"/>
      <c r="PR9" s="338"/>
      <c r="PS9" s="338"/>
      <c r="PT9" s="338"/>
      <c r="PU9" s="338"/>
      <c r="PV9" s="338"/>
      <c r="PW9" s="338"/>
      <c r="PX9" s="338"/>
      <c r="PY9" s="338"/>
      <c r="PZ9" s="338"/>
      <c r="QA9" s="338"/>
      <c r="QB9" s="338"/>
      <c r="QC9" s="338"/>
      <c r="QD9" s="338"/>
      <c r="QE9" s="338"/>
      <c r="QF9" s="338"/>
      <c r="QG9" s="338"/>
      <c r="QH9" s="338"/>
      <c r="QI9" s="338"/>
      <c r="QJ9" s="338"/>
      <c r="QK9" s="338"/>
      <c r="QL9" s="338"/>
      <c r="QM9" s="338"/>
      <c r="QN9" s="338"/>
      <c r="QO9" s="338"/>
      <c r="QP9" s="338"/>
      <c r="QQ9" s="338"/>
      <c r="QR9" s="338"/>
      <c r="QS9" s="338"/>
      <c r="QT9" s="338"/>
      <c r="QU9" s="338"/>
      <c r="QV9" s="338"/>
      <c r="QW9" s="338"/>
      <c r="QX9" s="338"/>
      <c r="QY9" s="338"/>
      <c r="QZ9" s="338"/>
      <c r="RA9" s="338"/>
      <c r="RB9" s="338"/>
      <c r="RC9" s="338"/>
      <c r="RD9" s="338"/>
      <c r="RE9" s="338"/>
      <c r="RF9" s="338"/>
      <c r="RG9" s="338"/>
      <c r="RH9" s="338"/>
      <c r="RI9" s="338"/>
      <c r="RJ9" s="338"/>
      <c r="RK9" s="338"/>
      <c r="RL9" s="338"/>
      <c r="RM9" s="338"/>
      <c r="RN9" s="338"/>
      <c r="RO9" s="338"/>
      <c r="RP9" s="338"/>
      <c r="RQ9" s="338"/>
      <c r="RR9" s="338"/>
      <c r="RS9" s="338"/>
      <c r="RT9" s="338"/>
      <c r="RU9" s="338"/>
      <c r="RV9" s="338"/>
      <c r="RW9" s="338"/>
      <c r="RX9" s="338"/>
      <c r="RY9" s="338"/>
      <c r="RZ9" s="338"/>
      <c r="SA9" s="338"/>
      <c r="SB9" s="338"/>
      <c r="SC9" s="338"/>
      <c r="SD9" s="338"/>
      <c r="SE9" s="338"/>
      <c r="SF9" s="338"/>
      <c r="SG9" s="338"/>
      <c r="SH9" s="338"/>
      <c r="SI9" s="338"/>
      <c r="SJ9" s="338"/>
      <c r="SK9" s="338"/>
      <c r="SL9" s="338"/>
      <c r="SM9" s="338"/>
      <c r="SN9" s="338"/>
      <c r="SO9" s="338"/>
      <c r="SP9" s="338"/>
      <c r="SQ9" s="338"/>
      <c r="SR9" s="338"/>
      <c r="SS9" s="338"/>
      <c r="ST9" s="338"/>
      <c r="SU9" s="338"/>
      <c r="SV9" s="338"/>
      <c r="SW9" s="338"/>
      <c r="SX9" s="338"/>
      <c r="SY9" s="338"/>
      <c r="SZ9" s="338"/>
      <c r="TA9" s="338"/>
      <c r="TB9" s="338"/>
      <c r="TC9" s="338"/>
      <c r="TD9" s="338"/>
      <c r="TE9" s="338"/>
      <c r="TF9" s="338"/>
      <c r="TG9" s="338"/>
      <c r="TH9" s="338"/>
      <c r="TI9" s="338"/>
      <c r="TJ9" s="338"/>
      <c r="TK9" s="338"/>
      <c r="TL9" s="338"/>
      <c r="TM9" s="338"/>
      <c r="TN9" s="338"/>
      <c r="TO9" s="338"/>
      <c r="TP9" s="338"/>
      <c r="TQ9" s="338"/>
      <c r="TR9" s="338"/>
      <c r="TS9" s="338"/>
      <c r="TT9" s="338"/>
      <c r="TU9" s="338"/>
      <c r="TV9" s="338"/>
      <c r="TW9" s="338"/>
      <c r="TX9" s="338"/>
      <c r="TY9" s="338"/>
      <c r="TZ9" s="338"/>
      <c r="UA9" s="338"/>
      <c r="UB9" s="338"/>
      <c r="UC9" s="338"/>
      <c r="UD9" s="338"/>
      <c r="UE9" s="338"/>
      <c r="UF9" s="338"/>
      <c r="UG9" s="338"/>
      <c r="UH9" s="338"/>
      <c r="UI9" s="338"/>
      <c r="UJ9" s="338"/>
      <c r="UK9" s="338"/>
      <c r="UL9" s="338"/>
      <c r="UM9" s="338"/>
      <c r="UN9" s="338"/>
      <c r="UO9" s="338"/>
      <c r="UP9" s="338"/>
      <c r="UQ9" s="338"/>
      <c r="UR9" s="338"/>
      <c r="US9" s="338"/>
      <c r="UT9" s="338"/>
      <c r="UU9" s="338"/>
      <c r="UV9" s="338"/>
      <c r="UW9" s="338"/>
      <c r="UX9" s="338"/>
      <c r="UY9" s="338"/>
      <c r="UZ9" s="338"/>
      <c r="VA9" s="338"/>
      <c r="VB9" s="338"/>
      <c r="VC9" s="338"/>
      <c r="VD9" s="338"/>
      <c r="VE9" s="338"/>
      <c r="VF9" s="338"/>
      <c r="VG9" s="338"/>
      <c r="VH9" s="338"/>
      <c r="VI9" s="338"/>
      <c r="VJ9" s="338"/>
      <c r="VK9" s="338"/>
      <c r="VL9" s="338"/>
      <c r="VM9" s="338"/>
      <c r="VN9" s="338"/>
      <c r="VO9" s="338"/>
      <c r="VP9" s="338"/>
      <c r="VQ9" s="338"/>
      <c r="VR9" s="338"/>
      <c r="VS9" s="338"/>
      <c r="VT9" s="338"/>
      <c r="VU9" s="338"/>
      <c r="VV9" s="338"/>
      <c r="VW9" s="338"/>
      <c r="VX9" s="338"/>
      <c r="VY9" s="338"/>
      <c r="VZ9" s="338"/>
      <c r="WA9" s="338"/>
      <c r="WB9" s="338"/>
      <c r="WC9" s="338"/>
      <c r="WD9" s="338"/>
      <c r="WE9" s="338"/>
      <c r="WF9" s="338"/>
      <c r="WG9" s="338"/>
      <c r="WH9" s="338"/>
      <c r="WI9" s="338"/>
      <c r="WJ9" s="338"/>
      <c r="WK9" s="338"/>
      <c r="WL9" s="338"/>
      <c r="WM9" s="338"/>
      <c r="WN9" s="338"/>
      <c r="WO9" s="338"/>
      <c r="WP9" s="338"/>
      <c r="WQ9" s="338"/>
      <c r="WR9" s="338"/>
      <c r="WS9" s="338"/>
      <c r="WT9" s="338"/>
      <c r="WU9" s="338"/>
      <c r="WV9" s="338"/>
      <c r="WW9" s="338"/>
      <c r="WX9" s="338"/>
      <c r="WY9" s="338"/>
      <c r="WZ9" s="338"/>
      <c r="XA9" s="338"/>
      <c r="XB9" s="338"/>
      <c r="XC9" s="338"/>
      <c r="XD9" s="338"/>
      <c r="XE9" s="338"/>
      <c r="XF9" s="338"/>
      <c r="XG9" s="338"/>
      <c r="XH9" s="338"/>
      <c r="XI9" s="338"/>
      <c r="XJ9" s="338"/>
      <c r="XK9" s="338"/>
      <c r="XL9" s="338"/>
      <c r="XM9" s="338"/>
      <c r="XN9" s="338"/>
      <c r="XO9" s="338"/>
      <c r="XP9" s="338"/>
      <c r="XQ9" s="338"/>
      <c r="XR9" s="338"/>
      <c r="XS9" s="338"/>
      <c r="XT9" s="338"/>
      <c r="XU9" s="338"/>
      <c r="XV9" s="338"/>
      <c r="XW9" s="338"/>
      <c r="XX9" s="338"/>
      <c r="XY9" s="338"/>
      <c r="XZ9" s="338"/>
      <c r="YA9" s="338"/>
      <c r="YB9" s="338"/>
      <c r="YC9" s="338"/>
      <c r="YD9" s="338"/>
      <c r="YE9" s="338"/>
      <c r="YF9" s="338"/>
      <c r="YG9" s="338"/>
      <c r="YH9" s="338"/>
      <c r="YI9" s="338"/>
      <c r="YJ9" s="338"/>
      <c r="YK9" s="338"/>
      <c r="YL9" s="338"/>
      <c r="YM9" s="338"/>
      <c r="YN9" s="338"/>
      <c r="YO9" s="338"/>
      <c r="YP9" s="338"/>
      <c r="YQ9" s="338"/>
      <c r="YR9" s="338"/>
      <c r="YS9" s="338"/>
      <c r="YT9" s="338"/>
      <c r="YU9" s="338"/>
      <c r="YV9" s="338"/>
      <c r="YW9" s="338"/>
      <c r="YX9" s="338"/>
      <c r="YY9" s="338"/>
      <c r="YZ9" s="338"/>
      <c r="ZA9" s="338"/>
      <c r="ZB9" s="338"/>
      <c r="ZC9" s="338"/>
      <c r="ZD9" s="338"/>
      <c r="ZE9" s="338"/>
      <c r="ZF9" s="338"/>
      <c r="ZG9" s="338"/>
      <c r="ZH9" s="338"/>
      <c r="ZI9" s="338"/>
      <c r="ZJ9" s="338"/>
      <c r="ZK9" s="338"/>
      <c r="ZL9" s="338"/>
      <c r="ZM9" s="338"/>
      <c r="ZN9" s="338"/>
      <c r="ZO9" s="338"/>
      <c r="ZP9" s="338"/>
      <c r="ZQ9" s="338"/>
      <c r="ZR9" s="338"/>
      <c r="ZS9" s="338"/>
      <c r="ZT9" s="338"/>
      <c r="ZU9" s="338"/>
      <c r="ZV9" s="338"/>
      <c r="ZW9" s="338"/>
      <c r="ZX9" s="338"/>
      <c r="ZY9" s="338"/>
      <c r="ZZ9" s="338"/>
      <c r="AAA9" s="338"/>
      <c r="AAB9" s="338"/>
      <c r="AAC9" s="338"/>
      <c r="AAD9" s="338"/>
      <c r="AAE9" s="338"/>
      <c r="AAF9" s="338"/>
      <c r="AAG9" s="338"/>
      <c r="AAH9" s="338"/>
      <c r="AAI9" s="338"/>
      <c r="AAJ9" s="338"/>
      <c r="AAK9" s="338"/>
      <c r="AAL9" s="338"/>
      <c r="AAM9" s="338"/>
      <c r="AAN9" s="338"/>
      <c r="AAO9" s="338"/>
      <c r="AAP9" s="338"/>
      <c r="AAQ9" s="338"/>
      <c r="AAR9" s="338"/>
      <c r="AAS9" s="338"/>
      <c r="AAT9" s="338"/>
      <c r="AAU9" s="338"/>
      <c r="AAV9" s="338"/>
      <c r="AAW9" s="338"/>
      <c r="AAX9" s="338"/>
      <c r="AAY9" s="338"/>
      <c r="AAZ9" s="338"/>
      <c r="ABA9" s="338"/>
      <c r="ABB9" s="338"/>
      <c r="ABC9" s="338"/>
      <c r="ABD9" s="338"/>
      <c r="ABE9" s="338"/>
      <c r="ABF9" s="338"/>
      <c r="ABG9" s="338"/>
      <c r="ABH9" s="338"/>
      <c r="ABI9" s="338"/>
      <c r="ABJ9" s="338"/>
      <c r="ABK9" s="338"/>
      <c r="ABL9" s="338"/>
      <c r="ABM9" s="338"/>
      <c r="ABN9" s="338"/>
      <c r="ABO9" s="338"/>
      <c r="ABP9" s="338"/>
      <c r="ABQ9" s="338"/>
      <c r="ABR9" s="338"/>
      <c r="ABS9" s="338"/>
      <c r="ABT9" s="338"/>
      <c r="ABU9" s="338"/>
      <c r="ABV9" s="338"/>
      <c r="ABW9" s="338"/>
      <c r="ABX9" s="338"/>
      <c r="ABY9" s="338"/>
      <c r="ABZ9" s="338"/>
      <c r="ACA9" s="338"/>
      <c r="ACB9" s="338"/>
      <c r="ACC9" s="338"/>
      <c r="ACD9" s="338"/>
      <c r="ACE9" s="338"/>
      <c r="ACF9" s="338"/>
      <c r="ACG9" s="338"/>
      <c r="ACH9" s="338"/>
      <c r="ACI9" s="338"/>
      <c r="ACJ9" s="338"/>
      <c r="ACK9" s="338"/>
      <c r="ACL9" s="338"/>
      <c r="ACM9" s="338"/>
      <c r="ACN9" s="338"/>
      <c r="ACO9" s="338"/>
      <c r="ACP9" s="338"/>
      <c r="ACQ9" s="338"/>
      <c r="ACR9" s="338"/>
      <c r="ACS9" s="338"/>
      <c r="ACT9" s="338"/>
      <c r="ACU9" s="338"/>
      <c r="ACV9" s="338"/>
      <c r="ACW9" s="338"/>
      <c r="ACX9" s="338"/>
      <c r="ACY9" s="338"/>
      <c r="ACZ9" s="338"/>
      <c r="ADA9" s="338"/>
      <c r="ADB9" s="338"/>
      <c r="ADC9" s="338"/>
      <c r="ADD9" s="338"/>
      <c r="ADE9" s="338"/>
      <c r="ADF9" s="338"/>
      <c r="ADG9" s="338"/>
      <c r="ADH9" s="338"/>
      <c r="ADI9" s="338"/>
      <c r="ADJ9" s="338"/>
      <c r="ADK9" s="338"/>
      <c r="ADL9" s="338"/>
      <c r="ADM9" s="338"/>
      <c r="ADN9" s="338"/>
      <c r="ADO9" s="338"/>
      <c r="ADP9" s="338"/>
      <c r="ADQ9" s="338"/>
      <c r="ADR9" s="338"/>
      <c r="ADS9" s="338"/>
      <c r="ADT9" s="338"/>
      <c r="ADU9" s="338"/>
      <c r="ADV9" s="338"/>
      <c r="ADW9" s="338"/>
      <c r="ADX9" s="338"/>
      <c r="ADY9" s="338"/>
      <c r="ADZ9" s="338"/>
      <c r="AEA9" s="338"/>
      <c r="AEB9" s="338"/>
      <c r="AEC9" s="338"/>
      <c r="AED9" s="338"/>
      <c r="AEE9" s="338"/>
      <c r="AEF9" s="338"/>
      <c r="AEG9" s="338"/>
      <c r="AEH9" s="338"/>
      <c r="AEI9" s="338"/>
      <c r="AEJ9" s="338"/>
      <c r="AEK9" s="338"/>
      <c r="AEL9" s="338"/>
      <c r="AEM9" s="338"/>
      <c r="AEN9" s="338"/>
      <c r="AEO9" s="338"/>
      <c r="AEP9" s="338"/>
      <c r="AEQ9" s="338"/>
      <c r="AER9" s="338"/>
      <c r="AES9" s="338"/>
      <c r="AET9" s="338"/>
      <c r="AEU9" s="338"/>
      <c r="AEV9" s="338"/>
      <c r="AEW9" s="338"/>
      <c r="AEX9" s="338"/>
      <c r="AEY9" s="338"/>
      <c r="AEZ9" s="338"/>
      <c r="AFA9" s="338"/>
      <c r="AFB9" s="338"/>
      <c r="AFC9" s="338"/>
      <c r="AFD9" s="338"/>
      <c r="AFE9" s="338"/>
      <c r="AFF9" s="338"/>
      <c r="AFG9" s="338"/>
      <c r="AFH9" s="338"/>
      <c r="AFI9" s="338"/>
      <c r="AFJ9" s="338"/>
      <c r="AFK9" s="338"/>
      <c r="AFL9" s="338"/>
      <c r="AFM9" s="338"/>
      <c r="AFN9" s="338"/>
      <c r="AFO9" s="338"/>
      <c r="AFP9" s="338"/>
      <c r="AFQ9" s="338"/>
      <c r="AFR9" s="338"/>
      <c r="AFS9" s="338"/>
      <c r="AFT9" s="338"/>
      <c r="AFU9" s="338"/>
      <c r="AFV9" s="338"/>
      <c r="AFW9" s="338"/>
      <c r="AFX9" s="338"/>
      <c r="AFY9" s="338"/>
      <c r="AFZ9" s="338"/>
      <c r="AGA9" s="338"/>
      <c r="AGB9" s="338"/>
      <c r="AGC9" s="338"/>
      <c r="AGD9" s="338"/>
      <c r="AGE9" s="338"/>
      <c r="AGF9" s="338"/>
      <c r="AGG9" s="338"/>
      <c r="AGH9" s="338"/>
      <c r="AGI9" s="338"/>
      <c r="AGJ9" s="338"/>
      <c r="AGK9" s="338"/>
      <c r="AGL9" s="338"/>
      <c r="AGM9" s="338"/>
      <c r="AGN9" s="338"/>
      <c r="AGO9" s="338"/>
      <c r="AGP9" s="338"/>
      <c r="AGQ9" s="338"/>
      <c r="AGR9" s="338"/>
      <c r="AGS9" s="338"/>
      <c r="AGT9" s="338"/>
      <c r="AGU9" s="338"/>
      <c r="AGV9" s="338"/>
      <c r="AGW9" s="338"/>
      <c r="AGX9" s="338"/>
      <c r="AGY9" s="338"/>
      <c r="AGZ9" s="338"/>
      <c r="AHA9" s="338"/>
      <c r="AHB9" s="338"/>
      <c r="AHC9" s="338"/>
      <c r="AHD9" s="338"/>
      <c r="AHE9" s="338"/>
      <c r="AHF9" s="338"/>
      <c r="AHG9" s="338"/>
      <c r="AHH9" s="338"/>
      <c r="AHI9" s="338"/>
      <c r="AHJ9" s="338"/>
      <c r="AHK9" s="338"/>
      <c r="AHL9" s="338"/>
      <c r="AHM9" s="338"/>
      <c r="AHN9" s="338"/>
      <c r="AHO9" s="338"/>
      <c r="AHP9" s="338"/>
      <c r="AHQ9" s="338"/>
      <c r="AHR9" s="338"/>
      <c r="AHS9" s="338"/>
      <c r="AHT9" s="338"/>
      <c r="AHU9" s="338"/>
      <c r="AHV9" s="338"/>
      <c r="AHW9" s="338"/>
      <c r="AHX9" s="338"/>
      <c r="AHY9" s="338"/>
      <c r="AHZ9" s="338"/>
      <c r="AIA9" s="338"/>
      <c r="AIB9" s="338"/>
      <c r="AIC9" s="338"/>
      <c r="AID9" s="338"/>
      <c r="AIE9" s="338"/>
      <c r="AIF9" s="338"/>
      <c r="AIG9" s="338"/>
      <c r="AIH9" s="338"/>
      <c r="AII9" s="338"/>
      <c r="AIJ9" s="338"/>
      <c r="AIK9" s="338"/>
      <c r="AIL9" s="338"/>
      <c r="AIM9" s="338"/>
      <c r="AIN9" s="338"/>
      <c r="AIO9" s="338"/>
      <c r="AIP9" s="338"/>
      <c r="AIQ9" s="338"/>
      <c r="AIR9" s="338"/>
      <c r="AIS9" s="338"/>
      <c r="AIT9" s="338"/>
      <c r="AIU9" s="338"/>
      <c r="AIV9" s="338"/>
      <c r="AIW9" s="338"/>
      <c r="AIX9" s="338"/>
      <c r="AIY9" s="338"/>
      <c r="AIZ9" s="338"/>
      <c r="AJA9" s="338"/>
      <c r="AJB9" s="338"/>
      <c r="AJC9" s="338"/>
      <c r="AJD9" s="338"/>
      <c r="AJE9" s="338"/>
      <c r="AJF9" s="338"/>
      <c r="AJG9" s="338"/>
      <c r="AJH9" s="338"/>
      <c r="AJI9" s="338"/>
      <c r="AJJ9" s="338"/>
      <c r="AJK9" s="338"/>
      <c r="AJL9" s="338"/>
      <c r="AJM9" s="338"/>
      <c r="AJN9" s="338"/>
      <c r="AJO9" s="338"/>
      <c r="AJP9" s="338"/>
      <c r="AJQ9" s="338"/>
      <c r="AJR9" s="338"/>
      <c r="AJS9" s="338"/>
      <c r="AJT9" s="338"/>
      <c r="AJU9" s="338"/>
      <c r="AJV9" s="338"/>
      <c r="AJW9" s="338"/>
      <c r="AJX9" s="338"/>
      <c r="AJY9" s="338"/>
      <c r="AJZ9" s="338"/>
      <c r="AKA9" s="338"/>
      <c r="AKB9" s="338"/>
      <c r="AKC9" s="338"/>
      <c r="AKD9" s="338"/>
      <c r="AKE9" s="338"/>
      <c r="AKF9" s="338"/>
      <c r="AKG9" s="338"/>
      <c r="AKH9" s="338"/>
      <c r="AKI9" s="338"/>
      <c r="AKJ9" s="338"/>
      <c r="AKK9" s="338"/>
      <c r="AKL9" s="338"/>
      <c r="AKM9" s="338"/>
      <c r="AKN9" s="338"/>
      <c r="AKO9" s="338"/>
      <c r="AKP9" s="338"/>
      <c r="AKQ9" s="338"/>
      <c r="AKR9" s="338"/>
      <c r="AKS9" s="338"/>
      <c r="AKT9" s="338"/>
      <c r="AKU9" s="338"/>
      <c r="AKV9" s="338"/>
      <c r="AKW9" s="338"/>
      <c r="AKX9" s="338"/>
      <c r="AKY9" s="338"/>
      <c r="AKZ9" s="338"/>
      <c r="ALA9" s="338"/>
      <c r="ALB9" s="338"/>
      <c r="ALC9" s="338"/>
      <c r="ALD9" s="338"/>
      <c r="ALE9" s="338"/>
      <c r="ALF9" s="338"/>
      <c r="ALG9" s="338"/>
      <c r="ALH9" s="338"/>
      <c r="ALI9" s="338"/>
      <c r="ALJ9" s="338"/>
      <c r="ALK9" s="338"/>
      <c r="ALL9" s="338"/>
      <c r="ALM9" s="338"/>
      <c r="ALN9" s="338"/>
      <c r="ALO9" s="338"/>
      <c r="ALP9" s="338"/>
      <c r="ALQ9" s="338"/>
      <c r="ALR9" s="338"/>
      <c r="ALS9" s="338"/>
      <c r="ALT9" s="338"/>
      <c r="ALU9" s="338"/>
      <c r="ALV9" s="338"/>
      <c r="ALW9" s="338"/>
      <c r="ALX9" s="338"/>
      <c r="ALY9" s="338"/>
      <c r="ALZ9" s="338"/>
      <c r="AMA9" s="338"/>
      <c r="AMB9" s="338"/>
      <c r="AMC9" s="338"/>
      <c r="AMD9" s="338"/>
      <c r="AME9" s="338"/>
      <c r="AMF9" s="338"/>
      <c r="AMG9" s="338"/>
      <c r="AMH9" s="338"/>
      <c r="AMI9" s="338"/>
      <c r="AMJ9" s="338"/>
      <c r="AMK9" s="338"/>
      <c r="AML9" s="338"/>
      <c r="AMM9" s="338"/>
      <c r="AMN9" s="338"/>
      <c r="AMO9" s="338"/>
      <c r="AMP9" s="338"/>
      <c r="AMQ9" s="338"/>
      <c r="AMR9" s="338"/>
      <c r="AMS9" s="338"/>
      <c r="AMT9" s="338"/>
      <c r="AMU9" s="338"/>
      <c r="AMV9" s="338"/>
      <c r="AMW9" s="338"/>
      <c r="AMX9" s="338"/>
      <c r="AMY9" s="338"/>
      <c r="AMZ9" s="338"/>
      <c r="ANA9" s="338"/>
      <c r="ANB9" s="338"/>
      <c r="ANC9" s="338"/>
      <c r="AND9" s="338"/>
      <c r="ANE9" s="338"/>
      <c r="ANF9" s="338"/>
      <c r="ANG9" s="338"/>
      <c r="ANH9" s="338"/>
      <c r="ANI9" s="338"/>
      <c r="ANJ9" s="338"/>
      <c r="ANK9" s="338"/>
      <c r="ANL9" s="338"/>
      <c r="ANM9" s="338"/>
      <c r="ANN9" s="338"/>
      <c r="ANO9" s="338"/>
      <c r="ANP9" s="338"/>
      <c r="ANQ9" s="338"/>
      <c r="ANR9" s="338"/>
      <c r="ANS9" s="338"/>
      <c r="ANT9" s="338"/>
      <c r="ANU9" s="338"/>
      <c r="ANV9" s="338"/>
      <c r="ANW9" s="338"/>
      <c r="ANX9" s="338"/>
      <c r="ANY9" s="338"/>
      <c r="ANZ9" s="338"/>
      <c r="AOA9" s="338"/>
      <c r="AOB9" s="338"/>
      <c r="AOC9" s="338"/>
      <c r="AOD9" s="338"/>
      <c r="AOE9" s="338"/>
      <c r="AOF9" s="338"/>
      <c r="AOG9" s="338"/>
      <c r="AOH9" s="338"/>
      <c r="AOI9" s="338"/>
      <c r="AOJ9" s="338"/>
      <c r="AOK9" s="338"/>
      <c r="AOL9" s="338"/>
      <c r="AOM9" s="338"/>
      <c r="AON9" s="338"/>
      <c r="AOO9" s="338"/>
      <c r="AOP9" s="338"/>
      <c r="AOQ9" s="338"/>
      <c r="AOR9" s="338"/>
      <c r="AOS9" s="338"/>
      <c r="AOT9" s="338"/>
      <c r="AOU9" s="338"/>
      <c r="AOV9" s="338"/>
      <c r="AOW9" s="338"/>
      <c r="AOX9" s="338"/>
      <c r="AOY9" s="338"/>
      <c r="AOZ9" s="338"/>
      <c r="APA9" s="338"/>
      <c r="APB9" s="338"/>
      <c r="APC9" s="338"/>
      <c r="APD9" s="338"/>
      <c r="APE9" s="338"/>
      <c r="APF9" s="338"/>
      <c r="APG9" s="338"/>
      <c r="APH9" s="338"/>
      <c r="API9" s="338"/>
      <c r="APJ9" s="338"/>
      <c r="APK9" s="338"/>
      <c r="APL9" s="338"/>
      <c r="APM9" s="338"/>
      <c r="APN9" s="338"/>
      <c r="APO9" s="338"/>
      <c r="APP9" s="338"/>
      <c r="APQ9" s="338"/>
      <c r="APR9" s="338"/>
      <c r="APS9" s="338"/>
      <c r="APT9" s="338"/>
      <c r="APU9" s="338"/>
      <c r="APV9" s="338"/>
      <c r="APW9" s="338"/>
      <c r="APX9" s="338"/>
      <c r="APY9" s="338"/>
      <c r="APZ9" s="338"/>
      <c r="AQA9" s="338"/>
      <c r="AQB9" s="338"/>
      <c r="AQC9" s="338"/>
      <c r="AQD9" s="338"/>
      <c r="AQE9" s="338"/>
      <c r="AQF9" s="338"/>
      <c r="AQG9" s="338"/>
      <c r="AQH9" s="338"/>
      <c r="AQI9" s="338"/>
      <c r="AQJ9" s="338"/>
      <c r="AQK9" s="338"/>
      <c r="AQL9" s="338"/>
      <c r="AQM9" s="338"/>
      <c r="AQN9" s="338"/>
      <c r="AQO9" s="338"/>
      <c r="AQP9" s="338"/>
      <c r="AQQ9" s="338"/>
      <c r="AQR9" s="338"/>
      <c r="AQS9" s="338"/>
      <c r="AQT9" s="338"/>
      <c r="AQU9" s="338"/>
      <c r="AQV9" s="338"/>
      <c r="AQW9" s="338"/>
      <c r="AQX9" s="338"/>
      <c r="AQY9" s="338"/>
      <c r="AQZ9" s="338"/>
      <c r="ARA9" s="338"/>
      <c r="ARB9" s="338"/>
      <c r="ARC9" s="338"/>
      <c r="ARD9" s="338"/>
      <c r="ARE9" s="338"/>
      <c r="ARF9" s="338"/>
      <c r="ARG9" s="338"/>
      <c r="ARH9" s="338"/>
      <c r="ARI9" s="338"/>
      <c r="ARJ9" s="338"/>
      <c r="ARK9" s="338"/>
      <c r="ARL9" s="338"/>
      <c r="ARM9" s="338"/>
      <c r="ARN9" s="338"/>
      <c r="ARO9" s="338"/>
      <c r="ARP9" s="338"/>
      <c r="ARQ9" s="338"/>
      <c r="ARR9" s="338"/>
      <c r="ARS9" s="338"/>
      <c r="ART9" s="338"/>
      <c r="ARU9" s="338"/>
      <c r="ARV9" s="338"/>
      <c r="ARW9" s="338"/>
      <c r="ARX9" s="338"/>
      <c r="ARY9" s="338"/>
      <c r="ARZ9" s="338"/>
      <c r="ASA9" s="338"/>
      <c r="ASB9" s="338"/>
      <c r="ASC9" s="338"/>
      <c r="ASD9" s="338"/>
      <c r="ASE9" s="338"/>
      <c r="ASF9" s="338"/>
      <c r="ASG9" s="338"/>
      <c r="ASH9" s="338"/>
      <c r="ASI9" s="338"/>
      <c r="ASJ9" s="338"/>
      <c r="ASK9" s="338"/>
      <c r="ASL9" s="338"/>
      <c r="ASM9" s="338"/>
      <c r="ASN9" s="338"/>
      <c r="ASO9" s="338"/>
      <c r="ASP9" s="338"/>
      <c r="ASQ9" s="338"/>
      <c r="ASR9" s="338"/>
      <c r="ASS9" s="338"/>
      <c r="AST9" s="338"/>
      <c r="ASU9" s="338"/>
      <c r="ASV9" s="338"/>
      <c r="ASW9" s="338"/>
      <c r="ASX9" s="338"/>
      <c r="ASY9" s="338"/>
      <c r="ASZ9" s="338"/>
      <c r="ATA9" s="338"/>
      <c r="ATB9" s="338"/>
      <c r="ATC9" s="338"/>
      <c r="ATD9" s="338"/>
      <c r="ATE9" s="338"/>
      <c r="ATF9" s="338"/>
      <c r="ATG9" s="338"/>
      <c r="ATH9" s="338"/>
      <c r="ATI9" s="338"/>
      <c r="ATJ9" s="338"/>
      <c r="ATK9" s="338"/>
      <c r="ATL9" s="338"/>
      <c r="ATM9" s="338"/>
      <c r="ATN9" s="338"/>
      <c r="ATO9" s="338"/>
      <c r="ATP9" s="338"/>
      <c r="ATQ9" s="338"/>
      <c r="ATR9" s="338"/>
      <c r="ATS9" s="338"/>
      <c r="ATT9" s="338"/>
      <c r="ATU9" s="338"/>
      <c r="ATV9" s="338"/>
      <c r="ATW9" s="338"/>
      <c r="ATX9" s="338"/>
      <c r="ATY9" s="338"/>
      <c r="ATZ9" s="338"/>
      <c r="AUA9" s="338"/>
      <c r="AUB9" s="338"/>
      <c r="AUC9" s="338"/>
      <c r="AUD9" s="338"/>
      <c r="AUE9" s="338"/>
      <c r="AUF9" s="338"/>
      <c r="AUG9" s="338"/>
      <c r="AUH9" s="338"/>
      <c r="AUI9" s="338"/>
      <c r="AUJ9" s="338"/>
      <c r="AUK9" s="338"/>
      <c r="AUL9" s="338"/>
      <c r="AUM9" s="338"/>
      <c r="AUN9" s="338"/>
      <c r="AUO9" s="338"/>
      <c r="AUP9" s="338"/>
      <c r="AUQ9" s="338"/>
      <c r="AUR9" s="338"/>
      <c r="AUS9" s="338"/>
      <c r="AUT9" s="338"/>
      <c r="AUU9" s="338"/>
      <c r="AUV9" s="338"/>
      <c r="AUW9" s="338"/>
      <c r="AUX9" s="338"/>
      <c r="AUY9" s="338"/>
      <c r="AUZ9" s="338"/>
      <c r="AVA9" s="338"/>
      <c r="AVB9" s="338"/>
      <c r="AVC9" s="338"/>
      <c r="AVD9" s="338"/>
      <c r="AVE9" s="338"/>
      <c r="AVF9" s="338"/>
      <c r="AVG9" s="338"/>
      <c r="AVH9" s="338"/>
      <c r="AVI9" s="338"/>
      <c r="AVJ9" s="338"/>
      <c r="AVK9" s="338"/>
      <c r="AVL9" s="338"/>
      <c r="AVM9" s="338"/>
      <c r="AVN9" s="338"/>
      <c r="AVO9" s="338"/>
      <c r="AVP9" s="338"/>
      <c r="AVQ9" s="338"/>
      <c r="AVR9" s="338"/>
      <c r="AVS9" s="338"/>
      <c r="AVT9" s="338"/>
      <c r="AVU9" s="338"/>
      <c r="AVV9" s="338"/>
      <c r="AVW9" s="338"/>
      <c r="AVX9" s="338"/>
      <c r="AVY9" s="338"/>
      <c r="AVZ9" s="338"/>
      <c r="AWA9" s="338"/>
      <c r="AWB9" s="338"/>
      <c r="AWC9" s="338"/>
      <c r="AWD9" s="338"/>
      <c r="AWE9" s="338"/>
      <c r="AWF9" s="338"/>
      <c r="AWG9" s="338"/>
      <c r="AWH9" s="338"/>
      <c r="AWI9" s="338"/>
      <c r="AWJ9" s="338"/>
      <c r="AWK9" s="338"/>
      <c r="AWL9" s="338"/>
      <c r="AWM9" s="338"/>
      <c r="AWN9" s="338"/>
      <c r="AWO9" s="338"/>
      <c r="AWP9" s="338"/>
      <c r="AWQ9" s="338"/>
      <c r="AWR9" s="338"/>
      <c r="AWS9" s="338"/>
      <c r="AWT9" s="338"/>
      <c r="AWU9" s="338"/>
      <c r="AWV9" s="338"/>
      <c r="AWW9" s="338"/>
      <c r="AWX9" s="338"/>
      <c r="AWY9" s="338"/>
      <c r="AWZ9" s="338"/>
      <c r="AXA9" s="338"/>
      <c r="AXB9" s="338"/>
      <c r="AXC9" s="338"/>
      <c r="AXD9" s="338"/>
      <c r="AXE9" s="338"/>
      <c r="AXF9" s="338"/>
      <c r="AXG9" s="338"/>
      <c r="AXH9" s="338"/>
      <c r="AXI9" s="338"/>
      <c r="AXJ9" s="338"/>
      <c r="AXK9" s="338"/>
      <c r="AXL9" s="338"/>
      <c r="AXM9" s="338"/>
      <c r="AXN9" s="338"/>
      <c r="AXO9" s="338"/>
      <c r="AXP9" s="338"/>
      <c r="AXQ9" s="338"/>
      <c r="AXR9" s="338"/>
      <c r="AXS9" s="338"/>
      <c r="AXT9" s="338"/>
      <c r="AXU9" s="338"/>
      <c r="AXV9" s="338"/>
      <c r="AXW9" s="338"/>
      <c r="AXX9" s="338"/>
      <c r="AXY9" s="338"/>
      <c r="AXZ9" s="338"/>
      <c r="AYA9" s="338"/>
      <c r="AYB9" s="338"/>
      <c r="AYC9" s="338"/>
      <c r="AYD9" s="338"/>
      <c r="AYE9" s="338"/>
      <c r="AYF9" s="338"/>
      <c r="AYG9" s="338"/>
      <c r="AYH9" s="338"/>
      <c r="AYI9" s="338"/>
      <c r="AYJ9" s="338"/>
      <c r="AYK9" s="338"/>
      <c r="AYL9" s="338"/>
      <c r="AYM9" s="338"/>
      <c r="AYN9" s="338"/>
      <c r="AYO9" s="338"/>
      <c r="AYP9" s="338"/>
      <c r="AYQ9" s="338"/>
      <c r="AYR9" s="338"/>
      <c r="AYS9" s="338"/>
      <c r="AYT9" s="338"/>
      <c r="AYU9" s="338"/>
      <c r="AYV9" s="338"/>
      <c r="AYW9" s="338"/>
      <c r="AYX9" s="338"/>
      <c r="AYY9" s="338"/>
      <c r="AYZ9" s="338"/>
      <c r="AZA9" s="338"/>
      <c r="AZB9" s="338"/>
      <c r="AZC9" s="338"/>
      <c r="AZD9" s="338"/>
      <c r="AZE9" s="338"/>
      <c r="AZF9" s="338"/>
      <c r="AZG9" s="338"/>
      <c r="AZH9" s="338"/>
      <c r="AZI9" s="338"/>
      <c r="AZJ9" s="338"/>
      <c r="AZK9" s="338"/>
      <c r="AZL9" s="338"/>
      <c r="AZM9" s="338"/>
      <c r="AZN9" s="338"/>
      <c r="AZO9" s="338"/>
      <c r="AZP9" s="338"/>
      <c r="AZQ9" s="338"/>
      <c r="AZR9" s="338"/>
      <c r="AZS9" s="338"/>
      <c r="AZT9" s="338"/>
      <c r="AZU9" s="338"/>
      <c r="AZV9" s="338"/>
      <c r="AZW9" s="338"/>
      <c r="AZX9" s="338"/>
      <c r="AZY9" s="338"/>
      <c r="AZZ9" s="338"/>
      <c r="BAA9" s="338"/>
      <c r="BAB9" s="338"/>
      <c r="BAC9" s="338"/>
      <c r="BAD9" s="338"/>
      <c r="BAE9" s="338"/>
      <c r="BAF9" s="338"/>
      <c r="BAG9" s="338"/>
      <c r="BAH9" s="338"/>
      <c r="BAI9" s="338"/>
      <c r="BAJ9" s="338"/>
      <c r="BAK9" s="338"/>
      <c r="BAL9" s="338"/>
      <c r="BAM9" s="338"/>
      <c r="BAN9" s="338"/>
      <c r="BAO9" s="338"/>
      <c r="BAP9" s="338"/>
      <c r="BAQ9" s="338"/>
      <c r="BAR9" s="338"/>
      <c r="BAS9" s="338"/>
      <c r="BAT9" s="338"/>
      <c r="BAU9" s="338"/>
      <c r="BAV9" s="338"/>
      <c r="BAW9" s="338"/>
      <c r="BAX9" s="338"/>
      <c r="BAY9" s="338"/>
      <c r="BAZ9" s="338"/>
      <c r="BBA9" s="338"/>
      <c r="BBB9" s="338"/>
      <c r="BBC9" s="338"/>
      <c r="BBD9" s="338"/>
      <c r="BBE9" s="338"/>
      <c r="BBF9" s="338"/>
      <c r="BBG9" s="338"/>
      <c r="BBH9" s="338"/>
      <c r="BBI9" s="338"/>
      <c r="BBJ9" s="338"/>
      <c r="BBK9" s="338"/>
      <c r="BBL9" s="338"/>
      <c r="BBM9" s="338"/>
      <c r="BBN9" s="338"/>
      <c r="BBO9" s="338"/>
      <c r="BBP9" s="338"/>
      <c r="BBQ9" s="338"/>
      <c r="BBR9" s="338"/>
      <c r="BBS9" s="338"/>
      <c r="BBT9" s="338"/>
      <c r="BBU9" s="338"/>
      <c r="BBV9" s="338"/>
      <c r="BBW9" s="338"/>
      <c r="BBX9" s="338"/>
      <c r="BBY9" s="338"/>
      <c r="BBZ9" s="338"/>
      <c r="BCA9" s="338"/>
      <c r="BCB9" s="338"/>
      <c r="BCC9" s="338"/>
      <c r="BCD9" s="338"/>
      <c r="BCE9" s="338"/>
      <c r="BCF9" s="338"/>
      <c r="BCG9" s="338"/>
      <c r="BCH9" s="338"/>
      <c r="BCI9" s="338"/>
      <c r="BCJ9" s="338"/>
      <c r="BCK9" s="338"/>
      <c r="BCL9" s="338"/>
      <c r="BCM9" s="338"/>
      <c r="BCN9" s="338"/>
      <c r="BCO9" s="338"/>
      <c r="BCP9" s="338"/>
      <c r="BCQ9" s="338"/>
      <c r="BCR9" s="338"/>
      <c r="BCS9" s="338"/>
      <c r="BCT9" s="338"/>
      <c r="BCU9" s="338"/>
      <c r="BCV9" s="338"/>
      <c r="BCW9" s="338"/>
      <c r="BCX9" s="338"/>
      <c r="BCY9" s="338"/>
      <c r="BCZ9" s="338"/>
      <c r="BDA9" s="338"/>
      <c r="BDB9" s="338"/>
      <c r="BDC9" s="338"/>
      <c r="BDD9" s="338"/>
      <c r="BDE9" s="338"/>
      <c r="BDF9" s="338"/>
      <c r="BDG9" s="338"/>
      <c r="BDH9" s="338"/>
      <c r="BDI9" s="338"/>
      <c r="BDJ9" s="338"/>
      <c r="BDK9" s="338"/>
      <c r="BDL9" s="338"/>
      <c r="BDM9" s="338"/>
      <c r="BDN9" s="338"/>
      <c r="BDO9" s="338"/>
      <c r="BDP9" s="338"/>
      <c r="BDQ9" s="338"/>
      <c r="BDR9" s="338"/>
      <c r="BDS9" s="338"/>
      <c r="BDT9" s="338"/>
      <c r="BDU9" s="338"/>
      <c r="BDV9" s="338"/>
      <c r="BDW9" s="338"/>
      <c r="BDX9" s="338"/>
      <c r="BDY9" s="338"/>
      <c r="BDZ9" s="338"/>
      <c r="BEA9" s="338"/>
      <c r="BEB9" s="338"/>
      <c r="BEC9" s="338"/>
      <c r="BED9" s="338"/>
      <c r="BEE9" s="338"/>
      <c r="BEF9" s="338"/>
      <c r="BEG9" s="338"/>
      <c r="BEH9" s="338"/>
      <c r="BEI9" s="338"/>
      <c r="BEJ9" s="338"/>
      <c r="BEK9" s="338"/>
      <c r="BEL9" s="338"/>
      <c r="BEM9" s="338"/>
      <c r="BEN9" s="338"/>
      <c r="BEO9" s="338"/>
      <c r="BEP9" s="338"/>
      <c r="BEQ9" s="338"/>
      <c r="BER9" s="338"/>
      <c r="BES9" s="338"/>
      <c r="BET9" s="338"/>
      <c r="BEU9" s="338"/>
      <c r="BEV9" s="338"/>
      <c r="BEW9" s="338"/>
      <c r="BEX9" s="338"/>
      <c r="BEY9" s="338"/>
      <c r="BEZ9" s="338"/>
      <c r="BFA9" s="338"/>
      <c r="BFB9" s="338"/>
      <c r="BFC9" s="338"/>
      <c r="BFD9" s="338"/>
      <c r="BFE9" s="338"/>
      <c r="BFF9" s="338"/>
      <c r="BFG9" s="338"/>
      <c r="BFH9" s="338"/>
      <c r="BFI9" s="338"/>
      <c r="BFJ9" s="338"/>
      <c r="BFK9" s="338"/>
      <c r="BFL9" s="338"/>
      <c r="BFM9" s="338"/>
      <c r="BFN9" s="338"/>
      <c r="BFO9" s="338"/>
      <c r="BFP9" s="338"/>
      <c r="BFQ9" s="338"/>
      <c r="BFR9" s="338"/>
      <c r="BFS9" s="338"/>
      <c r="BFT9" s="338"/>
      <c r="BFU9" s="338"/>
      <c r="BFV9" s="338"/>
      <c r="BFW9" s="338"/>
      <c r="BFX9" s="338"/>
      <c r="BFY9" s="338"/>
      <c r="BFZ9" s="338"/>
      <c r="BGA9" s="338"/>
      <c r="BGB9" s="338"/>
      <c r="BGC9" s="338"/>
      <c r="BGD9" s="338"/>
      <c r="BGE9" s="338"/>
      <c r="BGF9" s="338"/>
      <c r="BGG9" s="338"/>
      <c r="BGH9" s="338"/>
      <c r="BGI9" s="338"/>
      <c r="BGJ9" s="338"/>
      <c r="BGK9" s="338"/>
      <c r="BGL9" s="338"/>
      <c r="BGM9" s="338"/>
      <c r="BGN9" s="338"/>
      <c r="BGO9" s="338"/>
      <c r="BGP9" s="338"/>
      <c r="BGQ9" s="338"/>
      <c r="BGR9" s="338"/>
      <c r="BGS9" s="338"/>
      <c r="BGT9" s="338"/>
      <c r="BGU9" s="338"/>
      <c r="BGV9" s="338"/>
      <c r="BGW9" s="338"/>
      <c r="BGX9" s="338"/>
      <c r="BGY9" s="338"/>
      <c r="BGZ9" s="338"/>
      <c r="BHA9" s="338"/>
      <c r="BHB9" s="338"/>
      <c r="BHC9" s="338"/>
      <c r="BHD9" s="338"/>
      <c r="BHE9" s="338"/>
      <c r="BHF9" s="338"/>
      <c r="BHG9" s="338"/>
      <c r="BHH9" s="338"/>
      <c r="BHI9" s="338"/>
      <c r="BHJ9" s="338"/>
      <c r="BHK9" s="338"/>
      <c r="BHL9" s="338"/>
      <c r="BHM9" s="338"/>
      <c r="BHN9" s="338"/>
      <c r="BHO9" s="338"/>
      <c r="BHP9" s="338"/>
      <c r="BHQ9" s="338"/>
      <c r="BHR9" s="338"/>
      <c r="BHS9" s="338"/>
      <c r="BHT9" s="338"/>
      <c r="BHU9" s="338"/>
      <c r="BHV9" s="338"/>
      <c r="BHW9" s="338"/>
      <c r="BHX9" s="338"/>
      <c r="BHY9" s="338"/>
      <c r="BHZ9" s="338"/>
      <c r="BIA9" s="338"/>
      <c r="BIB9" s="338"/>
      <c r="BIC9" s="338"/>
      <c r="BID9" s="338"/>
      <c r="BIE9" s="338"/>
      <c r="BIF9" s="338"/>
      <c r="BIG9" s="338"/>
      <c r="BIH9" s="338"/>
      <c r="BII9" s="338"/>
      <c r="BIJ9" s="338"/>
      <c r="BIK9" s="338"/>
      <c r="BIL9" s="338"/>
      <c r="BIM9" s="338"/>
      <c r="BIN9" s="338"/>
      <c r="BIO9" s="338"/>
      <c r="BIP9" s="338"/>
      <c r="BIQ9" s="338"/>
      <c r="BIR9" s="338"/>
      <c r="BIS9" s="338"/>
      <c r="BIT9" s="338"/>
      <c r="BIU9" s="338"/>
      <c r="BIV9" s="338"/>
      <c r="BIW9" s="338"/>
      <c r="BIX9" s="338"/>
      <c r="BIY9" s="338"/>
      <c r="BIZ9" s="338"/>
      <c r="BJA9" s="338"/>
      <c r="BJB9" s="338"/>
      <c r="BJC9" s="338"/>
      <c r="BJD9" s="338"/>
      <c r="BJE9" s="338"/>
      <c r="BJF9" s="338"/>
      <c r="BJG9" s="338"/>
      <c r="BJH9" s="338"/>
      <c r="BJI9" s="338"/>
      <c r="BJJ9" s="338"/>
      <c r="BJK9" s="338"/>
      <c r="BJL9" s="338"/>
      <c r="BJM9" s="338"/>
      <c r="BJN9" s="338"/>
      <c r="BJO9" s="338"/>
      <c r="BJP9" s="338"/>
      <c r="BJQ9" s="338"/>
      <c r="BJR9" s="338"/>
      <c r="BJS9" s="338"/>
      <c r="BJT9" s="338"/>
      <c r="BJU9" s="338"/>
      <c r="BJV9" s="338"/>
      <c r="BJW9" s="338"/>
      <c r="BJX9" s="338"/>
      <c r="BJY9" s="338"/>
      <c r="BJZ9" s="338"/>
      <c r="BKA9" s="338"/>
      <c r="BKB9" s="338"/>
      <c r="BKC9" s="338"/>
      <c r="BKD9" s="338"/>
      <c r="BKE9" s="338"/>
      <c r="BKF9" s="338"/>
      <c r="BKG9" s="338"/>
      <c r="BKH9" s="338"/>
      <c r="BKI9" s="338"/>
      <c r="BKJ9" s="338"/>
      <c r="BKK9" s="338"/>
      <c r="BKL9" s="338"/>
      <c r="BKM9" s="338"/>
      <c r="BKN9" s="338"/>
      <c r="BKO9" s="338"/>
      <c r="BKP9" s="338"/>
      <c r="BKQ9" s="338"/>
      <c r="BKR9" s="338"/>
      <c r="BKS9" s="338"/>
      <c r="BKT9" s="338"/>
      <c r="BKU9" s="338"/>
      <c r="BKV9" s="338"/>
      <c r="BKW9" s="338"/>
      <c r="BKX9" s="338"/>
      <c r="BKY9" s="338"/>
      <c r="BKZ9" s="338"/>
      <c r="BLA9" s="338"/>
      <c r="BLB9" s="338"/>
      <c r="BLC9" s="338"/>
      <c r="BLD9" s="338"/>
      <c r="BLE9" s="338"/>
      <c r="BLF9" s="338"/>
      <c r="BLG9" s="338"/>
      <c r="BLH9" s="338"/>
      <c r="BLI9" s="338"/>
      <c r="BLJ9" s="338"/>
      <c r="BLK9" s="338"/>
      <c r="BLL9" s="338"/>
      <c r="BLM9" s="338"/>
      <c r="BLN9" s="338"/>
      <c r="BLO9" s="338"/>
      <c r="BLP9" s="338"/>
      <c r="BLQ9" s="338"/>
      <c r="BLR9" s="338"/>
      <c r="BLS9" s="338"/>
      <c r="BLT9" s="338"/>
      <c r="BLU9" s="338"/>
      <c r="BLV9" s="338"/>
      <c r="BLW9" s="338"/>
      <c r="BLX9" s="338"/>
      <c r="BLY9" s="338"/>
      <c r="BLZ9" s="338"/>
      <c r="BMA9" s="338"/>
      <c r="BMB9" s="338"/>
      <c r="BMC9" s="338"/>
      <c r="BMD9" s="338"/>
      <c r="BME9" s="338"/>
      <c r="BMF9" s="338"/>
      <c r="BMG9" s="338"/>
      <c r="BMH9" s="338"/>
      <c r="BMI9" s="338"/>
      <c r="BMJ9" s="338"/>
      <c r="BMK9" s="338"/>
      <c r="BML9" s="338"/>
      <c r="BMM9" s="338"/>
      <c r="BMN9" s="338"/>
      <c r="BMO9" s="338"/>
      <c r="BMP9" s="338"/>
      <c r="BMQ9" s="338"/>
      <c r="BMR9" s="338"/>
      <c r="BMS9" s="338"/>
      <c r="BMT9" s="338"/>
      <c r="BMU9" s="338"/>
      <c r="BMV9" s="338"/>
      <c r="BMW9" s="338"/>
      <c r="BMX9" s="338"/>
      <c r="BMY9" s="338"/>
      <c r="BMZ9" s="338"/>
      <c r="BNA9" s="338"/>
      <c r="BNB9" s="338"/>
      <c r="BNC9" s="338"/>
      <c r="BND9" s="338"/>
      <c r="BNE9" s="338"/>
      <c r="BNF9" s="338"/>
      <c r="BNG9" s="338"/>
      <c r="BNH9" s="338"/>
      <c r="BNI9" s="338"/>
      <c r="BNJ9" s="338"/>
      <c r="BNK9" s="338"/>
      <c r="BNL9" s="338"/>
      <c r="BNM9" s="338"/>
      <c r="BNN9" s="338"/>
      <c r="BNO9" s="338"/>
      <c r="BNP9" s="338"/>
      <c r="BNQ9" s="338"/>
      <c r="BNR9" s="338"/>
      <c r="BNS9" s="338"/>
      <c r="BNT9" s="338"/>
      <c r="BNU9" s="338"/>
      <c r="BNV9" s="338"/>
      <c r="BNW9" s="338"/>
      <c r="BNX9" s="338"/>
      <c r="BNY9" s="338"/>
      <c r="BNZ9" s="338"/>
      <c r="BOA9" s="338"/>
      <c r="BOB9" s="338"/>
      <c r="BOC9" s="338"/>
      <c r="BOD9" s="338"/>
      <c r="BOE9" s="338"/>
      <c r="BOF9" s="338"/>
      <c r="BOG9" s="338"/>
      <c r="BOH9" s="338"/>
      <c r="BOI9" s="338"/>
      <c r="BOJ9" s="338"/>
      <c r="BOK9" s="338"/>
      <c r="BOL9" s="338"/>
      <c r="BOM9" s="338"/>
      <c r="BON9" s="338"/>
      <c r="BOO9" s="338"/>
      <c r="BOP9" s="338"/>
      <c r="BOQ9" s="338"/>
      <c r="BOR9" s="338"/>
      <c r="BOS9" s="338"/>
      <c r="BOT9" s="338"/>
      <c r="BOU9" s="338"/>
      <c r="BOV9" s="338"/>
      <c r="BOW9" s="338"/>
      <c r="BOX9" s="338"/>
      <c r="BOY9" s="338"/>
      <c r="BOZ9" s="338"/>
      <c r="BPA9" s="338"/>
      <c r="BPB9" s="338"/>
      <c r="BPC9" s="338"/>
      <c r="BPD9" s="338"/>
      <c r="BPE9" s="338"/>
      <c r="BPF9" s="338"/>
      <c r="BPG9" s="338"/>
      <c r="BPH9" s="338"/>
      <c r="BPI9" s="338"/>
      <c r="BPJ9" s="338"/>
      <c r="BPK9" s="338"/>
      <c r="BPL9" s="338"/>
      <c r="BPM9" s="338"/>
      <c r="BPN9" s="338"/>
      <c r="BPO9" s="338"/>
      <c r="BPP9" s="338"/>
      <c r="BPQ9" s="338"/>
      <c r="BPR9" s="338"/>
      <c r="BPS9" s="338"/>
      <c r="BPT9" s="338"/>
      <c r="BPU9" s="338"/>
      <c r="BPV9" s="338"/>
      <c r="BPW9" s="338"/>
      <c r="BPX9" s="338"/>
      <c r="BPY9" s="338"/>
      <c r="BPZ9" s="338"/>
      <c r="BQA9" s="338"/>
      <c r="BQB9" s="338"/>
      <c r="BQC9" s="338"/>
      <c r="BQD9" s="338"/>
      <c r="BQE9" s="338"/>
      <c r="BQF9" s="338"/>
      <c r="BQG9" s="338"/>
      <c r="BQH9" s="338"/>
      <c r="BQI9" s="338"/>
      <c r="BQJ9" s="338"/>
      <c r="BQK9" s="338"/>
      <c r="BQL9" s="338"/>
      <c r="BQM9" s="338"/>
      <c r="BQN9" s="338"/>
      <c r="BQO9" s="338"/>
      <c r="BQP9" s="338"/>
      <c r="BQQ9" s="338"/>
      <c r="BQR9" s="338"/>
      <c r="BQS9" s="338"/>
      <c r="BQT9" s="338"/>
      <c r="BQU9" s="338"/>
      <c r="BQV9" s="338"/>
      <c r="BQW9" s="338"/>
      <c r="BQX9" s="338"/>
      <c r="BQY9" s="338"/>
      <c r="BQZ9" s="338"/>
      <c r="BRA9" s="338"/>
      <c r="BRB9" s="338"/>
      <c r="BRC9" s="338"/>
      <c r="BRD9" s="338"/>
      <c r="BRE9" s="338"/>
      <c r="BRF9" s="338"/>
      <c r="BRG9" s="338"/>
      <c r="BRH9" s="338"/>
      <c r="BRI9" s="338"/>
      <c r="BRJ9" s="338"/>
      <c r="BRK9" s="338"/>
      <c r="BRL9" s="338"/>
      <c r="BRM9" s="338"/>
      <c r="BRN9" s="338"/>
      <c r="BRO9" s="338"/>
      <c r="BRP9" s="338"/>
      <c r="BRQ9" s="338"/>
      <c r="BRR9" s="338"/>
      <c r="BRS9" s="338"/>
      <c r="BRT9" s="338"/>
      <c r="BRU9" s="338"/>
      <c r="BRV9" s="338"/>
      <c r="BRW9" s="338"/>
      <c r="BRX9" s="338"/>
      <c r="BRY9" s="338"/>
      <c r="BRZ9" s="338"/>
      <c r="BSA9" s="338"/>
      <c r="BSB9" s="338"/>
      <c r="BSC9" s="338"/>
      <c r="BSD9" s="338"/>
      <c r="BSE9" s="338"/>
      <c r="BSF9" s="338"/>
      <c r="BSG9" s="338"/>
      <c r="BSH9" s="338"/>
      <c r="BSI9" s="338"/>
      <c r="BSJ9" s="338"/>
      <c r="BSK9" s="338"/>
      <c r="BSL9" s="338"/>
      <c r="BSM9" s="338"/>
      <c r="BSN9" s="338"/>
      <c r="BSO9" s="338"/>
      <c r="BSP9" s="338"/>
      <c r="BSQ9" s="338"/>
      <c r="BSR9" s="338"/>
      <c r="BSS9" s="338"/>
      <c r="BST9" s="338"/>
      <c r="BSU9" s="338"/>
      <c r="BSV9" s="338"/>
      <c r="BSW9" s="338"/>
      <c r="BSX9" s="338"/>
      <c r="BSY9" s="338"/>
      <c r="BSZ9" s="338"/>
      <c r="BTA9" s="338"/>
      <c r="BTB9" s="338"/>
      <c r="BTC9" s="338"/>
      <c r="BTD9" s="338"/>
      <c r="BTE9" s="338"/>
      <c r="BTF9" s="338"/>
      <c r="BTG9" s="338"/>
      <c r="BTH9" s="338"/>
      <c r="BTI9" s="338"/>
      <c r="BTJ9" s="338"/>
      <c r="BTK9" s="338"/>
      <c r="BTL9" s="338"/>
      <c r="BTM9" s="338"/>
      <c r="BTN9" s="338"/>
      <c r="BTO9" s="338"/>
      <c r="BTP9" s="338"/>
      <c r="BTQ9" s="338"/>
      <c r="BTR9" s="338"/>
      <c r="BTS9" s="338"/>
      <c r="BTT9" s="338"/>
      <c r="BTU9" s="338"/>
      <c r="BTV9" s="338"/>
      <c r="BTW9" s="338"/>
      <c r="BTX9" s="338"/>
      <c r="BTY9" s="338"/>
      <c r="BTZ9" s="338"/>
      <c r="BUA9" s="338"/>
      <c r="BUB9" s="338"/>
      <c r="BUC9" s="338"/>
      <c r="BUD9" s="338"/>
      <c r="BUE9" s="338"/>
      <c r="BUF9" s="338"/>
      <c r="BUG9" s="338"/>
      <c r="BUH9" s="338"/>
      <c r="BUI9" s="338"/>
      <c r="BUJ9" s="338"/>
      <c r="BUK9" s="338"/>
      <c r="BUL9" s="338"/>
      <c r="BUM9" s="338"/>
      <c r="BUN9" s="338"/>
      <c r="BUO9" s="338"/>
      <c r="BUP9" s="338"/>
      <c r="BUQ9" s="338"/>
      <c r="BUR9" s="338"/>
      <c r="BUS9" s="338"/>
      <c r="BUT9" s="338"/>
      <c r="BUU9" s="338"/>
      <c r="BUV9" s="338"/>
      <c r="BUW9" s="338"/>
      <c r="BUX9" s="338"/>
      <c r="BUY9" s="338"/>
      <c r="BUZ9" s="338"/>
      <c r="BVA9" s="338"/>
      <c r="BVB9" s="338"/>
      <c r="BVC9" s="338"/>
      <c r="BVD9" s="338"/>
      <c r="BVE9" s="338"/>
      <c r="BVF9" s="338"/>
      <c r="BVG9" s="338"/>
      <c r="BVH9" s="338"/>
      <c r="BVI9" s="338"/>
      <c r="BVJ9" s="338"/>
      <c r="BVK9" s="338"/>
      <c r="BVL9" s="338"/>
      <c r="BVM9" s="338"/>
      <c r="BVN9" s="338"/>
      <c r="BVO9" s="338"/>
      <c r="BVP9" s="338"/>
      <c r="BVQ9" s="338"/>
      <c r="BVR9" s="338"/>
      <c r="BVS9" s="338"/>
      <c r="BVT9" s="338"/>
      <c r="BVU9" s="338"/>
      <c r="BVV9" s="338"/>
      <c r="BVW9" s="338"/>
      <c r="BVX9" s="338"/>
      <c r="BVY9" s="338"/>
      <c r="BVZ9" s="338"/>
      <c r="BWA9" s="338"/>
      <c r="BWB9" s="338"/>
      <c r="BWC9" s="338"/>
      <c r="BWD9" s="338"/>
      <c r="BWE9" s="338"/>
      <c r="BWF9" s="338"/>
      <c r="BWG9" s="338"/>
      <c r="BWH9" s="338"/>
      <c r="BWI9" s="338"/>
      <c r="BWJ9" s="338"/>
      <c r="BWK9" s="338"/>
      <c r="BWL9" s="338"/>
      <c r="BWM9" s="338"/>
      <c r="BWN9" s="338"/>
      <c r="BWO9" s="338"/>
      <c r="BWP9" s="338"/>
      <c r="BWQ9" s="338"/>
      <c r="BWR9" s="338"/>
      <c r="BWS9" s="338"/>
      <c r="BWT9" s="338"/>
      <c r="BWU9" s="338"/>
      <c r="BWV9" s="338"/>
      <c r="BWW9" s="338"/>
      <c r="BWX9" s="338"/>
      <c r="BWY9" s="338"/>
      <c r="BWZ9" s="338"/>
      <c r="BXA9" s="338"/>
      <c r="BXB9" s="338"/>
      <c r="BXC9" s="338"/>
      <c r="BXD9" s="338"/>
      <c r="BXE9" s="338"/>
      <c r="BXF9" s="338"/>
      <c r="BXG9" s="338"/>
      <c r="BXH9" s="338"/>
      <c r="BXI9" s="338"/>
      <c r="BXJ9" s="338"/>
      <c r="BXK9" s="338"/>
      <c r="BXL9" s="338"/>
      <c r="BXM9" s="338"/>
      <c r="BXN9" s="338"/>
      <c r="BXO9" s="338"/>
      <c r="BXP9" s="338"/>
      <c r="BXQ9" s="338"/>
      <c r="BXR9" s="338"/>
      <c r="BXS9" s="338"/>
      <c r="BXT9" s="338"/>
      <c r="BXU9" s="338"/>
      <c r="BXV9" s="338"/>
      <c r="BXW9" s="338"/>
      <c r="BXX9" s="338"/>
      <c r="BXY9" s="338"/>
      <c r="BXZ9" s="338"/>
      <c r="BYA9" s="338"/>
      <c r="BYB9" s="338"/>
      <c r="BYC9" s="338"/>
      <c r="BYD9" s="338"/>
      <c r="BYE9" s="338"/>
      <c r="BYF9" s="338"/>
      <c r="BYG9" s="338"/>
      <c r="BYH9" s="338"/>
      <c r="BYI9" s="338"/>
      <c r="BYJ9" s="338"/>
      <c r="BYK9" s="338"/>
      <c r="BYL9" s="338"/>
      <c r="BYM9" s="338"/>
      <c r="BYN9" s="338"/>
      <c r="BYO9" s="338"/>
      <c r="BYP9" s="338"/>
      <c r="BYQ9" s="338"/>
      <c r="BYR9" s="338"/>
      <c r="BYS9" s="338"/>
      <c r="BYT9" s="338"/>
      <c r="BYU9" s="338"/>
      <c r="BYV9" s="338"/>
      <c r="BYW9" s="338"/>
      <c r="BYX9" s="338"/>
      <c r="BYY9" s="338"/>
      <c r="BYZ9" s="338"/>
      <c r="BZA9" s="338"/>
      <c r="BZB9" s="338"/>
      <c r="BZC9" s="338"/>
      <c r="BZD9" s="338"/>
      <c r="BZE9" s="338"/>
      <c r="BZF9" s="338"/>
      <c r="BZG9" s="338"/>
      <c r="BZH9" s="338"/>
      <c r="BZI9" s="338"/>
      <c r="BZJ9" s="338"/>
      <c r="BZK9" s="338"/>
      <c r="BZL9" s="338"/>
      <c r="BZM9" s="338"/>
      <c r="BZN9" s="338"/>
      <c r="BZO9" s="338"/>
      <c r="BZP9" s="338"/>
      <c r="BZQ9" s="338"/>
      <c r="BZR9" s="338"/>
      <c r="BZS9" s="338"/>
      <c r="BZT9" s="338"/>
      <c r="BZU9" s="338"/>
      <c r="BZV9" s="338"/>
      <c r="BZW9" s="338"/>
      <c r="BZX9" s="338"/>
      <c r="BZY9" s="338"/>
      <c r="BZZ9" s="338"/>
      <c r="CAA9" s="338"/>
      <c r="CAB9" s="338"/>
      <c r="CAC9" s="338"/>
      <c r="CAD9" s="338"/>
      <c r="CAE9" s="338"/>
      <c r="CAF9" s="338"/>
      <c r="CAG9" s="338"/>
      <c r="CAH9" s="338"/>
      <c r="CAI9" s="338"/>
      <c r="CAJ9" s="338"/>
      <c r="CAK9" s="338"/>
      <c r="CAL9" s="338"/>
      <c r="CAM9" s="338"/>
      <c r="CAN9" s="338"/>
      <c r="CAO9" s="338"/>
      <c r="CAP9" s="338"/>
      <c r="CAQ9" s="338"/>
      <c r="CAR9" s="338"/>
      <c r="CAS9" s="338"/>
      <c r="CAT9" s="338"/>
      <c r="CAU9" s="338"/>
      <c r="CAV9" s="338"/>
      <c r="CAW9" s="338"/>
      <c r="CAX9" s="338"/>
      <c r="CAY9" s="338"/>
      <c r="CAZ9" s="338"/>
      <c r="CBA9" s="338"/>
      <c r="CBB9" s="338"/>
      <c r="CBC9" s="338"/>
      <c r="CBD9" s="338"/>
      <c r="CBE9" s="338"/>
      <c r="CBF9" s="338"/>
      <c r="CBG9" s="338"/>
      <c r="CBH9" s="338"/>
      <c r="CBI9" s="338"/>
      <c r="CBJ9" s="338"/>
      <c r="CBK9" s="338"/>
      <c r="CBL9" s="338"/>
      <c r="CBM9" s="338"/>
      <c r="CBN9" s="338"/>
      <c r="CBO9" s="338"/>
      <c r="CBP9" s="338"/>
      <c r="CBQ9" s="338"/>
      <c r="CBR9" s="338"/>
      <c r="CBS9" s="338"/>
      <c r="CBT9" s="338"/>
      <c r="CBU9" s="338"/>
      <c r="CBV9" s="338"/>
      <c r="CBW9" s="338"/>
      <c r="CBX9" s="338"/>
      <c r="CBY9" s="338"/>
      <c r="CBZ9" s="338"/>
      <c r="CCA9" s="338"/>
      <c r="CCB9" s="338"/>
      <c r="CCC9" s="338"/>
      <c r="CCD9" s="338"/>
      <c r="CCE9" s="338"/>
      <c r="CCF9" s="338"/>
      <c r="CCG9" s="338"/>
      <c r="CCH9" s="338"/>
      <c r="CCI9" s="338"/>
      <c r="CCJ9" s="338"/>
      <c r="CCK9" s="338"/>
      <c r="CCL9" s="338"/>
      <c r="CCM9" s="338"/>
      <c r="CCN9" s="338"/>
      <c r="CCO9" s="338"/>
      <c r="CCP9" s="338"/>
      <c r="CCQ9" s="338"/>
      <c r="CCR9" s="338"/>
      <c r="CCS9" s="338"/>
      <c r="CCT9" s="338"/>
      <c r="CCU9" s="338"/>
      <c r="CCV9" s="338"/>
      <c r="CCW9" s="338"/>
      <c r="CCX9" s="338"/>
      <c r="CCY9" s="338"/>
      <c r="CCZ9" s="338"/>
      <c r="CDA9" s="338"/>
      <c r="CDB9" s="338"/>
      <c r="CDC9" s="338"/>
      <c r="CDD9" s="338"/>
      <c r="CDE9" s="338"/>
      <c r="CDF9" s="338"/>
      <c r="CDG9" s="338"/>
      <c r="CDH9" s="338"/>
      <c r="CDI9" s="338"/>
      <c r="CDJ9" s="338"/>
      <c r="CDK9" s="338"/>
      <c r="CDL9" s="338"/>
      <c r="CDM9" s="338"/>
      <c r="CDN9" s="338"/>
      <c r="CDO9" s="338"/>
      <c r="CDP9" s="338"/>
      <c r="CDQ9" s="338"/>
      <c r="CDR9" s="338"/>
      <c r="CDS9" s="338"/>
      <c r="CDT9" s="338"/>
      <c r="CDU9" s="338"/>
      <c r="CDV9" s="338"/>
      <c r="CDW9" s="338"/>
      <c r="CDX9" s="338"/>
      <c r="CDY9" s="338"/>
      <c r="CDZ9" s="338"/>
      <c r="CEA9" s="338"/>
      <c r="CEB9" s="338"/>
      <c r="CEC9" s="338"/>
      <c r="CED9" s="338"/>
      <c r="CEE9" s="338"/>
      <c r="CEF9" s="338"/>
      <c r="CEG9" s="338"/>
      <c r="CEH9" s="338"/>
      <c r="CEI9" s="338"/>
      <c r="CEJ9" s="338"/>
      <c r="CEK9" s="338"/>
      <c r="CEL9" s="338"/>
      <c r="CEM9" s="338"/>
      <c r="CEN9" s="338"/>
      <c r="CEO9" s="338"/>
      <c r="CEP9" s="338"/>
      <c r="CEQ9" s="338"/>
      <c r="CER9" s="338"/>
      <c r="CES9" s="338"/>
      <c r="CET9" s="338"/>
      <c r="CEU9" s="338"/>
      <c r="CEV9" s="338"/>
      <c r="CEW9" s="338"/>
      <c r="CEX9" s="338"/>
      <c r="CEY9" s="338"/>
      <c r="CEZ9" s="338"/>
      <c r="CFA9" s="338"/>
      <c r="CFB9" s="338"/>
      <c r="CFC9" s="338"/>
      <c r="CFD9" s="338"/>
      <c r="CFE9" s="338"/>
      <c r="CFF9" s="338"/>
      <c r="CFG9" s="338"/>
      <c r="CFH9" s="338"/>
      <c r="CFI9" s="338"/>
      <c r="CFJ9" s="338"/>
      <c r="CFK9" s="338"/>
      <c r="CFL9" s="338"/>
      <c r="CFM9" s="338"/>
      <c r="CFN9" s="338"/>
      <c r="CFO9" s="338"/>
      <c r="CFP9" s="338"/>
      <c r="CFQ9" s="338"/>
      <c r="CFR9" s="338"/>
      <c r="CFS9" s="338"/>
      <c r="CFT9" s="338"/>
      <c r="CFU9" s="338"/>
      <c r="CFV9" s="338"/>
      <c r="CFW9" s="338"/>
      <c r="CFX9" s="338"/>
      <c r="CFY9" s="338"/>
      <c r="CFZ9" s="338"/>
      <c r="CGA9" s="338"/>
      <c r="CGB9" s="338"/>
      <c r="CGC9" s="338"/>
      <c r="CGD9" s="338"/>
      <c r="CGE9" s="338"/>
      <c r="CGF9" s="338"/>
      <c r="CGG9" s="338"/>
      <c r="CGH9" s="338"/>
      <c r="CGI9" s="338"/>
      <c r="CGJ9" s="338"/>
      <c r="CGK9" s="338"/>
      <c r="CGL9" s="338"/>
      <c r="CGM9" s="338"/>
      <c r="CGN9" s="338"/>
      <c r="CGO9" s="338"/>
      <c r="CGP9" s="338"/>
      <c r="CGQ9" s="338"/>
      <c r="CGR9" s="338"/>
      <c r="CGS9" s="338"/>
      <c r="CGT9" s="338"/>
      <c r="CGU9" s="338"/>
      <c r="CGV9" s="338"/>
      <c r="CGW9" s="338"/>
      <c r="CGX9" s="338"/>
      <c r="CGY9" s="338"/>
      <c r="CGZ9" s="338"/>
      <c r="CHA9" s="338"/>
      <c r="CHB9" s="338"/>
      <c r="CHC9" s="338"/>
      <c r="CHD9" s="338"/>
      <c r="CHE9" s="338"/>
      <c r="CHF9" s="338"/>
      <c r="CHG9" s="338"/>
      <c r="CHH9" s="338"/>
      <c r="CHI9" s="338"/>
      <c r="CHJ9" s="338"/>
      <c r="CHK9" s="338"/>
      <c r="CHL9" s="338"/>
      <c r="CHM9" s="338"/>
      <c r="CHN9" s="338"/>
      <c r="CHO9" s="338"/>
      <c r="CHP9" s="338"/>
      <c r="CHQ9" s="338"/>
      <c r="CHR9" s="338"/>
      <c r="CHS9" s="338"/>
      <c r="CHT9" s="338"/>
      <c r="CHU9" s="338"/>
      <c r="CHV9" s="338"/>
      <c r="CHW9" s="338"/>
      <c r="CHX9" s="338"/>
      <c r="CHY9" s="338"/>
      <c r="CHZ9" s="338"/>
      <c r="CIA9" s="338"/>
      <c r="CIB9" s="338"/>
      <c r="CIC9" s="338"/>
      <c r="CID9" s="338"/>
      <c r="CIE9" s="338"/>
      <c r="CIF9" s="338"/>
      <c r="CIG9" s="338"/>
      <c r="CIH9" s="338"/>
      <c r="CII9" s="338"/>
      <c r="CIJ9" s="338"/>
      <c r="CIK9" s="338"/>
      <c r="CIL9" s="338"/>
      <c r="CIM9" s="338"/>
      <c r="CIN9" s="338"/>
      <c r="CIO9" s="338"/>
      <c r="CIP9" s="338"/>
      <c r="CIQ9" s="338"/>
      <c r="CIR9" s="338"/>
      <c r="CIS9" s="338"/>
      <c r="CIT9" s="338"/>
      <c r="CIU9" s="338"/>
      <c r="CIV9" s="338"/>
      <c r="CIW9" s="338"/>
      <c r="CIX9" s="338"/>
      <c r="CIY9" s="338"/>
      <c r="CIZ9" s="338"/>
      <c r="CJA9" s="338"/>
      <c r="CJB9" s="338"/>
      <c r="CJC9" s="338"/>
      <c r="CJD9" s="338"/>
      <c r="CJE9" s="338"/>
      <c r="CJF9" s="338"/>
      <c r="CJG9" s="338"/>
      <c r="CJH9" s="338"/>
      <c r="CJI9" s="338"/>
      <c r="CJJ9" s="338"/>
      <c r="CJK9" s="338"/>
      <c r="CJL9" s="338"/>
      <c r="CJM9" s="338"/>
      <c r="CJN9" s="338"/>
      <c r="CJO9" s="338"/>
      <c r="CJP9" s="338"/>
      <c r="CJQ9" s="338"/>
      <c r="CJR9" s="338"/>
      <c r="CJS9" s="338"/>
      <c r="CJT9" s="338"/>
      <c r="CJU9" s="338"/>
      <c r="CJV9" s="338"/>
      <c r="CJW9" s="338"/>
      <c r="CJX9" s="338"/>
      <c r="CJY9" s="338"/>
      <c r="CJZ9" s="338"/>
      <c r="CKA9" s="338"/>
      <c r="CKB9" s="338"/>
      <c r="CKC9" s="338"/>
      <c r="CKD9" s="338"/>
      <c r="CKE9" s="338"/>
      <c r="CKF9" s="338"/>
      <c r="CKG9" s="338"/>
      <c r="CKH9" s="338"/>
      <c r="CKI9" s="338"/>
      <c r="CKJ9" s="338"/>
      <c r="CKK9" s="338"/>
      <c r="CKL9" s="338"/>
      <c r="CKM9" s="338"/>
      <c r="CKN9" s="338"/>
      <c r="CKO9" s="338"/>
      <c r="CKP9" s="338"/>
      <c r="CKQ9" s="338"/>
      <c r="CKR9" s="338"/>
      <c r="CKS9" s="338"/>
      <c r="CKT9" s="338"/>
      <c r="CKU9" s="338"/>
      <c r="CKV9" s="338"/>
      <c r="CKW9" s="338"/>
      <c r="CKX9" s="338"/>
      <c r="CKY9" s="338"/>
      <c r="CKZ9" s="338"/>
      <c r="CLA9" s="338"/>
      <c r="CLB9" s="338"/>
      <c r="CLC9" s="338"/>
      <c r="CLD9" s="338"/>
      <c r="CLE9" s="338"/>
      <c r="CLF9" s="338"/>
      <c r="CLG9" s="338"/>
      <c r="CLH9" s="338"/>
      <c r="CLI9" s="338"/>
      <c r="CLJ9" s="338"/>
      <c r="CLK9" s="338"/>
      <c r="CLL9" s="338"/>
      <c r="CLM9" s="338"/>
      <c r="CLN9" s="338"/>
      <c r="CLO9" s="338"/>
      <c r="CLP9" s="338"/>
      <c r="CLQ9" s="338"/>
      <c r="CLR9" s="338"/>
      <c r="CLS9" s="338"/>
      <c r="CLT9" s="338"/>
      <c r="CLU9" s="338"/>
      <c r="CLV9" s="338"/>
      <c r="CLW9" s="338"/>
      <c r="CLX9" s="338"/>
      <c r="CLY9" s="338"/>
      <c r="CLZ9" s="338"/>
      <c r="CMA9" s="338"/>
      <c r="CMB9" s="338"/>
      <c r="CMC9" s="338"/>
      <c r="CMD9" s="338"/>
      <c r="CME9" s="338"/>
      <c r="CMF9" s="338"/>
      <c r="CMG9" s="338"/>
      <c r="CMH9" s="338"/>
      <c r="CMI9" s="338"/>
      <c r="CMJ9" s="338"/>
      <c r="CMK9" s="338"/>
      <c r="CML9" s="338"/>
      <c r="CMM9" s="338"/>
      <c r="CMN9" s="338"/>
      <c r="CMO9" s="338"/>
      <c r="CMP9" s="338"/>
      <c r="CMQ9" s="338"/>
      <c r="CMR9" s="338"/>
      <c r="CMS9" s="338"/>
      <c r="CMT9" s="338"/>
      <c r="CMU9" s="338"/>
      <c r="CMV9" s="338"/>
      <c r="CMW9" s="338"/>
      <c r="CMX9" s="338"/>
      <c r="CMY9" s="338"/>
      <c r="CMZ9" s="338"/>
      <c r="CNA9" s="338"/>
      <c r="CNB9" s="338"/>
      <c r="CNC9" s="338"/>
      <c r="CND9" s="338"/>
      <c r="CNE9" s="338"/>
      <c r="CNF9" s="338"/>
      <c r="CNG9" s="338"/>
      <c r="CNH9" s="338"/>
      <c r="CNI9" s="338"/>
      <c r="CNJ9" s="338"/>
      <c r="CNK9" s="338"/>
      <c r="CNL9" s="338"/>
      <c r="CNM9" s="338"/>
      <c r="CNN9" s="338"/>
      <c r="CNO9" s="338"/>
      <c r="CNP9" s="338"/>
      <c r="CNQ9" s="338"/>
      <c r="CNR9" s="338"/>
      <c r="CNS9" s="338"/>
      <c r="CNT9" s="338"/>
      <c r="CNU9" s="338"/>
      <c r="CNV9" s="338"/>
      <c r="CNW9" s="338"/>
      <c r="CNX9" s="338"/>
      <c r="CNY9" s="338"/>
      <c r="CNZ9" s="338"/>
      <c r="COA9" s="338"/>
      <c r="COB9" s="338"/>
      <c r="COC9" s="338"/>
      <c r="COD9" s="338"/>
      <c r="COE9" s="338"/>
      <c r="COF9" s="338"/>
      <c r="COG9" s="338"/>
      <c r="COH9" s="338"/>
      <c r="COI9" s="338"/>
      <c r="COJ9" s="338"/>
      <c r="COK9" s="338"/>
      <c r="COL9" s="338"/>
      <c r="COM9" s="338"/>
      <c r="CON9" s="338"/>
      <c r="COO9" s="338"/>
      <c r="COP9" s="338"/>
      <c r="COQ9" s="338"/>
      <c r="COR9" s="338"/>
      <c r="COS9" s="338"/>
      <c r="COT9" s="338"/>
      <c r="COU9" s="338"/>
      <c r="COV9" s="338"/>
      <c r="COW9" s="338"/>
      <c r="COX9" s="338"/>
      <c r="COY9" s="338"/>
      <c r="COZ9" s="338"/>
      <c r="CPA9" s="338"/>
      <c r="CPB9" s="338"/>
      <c r="CPC9" s="338"/>
      <c r="CPD9" s="338"/>
      <c r="CPE9" s="338"/>
      <c r="CPF9" s="338"/>
      <c r="CPG9" s="338"/>
      <c r="CPH9" s="338"/>
      <c r="CPI9" s="338"/>
      <c r="CPJ9" s="338"/>
      <c r="CPK9" s="338"/>
      <c r="CPL9" s="338"/>
      <c r="CPM9" s="338"/>
      <c r="CPN9" s="338"/>
      <c r="CPO9" s="338"/>
      <c r="CPP9" s="338"/>
      <c r="CPQ9" s="338"/>
      <c r="CPR9" s="338"/>
      <c r="CPS9" s="338"/>
      <c r="CPT9" s="338"/>
      <c r="CPU9" s="338"/>
      <c r="CPV9" s="338"/>
      <c r="CPW9" s="338"/>
      <c r="CPX9" s="338"/>
      <c r="CPY9" s="338"/>
      <c r="CPZ9" s="338"/>
      <c r="CQA9" s="338"/>
      <c r="CQB9" s="338"/>
      <c r="CQC9" s="338"/>
      <c r="CQD9" s="338"/>
      <c r="CQE9" s="338"/>
      <c r="CQF9" s="338"/>
      <c r="CQG9" s="338"/>
      <c r="CQH9" s="338"/>
      <c r="CQI9" s="338"/>
      <c r="CQJ9" s="338"/>
      <c r="CQK9" s="338"/>
      <c r="CQL9" s="338"/>
      <c r="CQM9" s="338"/>
      <c r="CQN9" s="338"/>
      <c r="CQO9" s="338"/>
      <c r="CQP9" s="338"/>
      <c r="CQQ9" s="338"/>
      <c r="CQR9" s="338"/>
      <c r="CQS9" s="338"/>
      <c r="CQT9" s="338"/>
      <c r="CQU9" s="338"/>
      <c r="CQV9" s="338"/>
      <c r="CQW9" s="338"/>
      <c r="CQX9" s="338"/>
      <c r="CQY9" s="338"/>
      <c r="CQZ9" s="338"/>
      <c r="CRA9" s="338"/>
      <c r="CRB9" s="338"/>
      <c r="CRC9" s="338"/>
      <c r="CRD9" s="338"/>
      <c r="CRE9" s="338"/>
      <c r="CRF9" s="338"/>
      <c r="CRG9" s="338"/>
      <c r="CRH9" s="338"/>
      <c r="CRI9" s="338"/>
      <c r="CRJ9" s="338"/>
      <c r="CRK9" s="338"/>
      <c r="CRL9" s="338"/>
      <c r="CRM9" s="338"/>
      <c r="CRN9" s="338"/>
      <c r="CRO9" s="338"/>
      <c r="CRP9" s="338"/>
      <c r="CRQ9" s="338"/>
      <c r="CRR9" s="338"/>
      <c r="CRS9" s="338"/>
      <c r="CRT9" s="338"/>
      <c r="CRU9" s="338"/>
      <c r="CRV9" s="338"/>
      <c r="CRW9" s="338"/>
      <c r="CRX9" s="338"/>
      <c r="CRY9" s="338"/>
      <c r="CRZ9" s="338"/>
      <c r="CSA9" s="338"/>
      <c r="CSB9" s="338"/>
      <c r="CSC9" s="338"/>
      <c r="CSD9" s="338"/>
      <c r="CSE9" s="338"/>
      <c r="CSF9" s="338"/>
      <c r="CSG9" s="338"/>
      <c r="CSH9" s="338"/>
      <c r="CSI9" s="338"/>
      <c r="CSJ9" s="338"/>
      <c r="CSK9" s="338"/>
      <c r="CSL9" s="338"/>
      <c r="CSM9" s="338"/>
      <c r="CSN9" s="338"/>
      <c r="CSO9" s="338"/>
      <c r="CSP9" s="338"/>
      <c r="CSQ9" s="338"/>
      <c r="CSR9" s="338"/>
      <c r="CSS9" s="338"/>
      <c r="CST9" s="338"/>
      <c r="CSU9" s="338"/>
      <c r="CSV9" s="338"/>
      <c r="CSW9" s="338"/>
      <c r="CSX9" s="338"/>
      <c r="CSY9" s="338"/>
      <c r="CSZ9" s="338"/>
      <c r="CTA9" s="338"/>
      <c r="CTB9" s="338"/>
      <c r="CTC9" s="338"/>
      <c r="CTD9" s="338"/>
      <c r="CTE9" s="338"/>
      <c r="CTF9" s="338"/>
      <c r="CTG9" s="338"/>
      <c r="CTH9" s="338"/>
      <c r="CTI9" s="338"/>
      <c r="CTJ9" s="338"/>
      <c r="CTK9" s="338"/>
      <c r="CTL9" s="338"/>
      <c r="CTM9" s="338"/>
      <c r="CTN9" s="338"/>
      <c r="CTO9" s="338"/>
      <c r="CTP9" s="338"/>
      <c r="CTQ9" s="338"/>
      <c r="CTR9" s="338"/>
      <c r="CTS9" s="338"/>
      <c r="CTT9" s="338"/>
      <c r="CTU9" s="338"/>
      <c r="CTV9" s="338"/>
      <c r="CTW9" s="338"/>
      <c r="CTX9" s="338"/>
      <c r="CTY9" s="338"/>
      <c r="CTZ9" s="338"/>
      <c r="CUA9" s="338"/>
      <c r="CUB9" s="338"/>
      <c r="CUC9" s="338"/>
      <c r="CUD9" s="338"/>
      <c r="CUE9" s="338"/>
      <c r="CUF9" s="338"/>
      <c r="CUG9" s="338"/>
      <c r="CUH9" s="338"/>
      <c r="CUI9" s="338"/>
      <c r="CUJ9" s="338"/>
      <c r="CUK9" s="338"/>
      <c r="CUL9" s="338"/>
      <c r="CUM9" s="338"/>
      <c r="CUN9" s="338"/>
      <c r="CUO9" s="338"/>
      <c r="CUP9" s="338"/>
      <c r="CUQ9" s="338"/>
      <c r="CUR9" s="338"/>
      <c r="CUS9" s="338"/>
      <c r="CUT9" s="338"/>
      <c r="CUU9" s="338"/>
      <c r="CUV9" s="338"/>
      <c r="CUW9" s="338"/>
      <c r="CUX9" s="338"/>
      <c r="CUY9" s="338"/>
      <c r="CUZ9" s="338"/>
      <c r="CVA9" s="338"/>
      <c r="CVB9" s="338"/>
      <c r="CVC9" s="338"/>
      <c r="CVD9" s="338"/>
      <c r="CVE9" s="338"/>
      <c r="CVF9" s="338"/>
      <c r="CVG9" s="338"/>
      <c r="CVH9" s="338"/>
      <c r="CVI9" s="338"/>
      <c r="CVJ9" s="338"/>
      <c r="CVK9" s="338"/>
      <c r="CVL9" s="338"/>
      <c r="CVM9" s="338"/>
      <c r="CVN9" s="338"/>
      <c r="CVO9" s="338"/>
      <c r="CVP9" s="338"/>
      <c r="CVQ9" s="338"/>
      <c r="CVR9" s="338"/>
      <c r="CVS9" s="338"/>
      <c r="CVT9" s="338"/>
      <c r="CVU9" s="338"/>
      <c r="CVV9" s="338"/>
      <c r="CVW9" s="338"/>
      <c r="CVX9" s="338"/>
      <c r="CVY9" s="338"/>
      <c r="CVZ9" s="338"/>
      <c r="CWA9" s="338"/>
      <c r="CWB9" s="338"/>
      <c r="CWC9" s="338"/>
      <c r="CWD9" s="338"/>
      <c r="CWE9" s="338"/>
      <c r="CWF9" s="338"/>
      <c r="CWG9" s="338"/>
      <c r="CWH9" s="338"/>
      <c r="CWI9" s="338"/>
      <c r="CWJ9" s="338"/>
      <c r="CWK9" s="338"/>
      <c r="CWL9" s="338"/>
      <c r="CWM9" s="338"/>
      <c r="CWN9" s="338"/>
      <c r="CWO9" s="338"/>
      <c r="CWP9" s="338"/>
      <c r="CWQ9" s="338"/>
      <c r="CWR9" s="338"/>
      <c r="CWS9" s="338"/>
      <c r="CWT9" s="338"/>
      <c r="CWU9" s="338"/>
      <c r="CWV9" s="338"/>
      <c r="CWW9" s="338"/>
      <c r="CWX9" s="338"/>
      <c r="CWY9" s="338"/>
      <c r="CWZ9" s="338"/>
      <c r="CXA9" s="338"/>
      <c r="CXB9" s="338"/>
      <c r="CXC9" s="338"/>
      <c r="CXD9" s="338"/>
      <c r="CXE9" s="338"/>
      <c r="CXF9" s="338"/>
      <c r="CXG9" s="338"/>
      <c r="CXH9" s="338"/>
      <c r="CXI9" s="338"/>
      <c r="CXJ9" s="338"/>
      <c r="CXK9" s="338"/>
      <c r="CXL9" s="338"/>
      <c r="CXM9" s="338"/>
      <c r="CXN9" s="338"/>
      <c r="CXO9" s="338"/>
      <c r="CXP9" s="338"/>
      <c r="CXQ9" s="338"/>
      <c r="CXR9" s="338"/>
      <c r="CXS9" s="338"/>
      <c r="CXT9" s="338"/>
      <c r="CXU9" s="338"/>
      <c r="CXV9" s="338"/>
      <c r="CXW9" s="338"/>
      <c r="CXX9" s="338"/>
      <c r="CXY9" s="338"/>
      <c r="CXZ9" s="338"/>
      <c r="CYA9" s="338"/>
      <c r="CYB9" s="338"/>
      <c r="CYC9" s="338"/>
      <c r="CYD9" s="338"/>
      <c r="CYE9" s="338"/>
      <c r="CYF9" s="338"/>
      <c r="CYG9" s="338"/>
      <c r="CYH9" s="338"/>
      <c r="CYI9" s="338"/>
      <c r="CYJ9" s="338"/>
      <c r="CYK9" s="338"/>
      <c r="CYL9" s="338"/>
      <c r="CYM9" s="338"/>
      <c r="CYN9" s="338"/>
      <c r="CYO9" s="338"/>
      <c r="CYP9" s="338"/>
      <c r="CYQ9" s="338"/>
      <c r="CYR9" s="338"/>
      <c r="CYS9" s="338"/>
      <c r="CYT9" s="338"/>
      <c r="CYU9" s="338"/>
      <c r="CYV9" s="338"/>
      <c r="CYW9" s="338"/>
      <c r="CYX9" s="338"/>
      <c r="CYY9" s="338"/>
      <c r="CYZ9" s="338"/>
      <c r="CZA9" s="338"/>
      <c r="CZB9" s="338"/>
      <c r="CZC9" s="338"/>
      <c r="CZD9" s="338"/>
      <c r="CZE9" s="338"/>
      <c r="CZF9" s="338"/>
      <c r="CZG9" s="338"/>
      <c r="CZH9" s="338"/>
      <c r="CZI9" s="338"/>
      <c r="CZJ9" s="338"/>
      <c r="CZK9" s="338"/>
      <c r="CZL9" s="338"/>
      <c r="CZM9" s="338"/>
      <c r="CZN9" s="338"/>
      <c r="CZO9" s="338"/>
      <c r="CZP9" s="338"/>
      <c r="CZQ9" s="338"/>
      <c r="CZR9" s="338"/>
      <c r="CZS9" s="338"/>
      <c r="CZT9" s="338"/>
      <c r="CZU9" s="338"/>
      <c r="CZV9" s="338"/>
      <c r="CZW9" s="338"/>
      <c r="CZX9" s="338"/>
      <c r="CZY9" s="338"/>
      <c r="CZZ9" s="338"/>
      <c r="DAA9" s="338"/>
      <c r="DAB9" s="338"/>
      <c r="DAC9" s="338"/>
      <c r="DAD9" s="338"/>
      <c r="DAE9" s="338"/>
      <c r="DAF9" s="338"/>
      <c r="DAG9" s="338"/>
      <c r="DAH9" s="338"/>
      <c r="DAI9" s="338"/>
      <c r="DAJ9" s="338"/>
      <c r="DAK9" s="338"/>
      <c r="DAL9" s="338"/>
      <c r="DAM9" s="338"/>
      <c r="DAN9" s="338"/>
      <c r="DAO9" s="338"/>
      <c r="DAP9" s="338"/>
      <c r="DAQ9" s="338"/>
      <c r="DAR9" s="338"/>
      <c r="DAS9" s="338"/>
      <c r="DAT9" s="338"/>
      <c r="DAU9" s="338"/>
      <c r="DAV9" s="338"/>
      <c r="DAW9" s="338"/>
      <c r="DAX9" s="338"/>
      <c r="DAY9" s="338"/>
      <c r="DAZ9" s="338"/>
      <c r="DBA9" s="338"/>
      <c r="DBB9" s="338"/>
      <c r="DBC9" s="338"/>
      <c r="DBD9" s="338"/>
      <c r="DBE9" s="338"/>
      <c r="DBF9" s="338"/>
      <c r="DBG9" s="338"/>
      <c r="DBH9" s="338"/>
      <c r="DBI9" s="338"/>
      <c r="DBJ9" s="338"/>
      <c r="DBK9" s="338"/>
      <c r="DBL9" s="338"/>
      <c r="DBM9" s="338"/>
      <c r="DBN9" s="338"/>
      <c r="DBO9" s="338"/>
      <c r="DBP9" s="338"/>
      <c r="DBQ9" s="338"/>
      <c r="DBR9" s="338"/>
      <c r="DBS9" s="338"/>
      <c r="DBT9" s="338"/>
      <c r="DBU9" s="338"/>
      <c r="DBV9" s="338"/>
      <c r="DBW9" s="338"/>
      <c r="DBX9" s="338"/>
      <c r="DBY9" s="338"/>
      <c r="DBZ9" s="338"/>
      <c r="DCA9" s="338"/>
      <c r="DCB9" s="338"/>
      <c r="DCC9" s="338"/>
      <c r="DCD9" s="338"/>
      <c r="DCE9" s="338"/>
      <c r="DCF9" s="338"/>
      <c r="DCG9" s="338"/>
      <c r="DCH9" s="338"/>
      <c r="DCI9" s="338"/>
      <c r="DCJ9" s="338"/>
      <c r="DCK9" s="338"/>
      <c r="DCL9" s="338"/>
      <c r="DCM9" s="338"/>
      <c r="DCN9" s="338"/>
      <c r="DCO9" s="338"/>
      <c r="DCP9" s="338"/>
      <c r="DCQ9" s="338"/>
      <c r="DCR9" s="338"/>
      <c r="DCS9" s="338"/>
      <c r="DCT9" s="338"/>
      <c r="DCU9" s="338"/>
      <c r="DCV9" s="338"/>
      <c r="DCW9" s="338"/>
      <c r="DCX9" s="338"/>
      <c r="DCY9" s="338"/>
      <c r="DCZ9" s="338"/>
      <c r="DDA9" s="338"/>
      <c r="DDB9" s="338"/>
      <c r="DDC9" s="338"/>
      <c r="DDD9" s="338"/>
      <c r="DDE9" s="338"/>
      <c r="DDF9" s="338"/>
      <c r="DDG9" s="338"/>
      <c r="DDH9" s="338"/>
      <c r="DDI9" s="338"/>
      <c r="DDJ9" s="338"/>
      <c r="DDK9" s="338"/>
      <c r="DDL9" s="338"/>
      <c r="DDM9" s="338"/>
      <c r="DDN9" s="338"/>
      <c r="DDO9" s="338"/>
      <c r="DDP9" s="338"/>
      <c r="DDQ9" s="338"/>
      <c r="DDR9" s="338"/>
      <c r="DDS9" s="338"/>
      <c r="DDT9" s="338"/>
      <c r="DDU9" s="338"/>
      <c r="DDV9" s="338"/>
      <c r="DDW9" s="338"/>
      <c r="DDX9" s="338"/>
      <c r="DDY9" s="338"/>
      <c r="DDZ9" s="338"/>
      <c r="DEA9" s="338"/>
      <c r="DEB9" s="338"/>
      <c r="DEC9" s="338"/>
      <c r="DED9" s="338"/>
      <c r="DEE9" s="338"/>
      <c r="DEF9" s="338"/>
      <c r="DEG9" s="338"/>
      <c r="DEH9" s="338"/>
      <c r="DEI9" s="338"/>
      <c r="DEJ9" s="338"/>
      <c r="DEK9" s="338"/>
      <c r="DEL9" s="338"/>
      <c r="DEM9" s="338"/>
      <c r="DEN9" s="338"/>
      <c r="DEO9" s="338"/>
      <c r="DEP9" s="338"/>
      <c r="DEQ9" s="338"/>
      <c r="DER9" s="338"/>
      <c r="DES9" s="338"/>
      <c r="DET9" s="338"/>
      <c r="DEU9" s="338"/>
      <c r="DEV9" s="338"/>
      <c r="DEW9" s="338"/>
      <c r="DEX9" s="338"/>
      <c r="DEY9" s="338"/>
      <c r="DEZ9" s="338"/>
      <c r="DFA9" s="338"/>
      <c r="DFB9" s="338"/>
      <c r="DFC9" s="338"/>
      <c r="DFD9" s="338"/>
      <c r="DFE9" s="338"/>
      <c r="DFF9" s="338"/>
      <c r="DFG9" s="338"/>
      <c r="DFH9" s="338"/>
      <c r="DFI9" s="338"/>
      <c r="DFJ9" s="338"/>
      <c r="DFK9" s="338"/>
      <c r="DFL9" s="338"/>
      <c r="DFM9" s="338"/>
      <c r="DFN9" s="338"/>
      <c r="DFO9" s="338"/>
      <c r="DFP9" s="338"/>
      <c r="DFQ9" s="338"/>
      <c r="DFR9" s="338"/>
      <c r="DFS9" s="338"/>
      <c r="DFT9" s="338"/>
      <c r="DFU9" s="338"/>
      <c r="DFV9" s="338"/>
      <c r="DFW9" s="338"/>
      <c r="DFX9" s="338"/>
      <c r="DFY9" s="338"/>
      <c r="DFZ9" s="338"/>
      <c r="DGA9" s="338"/>
      <c r="DGB9" s="338"/>
      <c r="DGC9" s="338"/>
      <c r="DGD9" s="338"/>
      <c r="DGE9" s="338"/>
      <c r="DGF9" s="338"/>
      <c r="DGG9" s="338"/>
      <c r="DGH9" s="338"/>
      <c r="DGI9" s="338"/>
      <c r="DGJ9" s="338"/>
      <c r="DGK9" s="338"/>
      <c r="DGL9" s="338"/>
      <c r="DGM9" s="338"/>
      <c r="DGN9" s="338"/>
      <c r="DGO9" s="338"/>
      <c r="DGP9" s="338"/>
      <c r="DGQ9" s="338"/>
      <c r="DGR9" s="338"/>
      <c r="DGS9" s="338"/>
      <c r="DGT9" s="338"/>
      <c r="DGU9" s="338"/>
      <c r="DGV9" s="338"/>
      <c r="DGW9" s="338"/>
      <c r="DGX9" s="338"/>
      <c r="DGY9" s="338"/>
      <c r="DGZ9" s="338"/>
      <c r="DHA9" s="338"/>
      <c r="DHB9" s="338"/>
      <c r="DHC9" s="338"/>
      <c r="DHD9" s="338"/>
      <c r="DHE9" s="338"/>
      <c r="DHF9" s="338"/>
      <c r="DHG9" s="338"/>
      <c r="DHH9" s="338"/>
      <c r="DHI9" s="338"/>
      <c r="DHJ9" s="338"/>
      <c r="DHK9" s="338"/>
      <c r="DHL9" s="338"/>
      <c r="DHM9" s="338"/>
      <c r="DHN9" s="338"/>
      <c r="DHO9" s="338"/>
      <c r="DHP9" s="338"/>
      <c r="DHQ9" s="338"/>
      <c r="DHR9" s="338"/>
      <c r="DHS9" s="338"/>
      <c r="DHT9" s="338"/>
      <c r="DHU9" s="338"/>
      <c r="DHV9" s="338"/>
      <c r="DHW9" s="338"/>
      <c r="DHX9" s="338"/>
      <c r="DHY9" s="338"/>
      <c r="DHZ9" s="338"/>
      <c r="DIA9" s="338"/>
      <c r="DIB9" s="338"/>
      <c r="DIC9" s="338"/>
      <c r="DID9" s="338"/>
      <c r="DIE9" s="338"/>
      <c r="DIF9" s="338"/>
      <c r="DIG9" s="338"/>
      <c r="DIH9" s="338"/>
      <c r="DII9" s="338"/>
      <c r="DIJ9" s="338"/>
      <c r="DIK9" s="338"/>
      <c r="DIL9" s="338"/>
      <c r="DIM9" s="338"/>
      <c r="DIN9" s="338"/>
      <c r="DIO9" s="338"/>
      <c r="DIP9" s="338"/>
      <c r="DIQ9" s="338"/>
      <c r="DIR9" s="338"/>
      <c r="DIS9" s="338"/>
      <c r="DIT9" s="338"/>
      <c r="DIU9" s="338"/>
      <c r="DIV9" s="338"/>
      <c r="DIW9" s="338"/>
      <c r="DIX9" s="338"/>
      <c r="DIY9" s="338"/>
      <c r="DIZ9" s="338"/>
      <c r="DJA9" s="338"/>
      <c r="DJB9" s="338"/>
      <c r="DJC9" s="338"/>
      <c r="DJD9" s="338"/>
      <c r="DJE9" s="338"/>
      <c r="DJF9" s="338"/>
      <c r="DJG9" s="338"/>
      <c r="DJH9" s="338"/>
      <c r="DJI9" s="338"/>
      <c r="DJJ9" s="338"/>
      <c r="DJK9" s="338"/>
      <c r="DJL9" s="338"/>
      <c r="DJM9" s="338"/>
      <c r="DJN9" s="338"/>
      <c r="DJO9" s="338"/>
      <c r="DJP9" s="338"/>
      <c r="DJQ9" s="338"/>
      <c r="DJR9" s="338"/>
      <c r="DJS9" s="338"/>
      <c r="DJT9" s="338"/>
      <c r="DJU9" s="338"/>
      <c r="DJV9" s="338"/>
      <c r="DJW9" s="338"/>
      <c r="DJX9" s="338"/>
      <c r="DJY9" s="338"/>
      <c r="DJZ9" s="338"/>
      <c r="DKA9" s="338"/>
      <c r="DKB9" s="338"/>
      <c r="DKC9" s="338"/>
      <c r="DKD9" s="338"/>
      <c r="DKE9" s="338"/>
      <c r="DKF9" s="338"/>
      <c r="DKG9" s="338"/>
      <c r="DKH9" s="338"/>
      <c r="DKI9" s="338"/>
      <c r="DKJ9" s="338"/>
      <c r="DKK9" s="338"/>
      <c r="DKL9" s="338"/>
      <c r="DKM9" s="338"/>
      <c r="DKN9" s="338"/>
      <c r="DKO9" s="338"/>
      <c r="DKP9" s="338"/>
      <c r="DKQ9" s="338"/>
      <c r="DKR9" s="338"/>
      <c r="DKS9" s="338"/>
      <c r="DKT9" s="338"/>
      <c r="DKU9" s="338"/>
      <c r="DKV9" s="338"/>
      <c r="DKW9" s="338"/>
      <c r="DKX9" s="338"/>
      <c r="DKY9" s="338"/>
      <c r="DKZ9" s="338"/>
      <c r="DLA9" s="338"/>
      <c r="DLB9" s="338"/>
      <c r="DLC9" s="338"/>
      <c r="DLD9" s="338"/>
      <c r="DLE9" s="338"/>
      <c r="DLF9" s="338"/>
      <c r="DLG9" s="338"/>
      <c r="DLH9" s="338"/>
      <c r="DLI9" s="338"/>
      <c r="DLJ9" s="338"/>
      <c r="DLK9" s="338"/>
      <c r="DLL9" s="338"/>
      <c r="DLM9" s="338"/>
      <c r="DLN9" s="338"/>
      <c r="DLO9" s="338"/>
      <c r="DLP9" s="338"/>
      <c r="DLQ9" s="338"/>
      <c r="DLR9" s="338"/>
      <c r="DLS9" s="338"/>
      <c r="DLT9" s="338"/>
      <c r="DLU9" s="338"/>
      <c r="DLV9" s="338"/>
      <c r="DLW9" s="338"/>
      <c r="DLX9" s="338"/>
      <c r="DLY9" s="338"/>
      <c r="DLZ9" s="338"/>
      <c r="DMA9" s="338"/>
      <c r="DMB9" s="338"/>
      <c r="DMC9" s="338"/>
      <c r="DMD9" s="338"/>
      <c r="DME9" s="338"/>
      <c r="DMF9" s="338"/>
      <c r="DMG9" s="338"/>
      <c r="DMH9" s="338"/>
      <c r="DMI9" s="338"/>
      <c r="DMJ9" s="338"/>
      <c r="DMK9" s="338"/>
      <c r="DML9" s="338"/>
      <c r="DMM9" s="338"/>
      <c r="DMN9" s="338"/>
      <c r="DMO9" s="338"/>
      <c r="DMP9" s="338"/>
      <c r="DMQ9" s="338"/>
      <c r="DMR9" s="338"/>
      <c r="DMS9" s="338"/>
      <c r="DMT9" s="338"/>
      <c r="DMU9" s="338"/>
      <c r="DMV9" s="338"/>
      <c r="DMW9" s="338"/>
      <c r="DMX9" s="338"/>
      <c r="DMY9" s="338"/>
      <c r="DMZ9" s="338"/>
      <c r="DNA9" s="338"/>
      <c r="DNB9" s="338"/>
      <c r="DNC9" s="338"/>
      <c r="DND9" s="338"/>
      <c r="DNE9" s="338"/>
      <c r="DNF9" s="338"/>
      <c r="DNG9" s="338"/>
      <c r="DNH9" s="338"/>
      <c r="DNI9" s="338"/>
      <c r="DNJ9" s="338"/>
      <c r="DNK9" s="338"/>
      <c r="DNL9" s="338"/>
      <c r="DNM9" s="338"/>
      <c r="DNN9" s="338"/>
      <c r="DNO9" s="338"/>
      <c r="DNP9" s="338"/>
      <c r="DNQ9" s="338"/>
      <c r="DNR9" s="338"/>
      <c r="DNS9" s="338"/>
      <c r="DNT9" s="338"/>
      <c r="DNU9" s="338"/>
      <c r="DNV9" s="338"/>
      <c r="DNW9" s="338"/>
      <c r="DNX9" s="338"/>
      <c r="DNY9" s="338"/>
      <c r="DNZ9" s="338"/>
      <c r="DOA9" s="338"/>
      <c r="DOB9" s="338"/>
      <c r="DOC9" s="338"/>
      <c r="DOD9" s="338"/>
      <c r="DOE9" s="338"/>
      <c r="DOF9" s="338"/>
      <c r="DOG9" s="338"/>
      <c r="DOH9" s="338"/>
      <c r="DOI9" s="338"/>
      <c r="DOJ9" s="338"/>
      <c r="DOK9" s="338"/>
      <c r="DOL9" s="338"/>
      <c r="DOM9" s="338"/>
      <c r="DON9" s="338"/>
      <c r="DOO9" s="338"/>
      <c r="DOP9" s="338"/>
      <c r="DOQ9" s="338"/>
      <c r="DOR9" s="338"/>
      <c r="DOS9" s="338"/>
      <c r="DOT9" s="338"/>
      <c r="DOU9" s="338"/>
      <c r="DOV9" s="338"/>
      <c r="DOW9" s="338"/>
      <c r="DOX9" s="338"/>
      <c r="DOY9" s="338"/>
      <c r="DOZ9" s="338"/>
      <c r="DPA9" s="338"/>
      <c r="DPB9" s="338"/>
      <c r="DPC9" s="338"/>
      <c r="DPD9" s="338"/>
      <c r="DPE9" s="338"/>
      <c r="DPF9" s="338"/>
      <c r="DPG9" s="338"/>
      <c r="DPH9" s="338"/>
      <c r="DPI9" s="338"/>
      <c r="DPJ9" s="338"/>
      <c r="DPK9" s="338"/>
      <c r="DPL9" s="338"/>
      <c r="DPM9" s="338"/>
      <c r="DPN9" s="338"/>
      <c r="DPO9" s="338"/>
      <c r="DPP9" s="338"/>
      <c r="DPQ9" s="338"/>
      <c r="DPR9" s="338"/>
      <c r="DPS9" s="338"/>
      <c r="DPT9" s="338"/>
      <c r="DPU9" s="338"/>
      <c r="DPV9" s="338"/>
      <c r="DPW9" s="338"/>
      <c r="DPX9" s="338"/>
      <c r="DPY9" s="338"/>
      <c r="DPZ9" s="338"/>
      <c r="DQA9" s="338"/>
      <c r="DQB9" s="338"/>
      <c r="DQC9" s="338"/>
      <c r="DQD9" s="338"/>
      <c r="DQE9" s="338"/>
      <c r="DQF9" s="338"/>
      <c r="DQG9" s="338"/>
      <c r="DQH9" s="338"/>
      <c r="DQI9" s="338"/>
      <c r="DQJ9" s="338"/>
      <c r="DQK9" s="338"/>
      <c r="DQL9" s="338"/>
      <c r="DQM9" s="338"/>
      <c r="DQN9" s="338"/>
      <c r="DQO9" s="338"/>
      <c r="DQP9" s="338"/>
      <c r="DQQ9" s="338"/>
      <c r="DQR9" s="338"/>
      <c r="DQS9" s="338"/>
      <c r="DQT9" s="338"/>
      <c r="DQU9" s="338"/>
      <c r="DQV9" s="338"/>
      <c r="DQW9" s="338"/>
      <c r="DQX9" s="338"/>
      <c r="DQY9" s="338"/>
      <c r="DQZ9" s="338"/>
      <c r="DRA9" s="338"/>
      <c r="DRB9" s="338"/>
      <c r="DRC9" s="338"/>
      <c r="DRD9" s="338"/>
      <c r="DRE9" s="338"/>
      <c r="DRF9" s="338"/>
      <c r="DRG9" s="338"/>
      <c r="DRH9" s="338"/>
      <c r="DRI9" s="338"/>
      <c r="DRJ9" s="338"/>
      <c r="DRK9" s="338"/>
      <c r="DRL9" s="338"/>
      <c r="DRM9" s="338"/>
      <c r="DRN9" s="338"/>
      <c r="DRO9" s="338"/>
      <c r="DRP9" s="338"/>
      <c r="DRQ9" s="338"/>
      <c r="DRR9" s="338"/>
      <c r="DRS9" s="338"/>
      <c r="DRT9" s="338"/>
      <c r="DRU9" s="338"/>
      <c r="DRV9" s="338"/>
      <c r="DRW9" s="338"/>
      <c r="DRX9" s="338"/>
      <c r="DRY9" s="338"/>
      <c r="DRZ9" s="338"/>
      <c r="DSA9" s="338"/>
      <c r="DSB9" s="338"/>
      <c r="DSC9" s="338"/>
      <c r="DSD9" s="338"/>
      <c r="DSE9" s="338"/>
      <c r="DSF9" s="338"/>
      <c r="DSG9" s="338"/>
      <c r="DSH9" s="338"/>
      <c r="DSI9" s="338"/>
      <c r="DSJ9" s="338"/>
      <c r="DSK9" s="338"/>
      <c r="DSL9" s="338"/>
      <c r="DSM9" s="338"/>
      <c r="DSN9" s="338"/>
      <c r="DSO9" s="338"/>
      <c r="DSP9" s="338"/>
      <c r="DSQ9" s="338"/>
      <c r="DSR9" s="338"/>
      <c r="DSS9" s="338"/>
      <c r="DST9" s="338"/>
      <c r="DSU9" s="338"/>
      <c r="DSV9" s="338"/>
      <c r="DSW9" s="338"/>
      <c r="DSX9" s="338"/>
      <c r="DSY9" s="338"/>
      <c r="DSZ9" s="338"/>
      <c r="DTA9" s="338"/>
      <c r="DTB9" s="338"/>
      <c r="DTC9" s="338"/>
      <c r="DTD9" s="338"/>
      <c r="DTE9" s="338"/>
      <c r="DTF9" s="338"/>
      <c r="DTG9" s="338"/>
      <c r="DTH9" s="338"/>
      <c r="DTI9" s="338"/>
      <c r="DTJ9" s="338"/>
      <c r="DTK9" s="338"/>
      <c r="DTL9" s="338"/>
      <c r="DTM9" s="338"/>
      <c r="DTN9" s="338"/>
      <c r="DTO9" s="338"/>
      <c r="DTP9" s="338"/>
      <c r="DTQ9" s="338"/>
      <c r="DTR9" s="338"/>
      <c r="DTS9" s="338"/>
      <c r="DTT9" s="338"/>
      <c r="DTU9" s="338"/>
      <c r="DTV9" s="338"/>
      <c r="DTW9" s="338"/>
      <c r="DTX9" s="338"/>
      <c r="DTY9" s="338"/>
      <c r="DTZ9" s="338"/>
      <c r="DUA9" s="338"/>
      <c r="DUB9" s="338"/>
      <c r="DUC9" s="338"/>
      <c r="DUD9" s="338"/>
      <c r="DUE9" s="338"/>
      <c r="DUF9" s="338"/>
      <c r="DUG9" s="338"/>
      <c r="DUH9" s="338"/>
      <c r="DUI9" s="338"/>
      <c r="DUJ9" s="338"/>
      <c r="DUK9" s="338"/>
      <c r="DUL9" s="338"/>
      <c r="DUM9" s="338"/>
      <c r="DUN9" s="338"/>
      <c r="DUO9" s="338"/>
      <c r="DUP9" s="338"/>
      <c r="DUQ9" s="338"/>
      <c r="DUR9" s="338"/>
      <c r="DUS9" s="338"/>
      <c r="DUT9" s="338"/>
      <c r="DUU9" s="338"/>
      <c r="DUV9" s="338"/>
      <c r="DUW9" s="338"/>
      <c r="DUX9" s="338"/>
      <c r="DUY9" s="338"/>
      <c r="DUZ9" s="338"/>
      <c r="DVA9" s="338"/>
      <c r="DVB9" s="338"/>
      <c r="DVC9" s="338"/>
      <c r="DVD9" s="338"/>
      <c r="DVE9" s="338"/>
      <c r="DVF9" s="338"/>
      <c r="DVG9" s="338"/>
      <c r="DVH9" s="338"/>
      <c r="DVI9" s="338"/>
      <c r="DVJ9" s="338"/>
      <c r="DVK9" s="338"/>
      <c r="DVL9" s="338"/>
      <c r="DVM9" s="338"/>
      <c r="DVN9" s="338"/>
      <c r="DVO9" s="338"/>
      <c r="DVP9" s="338"/>
      <c r="DVQ9" s="338"/>
      <c r="DVR9" s="338"/>
      <c r="DVS9" s="338"/>
      <c r="DVT9" s="338"/>
      <c r="DVU9" s="338"/>
      <c r="DVV9" s="338"/>
      <c r="DVW9" s="338"/>
      <c r="DVX9" s="338"/>
      <c r="DVY9" s="338"/>
      <c r="DVZ9" s="338"/>
      <c r="DWA9" s="338"/>
      <c r="DWB9" s="338"/>
      <c r="DWC9" s="338"/>
      <c r="DWD9" s="338"/>
      <c r="DWE9" s="338"/>
      <c r="DWF9" s="338"/>
      <c r="DWG9" s="338"/>
      <c r="DWH9" s="338"/>
      <c r="DWI9" s="338"/>
      <c r="DWJ9" s="338"/>
      <c r="DWK9" s="338"/>
      <c r="DWL9" s="338"/>
      <c r="DWM9" s="338"/>
      <c r="DWN9" s="338"/>
      <c r="DWO9" s="338"/>
      <c r="DWP9" s="338"/>
      <c r="DWQ9" s="338"/>
      <c r="DWR9" s="338"/>
      <c r="DWS9" s="338"/>
      <c r="DWT9" s="338"/>
      <c r="DWU9" s="338"/>
      <c r="DWV9" s="338"/>
      <c r="DWW9" s="338"/>
      <c r="DWX9" s="338"/>
      <c r="DWY9" s="338"/>
      <c r="DWZ9" s="338"/>
      <c r="DXA9" s="338"/>
      <c r="DXB9" s="338"/>
      <c r="DXC9" s="338"/>
      <c r="DXD9" s="338"/>
      <c r="DXE9" s="338"/>
      <c r="DXF9" s="338"/>
      <c r="DXG9" s="338"/>
      <c r="DXH9" s="338"/>
      <c r="DXI9" s="338"/>
      <c r="DXJ9" s="338"/>
      <c r="DXK9" s="338"/>
      <c r="DXL9" s="338"/>
      <c r="DXM9" s="338"/>
      <c r="DXN9" s="338"/>
      <c r="DXO9" s="338"/>
      <c r="DXP9" s="338"/>
      <c r="DXQ9" s="338"/>
      <c r="DXR9" s="338"/>
      <c r="DXS9" s="338"/>
      <c r="DXT9" s="338"/>
      <c r="DXU9" s="338"/>
      <c r="DXV9" s="338"/>
      <c r="DXW9" s="338"/>
      <c r="DXX9" s="338"/>
      <c r="DXY9" s="338"/>
      <c r="DXZ9" s="338"/>
      <c r="DYA9" s="338"/>
      <c r="DYB9" s="338"/>
      <c r="DYC9" s="338"/>
      <c r="DYD9" s="338"/>
      <c r="DYE9" s="338"/>
      <c r="DYF9" s="338"/>
      <c r="DYG9" s="338"/>
      <c r="DYH9" s="338"/>
      <c r="DYI9" s="338"/>
      <c r="DYJ9" s="338"/>
      <c r="DYK9" s="338"/>
      <c r="DYL9" s="338"/>
      <c r="DYM9" s="338"/>
      <c r="DYN9" s="338"/>
      <c r="DYO9" s="338"/>
      <c r="DYP9" s="338"/>
      <c r="DYQ9" s="338"/>
      <c r="DYR9" s="338"/>
      <c r="DYS9" s="338"/>
      <c r="DYT9" s="338"/>
      <c r="DYU9" s="338"/>
      <c r="DYV9" s="338"/>
      <c r="DYW9" s="338"/>
      <c r="DYX9" s="338"/>
      <c r="DYY9" s="338"/>
      <c r="DYZ9" s="338"/>
      <c r="DZA9" s="338"/>
      <c r="DZB9" s="338"/>
      <c r="DZC9" s="338"/>
      <c r="DZD9" s="338"/>
      <c r="DZE9" s="338"/>
      <c r="DZF9" s="338"/>
      <c r="DZG9" s="338"/>
      <c r="DZH9" s="338"/>
      <c r="DZI9" s="338"/>
      <c r="DZJ9" s="338"/>
      <c r="DZK9" s="338"/>
      <c r="DZL9" s="338"/>
      <c r="DZM9" s="338"/>
      <c r="DZN9" s="338"/>
      <c r="DZO9" s="338"/>
      <c r="DZP9" s="338"/>
      <c r="DZQ9" s="338"/>
      <c r="DZR9" s="338"/>
      <c r="DZS9" s="338"/>
      <c r="DZT9" s="338"/>
      <c r="DZU9" s="338"/>
      <c r="DZV9" s="338"/>
      <c r="DZW9" s="338"/>
      <c r="DZX9" s="338"/>
      <c r="DZY9" s="338"/>
      <c r="DZZ9" s="338"/>
      <c r="EAA9" s="338"/>
      <c r="EAB9" s="338"/>
      <c r="EAC9" s="338"/>
      <c r="EAD9" s="338"/>
      <c r="EAE9" s="338"/>
      <c r="EAF9" s="338"/>
      <c r="EAG9" s="338"/>
      <c r="EAH9" s="338"/>
      <c r="EAI9" s="338"/>
      <c r="EAJ9" s="338"/>
      <c r="EAK9" s="338"/>
      <c r="EAL9" s="338"/>
      <c r="EAM9" s="338"/>
      <c r="EAN9" s="338"/>
      <c r="EAO9" s="338"/>
      <c r="EAP9" s="338"/>
      <c r="EAQ9" s="338"/>
      <c r="EAR9" s="338"/>
      <c r="EAS9" s="338"/>
      <c r="EAT9" s="338"/>
      <c r="EAU9" s="338"/>
      <c r="EAV9" s="338"/>
      <c r="EAW9" s="338"/>
      <c r="EAX9" s="338"/>
      <c r="EAY9" s="338"/>
      <c r="EAZ9" s="338"/>
      <c r="EBA9" s="338"/>
      <c r="EBB9" s="338"/>
      <c r="EBC9" s="338"/>
      <c r="EBD9" s="338"/>
      <c r="EBE9" s="338"/>
      <c r="EBF9" s="338"/>
      <c r="EBG9" s="338"/>
      <c r="EBH9" s="338"/>
      <c r="EBI9" s="338"/>
      <c r="EBJ9" s="338"/>
      <c r="EBK9" s="338"/>
      <c r="EBL9" s="338"/>
      <c r="EBM9" s="338"/>
      <c r="EBN9" s="338"/>
      <c r="EBO9" s="338"/>
      <c r="EBP9" s="338"/>
      <c r="EBQ9" s="338"/>
      <c r="EBR9" s="338"/>
      <c r="EBS9" s="338"/>
      <c r="EBT9" s="338"/>
      <c r="EBU9" s="338"/>
      <c r="EBV9" s="338"/>
      <c r="EBW9" s="338"/>
      <c r="EBX9" s="338"/>
      <c r="EBY9" s="338"/>
      <c r="EBZ9" s="338"/>
      <c r="ECA9" s="338"/>
      <c r="ECB9" s="338"/>
      <c r="ECC9" s="338"/>
      <c r="ECD9" s="338"/>
      <c r="ECE9" s="338"/>
      <c r="ECF9" s="338"/>
      <c r="ECG9" s="338"/>
      <c r="ECH9" s="338"/>
      <c r="ECI9" s="338"/>
      <c r="ECJ9" s="338"/>
      <c r="ECK9" s="338"/>
      <c r="ECL9" s="338"/>
      <c r="ECM9" s="338"/>
      <c r="ECN9" s="338"/>
      <c r="ECO9" s="338"/>
      <c r="ECP9" s="338"/>
      <c r="ECQ9" s="338"/>
      <c r="ECR9" s="338"/>
      <c r="ECS9" s="338"/>
      <c r="ECT9" s="338"/>
      <c r="ECU9" s="338"/>
      <c r="ECV9" s="338"/>
      <c r="ECW9" s="338"/>
      <c r="ECX9" s="338"/>
      <c r="ECY9" s="338"/>
      <c r="ECZ9" s="338"/>
      <c r="EDA9" s="338"/>
      <c r="EDB9" s="338"/>
      <c r="EDC9" s="338"/>
      <c r="EDD9" s="338"/>
      <c r="EDE9" s="338"/>
      <c r="EDF9" s="338"/>
      <c r="EDG9" s="338"/>
      <c r="EDH9" s="338"/>
      <c r="EDI9" s="338"/>
      <c r="EDJ9" s="338"/>
      <c r="EDK9" s="338"/>
      <c r="EDL9" s="338"/>
      <c r="EDM9" s="338"/>
      <c r="EDN9" s="338"/>
      <c r="EDO9" s="338"/>
      <c r="EDP9" s="338"/>
      <c r="EDQ9" s="338"/>
      <c r="EDR9" s="338"/>
      <c r="EDS9" s="338"/>
      <c r="EDT9" s="338"/>
      <c r="EDU9" s="338"/>
      <c r="EDV9" s="338"/>
      <c r="EDW9" s="338"/>
      <c r="EDX9" s="338"/>
      <c r="EDY9" s="338"/>
      <c r="EDZ9" s="338"/>
      <c r="EEA9" s="338"/>
      <c r="EEB9" s="338"/>
      <c r="EEC9" s="338"/>
      <c r="EED9" s="338"/>
      <c r="EEE9" s="338"/>
      <c r="EEF9" s="338"/>
      <c r="EEG9" s="338"/>
      <c r="EEH9" s="338"/>
      <c r="EEI9" s="338"/>
      <c r="EEJ9" s="338"/>
      <c r="EEK9" s="338"/>
      <c r="EEL9" s="338"/>
      <c r="EEM9" s="338"/>
      <c r="EEN9" s="338"/>
      <c r="EEO9" s="338"/>
      <c r="EEP9" s="338"/>
      <c r="EEQ9" s="338"/>
      <c r="EER9" s="338"/>
      <c r="EES9" s="338"/>
      <c r="EET9" s="338"/>
      <c r="EEU9" s="338"/>
      <c r="EEV9" s="338"/>
      <c r="EEW9" s="338"/>
      <c r="EEX9" s="338"/>
      <c r="EEY9" s="338"/>
      <c r="EEZ9" s="338"/>
      <c r="EFA9" s="338"/>
      <c r="EFB9" s="338"/>
      <c r="EFC9" s="338"/>
      <c r="EFD9" s="338"/>
      <c r="EFE9" s="338"/>
      <c r="EFF9" s="338"/>
      <c r="EFG9" s="338"/>
      <c r="EFH9" s="338"/>
      <c r="EFI9" s="338"/>
      <c r="EFJ9" s="338"/>
      <c r="EFK9" s="338"/>
      <c r="EFL9" s="338"/>
      <c r="EFM9" s="338"/>
      <c r="EFN9" s="338"/>
      <c r="EFO9" s="338"/>
      <c r="EFP9" s="338"/>
      <c r="EFQ9" s="338"/>
      <c r="EFR9" s="338"/>
      <c r="EFS9" s="338"/>
      <c r="EFT9" s="338"/>
      <c r="EFU9" s="338"/>
      <c r="EFV9" s="338"/>
      <c r="EFW9" s="338"/>
      <c r="EFX9" s="338"/>
      <c r="EFY9" s="338"/>
      <c r="EFZ9" s="338"/>
      <c r="EGA9" s="338"/>
      <c r="EGB9" s="338"/>
      <c r="EGC9" s="338"/>
      <c r="EGD9" s="338"/>
      <c r="EGE9" s="338"/>
      <c r="EGF9" s="338"/>
      <c r="EGG9" s="338"/>
      <c r="EGH9" s="338"/>
      <c r="EGI9" s="338"/>
      <c r="EGJ9" s="338"/>
      <c r="EGK9" s="338"/>
      <c r="EGL9" s="338"/>
      <c r="EGM9" s="338"/>
      <c r="EGN9" s="338"/>
      <c r="EGO9" s="338"/>
      <c r="EGP9" s="338"/>
      <c r="EGQ9" s="338"/>
      <c r="EGR9" s="338"/>
      <c r="EGS9" s="338"/>
      <c r="EGT9" s="338"/>
      <c r="EGU9" s="338"/>
      <c r="EGV9" s="338"/>
      <c r="EGW9" s="338"/>
      <c r="EGX9" s="338"/>
      <c r="EGY9" s="338"/>
      <c r="EGZ9" s="338"/>
      <c r="EHA9" s="338"/>
      <c r="EHB9" s="338"/>
      <c r="EHC9" s="338"/>
      <c r="EHD9" s="338"/>
      <c r="EHE9" s="338"/>
      <c r="EHF9" s="338"/>
      <c r="EHG9" s="338"/>
      <c r="EHH9" s="338"/>
      <c r="EHI9" s="338"/>
      <c r="EHJ9" s="338"/>
      <c r="EHK9" s="338"/>
      <c r="EHL9" s="338"/>
      <c r="EHM9" s="338"/>
      <c r="EHN9" s="338"/>
      <c r="EHO9" s="338"/>
      <c r="EHP9" s="338"/>
      <c r="EHQ9" s="338"/>
      <c r="EHR9" s="338"/>
      <c r="EHS9" s="338"/>
      <c r="EHT9" s="338"/>
      <c r="EHU9" s="338"/>
      <c r="EHV9" s="338"/>
      <c r="EHW9" s="338"/>
      <c r="EHX9" s="338"/>
      <c r="EHY9" s="338"/>
      <c r="EHZ9" s="338"/>
      <c r="EIA9" s="338"/>
      <c r="EIB9" s="338"/>
      <c r="EIC9" s="338"/>
      <c r="EID9" s="338"/>
      <c r="EIE9" s="338"/>
      <c r="EIF9" s="338"/>
      <c r="EIG9" s="338"/>
      <c r="EIH9" s="338"/>
      <c r="EII9" s="338"/>
      <c r="EIJ9" s="338"/>
      <c r="EIK9" s="338"/>
      <c r="EIL9" s="338"/>
      <c r="EIM9" s="338"/>
      <c r="EIN9" s="338"/>
      <c r="EIO9" s="338"/>
      <c r="EIP9" s="338"/>
      <c r="EIQ9" s="338"/>
      <c r="EIR9" s="338"/>
      <c r="EIS9" s="338"/>
      <c r="EIT9" s="338"/>
      <c r="EIU9" s="338"/>
      <c r="EIV9" s="338"/>
      <c r="EIW9" s="338"/>
      <c r="EIX9" s="338"/>
      <c r="EIY9" s="338"/>
      <c r="EIZ9" s="338"/>
      <c r="EJA9" s="338"/>
      <c r="EJB9" s="338"/>
      <c r="EJC9" s="338"/>
      <c r="EJD9" s="338"/>
      <c r="EJE9" s="338"/>
      <c r="EJF9" s="338"/>
      <c r="EJG9" s="338"/>
      <c r="EJH9" s="338"/>
      <c r="EJI9" s="338"/>
      <c r="EJJ9" s="338"/>
      <c r="EJK9" s="338"/>
      <c r="EJL9" s="338"/>
      <c r="EJM9" s="338"/>
      <c r="EJN9" s="338"/>
      <c r="EJO9" s="338"/>
      <c r="EJP9" s="338"/>
      <c r="EJQ9" s="338"/>
      <c r="EJR9" s="338"/>
      <c r="EJS9" s="338"/>
      <c r="EJT9" s="338"/>
      <c r="EJU9" s="338"/>
      <c r="EJV9" s="338"/>
      <c r="EJW9" s="338"/>
      <c r="EJX9" s="338"/>
      <c r="EJY9" s="338"/>
      <c r="EJZ9" s="338"/>
      <c r="EKA9" s="338"/>
      <c r="EKB9" s="338"/>
      <c r="EKC9" s="338"/>
      <c r="EKD9" s="338"/>
      <c r="EKE9" s="338"/>
      <c r="EKF9" s="338"/>
      <c r="EKG9" s="338"/>
      <c r="EKH9" s="338"/>
      <c r="EKI9" s="338"/>
      <c r="EKJ9" s="338"/>
      <c r="EKK9" s="338"/>
      <c r="EKL9" s="338"/>
      <c r="EKM9" s="338"/>
      <c r="EKN9" s="338"/>
      <c r="EKO9" s="338"/>
      <c r="EKP9" s="338"/>
      <c r="EKQ9" s="338"/>
      <c r="EKR9" s="338"/>
      <c r="EKS9" s="338"/>
      <c r="EKT9" s="338"/>
      <c r="EKU9" s="338"/>
      <c r="EKV9" s="338"/>
      <c r="EKW9" s="338"/>
      <c r="EKX9" s="338"/>
      <c r="EKY9" s="338"/>
      <c r="EKZ9" s="338"/>
      <c r="ELA9" s="338"/>
      <c r="ELB9" s="338"/>
      <c r="ELC9" s="338"/>
      <c r="ELD9" s="338"/>
      <c r="ELE9" s="338"/>
      <c r="ELF9" s="338"/>
      <c r="ELG9" s="338"/>
      <c r="ELH9" s="338"/>
      <c r="ELI9" s="338"/>
      <c r="ELJ9" s="338"/>
      <c r="ELK9" s="338"/>
      <c r="ELL9" s="338"/>
      <c r="ELM9" s="338"/>
      <c r="ELN9" s="338"/>
      <c r="ELO9" s="338"/>
      <c r="ELP9" s="338"/>
      <c r="ELQ9" s="338"/>
      <c r="ELR9" s="338"/>
      <c r="ELS9" s="338"/>
      <c r="ELT9" s="338"/>
      <c r="ELU9" s="338"/>
      <c r="ELV9" s="338"/>
      <c r="ELW9" s="338"/>
      <c r="ELX9" s="338"/>
      <c r="ELY9" s="338"/>
      <c r="ELZ9" s="338"/>
      <c r="EMA9" s="338"/>
      <c r="EMB9" s="338"/>
      <c r="EMC9" s="338"/>
      <c r="EMD9" s="338"/>
      <c r="EME9" s="338"/>
      <c r="EMF9" s="338"/>
      <c r="EMG9" s="338"/>
      <c r="EMH9" s="338"/>
      <c r="EMI9" s="338"/>
      <c r="EMJ9" s="338"/>
      <c r="EMK9" s="338"/>
      <c r="EML9" s="338"/>
      <c r="EMM9" s="338"/>
      <c r="EMN9" s="338"/>
      <c r="EMO9" s="338"/>
      <c r="EMP9" s="338"/>
      <c r="EMQ9" s="338"/>
      <c r="EMR9" s="338"/>
      <c r="EMS9" s="338"/>
      <c r="EMT9" s="338"/>
      <c r="EMU9" s="338"/>
      <c r="EMV9" s="338"/>
      <c r="EMW9" s="338"/>
      <c r="EMX9" s="338"/>
      <c r="EMY9" s="338"/>
      <c r="EMZ9" s="338"/>
      <c r="ENA9" s="338"/>
      <c r="ENB9" s="338"/>
      <c r="ENC9" s="338"/>
      <c r="END9" s="338"/>
      <c r="ENE9" s="338"/>
      <c r="ENF9" s="338"/>
      <c r="ENG9" s="338"/>
      <c r="ENH9" s="338"/>
      <c r="ENI9" s="338"/>
      <c r="ENJ9" s="338"/>
      <c r="ENK9" s="338"/>
      <c r="ENL9" s="338"/>
      <c r="ENM9" s="338"/>
      <c r="ENN9" s="338"/>
      <c r="ENO9" s="338"/>
      <c r="ENP9" s="338"/>
      <c r="ENQ9" s="338"/>
      <c r="ENR9" s="338"/>
      <c r="ENS9" s="338"/>
      <c r="ENT9" s="338"/>
      <c r="ENU9" s="338"/>
      <c r="ENV9" s="338"/>
      <c r="ENW9" s="338"/>
      <c r="ENX9" s="338"/>
      <c r="ENY9" s="338"/>
      <c r="ENZ9" s="338"/>
      <c r="EOA9" s="338"/>
      <c r="EOB9" s="338"/>
      <c r="EOC9" s="338"/>
      <c r="EOD9" s="338"/>
      <c r="EOE9" s="338"/>
      <c r="EOF9" s="338"/>
      <c r="EOG9" s="338"/>
      <c r="EOH9" s="338"/>
      <c r="EOI9" s="338"/>
      <c r="EOJ9" s="338"/>
      <c r="EOK9" s="338"/>
      <c r="EOL9" s="338"/>
      <c r="EOM9" s="338"/>
      <c r="EON9" s="338"/>
      <c r="EOO9" s="338"/>
      <c r="EOP9" s="338"/>
      <c r="EOQ9" s="338"/>
      <c r="EOR9" s="338"/>
      <c r="EOS9" s="338"/>
      <c r="EOT9" s="338"/>
      <c r="EOU9" s="338"/>
      <c r="EOV9" s="338"/>
      <c r="EOW9" s="338"/>
      <c r="EOX9" s="338"/>
      <c r="EOY9" s="338"/>
      <c r="EOZ9" s="338"/>
      <c r="EPA9" s="338"/>
      <c r="EPB9" s="338"/>
      <c r="EPC9" s="338"/>
      <c r="EPD9" s="338"/>
      <c r="EPE9" s="338"/>
      <c r="EPF9" s="338"/>
      <c r="EPG9" s="338"/>
      <c r="EPH9" s="338"/>
      <c r="EPI9" s="338"/>
      <c r="EPJ9" s="338"/>
      <c r="EPK9" s="338"/>
      <c r="EPL9" s="338"/>
      <c r="EPM9" s="338"/>
      <c r="EPN9" s="338"/>
      <c r="EPO9" s="338"/>
      <c r="EPP9" s="338"/>
      <c r="EPQ9" s="338"/>
      <c r="EPR9" s="338"/>
      <c r="EPS9" s="338"/>
      <c r="EPT9" s="338"/>
      <c r="EPU9" s="338"/>
      <c r="EPV9" s="338"/>
      <c r="EPW9" s="338"/>
      <c r="EPX9" s="338"/>
      <c r="EPY9" s="338"/>
      <c r="EPZ9" s="338"/>
      <c r="EQA9" s="338"/>
      <c r="EQB9" s="338"/>
      <c r="EQC9" s="338"/>
      <c r="EQD9" s="338"/>
      <c r="EQE9" s="338"/>
      <c r="EQF9" s="338"/>
      <c r="EQG9" s="338"/>
      <c r="EQH9" s="338"/>
      <c r="EQI9" s="338"/>
      <c r="EQJ9" s="338"/>
      <c r="EQK9" s="338"/>
      <c r="EQL9" s="338"/>
      <c r="EQM9" s="338"/>
      <c r="EQN9" s="338"/>
      <c r="EQO9" s="338"/>
      <c r="EQP9" s="338"/>
      <c r="EQQ9" s="338"/>
      <c r="EQR9" s="338"/>
      <c r="EQS9" s="338"/>
      <c r="EQT9" s="338"/>
      <c r="EQU9" s="338"/>
      <c r="EQV9" s="338"/>
      <c r="EQW9" s="338"/>
      <c r="EQX9" s="338"/>
      <c r="EQY9" s="338"/>
      <c r="EQZ9" s="338"/>
      <c r="ERA9" s="338"/>
      <c r="ERB9" s="338"/>
      <c r="ERC9" s="338"/>
      <c r="ERD9" s="338"/>
      <c r="ERE9" s="338"/>
      <c r="ERF9" s="338"/>
      <c r="ERG9" s="338"/>
      <c r="ERH9" s="338"/>
      <c r="ERI9" s="338"/>
      <c r="ERJ9" s="338"/>
      <c r="ERK9" s="338"/>
      <c r="ERL9" s="338"/>
      <c r="ERM9" s="338"/>
      <c r="ERN9" s="338"/>
      <c r="ERO9" s="338"/>
      <c r="ERP9" s="338"/>
      <c r="ERQ9" s="338"/>
      <c r="ERR9" s="338"/>
      <c r="ERS9" s="338"/>
      <c r="ERT9" s="338"/>
      <c r="ERU9" s="338"/>
      <c r="ERV9" s="338"/>
      <c r="ERW9" s="338"/>
      <c r="ERX9" s="338"/>
      <c r="ERY9" s="338"/>
      <c r="ERZ9" s="338"/>
      <c r="ESA9" s="338"/>
      <c r="ESB9" s="338"/>
      <c r="ESC9" s="338"/>
      <c r="ESD9" s="338"/>
      <c r="ESE9" s="338"/>
      <c r="ESF9" s="338"/>
      <c r="ESG9" s="338"/>
      <c r="ESH9" s="338"/>
      <c r="ESI9" s="338"/>
      <c r="ESJ9" s="338"/>
      <c r="ESK9" s="338"/>
      <c r="ESL9" s="338"/>
      <c r="ESM9" s="338"/>
      <c r="ESN9" s="338"/>
      <c r="ESO9" s="338"/>
      <c r="ESP9" s="338"/>
      <c r="ESQ9" s="338"/>
      <c r="ESR9" s="338"/>
      <c r="ESS9" s="338"/>
      <c r="EST9" s="338"/>
      <c r="ESU9" s="338"/>
      <c r="ESV9" s="338"/>
      <c r="ESW9" s="338"/>
      <c r="ESX9" s="338"/>
      <c r="ESY9" s="338"/>
      <c r="ESZ9" s="338"/>
      <c r="ETA9" s="338"/>
      <c r="ETB9" s="338"/>
      <c r="ETC9" s="338"/>
      <c r="ETD9" s="338"/>
      <c r="ETE9" s="338"/>
      <c r="ETF9" s="338"/>
      <c r="ETG9" s="338"/>
      <c r="ETH9" s="338"/>
      <c r="ETI9" s="338"/>
      <c r="ETJ9" s="338"/>
      <c r="ETK9" s="338"/>
      <c r="ETL9" s="338"/>
      <c r="ETM9" s="338"/>
      <c r="ETN9" s="338"/>
      <c r="ETO9" s="338"/>
      <c r="ETP9" s="338"/>
      <c r="ETQ9" s="338"/>
      <c r="ETR9" s="338"/>
      <c r="ETS9" s="338"/>
      <c r="ETT9" s="338"/>
      <c r="ETU9" s="338"/>
      <c r="ETV9" s="338"/>
      <c r="ETW9" s="338"/>
      <c r="ETX9" s="338"/>
      <c r="ETY9" s="338"/>
      <c r="ETZ9" s="338"/>
      <c r="EUA9" s="338"/>
      <c r="EUB9" s="338"/>
      <c r="EUC9" s="338"/>
      <c r="EUD9" s="338"/>
      <c r="EUE9" s="338"/>
      <c r="EUF9" s="338"/>
      <c r="EUG9" s="338"/>
      <c r="EUH9" s="338"/>
      <c r="EUI9" s="338"/>
      <c r="EUJ9" s="338"/>
      <c r="EUK9" s="338"/>
      <c r="EUL9" s="338"/>
      <c r="EUM9" s="338"/>
      <c r="EUN9" s="338"/>
      <c r="EUO9" s="338"/>
      <c r="EUP9" s="338"/>
      <c r="EUQ9" s="338"/>
      <c r="EUR9" s="338"/>
      <c r="EUS9" s="338"/>
      <c r="EUT9" s="338"/>
      <c r="EUU9" s="338"/>
      <c r="EUV9" s="338"/>
      <c r="EUW9" s="338"/>
      <c r="EUX9" s="338"/>
      <c r="EUY9" s="338"/>
      <c r="EUZ9" s="338"/>
      <c r="EVA9" s="338"/>
      <c r="EVB9" s="338"/>
      <c r="EVC9" s="338"/>
      <c r="EVD9" s="338"/>
      <c r="EVE9" s="338"/>
      <c r="EVF9" s="338"/>
      <c r="EVG9" s="338"/>
      <c r="EVH9" s="338"/>
      <c r="EVI9" s="338"/>
      <c r="EVJ9" s="338"/>
      <c r="EVK9" s="338"/>
      <c r="EVL9" s="338"/>
      <c r="EVM9" s="338"/>
      <c r="EVN9" s="338"/>
      <c r="EVO9" s="338"/>
      <c r="EVP9" s="338"/>
      <c r="EVQ9" s="338"/>
      <c r="EVR9" s="338"/>
      <c r="EVS9" s="338"/>
      <c r="EVT9" s="338"/>
      <c r="EVU9" s="338"/>
      <c r="EVV9" s="338"/>
      <c r="EVW9" s="338"/>
      <c r="EVX9" s="338"/>
      <c r="EVY9" s="338"/>
      <c r="EVZ9" s="338"/>
      <c r="EWA9" s="338"/>
      <c r="EWB9" s="338"/>
      <c r="EWC9" s="338"/>
      <c r="EWD9" s="338"/>
      <c r="EWE9" s="338"/>
      <c r="EWF9" s="338"/>
      <c r="EWG9" s="338"/>
      <c r="EWH9" s="338"/>
      <c r="EWI9" s="338"/>
      <c r="EWJ9" s="338"/>
      <c r="EWK9" s="338"/>
      <c r="EWL9" s="338"/>
      <c r="EWM9" s="338"/>
      <c r="EWN9" s="338"/>
      <c r="EWO9" s="338"/>
      <c r="EWP9" s="338"/>
      <c r="EWQ9" s="338"/>
      <c r="EWR9" s="338"/>
      <c r="EWS9" s="338"/>
      <c r="EWT9" s="338"/>
      <c r="EWU9" s="338"/>
      <c r="EWV9" s="338"/>
      <c r="EWW9" s="338"/>
      <c r="EWX9" s="338"/>
      <c r="EWY9" s="338"/>
      <c r="EWZ9" s="338"/>
      <c r="EXA9" s="338"/>
      <c r="EXB9" s="338"/>
      <c r="EXC9" s="338"/>
      <c r="EXD9" s="338"/>
      <c r="EXE9" s="338"/>
      <c r="EXF9" s="338"/>
      <c r="EXG9" s="338"/>
      <c r="EXH9" s="338"/>
      <c r="EXI9" s="338"/>
      <c r="EXJ9" s="338"/>
      <c r="EXK9" s="338"/>
      <c r="EXL9" s="338"/>
      <c r="EXM9" s="338"/>
      <c r="EXN9" s="338"/>
      <c r="EXO9" s="338"/>
      <c r="EXP9" s="338"/>
      <c r="EXQ9" s="338"/>
      <c r="EXR9" s="338"/>
      <c r="EXS9" s="338"/>
      <c r="EXT9" s="338"/>
      <c r="EXU9" s="338"/>
      <c r="EXV9" s="338"/>
      <c r="EXW9" s="338"/>
      <c r="EXX9" s="338"/>
      <c r="EXY9" s="338"/>
      <c r="EXZ9" s="338"/>
      <c r="EYA9" s="338"/>
      <c r="EYB9" s="338"/>
      <c r="EYC9" s="338"/>
      <c r="EYD9" s="338"/>
      <c r="EYE9" s="338"/>
      <c r="EYF9" s="338"/>
      <c r="EYG9" s="338"/>
      <c r="EYH9" s="338"/>
      <c r="EYI9" s="338"/>
      <c r="EYJ9" s="338"/>
      <c r="EYK9" s="338"/>
      <c r="EYL9" s="338"/>
      <c r="EYM9" s="338"/>
      <c r="EYN9" s="338"/>
      <c r="EYO9" s="338"/>
      <c r="EYP9" s="338"/>
      <c r="EYQ9" s="338"/>
      <c r="EYR9" s="338"/>
      <c r="EYS9" s="338"/>
      <c r="EYT9" s="338"/>
      <c r="EYU9" s="338"/>
      <c r="EYV9" s="338"/>
      <c r="EYW9" s="338"/>
      <c r="EYX9" s="338"/>
      <c r="EYY9" s="338"/>
      <c r="EYZ9" s="338"/>
      <c r="EZA9" s="338"/>
      <c r="EZB9" s="338"/>
      <c r="EZC9" s="338"/>
      <c r="EZD9" s="338"/>
      <c r="EZE9" s="338"/>
      <c r="EZF9" s="338"/>
      <c r="EZG9" s="338"/>
      <c r="EZH9" s="338"/>
      <c r="EZI9" s="338"/>
      <c r="EZJ9" s="338"/>
      <c r="EZK9" s="338"/>
      <c r="EZL9" s="338"/>
      <c r="EZM9" s="338"/>
      <c r="EZN9" s="338"/>
      <c r="EZO9" s="338"/>
      <c r="EZP9" s="338"/>
      <c r="EZQ9" s="338"/>
      <c r="EZR9" s="338"/>
      <c r="EZS9" s="338"/>
      <c r="EZT9" s="338"/>
      <c r="EZU9" s="338"/>
      <c r="EZV9" s="338"/>
      <c r="EZW9" s="338"/>
      <c r="EZX9" s="338"/>
      <c r="EZY9" s="338"/>
      <c r="EZZ9" s="338"/>
      <c r="FAA9" s="338"/>
      <c r="FAB9" s="338"/>
      <c r="FAC9" s="338"/>
      <c r="FAD9" s="338"/>
      <c r="FAE9" s="338"/>
      <c r="FAF9" s="338"/>
      <c r="FAG9" s="338"/>
      <c r="FAH9" s="338"/>
      <c r="FAI9" s="338"/>
      <c r="FAJ9" s="338"/>
      <c r="FAK9" s="338"/>
      <c r="FAL9" s="338"/>
      <c r="FAM9" s="338"/>
      <c r="FAN9" s="338"/>
      <c r="FAO9" s="338"/>
      <c r="FAP9" s="338"/>
      <c r="FAQ9" s="338"/>
      <c r="FAR9" s="338"/>
      <c r="FAS9" s="338"/>
      <c r="FAT9" s="338"/>
      <c r="FAU9" s="338"/>
      <c r="FAV9" s="338"/>
      <c r="FAW9" s="338"/>
      <c r="FAX9" s="338"/>
      <c r="FAY9" s="338"/>
      <c r="FAZ9" s="338"/>
      <c r="FBA9" s="338"/>
      <c r="FBB9" s="338"/>
      <c r="FBC9" s="338"/>
      <c r="FBD9" s="338"/>
      <c r="FBE9" s="338"/>
      <c r="FBF9" s="338"/>
      <c r="FBG9" s="338"/>
      <c r="FBH9" s="338"/>
      <c r="FBI9" s="338"/>
      <c r="FBJ9" s="338"/>
      <c r="FBK9" s="338"/>
      <c r="FBL9" s="338"/>
      <c r="FBM9" s="338"/>
      <c r="FBN9" s="338"/>
      <c r="FBO9" s="338"/>
      <c r="FBP9" s="338"/>
      <c r="FBQ9" s="338"/>
      <c r="FBR9" s="338"/>
      <c r="FBS9" s="338"/>
      <c r="FBT9" s="338"/>
      <c r="FBU9" s="338"/>
      <c r="FBV9" s="338"/>
      <c r="FBW9" s="338"/>
      <c r="FBX9" s="338"/>
      <c r="FBY9" s="338"/>
      <c r="FBZ9" s="338"/>
      <c r="FCA9" s="338"/>
      <c r="FCB9" s="338"/>
      <c r="FCC9" s="338"/>
      <c r="FCD9" s="338"/>
      <c r="FCE9" s="338"/>
      <c r="FCF9" s="338"/>
      <c r="FCG9" s="338"/>
      <c r="FCH9" s="338"/>
      <c r="FCI9" s="338"/>
      <c r="FCJ9" s="338"/>
      <c r="FCK9" s="338"/>
      <c r="FCL9" s="338"/>
      <c r="FCM9" s="338"/>
      <c r="FCN9" s="338"/>
      <c r="FCO9" s="338"/>
      <c r="FCP9" s="338"/>
      <c r="FCQ9" s="338"/>
      <c r="FCR9" s="338"/>
      <c r="FCS9" s="338"/>
      <c r="FCT9" s="338"/>
      <c r="FCU9" s="338"/>
      <c r="FCV9" s="338"/>
      <c r="FCW9" s="338"/>
      <c r="FCX9" s="338"/>
      <c r="FCY9" s="338"/>
      <c r="FCZ9" s="338"/>
      <c r="FDA9" s="338"/>
      <c r="FDB9" s="338"/>
      <c r="FDC9" s="338"/>
      <c r="FDD9" s="338"/>
      <c r="FDE9" s="338"/>
      <c r="FDF9" s="338"/>
      <c r="FDG9" s="338"/>
      <c r="FDH9" s="338"/>
      <c r="FDI9" s="338"/>
      <c r="FDJ9" s="338"/>
      <c r="FDK9" s="338"/>
      <c r="FDL9" s="338"/>
      <c r="FDM9" s="338"/>
      <c r="FDN9" s="338"/>
      <c r="FDO9" s="338"/>
      <c r="FDP9" s="338"/>
      <c r="FDQ9" s="338"/>
      <c r="FDR9" s="338"/>
      <c r="FDS9" s="338"/>
      <c r="FDT9" s="338"/>
      <c r="FDU9" s="338"/>
      <c r="FDV9" s="338"/>
      <c r="FDW9" s="338"/>
      <c r="FDX9" s="338"/>
      <c r="FDY9" s="338"/>
      <c r="FDZ9" s="338"/>
      <c r="FEA9" s="338"/>
      <c r="FEB9" s="338"/>
      <c r="FEC9" s="338"/>
      <c r="FED9" s="338"/>
      <c r="FEE9" s="338"/>
      <c r="FEF9" s="338"/>
      <c r="FEG9" s="338"/>
      <c r="FEH9" s="338"/>
      <c r="FEI9" s="338"/>
      <c r="FEJ9" s="338"/>
      <c r="FEK9" s="338"/>
      <c r="FEL9" s="338"/>
      <c r="FEM9" s="338"/>
      <c r="FEN9" s="338"/>
      <c r="FEO9" s="338"/>
      <c r="FEP9" s="338"/>
      <c r="FEQ9" s="338"/>
      <c r="FER9" s="338"/>
      <c r="FES9" s="338"/>
      <c r="FET9" s="338"/>
      <c r="FEU9" s="338"/>
      <c r="FEV9" s="338"/>
      <c r="FEW9" s="338"/>
      <c r="FEX9" s="338"/>
      <c r="FEY9" s="338"/>
      <c r="FEZ9" s="338"/>
      <c r="FFA9" s="338"/>
      <c r="FFB9" s="338"/>
      <c r="FFC9" s="338"/>
      <c r="FFD9" s="338"/>
      <c r="FFE9" s="338"/>
      <c r="FFF9" s="338"/>
      <c r="FFG9" s="338"/>
      <c r="FFH9" s="338"/>
      <c r="FFI9" s="338"/>
      <c r="FFJ9" s="338"/>
      <c r="FFK9" s="338"/>
      <c r="FFL9" s="338"/>
      <c r="FFM9" s="338"/>
      <c r="FFN9" s="338"/>
      <c r="FFO9" s="338"/>
      <c r="FFP9" s="338"/>
      <c r="FFQ9" s="338"/>
      <c r="FFR9" s="338"/>
      <c r="FFS9" s="338"/>
      <c r="FFT9" s="338"/>
      <c r="FFU9" s="338"/>
      <c r="FFV9" s="338"/>
      <c r="FFW9" s="338"/>
      <c r="FFX9" s="338"/>
      <c r="FFY9" s="338"/>
      <c r="FFZ9" s="338"/>
      <c r="FGA9" s="338"/>
      <c r="FGB9" s="338"/>
      <c r="FGC9" s="338"/>
      <c r="FGD9" s="338"/>
      <c r="FGE9" s="338"/>
      <c r="FGF9" s="338"/>
      <c r="FGG9" s="338"/>
      <c r="FGH9" s="338"/>
      <c r="FGI9" s="338"/>
      <c r="FGJ9" s="338"/>
      <c r="FGK9" s="338"/>
      <c r="FGL9" s="338"/>
      <c r="FGM9" s="338"/>
      <c r="FGN9" s="338"/>
      <c r="FGO9" s="338"/>
      <c r="FGP9" s="338"/>
      <c r="FGQ9" s="338"/>
      <c r="FGR9" s="338"/>
      <c r="FGS9" s="338"/>
      <c r="FGT9" s="338"/>
      <c r="FGU9" s="338"/>
      <c r="FGV9" s="338"/>
      <c r="FGW9" s="338"/>
      <c r="FGX9" s="338"/>
      <c r="FGY9" s="338"/>
      <c r="FGZ9" s="338"/>
      <c r="FHA9" s="338"/>
      <c r="FHB9" s="338"/>
      <c r="FHC9" s="338"/>
      <c r="FHD9" s="338"/>
      <c r="FHE9" s="338"/>
      <c r="FHF9" s="338"/>
      <c r="FHG9" s="338"/>
      <c r="FHH9" s="338"/>
      <c r="FHI9" s="338"/>
      <c r="FHJ9" s="338"/>
      <c r="FHK9" s="338"/>
      <c r="FHL9" s="338"/>
      <c r="FHM9" s="338"/>
      <c r="FHN9" s="338"/>
      <c r="FHO9" s="338"/>
      <c r="FHP9" s="338"/>
      <c r="FHQ9" s="338"/>
      <c r="FHR9" s="338"/>
      <c r="FHS9" s="338"/>
      <c r="FHT9" s="338"/>
      <c r="FHU9" s="338"/>
      <c r="FHV9" s="338"/>
      <c r="FHW9" s="338"/>
      <c r="FHX9" s="338"/>
      <c r="FHY9" s="338"/>
      <c r="FHZ9" s="338"/>
      <c r="FIA9" s="338"/>
      <c r="FIB9" s="338"/>
      <c r="FIC9" s="338"/>
      <c r="FID9" s="338"/>
      <c r="FIE9" s="338"/>
      <c r="FIF9" s="338"/>
      <c r="FIG9" s="338"/>
      <c r="FIH9" s="338"/>
      <c r="FII9" s="338"/>
      <c r="FIJ9" s="338"/>
      <c r="FIK9" s="338"/>
      <c r="FIL9" s="338"/>
      <c r="FIM9" s="338"/>
      <c r="FIN9" s="338"/>
      <c r="FIO9" s="338"/>
      <c r="FIP9" s="338"/>
      <c r="FIQ9" s="338"/>
      <c r="FIR9" s="338"/>
      <c r="FIS9" s="338"/>
      <c r="FIT9" s="338"/>
      <c r="FIU9" s="338"/>
      <c r="FIV9" s="338"/>
      <c r="FIW9" s="338"/>
      <c r="FIX9" s="338"/>
      <c r="FIY9" s="338"/>
      <c r="FIZ9" s="338"/>
      <c r="FJA9" s="338"/>
      <c r="FJB9" s="338"/>
      <c r="FJC9" s="338"/>
      <c r="FJD9" s="338"/>
      <c r="FJE9" s="338"/>
      <c r="FJF9" s="338"/>
      <c r="FJG9" s="338"/>
      <c r="FJH9" s="338"/>
      <c r="FJI9" s="338"/>
      <c r="FJJ9" s="338"/>
      <c r="FJK9" s="338"/>
      <c r="FJL9" s="338"/>
      <c r="FJM9" s="338"/>
      <c r="FJN9" s="338"/>
      <c r="FJO9" s="338"/>
      <c r="FJP9" s="338"/>
      <c r="FJQ9" s="338"/>
      <c r="FJR9" s="338"/>
      <c r="FJS9" s="338"/>
      <c r="FJT9" s="338"/>
      <c r="FJU9" s="338"/>
      <c r="FJV9" s="338"/>
      <c r="FJW9" s="338"/>
      <c r="FJX9" s="338"/>
      <c r="FJY9" s="338"/>
      <c r="FJZ9" s="338"/>
      <c r="FKA9" s="338"/>
      <c r="FKB9" s="338"/>
      <c r="FKC9" s="338"/>
      <c r="FKD9" s="338"/>
      <c r="FKE9" s="338"/>
      <c r="FKF9" s="338"/>
      <c r="FKG9" s="338"/>
      <c r="FKH9" s="338"/>
      <c r="FKI9" s="338"/>
      <c r="FKJ9" s="338"/>
      <c r="FKK9" s="338"/>
      <c r="FKL9" s="338"/>
      <c r="FKM9" s="338"/>
      <c r="FKN9" s="338"/>
      <c r="FKO9" s="338"/>
      <c r="FKP9" s="338"/>
      <c r="FKQ9" s="338"/>
      <c r="FKR9" s="338"/>
      <c r="FKS9" s="338"/>
      <c r="FKT9" s="338"/>
      <c r="FKU9" s="338"/>
      <c r="FKV9" s="338"/>
      <c r="FKW9" s="338"/>
      <c r="FKX9" s="338"/>
      <c r="FKY9" s="338"/>
      <c r="FKZ9" s="338"/>
      <c r="FLA9" s="338"/>
      <c r="FLB9" s="338"/>
      <c r="FLC9" s="338"/>
      <c r="FLD9" s="338"/>
      <c r="FLE9" s="338"/>
      <c r="FLF9" s="338"/>
      <c r="FLG9" s="338"/>
      <c r="FLH9" s="338"/>
      <c r="FLI9" s="338"/>
      <c r="FLJ9" s="338"/>
      <c r="FLK9" s="338"/>
      <c r="FLL9" s="338"/>
      <c r="FLM9" s="338"/>
      <c r="FLN9" s="338"/>
      <c r="FLO9" s="338"/>
      <c r="FLP9" s="338"/>
      <c r="FLQ9" s="338"/>
      <c r="FLR9" s="338"/>
      <c r="FLS9" s="338"/>
      <c r="FLT9" s="338"/>
      <c r="FLU9" s="338"/>
      <c r="FLV9" s="338"/>
      <c r="FLW9" s="338"/>
      <c r="FLX9" s="338"/>
      <c r="FLY9" s="338"/>
      <c r="FLZ9" s="338"/>
      <c r="FMA9" s="338"/>
      <c r="FMB9" s="338"/>
      <c r="FMC9" s="338"/>
      <c r="FMD9" s="338"/>
      <c r="FME9" s="338"/>
      <c r="FMF9" s="338"/>
      <c r="FMG9" s="338"/>
      <c r="FMH9" s="338"/>
      <c r="FMI9" s="338"/>
      <c r="FMJ9" s="338"/>
      <c r="FMK9" s="338"/>
      <c r="FML9" s="338"/>
      <c r="FMM9" s="338"/>
      <c r="FMN9" s="338"/>
      <c r="FMO9" s="338"/>
      <c r="FMP9" s="338"/>
      <c r="FMQ9" s="338"/>
      <c r="FMR9" s="338"/>
      <c r="FMS9" s="338"/>
      <c r="FMT9" s="338"/>
      <c r="FMU9" s="338"/>
      <c r="FMV9" s="338"/>
      <c r="FMW9" s="338"/>
      <c r="FMX9" s="338"/>
      <c r="FMY9" s="338"/>
      <c r="FMZ9" s="338"/>
      <c r="FNA9" s="338"/>
      <c r="FNB9" s="338"/>
      <c r="FNC9" s="338"/>
      <c r="FND9" s="338"/>
      <c r="FNE9" s="338"/>
      <c r="FNF9" s="338"/>
      <c r="FNG9" s="338"/>
      <c r="FNH9" s="338"/>
      <c r="FNI9" s="338"/>
      <c r="FNJ9" s="338"/>
      <c r="FNK9" s="338"/>
      <c r="FNL9" s="338"/>
      <c r="FNM9" s="338"/>
      <c r="FNN9" s="338"/>
      <c r="FNO9" s="338"/>
      <c r="FNP9" s="338"/>
      <c r="FNQ9" s="338"/>
      <c r="FNR9" s="338"/>
      <c r="FNS9" s="338"/>
      <c r="FNT9" s="338"/>
      <c r="FNU9" s="338"/>
      <c r="FNV9" s="338"/>
      <c r="FNW9" s="338"/>
      <c r="FNX9" s="338"/>
      <c r="FNY9" s="338"/>
      <c r="FNZ9" s="338"/>
      <c r="FOA9" s="338"/>
      <c r="FOB9" s="338"/>
      <c r="FOC9" s="338"/>
      <c r="FOD9" s="338"/>
      <c r="FOE9" s="338"/>
      <c r="FOF9" s="338"/>
      <c r="FOG9" s="338"/>
      <c r="FOH9" s="338"/>
      <c r="FOI9" s="338"/>
      <c r="FOJ9" s="338"/>
      <c r="FOK9" s="338"/>
      <c r="FOL9" s="338"/>
      <c r="FOM9" s="338"/>
      <c r="FON9" s="338"/>
      <c r="FOO9" s="338"/>
      <c r="FOP9" s="338"/>
      <c r="FOQ9" s="338"/>
      <c r="FOR9" s="338"/>
      <c r="FOS9" s="338"/>
      <c r="FOT9" s="338"/>
      <c r="FOU9" s="338"/>
      <c r="FOV9" s="338"/>
      <c r="FOW9" s="338"/>
      <c r="FOX9" s="338"/>
      <c r="FOY9" s="338"/>
      <c r="FOZ9" s="338"/>
      <c r="FPA9" s="338"/>
      <c r="FPB9" s="338"/>
      <c r="FPC9" s="338"/>
      <c r="FPD9" s="338"/>
      <c r="FPE9" s="338"/>
      <c r="FPF9" s="338"/>
      <c r="FPG9" s="338"/>
      <c r="FPH9" s="338"/>
      <c r="FPI9" s="338"/>
      <c r="FPJ9" s="338"/>
      <c r="FPK9" s="338"/>
      <c r="FPL9" s="338"/>
      <c r="FPM9" s="338"/>
      <c r="FPN9" s="338"/>
      <c r="FPO9" s="338"/>
      <c r="FPP9" s="338"/>
      <c r="FPQ9" s="338"/>
      <c r="FPR9" s="338"/>
      <c r="FPS9" s="338"/>
      <c r="FPT9" s="338"/>
      <c r="FPU9" s="338"/>
      <c r="FPV9" s="338"/>
      <c r="FPW9" s="338"/>
      <c r="FPX9" s="338"/>
      <c r="FPY9" s="338"/>
      <c r="FPZ9" s="338"/>
      <c r="FQA9" s="338"/>
      <c r="FQB9" s="338"/>
      <c r="FQC9" s="338"/>
      <c r="FQD9" s="338"/>
      <c r="FQE9" s="338"/>
      <c r="FQF9" s="338"/>
      <c r="FQG9" s="338"/>
      <c r="FQH9" s="338"/>
      <c r="FQI9" s="338"/>
      <c r="FQJ9" s="338"/>
      <c r="FQK9" s="338"/>
      <c r="FQL9" s="338"/>
      <c r="FQM9" s="338"/>
      <c r="FQN9" s="338"/>
      <c r="FQO9" s="338"/>
      <c r="FQP9" s="338"/>
      <c r="FQQ9" s="338"/>
      <c r="FQR9" s="338"/>
      <c r="FQS9" s="338"/>
      <c r="FQT9" s="338"/>
      <c r="FQU9" s="338"/>
      <c r="FQV9" s="338"/>
      <c r="FQW9" s="338"/>
      <c r="FQX9" s="338"/>
      <c r="FQY9" s="338"/>
      <c r="FQZ9" s="338"/>
      <c r="FRA9" s="338"/>
      <c r="FRB9" s="338"/>
      <c r="FRC9" s="338"/>
      <c r="FRD9" s="338"/>
      <c r="FRE9" s="338"/>
      <c r="FRF9" s="338"/>
      <c r="FRG9" s="338"/>
      <c r="FRH9" s="338"/>
      <c r="FRI9" s="338"/>
      <c r="FRJ9" s="338"/>
      <c r="FRK9" s="338"/>
      <c r="FRL9" s="338"/>
      <c r="FRM9" s="338"/>
      <c r="FRN9" s="338"/>
      <c r="FRO9" s="338"/>
      <c r="FRP9" s="338"/>
      <c r="FRQ9" s="338"/>
      <c r="FRR9" s="338"/>
      <c r="FRS9" s="338"/>
      <c r="FRT9" s="338"/>
      <c r="FRU9" s="338"/>
      <c r="FRV9" s="338"/>
      <c r="FRW9" s="338"/>
      <c r="FRX9" s="338"/>
      <c r="FRY9" s="338"/>
      <c r="FRZ9" s="338"/>
      <c r="FSA9" s="338"/>
      <c r="FSB9" s="338"/>
      <c r="FSC9" s="338"/>
      <c r="FSD9" s="338"/>
      <c r="FSE9" s="338"/>
      <c r="FSF9" s="338"/>
      <c r="FSG9" s="338"/>
      <c r="FSH9" s="338"/>
      <c r="FSI9" s="338"/>
      <c r="FSJ9" s="338"/>
      <c r="FSK9" s="338"/>
      <c r="FSL9" s="338"/>
      <c r="FSM9" s="338"/>
      <c r="FSN9" s="338"/>
      <c r="FSO9" s="338"/>
      <c r="FSP9" s="338"/>
      <c r="FSQ9" s="338"/>
      <c r="FSR9" s="338"/>
      <c r="FSS9" s="338"/>
      <c r="FST9" s="338"/>
      <c r="FSU9" s="338"/>
      <c r="FSV9" s="338"/>
      <c r="FSW9" s="338"/>
      <c r="FSX9" s="338"/>
      <c r="FSY9" s="338"/>
      <c r="FSZ9" s="338"/>
      <c r="FTA9" s="338"/>
      <c r="FTB9" s="338"/>
      <c r="FTC9" s="338"/>
      <c r="FTD9" s="338"/>
      <c r="FTE9" s="338"/>
      <c r="FTF9" s="338"/>
      <c r="FTG9" s="338"/>
      <c r="FTH9" s="338"/>
      <c r="FTI9" s="338"/>
      <c r="FTJ9" s="338"/>
      <c r="FTK9" s="338"/>
      <c r="FTL9" s="338"/>
      <c r="FTM9" s="338"/>
      <c r="FTN9" s="338"/>
      <c r="FTO9" s="338"/>
      <c r="FTP9" s="338"/>
      <c r="FTQ9" s="338"/>
      <c r="FTR9" s="338"/>
      <c r="FTS9" s="338"/>
      <c r="FTT9" s="338"/>
      <c r="FTU9" s="338"/>
      <c r="FTV9" s="338"/>
      <c r="FTW9" s="338"/>
      <c r="FTX9" s="338"/>
      <c r="FTY9" s="338"/>
      <c r="FTZ9" s="338"/>
      <c r="FUA9" s="338"/>
      <c r="FUB9" s="338"/>
      <c r="FUC9" s="338"/>
      <c r="FUD9" s="338"/>
      <c r="FUE9" s="338"/>
      <c r="FUF9" s="338"/>
      <c r="FUG9" s="338"/>
      <c r="FUH9" s="338"/>
      <c r="FUI9" s="338"/>
      <c r="FUJ9" s="338"/>
      <c r="FUK9" s="338"/>
      <c r="FUL9" s="338"/>
      <c r="FUM9" s="338"/>
      <c r="FUN9" s="338"/>
      <c r="FUO9" s="338"/>
      <c r="FUP9" s="338"/>
      <c r="FUQ9" s="338"/>
      <c r="FUR9" s="338"/>
      <c r="FUS9" s="338"/>
      <c r="FUT9" s="338"/>
      <c r="FUU9" s="338"/>
      <c r="FUV9" s="338"/>
      <c r="FUW9" s="338"/>
      <c r="FUX9" s="338"/>
      <c r="FUY9" s="338"/>
      <c r="FUZ9" s="338"/>
      <c r="FVA9" s="338"/>
      <c r="FVB9" s="338"/>
      <c r="FVC9" s="338"/>
      <c r="FVD9" s="338"/>
      <c r="FVE9" s="338"/>
      <c r="FVF9" s="338"/>
      <c r="FVG9" s="338"/>
      <c r="FVH9" s="338"/>
      <c r="FVI9" s="338"/>
      <c r="FVJ9" s="338"/>
      <c r="FVK9" s="338"/>
      <c r="FVL9" s="338"/>
      <c r="FVM9" s="338"/>
      <c r="FVN9" s="338"/>
      <c r="FVO9" s="338"/>
      <c r="FVP9" s="338"/>
      <c r="FVQ9" s="338"/>
      <c r="FVR9" s="338"/>
      <c r="FVS9" s="338"/>
      <c r="FVT9" s="338"/>
      <c r="FVU9" s="338"/>
      <c r="FVV9" s="338"/>
      <c r="FVW9" s="338"/>
      <c r="FVX9" s="338"/>
      <c r="FVY9" s="338"/>
      <c r="FVZ9" s="338"/>
      <c r="FWA9" s="338"/>
      <c r="FWB9" s="338"/>
      <c r="FWC9" s="338"/>
      <c r="FWD9" s="338"/>
      <c r="FWE9" s="338"/>
      <c r="FWF9" s="338"/>
      <c r="FWG9" s="338"/>
      <c r="FWH9" s="338"/>
      <c r="FWI9" s="338"/>
      <c r="FWJ9" s="338"/>
      <c r="FWK9" s="338"/>
      <c r="FWL9" s="338"/>
      <c r="FWM9" s="338"/>
      <c r="FWN9" s="338"/>
      <c r="FWO9" s="338"/>
      <c r="FWP9" s="338"/>
      <c r="FWQ9" s="338"/>
      <c r="FWR9" s="338"/>
      <c r="FWS9" s="338"/>
      <c r="FWT9" s="338"/>
      <c r="FWU9" s="338"/>
      <c r="FWV9" s="338"/>
      <c r="FWW9" s="338"/>
      <c r="FWX9" s="338"/>
      <c r="FWY9" s="338"/>
      <c r="FWZ9" s="338"/>
      <c r="FXA9" s="338"/>
      <c r="FXB9" s="338"/>
      <c r="FXC9" s="338"/>
      <c r="FXD9" s="338"/>
      <c r="FXE9" s="338"/>
      <c r="FXF9" s="338"/>
      <c r="FXG9" s="338"/>
      <c r="FXH9" s="338"/>
      <c r="FXI9" s="338"/>
      <c r="FXJ9" s="338"/>
      <c r="FXK9" s="338"/>
      <c r="FXL9" s="338"/>
      <c r="FXM9" s="338"/>
      <c r="FXN9" s="338"/>
      <c r="FXO9" s="338"/>
      <c r="FXP9" s="338"/>
      <c r="FXQ9" s="338"/>
      <c r="FXR9" s="338"/>
      <c r="FXS9" s="338"/>
      <c r="FXT9" s="338"/>
      <c r="FXU9" s="338"/>
      <c r="FXV9" s="338"/>
      <c r="FXW9" s="338"/>
      <c r="FXX9" s="338"/>
      <c r="FXY9" s="338"/>
      <c r="FXZ9" s="338"/>
      <c r="FYA9" s="338"/>
      <c r="FYB9" s="338"/>
      <c r="FYC9" s="338"/>
      <c r="FYD9" s="338"/>
      <c r="FYE9" s="338"/>
      <c r="FYF9" s="338"/>
      <c r="FYG9" s="338"/>
      <c r="FYH9" s="338"/>
      <c r="FYI9" s="338"/>
      <c r="FYJ9" s="338"/>
      <c r="FYK9" s="338"/>
      <c r="FYL9" s="338"/>
      <c r="FYM9" s="338"/>
      <c r="FYN9" s="338"/>
      <c r="FYO9" s="338"/>
      <c r="FYP9" s="338"/>
      <c r="FYQ9" s="338"/>
      <c r="FYR9" s="338"/>
      <c r="FYS9" s="338"/>
      <c r="FYT9" s="338"/>
      <c r="FYU9" s="338"/>
      <c r="FYV9" s="338"/>
      <c r="FYW9" s="338"/>
      <c r="FYX9" s="338"/>
      <c r="FYY9" s="338"/>
      <c r="FYZ9" s="338"/>
      <c r="FZA9" s="338"/>
      <c r="FZB9" s="338"/>
      <c r="FZC9" s="338"/>
      <c r="FZD9" s="338"/>
      <c r="FZE9" s="338"/>
      <c r="FZF9" s="338"/>
      <c r="FZG9" s="338"/>
      <c r="FZH9" s="338"/>
      <c r="FZI9" s="338"/>
      <c r="FZJ9" s="338"/>
      <c r="FZK9" s="338"/>
      <c r="FZL9" s="338"/>
      <c r="FZM9" s="338"/>
      <c r="FZN9" s="338"/>
      <c r="FZO9" s="338"/>
      <c r="FZP9" s="338"/>
      <c r="FZQ9" s="338"/>
      <c r="FZR9" s="338"/>
      <c r="FZS9" s="338"/>
      <c r="FZT9" s="338"/>
      <c r="FZU9" s="338"/>
      <c r="FZV9" s="338"/>
      <c r="FZW9" s="338"/>
      <c r="FZX9" s="338"/>
      <c r="FZY9" s="338"/>
      <c r="FZZ9" s="338"/>
      <c r="GAA9" s="338"/>
      <c r="GAB9" s="338"/>
      <c r="GAC9" s="338"/>
      <c r="GAD9" s="338"/>
      <c r="GAE9" s="338"/>
      <c r="GAF9" s="338"/>
      <c r="GAG9" s="338"/>
      <c r="GAH9" s="338"/>
      <c r="GAI9" s="338"/>
      <c r="GAJ9" s="338"/>
      <c r="GAK9" s="338"/>
      <c r="GAL9" s="338"/>
      <c r="GAM9" s="338"/>
      <c r="GAN9" s="338"/>
      <c r="GAO9" s="338"/>
      <c r="GAP9" s="338"/>
      <c r="GAQ9" s="338"/>
      <c r="GAR9" s="338"/>
      <c r="GAS9" s="338"/>
      <c r="GAT9" s="338"/>
      <c r="GAU9" s="338"/>
      <c r="GAV9" s="338"/>
      <c r="GAW9" s="338"/>
      <c r="GAX9" s="338"/>
      <c r="GAY9" s="338"/>
      <c r="GAZ9" s="338"/>
      <c r="GBA9" s="338"/>
      <c r="GBB9" s="338"/>
      <c r="GBC9" s="338"/>
      <c r="GBD9" s="338"/>
      <c r="GBE9" s="338"/>
      <c r="GBF9" s="338"/>
      <c r="GBG9" s="338"/>
      <c r="GBH9" s="338"/>
      <c r="GBI9" s="338"/>
      <c r="GBJ9" s="338"/>
      <c r="GBK9" s="338"/>
      <c r="GBL9" s="338"/>
      <c r="GBM9" s="338"/>
      <c r="GBN9" s="338"/>
      <c r="GBO9" s="338"/>
      <c r="GBP9" s="338"/>
      <c r="GBQ9" s="338"/>
      <c r="GBR9" s="338"/>
      <c r="GBS9" s="338"/>
      <c r="GBT9" s="338"/>
      <c r="GBU9" s="338"/>
      <c r="GBV9" s="338"/>
      <c r="GBW9" s="338"/>
      <c r="GBX9" s="338"/>
      <c r="GBY9" s="338"/>
      <c r="GBZ9" s="338"/>
      <c r="GCA9" s="338"/>
      <c r="GCB9" s="338"/>
      <c r="GCC9" s="338"/>
      <c r="GCD9" s="338"/>
      <c r="GCE9" s="338"/>
      <c r="GCF9" s="338"/>
      <c r="GCG9" s="338"/>
      <c r="GCH9" s="338"/>
      <c r="GCI9" s="338"/>
      <c r="GCJ9" s="338"/>
      <c r="GCK9" s="338"/>
      <c r="GCL9" s="338"/>
      <c r="GCM9" s="338"/>
      <c r="GCN9" s="338"/>
      <c r="GCO9" s="338"/>
      <c r="GCP9" s="338"/>
      <c r="GCQ9" s="338"/>
      <c r="GCR9" s="338"/>
      <c r="GCS9" s="338"/>
      <c r="GCT9" s="338"/>
      <c r="GCU9" s="338"/>
      <c r="GCV9" s="338"/>
      <c r="GCW9" s="338"/>
      <c r="GCX9" s="338"/>
      <c r="GCY9" s="338"/>
      <c r="GCZ9" s="338"/>
      <c r="GDA9" s="338"/>
      <c r="GDB9" s="338"/>
      <c r="GDC9" s="338"/>
      <c r="GDD9" s="338"/>
      <c r="GDE9" s="338"/>
      <c r="GDF9" s="338"/>
      <c r="GDG9" s="338"/>
      <c r="GDH9" s="338"/>
      <c r="GDI9" s="338"/>
      <c r="GDJ9" s="338"/>
      <c r="GDK9" s="338"/>
      <c r="GDL9" s="338"/>
      <c r="GDM9" s="338"/>
      <c r="GDN9" s="338"/>
      <c r="GDO9" s="338"/>
      <c r="GDP9" s="338"/>
      <c r="GDQ9" s="338"/>
      <c r="GDR9" s="338"/>
      <c r="GDS9" s="338"/>
      <c r="GDT9" s="338"/>
      <c r="GDU9" s="338"/>
      <c r="GDV9" s="338"/>
      <c r="GDW9" s="338"/>
      <c r="GDX9" s="338"/>
      <c r="GDY9" s="338"/>
      <c r="GDZ9" s="338"/>
      <c r="GEA9" s="338"/>
      <c r="GEB9" s="338"/>
      <c r="GEC9" s="338"/>
      <c r="GED9" s="338"/>
      <c r="GEE9" s="338"/>
      <c r="GEF9" s="338"/>
      <c r="GEG9" s="338"/>
      <c r="GEH9" s="338"/>
      <c r="GEI9" s="338"/>
      <c r="GEJ9" s="338"/>
      <c r="GEK9" s="338"/>
      <c r="GEL9" s="338"/>
      <c r="GEM9" s="338"/>
      <c r="GEN9" s="338"/>
      <c r="GEO9" s="338"/>
      <c r="GEP9" s="338"/>
      <c r="GEQ9" s="338"/>
      <c r="GER9" s="338"/>
      <c r="GES9" s="338"/>
      <c r="GET9" s="338"/>
      <c r="GEU9" s="338"/>
      <c r="GEV9" s="338"/>
      <c r="GEW9" s="338"/>
      <c r="GEX9" s="338"/>
      <c r="GEY9" s="338"/>
      <c r="GEZ9" s="338"/>
      <c r="GFA9" s="338"/>
      <c r="GFB9" s="338"/>
      <c r="GFC9" s="338"/>
      <c r="GFD9" s="338"/>
      <c r="GFE9" s="338"/>
      <c r="GFF9" s="338"/>
      <c r="GFG9" s="338"/>
      <c r="GFH9" s="338"/>
      <c r="GFI9" s="338"/>
      <c r="GFJ9" s="338"/>
      <c r="GFK9" s="338"/>
      <c r="GFL9" s="338"/>
      <c r="GFM9" s="338"/>
      <c r="GFN9" s="338"/>
      <c r="GFO9" s="338"/>
      <c r="GFP9" s="338"/>
      <c r="GFQ9" s="338"/>
      <c r="GFR9" s="338"/>
      <c r="GFS9" s="338"/>
      <c r="GFT9" s="338"/>
      <c r="GFU9" s="338"/>
      <c r="GFV9" s="338"/>
      <c r="GFW9" s="338"/>
      <c r="GFX9" s="338"/>
      <c r="GFY9" s="338"/>
      <c r="GFZ9" s="338"/>
      <c r="GGA9" s="338"/>
      <c r="GGB9" s="338"/>
      <c r="GGC9" s="338"/>
      <c r="GGD9" s="338"/>
      <c r="GGE9" s="338"/>
      <c r="GGF9" s="338"/>
      <c r="GGG9" s="338"/>
      <c r="GGH9" s="338"/>
      <c r="GGI9" s="338"/>
      <c r="GGJ9" s="338"/>
      <c r="GGK9" s="338"/>
      <c r="GGL9" s="338"/>
      <c r="GGM9" s="338"/>
      <c r="GGN9" s="338"/>
      <c r="GGO9" s="338"/>
      <c r="GGP9" s="338"/>
      <c r="GGQ9" s="338"/>
      <c r="GGR9" s="338"/>
      <c r="GGS9" s="338"/>
      <c r="GGT9" s="338"/>
      <c r="GGU9" s="338"/>
      <c r="GGV9" s="338"/>
      <c r="GGW9" s="338"/>
      <c r="GGX9" s="338"/>
      <c r="GGY9" s="338"/>
      <c r="GGZ9" s="338"/>
      <c r="GHA9" s="338"/>
      <c r="GHB9" s="338"/>
      <c r="GHC9" s="338"/>
      <c r="GHD9" s="338"/>
      <c r="GHE9" s="338"/>
      <c r="GHF9" s="338"/>
      <c r="GHG9" s="338"/>
      <c r="GHH9" s="338"/>
      <c r="GHI9" s="338"/>
      <c r="GHJ9" s="338"/>
      <c r="GHK9" s="338"/>
      <c r="GHL9" s="338"/>
      <c r="GHM9" s="338"/>
      <c r="GHN9" s="338"/>
      <c r="GHO9" s="338"/>
      <c r="GHP9" s="338"/>
      <c r="GHQ9" s="338"/>
      <c r="GHR9" s="338"/>
      <c r="GHS9" s="338"/>
      <c r="GHT9" s="338"/>
      <c r="GHU9" s="338"/>
      <c r="GHV9" s="338"/>
      <c r="GHW9" s="338"/>
      <c r="GHX9" s="338"/>
      <c r="GHY9" s="338"/>
      <c r="GHZ9" s="338"/>
      <c r="GIA9" s="338"/>
      <c r="GIB9" s="338"/>
      <c r="GIC9" s="338"/>
      <c r="GID9" s="338"/>
      <c r="GIE9" s="338"/>
      <c r="GIF9" s="338"/>
      <c r="GIG9" s="338"/>
      <c r="GIH9" s="338"/>
      <c r="GII9" s="338"/>
      <c r="GIJ9" s="338"/>
      <c r="GIK9" s="338"/>
      <c r="GIL9" s="338"/>
      <c r="GIM9" s="338"/>
      <c r="GIN9" s="338"/>
      <c r="GIO9" s="338"/>
      <c r="GIP9" s="338"/>
      <c r="GIQ9" s="338"/>
      <c r="GIR9" s="338"/>
      <c r="GIS9" s="338"/>
      <c r="GIT9" s="338"/>
      <c r="GIU9" s="338"/>
      <c r="GIV9" s="338"/>
      <c r="GIW9" s="338"/>
      <c r="GIX9" s="338"/>
      <c r="GIY9" s="338"/>
      <c r="GIZ9" s="338"/>
      <c r="GJA9" s="338"/>
      <c r="GJB9" s="338"/>
      <c r="GJC9" s="338"/>
      <c r="GJD9" s="338"/>
      <c r="GJE9" s="338"/>
      <c r="GJF9" s="338"/>
      <c r="GJG9" s="338"/>
      <c r="GJH9" s="338"/>
      <c r="GJI9" s="338"/>
      <c r="GJJ9" s="338"/>
      <c r="GJK9" s="338"/>
      <c r="GJL9" s="338"/>
      <c r="GJM9" s="338"/>
      <c r="GJN9" s="338"/>
      <c r="GJO9" s="338"/>
      <c r="GJP9" s="338"/>
      <c r="GJQ9" s="338"/>
      <c r="GJR9" s="338"/>
      <c r="GJS9" s="338"/>
      <c r="GJT9" s="338"/>
      <c r="GJU9" s="338"/>
      <c r="GJV9" s="338"/>
      <c r="GJW9" s="338"/>
      <c r="GJX9" s="338"/>
      <c r="GJY9" s="338"/>
      <c r="GJZ9" s="338"/>
      <c r="GKA9" s="338"/>
      <c r="GKB9" s="338"/>
      <c r="GKC9" s="338"/>
      <c r="GKD9" s="338"/>
      <c r="GKE9" s="338"/>
      <c r="GKF9" s="338"/>
      <c r="GKG9" s="338"/>
      <c r="GKH9" s="338"/>
      <c r="GKI9" s="338"/>
      <c r="GKJ9" s="338"/>
      <c r="GKK9" s="338"/>
      <c r="GKL9" s="338"/>
      <c r="GKM9" s="338"/>
      <c r="GKN9" s="338"/>
      <c r="GKO9" s="338"/>
      <c r="GKP9" s="338"/>
      <c r="GKQ9" s="338"/>
      <c r="GKR9" s="338"/>
      <c r="GKS9" s="338"/>
      <c r="GKT9" s="338"/>
      <c r="GKU9" s="338"/>
      <c r="GKV9" s="338"/>
      <c r="GKW9" s="338"/>
      <c r="GKX9" s="338"/>
      <c r="GKY9" s="338"/>
      <c r="GKZ9" s="338"/>
      <c r="GLA9" s="338"/>
      <c r="GLB9" s="338"/>
      <c r="GLC9" s="338"/>
      <c r="GLD9" s="338"/>
      <c r="GLE9" s="338"/>
      <c r="GLF9" s="338"/>
      <c r="GLG9" s="338"/>
      <c r="GLH9" s="338"/>
      <c r="GLI9" s="338"/>
      <c r="GLJ9" s="338"/>
      <c r="GLK9" s="338"/>
      <c r="GLL9" s="338"/>
      <c r="GLM9" s="338"/>
      <c r="GLN9" s="338"/>
      <c r="GLO9" s="338"/>
      <c r="GLP9" s="338"/>
      <c r="GLQ9" s="338"/>
      <c r="GLR9" s="338"/>
      <c r="GLS9" s="338"/>
      <c r="GLT9" s="338"/>
      <c r="GLU9" s="338"/>
      <c r="GLV9" s="338"/>
      <c r="GLW9" s="338"/>
      <c r="GLX9" s="338"/>
      <c r="GLY9" s="338"/>
      <c r="GLZ9" s="338"/>
      <c r="GMA9" s="338"/>
      <c r="GMB9" s="338"/>
      <c r="GMC9" s="338"/>
      <c r="GMD9" s="338"/>
      <c r="GME9" s="338"/>
      <c r="GMF9" s="338"/>
      <c r="GMG9" s="338"/>
      <c r="GMH9" s="338"/>
      <c r="GMI9" s="338"/>
      <c r="GMJ9" s="338"/>
      <c r="GMK9" s="338"/>
      <c r="GML9" s="338"/>
      <c r="GMM9" s="338"/>
      <c r="GMN9" s="338"/>
      <c r="GMO9" s="338"/>
      <c r="GMP9" s="338"/>
      <c r="GMQ9" s="338"/>
      <c r="GMR9" s="338"/>
      <c r="GMS9" s="338"/>
      <c r="GMT9" s="338"/>
      <c r="GMU9" s="338"/>
      <c r="GMV9" s="338"/>
      <c r="GMW9" s="338"/>
      <c r="GMX9" s="338"/>
      <c r="GMY9" s="338"/>
      <c r="GMZ9" s="338"/>
      <c r="GNA9" s="338"/>
      <c r="GNB9" s="338"/>
      <c r="GNC9" s="338"/>
      <c r="GND9" s="338"/>
      <c r="GNE9" s="338"/>
      <c r="GNF9" s="338"/>
      <c r="GNG9" s="338"/>
      <c r="GNH9" s="338"/>
      <c r="GNI9" s="338"/>
      <c r="GNJ9" s="338"/>
      <c r="GNK9" s="338"/>
      <c r="GNL9" s="338"/>
      <c r="GNM9" s="338"/>
      <c r="GNN9" s="338"/>
      <c r="GNO9" s="338"/>
      <c r="GNP9" s="338"/>
      <c r="GNQ9" s="338"/>
      <c r="GNR9" s="338"/>
      <c r="GNS9" s="338"/>
      <c r="GNT9" s="338"/>
      <c r="GNU9" s="338"/>
      <c r="GNV9" s="338"/>
      <c r="GNW9" s="338"/>
      <c r="GNX9" s="338"/>
      <c r="GNY9" s="338"/>
      <c r="GNZ9" s="338"/>
      <c r="GOA9" s="338"/>
      <c r="GOB9" s="338"/>
      <c r="GOC9" s="338"/>
      <c r="GOD9" s="338"/>
      <c r="GOE9" s="338"/>
      <c r="GOF9" s="338"/>
      <c r="GOG9" s="338"/>
      <c r="GOH9" s="338"/>
      <c r="GOI9" s="338"/>
      <c r="GOJ9" s="338"/>
      <c r="GOK9" s="338"/>
      <c r="GOL9" s="338"/>
      <c r="GOM9" s="338"/>
      <c r="GON9" s="338"/>
      <c r="GOO9" s="338"/>
      <c r="GOP9" s="338"/>
      <c r="GOQ9" s="338"/>
      <c r="GOR9" s="338"/>
      <c r="GOS9" s="338"/>
      <c r="GOT9" s="338"/>
      <c r="GOU9" s="338"/>
      <c r="GOV9" s="338"/>
      <c r="GOW9" s="338"/>
      <c r="GOX9" s="338"/>
      <c r="GOY9" s="338"/>
      <c r="GOZ9" s="338"/>
      <c r="GPA9" s="338"/>
      <c r="GPB9" s="338"/>
      <c r="GPC9" s="338"/>
      <c r="GPD9" s="338"/>
      <c r="GPE9" s="338"/>
      <c r="GPF9" s="338"/>
      <c r="GPG9" s="338"/>
      <c r="GPH9" s="338"/>
      <c r="GPI9" s="338"/>
      <c r="GPJ9" s="338"/>
      <c r="GPK9" s="338"/>
      <c r="GPL9" s="338"/>
      <c r="GPM9" s="338"/>
      <c r="GPN9" s="338"/>
      <c r="GPO9" s="338"/>
      <c r="GPP9" s="338"/>
      <c r="GPQ9" s="338"/>
      <c r="GPR9" s="338"/>
      <c r="GPS9" s="338"/>
      <c r="GPT9" s="338"/>
      <c r="GPU9" s="338"/>
      <c r="GPV9" s="338"/>
      <c r="GPW9" s="338"/>
      <c r="GPX9" s="338"/>
      <c r="GPY9" s="338"/>
      <c r="GPZ9" s="338"/>
      <c r="GQA9" s="338"/>
      <c r="GQB9" s="338"/>
      <c r="GQC9" s="338"/>
      <c r="GQD9" s="338"/>
      <c r="GQE9" s="338"/>
      <c r="GQF9" s="338"/>
      <c r="GQG9" s="338"/>
      <c r="GQH9" s="338"/>
      <c r="GQI9" s="338"/>
      <c r="GQJ9" s="338"/>
      <c r="GQK9" s="338"/>
      <c r="GQL9" s="338"/>
      <c r="GQM9" s="338"/>
      <c r="GQN9" s="338"/>
      <c r="GQO9" s="338"/>
      <c r="GQP9" s="338"/>
      <c r="GQQ9" s="338"/>
      <c r="GQR9" s="338"/>
      <c r="GQS9" s="338"/>
      <c r="GQT9" s="338"/>
      <c r="GQU9" s="338"/>
      <c r="GQV9" s="338"/>
      <c r="GQW9" s="338"/>
      <c r="GQX9" s="338"/>
      <c r="GQY9" s="338"/>
      <c r="GQZ9" s="338"/>
      <c r="GRA9" s="338"/>
      <c r="GRB9" s="338"/>
      <c r="GRC9" s="338"/>
      <c r="GRD9" s="338"/>
      <c r="GRE9" s="338"/>
      <c r="GRF9" s="338"/>
      <c r="GRG9" s="338"/>
      <c r="GRH9" s="338"/>
      <c r="GRI9" s="338"/>
      <c r="GRJ9" s="338"/>
      <c r="GRK9" s="338"/>
      <c r="GRL9" s="338"/>
      <c r="GRM9" s="338"/>
      <c r="GRN9" s="338"/>
      <c r="GRO9" s="338"/>
      <c r="GRP9" s="338"/>
      <c r="GRQ9" s="338"/>
      <c r="GRR9" s="338"/>
      <c r="GRS9" s="338"/>
      <c r="GRT9" s="338"/>
      <c r="GRU9" s="338"/>
      <c r="GRV9" s="338"/>
      <c r="GRW9" s="338"/>
      <c r="GRX9" s="338"/>
      <c r="GRY9" s="338"/>
      <c r="GRZ9" s="338"/>
      <c r="GSA9" s="338"/>
      <c r="GSB9" s="338"/>
      <c r="GSC9" s="338"/>
      <c r="GSD9" s="338"/>
      <c r="GSE9" s="338"/>
      <c r="GSF9" s="338"/>
      <c r="GSG9" s="338"/>
      <c r="GSH9" s="338"/>
      <c r="GSI9" s="338"/>
      <c r="GSJ9" s="338"/>
      <c r="GSK9" s="338"/>
      <c r="GSL9" s="338"/>
      <c r="GSM9" s="338"/>
      <c r="GSN9" s="338"/>
      <c r="GSO9" s="338"/>
      <c r="GSP9" s="338"/>
      <c r="GSQ9" s="338"/>
      <c r="GSR9" s="338"/>
      <c r="GSS9" s="338"/>
      <c r="GST9" s="338"/>
      <c r="GSU9" s="338"/>
      <c r="GSV9" s="338"/>
      <c r="GSW9" s="338"/>
      <c r="GSX9" s="338"/>
      <c r="GSY9" s="338"/>
      <c r="GSZ9" s="338"/>
      <c r="GTA9" s="338"/>
      <c r="GTB9" s="338"/>
      <c r="GTC9" s="338"/>
      <c r="GTD9" s="338"/>
      <c r="GTE9" s="338"/>
      <c r="GTF9" s="338"/>
      <c r="GTG9" s="338"/>
      <c r="GTH9" s="338"/>
      <c r="GTI9" s="338"/>
      <c r="GTJ9" s="338"/>
      <c r="GTK9" s="338"/>
      <c r="GTL9" s="338"/>
      <c r="GTM9" s="338"/>
      <c r="GTN9" s="338"/>
      <c r="GTO9" s="338"/>
      <c r="GTP9" s="338"/>
      <c r="GTQ9" s="338"/>
      <c r="GTR9" s="338"/>
      <c r="GTS9" s="338"/>
      <c r="GTT9" s="338"/>
      <c r="GTU9" s="338"/>
      <c r="GTV9" s="338"/>
      <c r="GTW9" s="338"/>
      <c r="GTX9" s="338"/>
      <c r="GTY9" s="338"/>
      <c r="GTZ9" s="338"/>
      <c r="GUA9" s="338"/>
      <c r="GUB9" s="338"/>
      <c r="GUC9" s="338"/>
      <c r="GUD9" s="338"/>
      <c r="GUE9" s="338"/>
      <c r="GUF9" s="338"/>
      <c r="GUG9" s="338"/>
      <c r="GUH9" s="338"/>
      <c r="GUI9" s="338"/>
      <c r="GUJ9" s="338"/>
      <c r="GUK9" s="338"/>
      <c r="GUL9" s="338"/>
      <c r="GUM9" s="338"/>
      <c r="GUN9" s="338"/>
      <c r="GUO9" s="338"/>
      <c r="GUP9" s="338"/>
      <c r="GUQ9" s="338"/>
      <c r="GUR9" s="338"/>
      <c r="GUS9" s="338"/>
      <c r="GUT9" s="338"/>
      <c r="GUU9" s="338"/>
      <c r="GUV9" s="338"/>
      <c r="GUW9" s="338"/>
      <c r="GUX9" s="338"/>
      <c r="GUY9" s="338"/>
      <c r="GUZ9" s="338"/>
      <c r="GVA9" s="338"/>
      <c r="GVB9" s="338"/>
      <c r="GVC9" s="338"/>
      <c r="GVD9" s="338"/>
      <c r="GVE9" s="338"/>
      <c r="GVF9" s="338"/>
      <c r="GVG9" s="338"/>
      <c r="GVH9" s="338"/>
      <c r="GVI9" s="338"/>
      <c r="GVJ9" s="338"/>
      <c r="GVK9" s="338"/>
      <c r="GVL9" s="338"/>
      <c r="GVM9" s="338"/>
      <c r="GVN9" s="338"/>
      <c r="GVO9" s="338"/>
      <c r="GVP9" s="338"/>
      <c r="GVQ9" s="338"/>
      <c r="GVR9" s="338"/>
      <c r="GVS9" s="338"/>
      <c r="GVT9" s="338"/>
      <c r="GVU9" s="338"/>
      <c r="GVV9" s="338"/>
      <c r="GVW9" s="338"/>
      <c r="GVX9" s="338"/>
      <c r="GVY9" s="338"/>
      <c r="GVZ9" s="338"/>
      <c r="GWA9" s="338"/>
      <c r="GWB9" s="338"/>
      <c r="GWC9" s="338"/>
      <c r="GWD9" s="338"/>
      <c r="GWE9" s="338"/>
      <c r="GWF9" s="338"/>
      <c r="GWG9" s="338"/>
      <c r="GWH9" s="338"/>
      <c r="GWI9" s="338"/>
      <c r="GWJ9" s="338"/>
      <c r="GWK9" s="338"/>
      <c r="GWL9" s="338"/>
      <c r="GWM9" s="338"/>
      <c r="GWN9" s="338"/>
      <c r="GWO9" s="338"/>
      <c r="GWP9" s="338"/>
      <c r="GWQ9" s="338"/>
      <c r="GWR9" s="338"/>
      <c r="GWS9" s="338"/>
      <c r="GWT9" s="338"/>
      <c r="GWU9" s="338"/>
      <c r="GWV9" s="338"/>
      <c r="GWW9" s="338"/>
      <c r="GWX9" s="338"/>
      <c r="GWY9" s="338"/>
      <c r="GWZ9" s="338"/>
      <c r="GXA9" s="338"/>
      <c r="GXB9" s="338"/>
      <c r="GXC9" s="338"/>
      <c r="GXD9" s="338"/>
      <c r="GXE9" s="338"/>
      <c r="GXF9" s="338"/>
      <c r="GXG9" s="338"/>
      <c r="GXH9" s="338"/>
      <c r="GXI9" s="338"/>
      <c r="GXJ9" s="338"/>
      <c r="GXK9" s="338"/>
      <c r="GXL9" s="338"/>
      <c r="GXM9" s="338"/>
      <c r="GXN9" s="338"/>
      <c r="GXO9" s="338"/>
      <c r="GXP9" s="338"/>
      <c r="GXQ9" s="338"/>
      <c r="GXR9" s="338"/>
      <c r="GXS9" s="338"/>
      <c r="GXT9" s="338"/>
      <c r="GXU9" s="338"/>
      <c r="GXV9" s="338"/>
      <c r="GXW9" s="338"/>
      <c r="GXX9" s="338"/>
      <c r="GXY9" s="338"/>
      <c r="GXZ9" s="338"/>
      <c r="GYA9" s="338"/>
      <c r="GYB9" s="338"/>
      <c r="GYC9" s="338"/>
      <c r="GYD9" s="338"/>
      <c r="GYE9" s="338"/>
      <c r="GYF9" s="338"/>
      <c r="GYG9" s="338"/>
      <c r="GYH9" s="338"/>
      <c r="GYI9" s="338"/>
      <c r="GYJ9" s="338"/>
      <c r="GYK9" s="338"/>
      <c r="GYL9" s="338"/>
      <c r="GYM9" s="338"/>
      <c r="GYN9" s="338"/>
      <c r="GYO9" s="338"/>
      <c r="GYP9" s="338"/>
      <c r="GYQ9" s="338"/>
      <c r="GYR9" s="338"/>
      <c r="GYS9" s="338"/>
      <c r="GYT9" s="338"/>
      <c r="GYU9" s="338"/>
      <c r="GYV9" s="338"/>
      <c r="GYW9" s="338"/>
      <c r="GYX9" s="338"/>
      <c r="GYY9" s="338"/>
      <c r="GYZ9" s="338"/>
      <c r="GZA9" s="338"/>
      <c r="GZB9" s="338"/>
      <c r="GZC9" s="338"/>
      <c r="GZD9" s="338"/>
      <c r="GZE9" s="338"/>
      <c r="GZF9" s="338"/>
      <c r="GZG9" s="338"/>
      <c r="GZH9" s="338"/>
      <c r="GZI9" s="338"/>
      <c r="GZJ9" s="338"/>
      <c r="GZK9" s="338"/>
      <c r="GZL9" s="338"/>
      <c r="GZM9" s="338"/>
      <c r="GZN9" s="338"/>
      <c r="GZO9" s="338"/>
      <c r="GZP9" s="338"/>
      <c r="GZQ9" s="338"/>
      <c r="GZR9" s="338"/>
      <c r="GZS9" s="338"/>
      <c r="GZT9" s="338"/>
      <c r="GZU9" s="338"/>
      <c r="GZV9" s="338"/>
      <c r="GZW9" s="338"/>
      <c r="GZX9" s="338"/>
      <c r="GZY9" s="338"/>
      <c r="GZZ9" s="338"/>
      <c r="HAA9" s="338"/>
      <c r="HAB9" s="338"/>
      <c r="HAC9" s="338"/>
      <c r="HAD9" s="338"/>
      <c r="HAE9" s="338"/>
      <c r="HAF9" s="338"/>
      <c r="HAG9" s="338"/>
      <c r="HAH9" s="338"/>
      <c r="HAI9" s="338"/>
      <c r="HAJ9" s="338"/>
      <c r="HAK9" s="338"/>
      <c r="HAL9" s="338"/>
      <c r="HAM9" s="338"/>
      <c r="HAN9" s="338"/>
      <c r="HAO9" s="338"/>
      <c r="HAP9" s="338"/>
      <c r="HAQ9" s="338"/>
      <c r="HAR9" s="338"/>
      <c r="HAS9" s="338"/>
      <c r="HAT9" s="338"/>
      <c r="HAU9" s="338"/>
      <c r="HAV9" s="338"/>
      <c r="HAW9" s="338"/>
      <c r="HAX9" s="338"/>
      <c r="HAY9" s="338"/>
      <c r="HAZ9" s="338"/>
      <c r="HBA9" s="338"/>
      <c r="HBB9" s="338"/>
      <c r="HBC9" s="338"/>
      <c r="HBD9" s="338"/>
      <c r="HBE9" s="338"/>
      <c r="HBF9" s="338"/>
      <c r="HBG9" s="338"/>
      <c r="HBH9" s="338"/>
      <c r="HBI9" s="338"/>
      <c r="HBJ9" s="338"/>
      <c r="HBK9" s="338"/>
      <c r="HBL9" s="338"/>
      <c r="HBM9" s="338"/>
      <c r="HBN9" s="338"/>
      <c r="HBO9" s="338"/>
      <c r="HBP9" s="338"/>
      <c r="HBQ9" s="338"/>
      <c r="HBR9" s="338"/>
      <c r="HBS9" s="338"/>
      <c r="HBT9" s="338"/>
      <c r="HBU9" s="338"/>
      <c r="HBV9" s="338"/>
      <c r="HBW9" s="338"/>
      <c r="HBX9" s="338"/>
      <c r="HBY9" s="338"/>
      <c r="HBZ9" s="338"/>
      <c r="HCA9" s="338"/>
      <c r="HCB9" s="338"/>
      <c r="HCC9" s="338"/>
      <c r="HCD9" s="338"/>
      <c r="HCE9" s="338"/>
      <c r="HCF9" s="338"/>
      <c r="HCG9" s="338"/>
      <c r="HCH9" s="338"/>
      <c r="HCI9" s="338"/>
      <c r="HCJ9" s="338"/>
      <c r="HCK9" s="338"/>
      <c r="HCL9" s="338"/>
      <c r="HCM9" s="338"/>
      <c r="HCN9" s="338"/>
      <c r="HCO9" s="338"/>
      <c r="HCP9" s="338"/>
      <c r="HCQ9" s="338"/>
      <c r="HCR9" s="338"/>
      <c r="HCS9" s="338"/>
      <c r="HCT9" s="338"/>
      <c r="HCU9" s="338"/>
      <c r="HCV9" s="338"/>
      <c r="HCW9" s="338"/>
      <c r="HCX9" s="338"/>
      <c r="HCY9" s="338"/>
      <c r="HCZ9" s="338"/>
      <c r="HDA9" s="338"/>
      <c r="HDB9" s="338"/>
      <c r="HDC9" s="338"/>
      <c r="HDD9" s="338"/>
      <c r="HDE9" s="338"/>
      <c r="HDF9" s="338"/>
      <c r="HDG9" s="338"/>
      <c r="HDH9" s="338"/>
      <c r="HDI9" s="338"/>
      <c r="HDJ9" s="338"/>
      <c r="HDK9" s="338"/>
      <c r="HDL9" s="338"/>
      <c r="HDM9" s="338"/>
      <c r="HDN9" s="338"/>
      <c r="HDO9" s="338"/>
      <c r="HDP9" s="338"/>
      <c r="HDQ9" s="338"/>
      <c r="HDR9" s="338"/>
      <c r="HDS9" s="338"/>
      <c r="HDT9" s="338"/>
      <c r="HDU9" s="338"/>
      <c r="HDV9" s="338"/>
      <c r="HDW9" s="338"/>
      <c r="HDX9" s="338"/>
      <c r="HDY9" s="338"/>
      <c r="HDZ9" s="338"/>
      <c r="HEA9" s="338"/>
      <c r="HEB9" s="338"/>
      <c r="HEC9" s="338"/>
      <c r="HED9" s="338"/>
      <c r="HEE9" s="338"/>
      <c r="HEF9" s="338"/>
      <c r="HEG9" s="338"/>
      <c r="HEH9" s="338"/>
      <c r="HEI9" s="338"/>
      <c r="HEJ9" s="338"/>
      <c r="HEK9" s="338"/>
      <c r="HEL9" s="338"/>
      <c r="HEM9" s="338"/>
      <c r="HEN9" s="338"/>
      <c r="HEO9" s="338"/>
      <c r="HEP9" s="338"/>
      <c r="HEQ9" s="338"/>
      <c r="HER9" s="338"/>
      <c r="HES9" s="338"/>
      <c r="HET9" s="338"/>
      <c r="HEU9" s="338"/>
      <c r="HEV9" s="338"/>
      <c r="HEW9" s="338"/>
      <c r="HEX9" s="338"/>
      <c r="HEY9" s="338"/>
      <c r="HEZ9" s="338"/>
      <c r="HFA9" s="338"/>
      <c r="HFB9" s="338"/>
      <c r="HFC9" s="338"/>
      <c r="HFD9" s="338"/>
      <c r="HFE9" s="338"/>
      <c r="HFF9" s="338"/>
      <c r="HFG9" s="338"/>
      <c r="HFH9" s="338"/>
      <c r="HFI9" s="338"/>
      <c r="HFJ9" s="338"/>
      <c r="HFK9" s="338"/>
      <c r="HFL9" s="338"/>
      <c r="HFM9" s="338"/>
      <c r="HFN9" s="338"/>
      <c r="HFO9" s="338"/>
      <c r="HFP9" s="338"/>
      <c r="HFQ9" s="338"/>
      <c r="HFR9" s="338"/>
      <c r="HFS9" s="338"/>
      <c r="HFT9" s="338"/>
      <c r="HFU9" s="338"/>
      <c r="HFV9" s="338"/>
      <c r="HFW9" s="338"/>
      <c r="HFX9" s="338"/>
      <c r="HFY9" s="338"/>
      <c r="HFZ9" s="338"/>
      <c r="HGA9" s="338"/>
      <c r="HGB9" s="338"/>
      <c r="HGC9" s="338"/>
      <c r="HGD9" s="338"/>
      <c r="HGE9" s="338"/>
      <c r="HGF9" s="338"/>
      <c r="HGG9" s="338"/>
      <c r="HGH9" s="338"/>
      <c r="HGI9" s="338"/>
      <c r="HGJ9" s="338"/>
      <c r="HGK9" s="338"/>
      <c r="HGL9" s="338"/>
      <c r="HGM9" s="338"/>
      <c r="HGN9" s="338"/>
      <c r="HGO9" s="338"/>
      <c r="HGP9" s="338"/>
      <c r="HGQ9" s="338"/>
      <c r="HGR9" s="338"/>
      <c r="HGS9" s="338"/>
      <c r="HGT9" s="338"/>
      <c r="HGU9" s="338"/>
      <c r="HGV9" s="338"/>
      <c r="HGW9" s="338"/>
      <c r="HGX9" s="338"/>
      <c r="HGY9" s="338"/>
      <c r="HGZ9" s="338"/>
      <c r="HHA9" s="338"/>
      <c r="HHB9" s="338"/>
      <c r="HHC9" s="338"/>
      <c r="HHD9" s="338"/>
      <c r="HHE9" s="338"/>
      <c r="HHF9" s="338"/>
      <c r="HHG9" s="338"/>
      <c r="HHH9" s="338"/>
      <c r="HHI9" s="338"/>
      <c r="HHJ9" s="338"/>
      <c r="HHK9" s="338"/>
      <c r="HHL9" s="338"/>
      <c r="HHM9" s="338"/>
      <c r="HHN9" s="338"/>
      <c r="HHO9" s="338"/>
      <c r="HHP9" s="338"/>
      <c r="HHQ9" s="338"/>
      <c r="HHR9" s="338"/>
      <c r="HHS9" s="338"/>
      <c r="HHT9" s="338"/>
      <c r="HHU9" s="338"/>
      <c r="HHV9" s="338"/>
      <c r="HHW9" s="338"/>
      <c r="HHX9" s="338"/>
      <c r="HHY9" s="338"/>
      <c r="HHZ9" s="338"/>
      <c r="HIA9" s="338"/>
      <c r="HIB9" s="338"/>
      <c r="HIC9" s="338"/>
      <c r="HID9" s="338"/>
      <c r="HIE9" s="338"/>
      <c r="HIF9" s="338"/>
      <c r="HIG9" s="338"/>
      <c r="HIH9" s="338"/>
      <c r="HII9" s="338"/>
      <c r="HIJ9" s="338"/>
      <c r="HIK9" s="338"/>
      <c r="HIL9" s="338"/>
      <c r="HIM9" s="338"/>
      <c r="HIN9" s="338"/>
      <c r="HIO9" s="338"/>
      <c r="HIP9" s="338"/>
      <c r="HIQ9" s="338"/>
      <c r="HIR9" s="338"/>
      <c r="HIS9" s="338"/>
      <c r="HIT9" s="338"/>
      <c r="HIU9" s="338"/>
      <c r="HIV9" s="338"/>
      <c r="HIW9" s="338"/>
      <c r="HIX9" s="338"/>
      <c r="HIY9" s="338"/>
      <c r="HIZ9" s="338"/>
      <c r="HJA9" s="338"/>
      <c r="HJB9" s="338"/>
      <c r="HJC9" s="338"/>
      <c r="HJD9" s="338"/>
      <c r="HJE9" s="338"/>
      <c r="HJF9" s="338"/>
      <c r="HJG9" s="338"/>
      <c r="HJH9" s="338"/>
      <c r="HJI9" s="338"/>
      <c r="HJJ9" s="338"/>
      <c r="HJK9" s="338"/>
      <c r="HJL9" s="338"/>
      <c r="HJM9" s="338"/>
      <c r="HJN9" s="338"/>
      <c r="HJO9" s="338"/>
      <c r="HJP9" s="338"/>
      <c r="HJQ9" s="338"/>
      <c r="HJR9" s="338"/>
      <c r="HJS9" s="338"/>
      <c r="HJT9" s="338"/>
      <c r="HJU9" s="338"/>
      <c r="HJV9" s="338"/>
      <c r="HJW9" s="338"/>
      <c r="HJX9" s="338"/>
      <c r="HJY9" s="338"/>
      <c r="HJZ9" s="338"/>
      <c r="HKA9" s="338"/>
      <c r="HKB9" s="338"/>
      <c r="HKC9" s="338"/>
      <c r="HKD9" s="338"/>
      <c r="HKE9" s="338"/>
      <c r="HKF9" s="338"/>
      <c r="HKG9" s="338"/>
      <c r="HKH9" s="338"/>
      <c r="HKI9" s="338"/>
      <c r="HKJ9" s="338"/>
      <c r="HKK9" s="338"/>
      <c r="HKL9" s="338"/>
      <c r="HKM9" s="338"/>
      <c r="HKN9" s="338"/>
      <c r="HKO9" s="338"/>
      <c r="HKP9" s="338"/>
      <c r="HKQ9" s="338"/>
      <c r="HKR9" s="338"/>
      <c r="HKS9" s="338"/>
      <c r="HKT9" s="338"/>
      <c r="HKU9" s="338"/>
      <c r="HKV9" s="338"/>
      <c r="HKW9" s="338"/>
      <c r="HKX9" s="338"/>
      <c r="HKY9" s="338"/>
      <c r="HKZ9" s="338"/>
      <c r="HLA9" s="338"/>
      <c r="HLB9" s="338"/>
      <c r="HLC9" s="338"/>
      <c r="HLD9" s="338"/>
      <c r="HLE9" s="338"/>
      <c r="HLF9" s="338"/>
      <c r="HLG9" s="338"/>
      <c r="HLH9" s="338"/>
      <c r="HLI9" s="338"/>
      <c r="HLJ9" s="338"/>
      <c r="HLK9" s="338"/>
      <c r="HLL9" s="338"/>
      <c r="HLM9" s="338"/>
      <c r="HLN9" s="338"/>
      <c r="HLO9" s="338"/>
      <c r="HLP9" s="338"/>
      <c r="HLQ9" s="338"/>
      <c r="HLR9" s="338"/>
      <c r="HLS9" s="338"/>
      <c r="HLT9" s="338"/>
      <c r="HLU9" s="338"/>
      <c r="HLV9" s="338"/>
      <c r="HLW9" s="338"/>
      <c r="HLX9" s="338"/>
      <c r="HLY9" s="338"/>
      <c r="HLZ9" s="338"/>
      <c r="HMA9" s="338"/>
      <c r="HMB9" s="338"/>
      <c r="HMC9" s="338"/>
      <c r="HMD9" s="338"/>
      <c r="HME9" s="338"/>
      <c r="HMF9" s="338"/>
      <c r="HMG9" s="338"/>
      <c r="HMH9" s="338"/>
      <c r="HMI9" s="338"/>
      <c r="HMJ9" s="338"/>
      <c r="HMK9" s="338"/>
      <c r="HML9" s="338"/>
      <c r="HMM9" s="338"/>
      <c r="HMN9" s="338"/>
      <c r="HMO9" s="338"/>
      <c r="HMP9" s="338"/>
      <c r="HMQ9" s="338"/>
      <c r="HMR9" s="338"/>
      <c r="HMS9" s="338"/>
      <c r="HMT9" s="338"/>
      <c r="HMU9" s="338"/>
      <c r="HMV9" s="338"/>
      <c r="HMW9" s="338"/>
      <c r="HMX9" s="338"/>
      <c r="HMY9" s="338"/>
      <c r="HMZ9" s="338"/>
      <c r="HNA9" s="338"/>
      <c r="HNB9" s="338"/>
      <c r="HNC9" s="338"/>
      <c r="HND9" s="338"/>
      <c r="HNE9" s="338"/>
      <c r="HNF9" s="338"/>
      <c r="HNG9" s="338"/>
      <c r="HNH9" s="338"/>
      <c r="HNI9" s="338"/>
      <c r="HNJ9" s="338"/>
      <c r="HNK9" s="338"/>
      <c r="HNL9" s="338"/>
      <c r="HNM9" s="338"/>
      <c r="HNN9" s="338"/>
      <c r="HNO9" s="338"/>
      <c r="HNP9" s="338"/>
      <c r="HNQ9" s="338"/>
      <c r="HNR9" s="338"/>
      <c r="HNS9" s="338"/>
      <c r="HNT9" s="338"/>
      <c r="HNU9" s="338"/>
      <c r="HNV9" s="338"/>
      <c r="HNW9" s="338"/>
      <c r="HNX9" s="338"/>
      <c r="HNY9" s="338"/>
      <c r="HNZ9" s="338"/>
      <c r="HOA9" s="338"/>
      <c r="HOB9" s="338"/>
      <c r="HOC9" s="338"/>
      <c r="HOD9" s="338"/>
      <c r="HOE9" s="338"/>
      <c r="HOF9" s="338"/>
      <c r="HOG9" s="338"/>
      <c r="HOH9" s="338"/>
      <c r="HOI9" s="338"/>
      <c r="HOJ9" s="338"/>
      <c r="HOK9" s="338"/>
      <c r="HOL9" s="338"/>
      <c r="HOM9" s="338"/>
      <c r="HON9" s="338"/>
      <c r="HOO9" s="338"/>
      <c r="HOP9" s="338"/>
      <c r="HOQ9" s="338"/>
      <c r="HOR9" s="338"/>
      <c r="HOS9" s="338"/>
      <c r="HOT9" s="338"/>
      <c r="HOU9" s="338"/>
      <c r="HOV9" s="338"/>
      <c r="HOW9" s="338"/>
      <c r="HOX9" s="338"/>
      <c r="HOY9" s="338"/>
      <c r="HOZ9" s="338"/>
      <c r="HPA9" s="338"/>
      <c r="HPB9" s="338"/>
      <c r="HPC9" s="338"/>
      <c r="HPD9" s="338"/>
      <c r="HPE9" s="338"/>
      <c r="HPF9" s="338"/>
      <c r="HPG9" s="338"/>
      <c r="HPH9" s="338"/>
      <c r="HPI9" s="338"/>
      <c r="HPJ9" s="338"/>
      <c r="HPK9" s="338"/>
      <c r="HPL9" s="338"/>
      <c r="HPM9" s="338"/>
      <c r="HPN9" s="338"/>
      <c r="HPO9" s="338"/>
      <c r="HPP9" s="338"/>
      <c r="HPQ9" s="338"/>
      <c r="HPR9" s="338"/>
      <c r="HPS9" s="338"/>
      <c r="HPT9" s="338"/>
      <c r="HPU9" s="338"/>
      <c r="HPV9" s="338"/>
      <c r="HPW9" s="338"/>
      <c r="HPX9" s="338"/>
      <c r="HPY9" s="338"/>
      <c r="HPZ9" s="338"/>
      <c r="HQA9" s="338"/>
      <c r="HQB9" s="338"/>
      <c r="HQC9" s="338"/>
      <c r="HQD9" s="338"/>
      <c r="HQE9" s="338"/>
      <c r="HQF9" s="338"/>
      <c r="HQG9" s="338"/>
      <c r="HQH9" s="338"/>
      <c r="HQI9" s="338"/>
      <c r="HQJ9" s="338"/>
      <c r="HQK9" s="338"/>
      <c r="HQL9" s="338"/>
      <c r="HQM9" s="338"/>
      <c r="HQN9" s="338"/>
      <c r="HQO9" s="338"/>
      <c r="HQP9" s="338"/>
      <c r="HQQ9" s="338"/>
      <c r="HQR9" s="338"/>
      <c r="HQS9" s="338"/>
      <c r="HQT9" s="338"/>
      <c r="HQU9" s="338"/>
      <c r="HQV9" s="338"/>
      <c r="HQW9" s="338"/>
      <c r="HQX9" s="338"/>
      <c r="HQY9" s="338"/>
      <c r="HQZ9" s="338"/>
      <c r="HRA9" s="338"/>
      <c r="HRB9" s="338"/>
      <c r="HRC9" s="338"/>
      <c r="HRD9" s="338"/>
      <c r="HRE9" s="338"/>
      <c r="HRF9" s="338"/>
      <c r="HRG9" s="338"/>
      <c r="HRH9" s="338"/>
      <c r="HRI9" s="338"/>
      <c r="HRJ9" s="338"/>
      <c r="HRK9" s="338"/>
      <c r="HRL9" s="338"/>
      <c r="HRM9" s="338"/>
      <c r="HRN9" s="338"/>
      <c r="HRO9" s="338"/>
      <c r="HRP9" s="338"/>
      <c r="HRQ9" s="338"/>
      <c r="HRR9" s="338"/>
      <c r="HRS9" s="338"/>
      <c r="HRT9" s="338"/>
      <c r="HRU9" s="338"/>
      <c r="HRV9" s="338"/>
      <c r="HRW9" s="338"/>
      <c r="HRX9" s="338"/>
      <c r="HRY9" s="338"/>
      <c r="HRZ9" s="338"/>
      <c r="HSA9" s="338"/>
      <c r="HSB9" s="338"/>
      <c r="HSC9" s="338"/>
      <c r="HSD9" s="338"/>
      <c r="HSE9" s="338"/>
      <c r="HSF9" s="338"/>
      <c r="HSG9" s="338"/>
      <c r="HSH9" s="338"/>
      <c r="HSI9" s="338"/>
      <c r="HSJ9" s="338"/>
      <c r="HSK9" s="338"/>
      <c r="HSL9" s="338"/>
      <c r="HSM9" s="338"/>
      <c r="HSN9" s="338"/>
      <c r="HSO9" s="338"/>
      <c r="HSP9" s="338"/>
      <c r="HSQ9" s="338"/>
      <c r="HSR9" s="338"/>
      <c r="HSS9" s="338"/>
      <c r="HST9" s="338"/>
      <c r="HSU9" s="338"/>
      <c r="HSV9" s="338"/>
      <c r="HSW9" s="338"/>
      <c r="HSX9" s="338"/>
      <c r="HSY9" s="338"/>
      <c r="HSZ9" s="338"/>
      <c r="HTA9" s="338"/>
      <c r="HTB9" s="338"/>
      <c r="HTC9" s="338"/>
      <c r="HTD9" s="338"/>
      <c r="HTE9" s="338"/>
      <c r="HTF9" s="338"/>
      <c r="HTG9" s="338"/>
      <c r="HTH9" s="338"/>
      <c r="HTI9" s="338"/>
      <c r="HTJ9" s="338"/>
      <c r="HTK9" s="338"/>
      <c r="HTL9" s="338"/>
      <c r="HTM9" s="338"/>
      <c r="HTN9" s="338"/>
      <c r="HTO9" s="338"/>
      <c r="HTP9" s="338"/>
      <c r="HTQ9" s="338"/>
      <c r="HTR9" s="338"/>
      <c r="HTS9" s="338"/>
      <c r="HTT9" s="338"/>
      <c r="HTU9" s="338"/>
      <c r="HTV9" s="338"/>
      <c r="HTW9" s="338"/>
      <c r="HTX9" s="338"/>
      <c r="HTY9" s="338"/>
      <c r="HTZ9" s="338"/>
      <c r="HUA9" s="338"/>
      <c r="HUB9" s="338"/>
      <c r="HUC9" s="338"/>
      <c r="HUD9" s="338"/>
      <c r="HUE9" s="338"/>
      <c r="HUF9" s="338"/>
      <c r="HUG9" s="338"/>
      <c r="HUH9" s="338"/>
      <c r="HUI9" s="338"/>
      <c r="HUJ9" s="338"/>
      <c r="HUK9" s="338"/>
      <c r="HUL9" s="338"/>
      <c r="HUM9" s="338"/>
      <c r="HUN9" s="338"/>
      <c r="HUO9" s="338"/>
      <c r="HUP9" s="338"/>
      <c r="HUQ9" s="338"/>
      <c r="HUR9" s="338"/>
      <c r="HUS9" s="338"/>
      <c r="HUT9" s="338"/>
      <c r="HUU9" s="338"/>
      <c r="HUV9" s="338"/>
      <c r="HUW9" s="338"/>
      <c r="HUX9" s="338"/>
      <c r="HUY9" s="338"/>
      <c r="HUZ9" s="338"/>
      <c r="HVA9" s="338"/>
      <c r="HVB9" s="338"/>
      <c r="HVC9" s="338"/>
      <c r="HVD9" s="338"/>
      <c r="HVE9" s="338"/>
      <c r="HVF9" s="338"/>
      <c r="HVG9" s="338"/>
      <c r="HVH9" s="338"/>
      <c r="HVI9" s="338"/>
      <c r="HVJ9" s="338"/>
      <c r="HVK9" s="338"/>
      <c r="HVL9" s="338"/>
      <c r="HVM9" s="338"/>
      <c r="HVN9" s="338"/>
      <c r="HVO9" s="338"/>
      <c r="HVP9" s="338"/>
      <c r="HVQ9" s="338"/>
      <c r="HVR9" s="338"/>
      <c r="HVS9" s="338"/>
      <c r="HVT9" s="338"/>
      <c r="HVU9" s="338"/>
      <c r="HVV9" s="338"/>
      <c r="HVW9" s="338"/>
      <c r="HVX9" s="338"/>
      <c r="HVY9" s="338"/>
      <c r="HVZ9" s="338"/>
      <c r="HWA9" s="338"/>
      <c r="HWB9" s="338"/>
      <c r="HWC9" s="338"/>
      <c r="HWD9" s="338"/>
      <c r="HWE9" s="338"/>
      <c r="HWF9" s="338"/>
      <c r="HWG9" s="338"/>
      <c r="HWH9" s="338"/>
      <c r="HWI9" s="338"/>
      <c r="HWJ9" s="338"/>
      <c r="HWK9" s="338"/>
      <c r="HWL9" s="338"/>
      <c r="HWM9" s="338"/>
      <c r="HWN9" s="338"/>
      <c r="HWO9" s="338"/>
      <c r="HWP9" s="338"/>
      <c r="HWQ9" s="338"/>
      <c r="HWR9" s="338"/>
      <c r="HWS9" s="338"/>
      <c r="HWT9" s="338"/>
      <c r="HWU9" s="338"/>
      <c r="HWV9" s="338"/>
      <c r="HWW9" s="338"/>
      <c r="HWX9" s="338"/>
      <c r="HWY9" s="338"/>
      <c r="HWZ9" s="338"/>
      <c r="HXA9" s="338"/>
      <c r="HXB9" s="338"/>
      <c r="HXC9" s="338"/>
      <c r="HXD9" s="338"/>
      <c r="HXE9" s="338"/>
      <c r="HXF9" s="338"/>
      <c r="HXG9" s="338"/>
      <c r="HXH9" s="338"/>
      <c r="HXI9" s="338"/>
      <c r="HXJ9" s="338"/>
      <c r="HXK9" s="338"/>
      <c r="HXL9" s="338"/>
      <c r="HXM9" s="338"/>
      <c r="HXN9" s="338"/>
      <c r="HXO9" s="338"/>
      <c r="HXP9" s="338"/>
      <c r="HXQ9" s="338"/>
      <c r="HXR9" s="338"/>
      <c r="HXS9" s="338"/>
      <c r="HXT9" s="338"/>
      <c r="HXU9" s="338"/>
      <c r="HXV9" s="338"/>
      <c r="HXW9" s="338"/>
      <c r="HXX9" s="338"/>
      <c r="HXY9" s="338"/>
      <c r="HXZ9" s="338"/>
      <c r="HYA9" s="338"/>
      <c r="HYB9" s="338"/>
      <c r="HYC9" s="338"/>
      <c r="HYD9" s="338"/>
      <c r="HYE9" s="338"/>
      <c r="HYF9" s="338"/>
      <c r="HYG9" s="338"/>
      <c r="HYH9" s="338"/>
      <c r="HYI9" s="338"/>
      <c r="HYJ9" s="338"/>
      <c r="HYK9" s="338"/>
      <c r="HYL9" s="338"/>
      <c r="HYM9" s="338"/>
      <c r="HYN9" s="338"/>
      <c r="HYO9" s="338"/>
      <c r="HYP9" s="338"/>
      <c r="HYQ9" s="338"/>
      <c r="HYR9" s="338"/>
      <c r="HYS9" s="338"/>
      <c r="HYT9" s="338"/>
      <c r="HYU9" s="338"/>
      <c r="HYV9" s="338"/>
      <c r="HYW9" s="338"/>
      <c r="HYX9" s="338"/>
      <c r="HYY9" s="338"/>
      <c r="HYZ9" s="338"/>
      <c r="HZA9" s="338"/>
      <c r="HZB9" s="338"/>
      <c r="HZC9" s="338"/>
      <c r="HZD9" s="338"/>
      <c r="HZE9" s="338"/>
      <c r="HZF9" s="338"/>
      <c r="HZG9" s="338"/>
      <c r="HZH9" s="338"/>
      <c r="HZI9" s="338"/>
      <c r="HZJ9" s="338"/>
      <c r="HZK9" s="338"/>
      <c r="HZL9" s="338"/>
      <c r="HZM9" s="338"/>
      <c r="HZN9" s="338"/>
      <c r="HZO9" s="338"/>
      <c r="HZP9" s="338"/>
      <c r="HZQ9" s="338"/>
      <c r="HZR9" s="338"/>
      <c r="HZS9" s="338"/>
      <c r="HZT9" s="338"/>
      <c r="HZU9" s="338"/>
      <c r="HZV9" s="338"/>
      <c r="HZW9" s="338"/>
      <c r="HZX9" s="338"/>
      <c r="HZY9" s="338"/>
      <c r="HZZ9" s="338"/>
      <c r="IAA9" s="338"/>
      <c r="IAB9" s="338"/>
      <c r="IAC9" s="338"/>
      <c r="IAD9" s="338"/>
      <c r="IAE9" s="338"/>
      <c r="IAF9" s="338"/>
      <c r="IAG9" s="338"/>
      <c r="IAH9" s="338"/>
      <c r="IAI9" s="338"/>
      <c r="IAJ9" s="338"/>
      <c r="IAK9" s="338"/>
      <c r="IAL9" s="338"/>
      <c r="IAM9" s="338"/>
      <c r="IAN9" s="338"/>
      <c r="IAO9" s="338"/>
      <c r="IAP9" s="338"/>
      <c r="IAQ9" s="338"/>
      <c r="IAR9" s="338"/>
      <c r="IAS9" s="338"/>
      <c r="IAT9" s="338"/>
      <c r="IAU9" s="338"/>
      <c r="IAV9" s="338"/>
      <c r="IAW9" s="338"/>
      <c r="IAX9" s="338"/>
      <c r="IAY9" s="338"/>
      <c r="IAZ9" s="338"/>
      <c r="IBA9" s="338"/>
      <c r="IBB9" s="338"/>
      <c r="IBC9" s="338"/>
      <c r="IBD9" s="338"/>
      <c r="IBE9" s="338"/>
      <c r="IBF9" s="338"/>
      <c r="IBG9" s="338"/>
      <c r="IBH9" s="338"/>
      <c r="IBI9" s="338"/>
      <c r="IBJ9" s="338"/>
      <c r="IBK9" s="338"/>
      <c r="IBL9" s="338"/>
      <c r="IBM9" s="338"/>
      <c r="IBN9" s="338"/>
      <c r="IBO9" s="338"/>
      <c r="IBP9" s="338"/>
      <c r="IBQ9" s="338"/>
      <c r="IBR9" s="338"/>
      <c r="IBS9" s="338"/>
      <c r="IBT9" s="338"/>
      <c r="IBU9" s="338"/>
      <c r="IBV9" s="338"/>
      <c r="IBW9" s="338"/>
      <c r="IBX9" s="338"/>
      <c r="IBY9" s="338"/>
      <c r="IBZ9" s="338"/>
      <c r="ICA9" s="338"/>
      <c r="ICB9" s="338"/>
      <c r="ICC9" s="338"/>
      <c r="ICD9" s="338"/>
      <c r="ICE9" s="338"/>
      <c r="ICF9" s="338"/>
      <c r="ICG9" s="338"/>
      <c r="ICH9" s="338"/>
      <c r="ICI9" s="338"/>
      <c r="ICJ9" s="338"/>
      <c r="ICK9" s="338"/>
      <c r="ICL9" s="338"/>
      <c r="ICM9" s="338"/>
      <c r="ICN9" s="338"/>
      <c r="ICO9" s="338"/>
      <c r="ICP9" s="338"/>
      <c r="ICQ9" s="338"/>
      <c r="ICR9" s="338"/>
      <c r="ICS9" s="338"/>
      <c r="ICT9" s="338"/>
      <c r="ICU9" s="338"/>
      <c r="ICV9" s="338"/>
      <c r="ICW9" s="338"/>
      <c r="ICX9" s="338"/>
      <c r="ICY9" s="338"/>
      <c r="ICZ9" s="338"/>
      <c r="IDA9" s="338"/>
      <c r="IDB9" s="338"/>
      <c r="IDC9" s="338"/>
      <c r="IDD9" s="338"/>
      <c r="IDE9" s="338"/>
      <c r="IDF9" s="338"/>
      <c r="IDG9" s="338"/>
      <c r="IDH9" s="338"/>
      <c r="IDI9" s="338"/>
      <c r="IDJ9" s="338"/>
      <c r="IDK9" s="338"/>
      <c r="IDL9" s="338"/>
      <c r="IDM9" s="338"/>
      <c r="IDN9" s="338"/>
      <c r="IDO9" s="338"/>
      <c r="IDP9" s="338"/>
      <c r="IDQ9" s="338"/>
      <c r="IDR9" s="338"/>
      <c r="IDS9" s="338"/>
      <c r="IDT9" s="338"/>
      <c r="IDU9" s="338"/>
      <c r="IDV9" s="338"/>
      <c r="IDW9" s="338"/>
      <c r="IDX9" s="338"/>
      <c r="IDY9" s="338"/>
      <c r="IDZ9" s="338"/>
      <c r="IEA9" s="338"/>
      <c r="IEB9" s="338"/>
      <c r="IEC9" s="338"/>
      <c r="IED9" s="338"/>
      <c r="IEE9" s="338"/>
      <c r="IEF9" s="338"/>
      <c r="IEG9" s="338"/>
      <c r="IEH9" s="338"/>
      <c r="IEI9" s="338"/>
      <c r="IEJ9" s="338"/>
      <c r="IEK9" s="338"/>
      <c r="IEL9" s="338"/>
      <c r="IEM9" s="338"/>
      <c r="IEN9" s="338"/>
      <c r="IEO9" s="338"/>
      <c r="IEP9" s="338"/>
      <c r="IEQ9" s="338"/>
      <c r="IER9" s="338"/>
      <c r="IES9" s="338"/>
      <c r="IET9" s="338"/>
      <c r="IEU9" s="338"/>
      <c r="IEV9" s="338"/>
      <c r="IEW9" s="338"/>
      <c r="IEX9" s="338"/>
      <c r="IEY9" s="338"/>
      <c r="IEZ9" s="338"/>
      <c r="IFA9" s="338"/>
      <c r="IFB9" s="338"/>
      <c r="IFC9" s="338"/>
      <c r="IFD9" s="338"/>
      <c r="IFE9" s="338"/>
      <c r="IFF9" s="338"/>
      <c r="IFG9" s="338"/>
      <c r="IFH9" s="338"/>
      <c r="IFI9" s="338"/>
      <c r="IFJ9" s="338"/>
      <c r="IFK9" s="338"/>
      <c r="IFL9" s="338"/>
      <c r="IFM9" s="338"/>
      <c r="IFN9" s="338"/>
      <c r="IFO9" s="338"/>
      <c r="IFP9" s="338"/>
      <c r="IFQ9" s="338"/>
      <c r="IFR9" s="338"/>
      <c r="IFS9" s="338"/>
      <c r="IFT9" s="338"/>
      <c r="IFU9" s="338"/>
      <c r="IFV9" s="338"/>
      <c r="IFW9" s="338"/>
      <c r="IFX9" s="338"/>
      <c r="IFY9" s="338"/>
      <c r="IFZ9" s="338"/>
      <c r="IGA9" s="338"/>
      <c r="IGB9" s="338"/>
      <c r="IGC9" s="338"/>
      <c r="IGD9" s="338"/>
      <c r="IGE9" s="338"/>
      <c r="IGF9" s="338"/>
      <c r="IGG9" s="338"/>
      <c r="IGH9" s="338"/>
      <c r="IGI9" s="338"/>
      <c r="IGJ9" s="338"/>
      <c r="IGK9" s="338"/>
      <c r="IGL9" s="338"/>
      <c r="IGM9" s="338"/>
      <c r="IGN9" s="338"/>
      <c r="IGO9" s="338"/>
      <c r="IGP9" s="338"/>
      <c r="IGQ9" s="338"/>
      <c r="IGR9" s="338"/>
      <c r="IGS9" s="338"/>
      <c r="IGT9" s="338"/>
      <c r="IGU9" s="338"/>
      <c r="IGV9" s="338"/>
      <c r="IGW9" s="338"/>
      <c r="IGX9" s="338"/>
      <c r="IGY9" s="338"/>
      <c r="IGZ9" s="338"/>
      <c r="IHA9" s="338"/>
      <c r="IHB9" s="338"/>
      <c r="IHC9" s="338"/>
      <c r="IHD9" s="338"/>
      <c r="IHE9" s="338"/>
      <c r="IHF9" s="338"/>
      <c r="IHG9" s="338"/>
      <c r="IHH9" s="338"/>
      <c r="IHI9" s="338"/>
      <c r="IHJ9" s="338"/>
      <c r="IHK9" s="338"/>
      <c r="IHL9" s="338"/>
      <c r="IHM9" s="338"/>
      <c r="IHN9" s="338"/>
      <c r="IHO9" s="338"/>
      <c r="IHP9" s="338"/>
      <c r="IHQ9" s="338"/>
      <c r="IHR9" s="338"/>
      <c r="IHS9" s="338"/>
      <c r="IHT9" s="338"/>
      <c r="IHU9" s="338"/>
      <c r="IHV9" s="338"/>
      <c r="IHW9" s="338"/>
      <c r="IHX9" s="338"/>
      <c r="IHY9" s="338"/>
      <c r="IHZ9" s="338"/>
      <c r="IIA9" s="338"/>
      <c r="IIB9" s="338"/>
      <c r="IIC9" s="338"/>
      <c r="IID9" s="338"/>
      <c r="IIE9" s="338"/>
      <c r="IIF9" s="338"/>
      <c r="IIG9" s="338"/>
      <c r="IIH9" s="338"/>
      <c r="III9" s="338"/>
      <c r="IIJ9" s="338"/>
      <c r="IIK9" s="338"/>
      <c r="IIL9" s="338"/>
      <c r="IIM9" s="338"/>
      <c r="IIN9" s="338"/>
      <c r="IIO9" s="338"/>
      <c r="IIP9" s="338"/>
      <c r="IIQ9" s="338"/>
      <c r="IIR9" s="338"/>
      <c r="IIS9" s="338"/>
      <c r="IIT9" s="338"/>
      <c r="IIU9" s="338"/>
      <c r="IIV9" s="338"/>
      <c r="IIW9" s="338"/>
      <c r="IIX9" s="338"/>
      <c r="IIY9" s="338"/>
      <c r="IIZ9" s="338"/>
      <c r="IJA9" s="338"/>
      <c r="IJB9" s="338"/>
      <c r="IJC9" s="338"/>
      <c r="IJD9" s="338"/>
      <c r="IJE9" s="338"/>
      <c r="IJF9" s="338"/>
      <c r="IJG9" s="338"/>
      <c r="IJH9" s="338"/>
      <c r="IJI9" s="338"/>
      <c r="IJJ9" s="338"/>
      <c r="IJK9" s="338"/>
      <c r="IJL9" s="338"/>
      <c r="IJM9" s="338"/>
      <c r="IJN9" s="338"/>
      <c r="IJO9" s="338"/>
      <c r="IJP9" s="338"/>
      <c r="IJQ9" s="338"/>
      <c r="IJR9" s="338"/>
      <c r="IJS9" s="338"/>
      <c r="IJT9" s="338"/>
      <c r="IJU9" s="338"/>
      <c r="IJV9" s="338"/>
      <c r="IJW9" s="338"/>
      <c r="IJX9" s="338"/>
      <c r="IJY9" s="338"/>
      <c r="IJZ9" s="338"/>
      <c r="IKA9" s="338"/>
      <c r="IKB9" s="338"/>
      <c r="IKC9" s="338"/>
      <c r="IKD9" s="338"/>
      <c r="IKE9" s="338"/>
      <c r="IKF9" s="338"/>
      <c r="IKG9" s="338"/>
      <c r="IKH9" s="338"/>
      <c r="IKI9" s="338"/>
      <c r="IKJ9" s="338"/>
      <c r="IKK9" s="338"/>
      <c r="IKL9" s="338"/>
      <c r="IKM9" s="338"/>
      <c r="IKN9" s="338"/>
      <c r="IKO9" s="338"/>
      <c r="IKP9" s="338"/>
      <c r="IKQ9" s="338"/>
      <c r="IKR9" s="338"/>
      <c r="IKS9" s="338"/>
      <c r="IKT9" s="338"/>
      <c r="IKU9" s="338"/>
      <c r="IKV9" s="338"/>
      <c r="IKW9" s="338"/>
      <c r="IKX9" s="338"/>
      <c r="IKY9" s="338"/>
      <c r="IKZ9" s="338"/>
      <c r="ILA9" s="338"/>
      <c r="ILB9" s="338"/>
      <c r="ILC9" s="338"/>
      <c r="ILD9" s="338"/>
      <c r="ILE9" s="338"/>
      <c r="ILF9" s="338"/>
      <c r="ILG9" s="338"/>
      <c r="ILH9" s="338"/>
      <c r="ILI9" s="338"/>
      <c r="ILJ9" s="338"/>
      <c r="ILK9" s="338"/>
      <c r="ILL9" s="338"/>
      <c r="ILM9" s="338"/>
      <c r="ILN9" s="338"/>
      <c r="ILO9" s="338"/>
      <c r="ILP9" s="338"/>
      <c r="ILQ9" s="338"/>
      <c r="ILR9" s="338"/>
      <c r="ILS9" s="338"/>
      <c r="ILT9" s="338"/>
      <c r="ILU9" s="338"/>
      <c r="ILV9" s="338"/>
      <c r="ILW9" s="338"/>
      <c r="ILX9" s="338"/>
      <c r="ILY9" s="338"/>
      <c r="ILZ9" s="338"/>
      <c r="IMA9" s="338"/>
      <c r="IMB9" s="338"/>
      <c r="IMC9" s="338"/>
      <c r="IMD9" s="338"/>
      <c r="IME9" s="338"/>
      <c r="IMF9" s="338"/>
      <c r="IMG9" s="338"/>
      <c r="IMH9" s="338"/>
      <c r="IMI9" s="338"/>
      <c r="IMJ9" s="338"/>
      <c r="IMK9" s="338"/>
      <c r="IML9" s="338"/>
      <c r="IMM9" s="338"/>
      <c r="IMN9" s="338"/>
      <c r="IMO9" s="338"/>
      <c r="IMP9" s="338"/>
      <c r="IMQ9" s="338"/>
      <c r="IMR9" s="338"/>
      <c r="IMS9" s="338"/>
      <c r="IMT9" s="338"/>
      <c r="IMU9" s="338"/>
      <c r="IMV9" s="338"/>
      <c r="IMW9" s="338"/>
      <c r="IMX9" s="338"/>
      <c r="IMY9" s="338"/>
      <c r="IMZ9" s="338"/>
      <c r="INA9" s="338"/>
      <c r="INB9" s="338"/>
      <c r="INC9" s="338"/>
      <c r="IND9" s="338"/>
      <c r="INE9" s="338"/>
      <c r="INF9" s="338"/>
      <c r="ING9" s="338"/>
      <c r="INH9" s="338"/>
      <c r="INI9" s="338"/>
      <c r="INJ9" s="338"/>
      <c r="INK9" s="338"/>
      <c r="INL9" s="338"/>
      <c r="INM9" s="338"/>
      <c r="INN9" s="338"/>
      <c r="INO9" s="338"/>
      <c r="INP9" s="338"/>
      <c r="INQ9" s="338"/>
      <c r="INR9" s="338"/>
      <c r="INS9" s="338"/>
      <c r="INT9" s="338"/>
      <c r="INU9" s="338"/>
      <c r="INV9" s="338"/>
      <c r="INW9" s="338"/>
      <c r="INX9" s="338"/>
      <c r="INY9" s="338"/>
      <c r="INZ9" s="338"/>
      <c r="IOA9" s="338"/>
      <c r="IOB9" s="338"/>
      <c r="IOC9" s="338"/>
      <c r="IOD9" s="338"/>
      <c r="IOE9" s="338"/>
      <c r="IOF9" s="338"/>
      <c r="IOG9" s="338"/>
      <c r="IOH9" s="338"/>
      <c r="IOI9" s="338"/>
      <c r="IOJ9" s="338"/>
      <c r="IOK9" s="338"/>
      <c r="IOL9" s="338"/>
      <c r="IOM9" s="338"/>
      <c r="ION9" s="338"/>
      <c r="IOO9" s="338"/>
      <c r="IOP9" s="338"/>
      <c r="IOQ9" s="338"/>
      <c r="IOR9" s="338"/>
      <c r="IOS9" s="338"/>
      <c r="IOT9" s="338"/>
      <c r="IOU9" s="338"/>
      <c r="IOV9" s="338"/>
      <c r="IOW9" s="338"/>
      <c r="IOX9" s="338"/>
      <c r="IOY9" s="338"/>
      <c r="IOZ9" s="338"/>
      <c r="IPA9" s="338"/>
      <c r="IPB9" s="338"/>
      <c r="IPC9" s="338"/>
      <c r="IPD9" s="338"/>
      <c r="IPE9" s="338"/>
      <c r="IPF9" s="338"/>
      <c r="IPG9" s="338"/>
      <c r="IPH9" s="338"/>
      <c r="IPI9" s="338"/>
      <c r="IPJ9" s="338"/>
      <c r="IPK9" s="338"/>
      <c r="IPL9" s="338"/>
      <c r="IPM9" s="338"/>
      <c r="IPN9" s="338"/>
      <c r="IPO9" s="338"/>
      <c r="IPP9" s="338"/>
      <c r="IPQ9" s="338"/>
      <c r="IPR9" s="338"/>
      <c r="IPS9" s="338"/>
      <c r="IPT9" s="338"/>
      <c r="IPU9" s="338"/>
      <c r="IPV9" s="338"/>
      <c r="IPW9" s="338"/>
      <c r="IPX9" s="338"/>
      <c r="IPY9" s="338"/>
      <c r="IPZ9" s="338"/>
      <c r="IQA9" s="338"/>
      <c r="IQB9" s="338"/>
      <c r="IQC9" s="338"/>
      <c r="IQD9" s="338"/>
      <c r="IQE9" s="338"/>
      <c r="IQF9" s="338"/>
      <c r="IQG9" s="338"/>
      <c r="IQH9" s="338"/>
      <c r="IQI9" s="338"/>
      <c r="IQJ9" s="338"/>
      <c r="IQK9" s="338"/>
      <c r="IQL9" s="338"/>
      <c r="IQM9" s="338"/>
      <c r="IQN9" s="338"/>
      <c r="IQO9" s="338"/>
      <c r="IQP9" s="338"/>
      <c r="IQQ9" s="338"/>
      <c r="IQR9" s="338"/>
      <c r="IQS9" s="338"/>
      <c r="IQT9" s="338"/>
      <c r="IQU9" s="338"/>
      <c r="IQV9" s="338"/>
      <c r="IQW9" s="338"/>
      <c r="IQX9" s="338"/>
      <c r="IQY9" s="338"/>
      <c r="IQZ9" s="338"/>
      <c r="IRA9" s="338"/>
      <c r="IRB9" s="338"/>
      <c r="IRC9" s="338"/>
      <c r="IRD9" s="338"/>
      <c r="IRE9" s="338"/>
      <c r="IRF9" s="338"/>
      <c r="IRG9" s="338"/>
      <c r="IRH9" s="338"/>
      <c r="IRI9" s="338"/>
      <c r="IRJ9" s="338"/>
      <c r="IRK9" s="338"/>
      <c r="IRL9" s="338"/>
      <c r="IRM9" s="338"/>
      <c r="IRN9" s="338"/>
      <c r="IRO9" s="338"/>
      <c r="IRP9" s="338"/>
      <c r="IRQ9" s="338"/>
      <c r="IRR9" s="338"/>
      <c r="IRS9" s="338"/>
      <c r="IRT9" s="338"/>
      <c r="IRU9" s="338"/>
      <c r="IRV9" s="338"/>
      <c r="IRW9" s="338"/>
      <c r="IRX9" s="338"/>
      <c r="IRY9" s="338"/>
      <c r="IRZ9" s="338"/>
      <c r="ISA9" s="338"/>
      <c r="ISB9" s="338"/>
      <c r="ISC9" s="338"/>
      <c r="ISD9" s="338"/>
      <c r="ISE9" s="338"/>
      <c r="ISF9" s="338"/>
      <c r="ISG9" s="338"/>
      <c r="ISH9" s="338"/>
      <c r="ISI9" s="338"/>
      <c r="ISJ9" s="338"/>
      <c r="ISK9" s="338"/>
      <c r="ISL9" s="338"/>
      <c r="ISM9" s="338"/>
      <c r="ISN9" s="338"/>
      <c r="ISO9" s="338"/>
      <c r="ISP9" s="338"/>
      <c r="ISQ9" s="338"/>
      <c r="ISR9" s="338"/>
      <c r="ISS9" s="338"/>
      <c r="IST9" s="338"/>
      <c r="ISU9" s="338"/>
      <c r="ISV9" s="338"/>
      <c r="ISW9" s="338"/>
      <c r="ISX9" s="338"/>
      <c r="ISY9" s="338"/>
      <c r="ISZ9" s="338"/>
      <c r="ITA9" s="338"/>
      <c r="ITB9" s="338"/>
      <c r="ITC9" s="338"/>
      <c r="ITD9" s="338"/>
      <c r="ITE9" s="338"/>
      <c r="ITF9" s="338"/>
      <c r="ITG9" s="338"/>
      <c r="ITH9" s="338"/>
      <c r="ITI9" s="338"/>
      <c r="ITJ9" s="338"/>
      <c r="ITK9" s="338"/>
      <c r="ITL9" s="338"/>
      <c r="ITM9" s="338"/>
      <c r="ITN9" s="338"/>
      <c r="ITO9" s="338"/>
      <c r="ITP9" s="338"/>
      <c r="ITQ9" s="338"/>
      <c r="ITR9" s="338"/>
      <c r="ITS9" s="338"/>
      <c r="ITT9" s="338"/>
      <c r="ITU9" s="338"/>
      <c r="ITV9" s="338"/>
      <c r="ITW9" s="338"/>
      <c r="ITX9" s="338"/>
      <c r="ITY9" s="338"/>
      <c r="ITZ9" s="338"/>
      <c r="IUA9" s="338"/>
      <c r="IUB9" s="338"/>
      <c r="IUC9" s="338"/>
      <c r="IUD9" s="338"/>
      <c r="IUE9" s="338"/>
      <c r="IUF9" s="338"/>
      <c r="IUG9" s="338"/>
      <c r="IUH9" s="338"/>
      <c r="IUI9" s="338"/>
      <c r="IUJ9" s="338"/>
      <c r="IUK9" s="338"/>
      <c r="IUL9" s="338"/>
      <c r="IUM9" s="338"/>
      <c r="IUN9" s="338"/>
      <c r="IUO9" s="338"/>
      <c r="IUP9" s="338"/>
      <c r="IUQ9" s="338"/>
      <c r="IUR9" s="338"/>
      <c r="IUS9" s="338"/>
      <c r="IUT9" s="338"/>
      <c r="IUU9" s="338"/>
      <c r="IUV9" s="338"/>
      <c r="IUW9" s="338"/>
      <c r="IUX9" s="338"/>
      <c r="IUY9" s="338"/>
      <c r="IUZ9" s="338"/>
      <c r="IVA9" s="338"/>
      <c r="IVB9" s="338"/>
      <c r="IVC9" s="338"/>
      <c r="IVD9" s="338"/>
      <c r="IVE9" s="338"/>
      <c r="IVF9" s="338"/>
      <c r="IVG9" s="338"/>
      <c r="IVH9" s="338"/>
      <c r="IVI9" s="338"/>
      <c r="IVJ9" s="338"/>
      <c r="IVK9" s="338"/>
      <c r="IVL9" s="338"/>
      <c r="IVM9" s="338"/>
      <c r="IVN9" s="338"/>
      <c r="IVO9" s="338"/>
      <c r="IVP9" s="338"/>
      <c r="IVQ9" s="338"/>
      <c r="IVR9" s="338"/>
      <c r="IVS9" s="338"/>
      <c r="IVT9" s="338"/>
      <c r="IVU9" s="338"/>
      <c r="IVV9" s="338"/>
      <c r="IVW9" s="338"/>
      <c r="IVX9" s="338"/>
      <c r="IVY9" s="338"/>
      <c r="IVZ9" s="338"/>
      <c r="IWA9" s="338"/>
      <c r="IWB9" s="338"/>
      <c r="IWC9" s="338"/>
      <c r="IWD9" s="338"/>
      <c r="IWE9" s="338"/>
      <c r="IWF9" s="338"/>
      <c r="IWG9" s="338"/>
      <c r="IWH9" s="338"/>
      <c r="IWI9" s="338"/>
      <c r="IWJ9" s="338"/>
      <c r="IWK9" s="338"/>
      <c r="IWL9" s="338"/>
      <c r="IWM9" s="338"/>
      <c r="IWN9" s="338"/>
      <c r="IWO9" s="338"/>
      <c r="IWP9" s="338"/>
      <c r="IWQ9" s="338"/>
      <c r="IWR9" s="338"/>
      <c r="IWS9" s="338"/>
      <c r="IWT9" s="338"/>
      <c r="IWU9" s="338"/>
      <c r="IWV9" s="338"/>
      <c r="IWW9" s="338"/>
      <c r="IWX9" s="338"/>
      <c r="IWY9" s="338"/>
      <c r="IWZ9" s="338"/>
      <c r="IXA9" s="338"/>
      <c r="IXB9" s="338"/>
      <c r="IXC9" s="338"/>
      <c r="IXD9" s="338"/>
      <c r="IXE9" s="338"/>
      <c r="IXF9" s="338"/>
      <c r="IXG9" s="338"/>
      <c r="IXH9" s="338"/>
      <c r="IXI9" s="338"/>
      <c r="IXJ9" s="338"/>
      <c r="IXK9" s="338"/>
      <c r="IXL9" s="338"/>
      <c r="IXM9" s="338"/>
      <c r="IXN9" s="338"/>
      <c r="IXO9" s="338"/>
      <c r="IXP9" s="338"/>
      <c r="IXQ9" s="338"/>
      <c r="IXR9" s="338"/>
      <c r="IXS9" s="338"/>
      <c r="IXT9" s="338"/>
      <c r="IXU9" s="338"/>
      <c r="IXV9" s="338"/>
      <c r="IXW9" s="338"/>
      <c r="IXX9" s="338"/>
      <c r="IXY9" s="338"/>
      <c r="IXZ9" s="338"/>
      <c r="IYA9" s="338"/>
      <c r="IYB9" s="338"/>
      <c r="IYC9" s="338"/>
      <c r="IYD9" s="338"/>
      <c r="IYE9" s="338"/>
      <c r="IYF9" s="338"/>
      <c r="IYG9" s="338"/>
      <c r="IYH9" s="338"/>
      <c r="IYI9" s="338"/>
      <c r="IYJ9" s="338"/>
      <c r="IYK9" s="338"/>
      <c r="IYL9" s="338"/>
      <c r="IYM9" s="338"/>
      <c r="IYN9" s="338"/>
      <c r="IYO9" s="338"/>
      <c r="IYP9" s="338"/>
      <c r="IYQ9" s="338"/>
      <c r="IYR9" s="338"/>
      <c r="IYS9" s="338"/>
      <c r="IYT9" s="338"/>
      <c r="IYU9" s="338"/>
      <c r="IYV9" s="338"/>
      <c r="IYW9" s="338"/>
      <c r="IYX9" s="338"/>
      <c r="IYY9" s="338"/>
      <c r="IYZ9" s="338"/>
      <c r="IZA9" s="338"/>
      <c r="IZB9" s="338"/>
      <c r="IZC9" s="338"/>
      <c r="IZD9" s="338"/>
      <c r="IZE9" s="338"/>
      <c r="IZF9" s="338"/>
      <c r="IZG9" s="338"/>
      <c r="IZH9" s="338"/>
      <c r="IZI9" s="338"/>
      <c r="IZJ9" s="338"/>
      <c r="IZK9" s="338"/>
      <c r="IZL9" s="338"/>
      <c r="IZM9" s="338"/>
      <c r="IZN9" s="338"/>
      <c r="IZO9" s="338"/>
      <c r="IZP9" s="338"/>
      <c r="IZQ9" s="338"/>
      <c r="IZR9" s="338"/>
      <c r="IZS9" s="338"/>
      <c r="IZT9" s="338"/>
      <c r="IZU9" s="338"/>
      <c r="IZV9" s="338"/>
      <c r="IZW9" s="338"/>
      <c r="IZX9" s="338"/>
      <c r="IZY9" s="338"/>
      <c r="IZZ9" s="338"/>
      <c r="JAA9" s="338"/>
      <c r="JAB9" s="338"/>
      <c r="JAC9" s="338"/>
      <c r="JAD9" s="338"/>
      <c r="JAE9" s="338"/>
      <c r="JAF9" s="338"/>
      <c r="JAG9" s="338"/>
      <c r="JAH9" s="338"/>
      <c r="JAI9" s="338"/>
      <c r="JAJ9" s="338"/>
      <c r="JAK9" s="338"/>
      <c r="JAL9" s="338"/>
      <c r="JAM9" s="338"/>
      <c r="JAN9" s="338"/>
      <c r="JAO9" s="338"/>
      <c r="JAP9" s="338"/>
      <c r="JAQ9" s="338"/>
      <c r="JAR9" s="338"/>
      <c r="JAS9" s="338"/>
      <c r="JAT9" s="338"/>
      <c r="JAU9" s="338"/>
      <c r="JAV9" s="338"/>
      <c r="JAW9" s="338"/>
      <c r="JAX9" s="338"/>
      <c r="JAY9" s="338"/>
      <c r="JAZ9" s="338"/>
      <c r="JBA9" s="338"/>
      <c r="JBB9" s="338"/>
      <c r="JBC9" s="338"/>
      <c r="JBD9" s="338"/>
      <c r="JBE9" s="338"/>
      <c r="JBF9" s="338"/>
      <c r="JBG9" s="338"/>
      <c r="JBH9" s="338"/>
      <c r="JBI9" s="338"/>
      <c r="JBJ9" s="338"/>
      <c r="JBK9" s="338"/>
      <c r="JBL9" s="338"/>
      <c r="JBM9" s="338"/>
      <c r="JBN9" s="338"/>
      <c r="JBO9" s="338"/>
      <c r="JBP9" s="338"/>
      <c r="JBQ9" s="338"/>
      <c r="JBR9" s="338"/>
      <c r="JBS9" s="338"/>
      <c r="JBT9" s="338"/>
      <c r="JBU9" s="338"/>
      <c r="JBV9" s="338"/>
      <c r="JBW9" s="338"/>
      <c r="JBX9" s="338"/>
      <c r="JBY9" s="338"/>
      <c r="JBZ9" s="338"/>
      <c r="JCA9" s="338"/>
      <c r="JCB9" s="338"/>
      <c r="JCC9" s="338"/>
      <c r="JCD9" s="338"/>
      <c r="JCE9" s="338"/>
      <c r="JCF9" s="338"/>
      <c r="JCG9" s="338"/>
      <c r="JCH9" s="338"/>
      <c r="JCI9" s="338"/>
      <c r="JCJ9" s="338"/>
      <c r="JCK9" s="338"/>
      <c r="JCL9" s="338"/>
      <c r="JCM9" s="338"/>
      <c r="JCN9" s="338"/>
      <c r="JCO9" s="338"/>
      <c r="JCP9" s="338"/>
      <c r="JCQ9" s="338"/>
      <c r="JCR9" s="338"/>
      <c r="JCS9" s="338"/>
      <c r="JCT9" s="338"/>
      <c r="JCU9" s="338"/>
      <c r="JCV9" s="338"/>
      <c r="JCW9" s="338"/>
      <c r="JCX9" s="338"/>
      <c r="JCY9" s="338"/>
      <c r="JCZ9" s="338"/>
      <c r="JDA9" s="338"/>
      <c r="JDB9" s="338"/>
      <c r="JDC9" s="338"/>
      <c r="JDD9" s="338"/>
      <c r="JDE9" s="338"/>
      <c r="JDF9" s="338"/>
      <c r="JDG9" s="338"/>
      <c r="JDH9" s="338"/>
      <c r="JDI9" s="338"/>
      <c r="JDJ9" s="338"/>
      <c r="JDK9" s="338"/>
      <c r="JDL9" s="338"/>
      <c r="JDM9" s="338"/>
      <c r="JDN9" s="338"/>
      <c r="JDO9" s="338"/>
      <c r="JDP9" s="338"/>
      <c r="JDQ9" s="338"/>
      <c r="JDR9" s="338"/>
      <c r="JDS9" s="338"/>
      <c r="JDT9" s="338"/>
      <c r="JDU9" s="338"/>
      <c r="JDV9" s="338"/>
      <c r="JDW9" s="338"/>
      <c r="JDX9" s="338"/>
      <c r="JDY9" s="338"/>
      <c r="JDZ9" s="338"/>
      <c r="JEA9" s="338"/>
      <c r="JEB9" s="338"/>
      <c r="JEC9" s="338"/>
      <c r="JED9" s="338"/>
      <c r="JEE9" s="338"/>
      <c r="JEF9" s="338"/>
      <c r="JEG9" s="338"/>
      <c r="JEH9" s="338"/>
      <c r="JEI9" s="338"/>
      <c r="JEJ9" s="338"/>
      <c r="JEK9" s="338"/>
      <c r="JEL9" s="338"/>
      <c r="JEM9" s="338"/>
      <c r="JEN9" s="338"/>
      <c r="JEO9" s="338"/>
      <c r="JEP9" s="338"/>
      <c r="JEQ9" s="338"/>
      <c r="JER9" s="338"/>
      <c r="JES9" s="338"/>
      <c r="JET9" s="338"/>
      <c r="JEU9" s="338"/>
      <c r="JEV9" s="338"/>
      <c r="JEW9" s="338"/>
      <c r="JEX9" s="338"/>
      <c r="JEY9" s="338"/>
      <c r="JEZ9" s="338"/>
      <c r="JFA9" s="338"/>
      <c r="JFB9" s="338"/>
      <c r="JFC9" s="338"/>
      <c r="JFD9" s="338"/>
      <c r="JFE9" s="338"/>
      <c r="JFF9" s="338"/>
      <c r="JFG9" s="338"/>
      <c r="JFH9" s="338"/>
      <c r="JFI9" s="338"/>
      <c r="JFJ9" s="338"/>
      <c r="JFK9" s="338"/>
      <c r="JFL9" s="338"/>
      <c r="JFM9" s="338"/>
      <c r="JFN9" s="338"/>
      <c r="JFO9" s="338"/>
      <c r="JFP9" s="338"/>
      <c r="JFQ9" s="338"/>
      <c r="JFR9" s="338"/>
      <c r="JFS9" s="338"/>
      <c r="JFT9" s="338"/>
      <c r="JFU9" s="338"/>
      <c r="JFV9" s="338"/>
      <c r="JFW9" s="338"/>
      <c r="JFX9" s="338"/>
      <c r="JFY9" s="338"/>
      <c r="JFZ9" s="338"/>
      <c r="JGA9" s="338"/>
      <c r="JGB9" s="338"/>
      <c r="JGC9" s="338"/>
      <c r="JGD9" s="338"/>
      <c r="JGE9" s="338"/>
      <c r="JGF9" s="338"/>
      <c r="JGG9" s="338"/>
      <c r="JGH9" s="338"/>
      <c r="JGI9" s="338"/>
      <c r="JGJ9" s="338"/>
      <c r="JGK9" s="338"/>
      <c r="JGL9" s="338"/>
      <c r="JGM9" s="338"/>
      <c r="JGN9" s="338"/>
      <c r="JGO9" s="338"/>
      <c r="JGP9" s="338"/>
      <c r="JGQ9" s="338"/>
      <c r="JGR9" s="338"/>
      <c r="JGS9" s="338"/>
      <c r="JGT9" s="338"/>
      <c r="JGU9" s="338"/>
      <c r="JGV9" s="338"/>
      <c r="JGW9" s="338"/>
      <c r="JGX9" s="338"/>
      <c r="JGY9" s="338"/>
      <c r="JGZ9" s="338"/>
      <c r="JHA9" s="338"/>
      <c r="JHB9" s="338"/>
      <c r="JHC9" s="338"/>
      <c r="JHD9" s="338"/>
      <c r="JHE9" s="338"/>
      <c r="JHF9" s="338"/>
      <c r="JHG9" s="338"/>
      <c r="JHH9" s="338"/>
      <c r="JHI9" s="338"/>
      <c r="JHJ9" s="338"/>
      <c r="JHK9" s="338"/>
      <c r="JHL9" s="338"/>
      <c r="JHM9" s="338"/>
      <c r="JHN9" s="338"/>
      <c r="JHO9" s="338"/>
      <c r="JHP9" s="338"/>
      <c r="JHQ9" s="338"/>
      <c r="JHR9" s="338"/>
      <c r="JHS9" s="338"/>
      <c r="JHT9" s="338"/>
      <c r="JHU9" s="338"/>
      <c r="JHV9" s="338"/>
      <c r="JHW9" s="338"/>
      <c r="JHX9" s="338"/>
      <c r="JHY9" s="338"/>
      <c r="JHZ9" s="338"/>
      <c r="JIA9" s="338"/>
      <c r="JIB9" s="338"/>
      <c r="JIC9" s="338"/>
      <c r="JID9" s="338"/>
      <c r="JIE9" s="338"/>
      <c r="JIF9" s="338"/>
      <c r="JIG9" s="338"/>
      <c r="JIH9" s="338"/>
      <c r="JII9" s="338"/>
      <c r="JIJ9" s="338"/>
      <c r="JIK9" s="338"/>
      <c r="JIL9" s="338"/>
      <c r="JIM9" s="338"/>
      <c r="JIN9" s="338"/>
      <c r="JIO9" s="338"/>
      <c r="JIP9" s="338"/>
      <c r="JIQ9" s="338"/>
      <c r="JIR9" s="338"/>
      <c r="JIS9" s="338"/>
      <c r="JIT9" s="338"/>
      <c r="JIU9" s="338"/>
      <c r="JIV9" s="338"/>
      <c r="JIW9" s="338"/>
      <c r="JIX9" s="338"/>
      <c r="JIY9" s="338"/>
      <c r="JIZ9" s="338"/>
      <c r="JJA9" s="338"/>
      <c r="JJB9" s="338"/>
      <c r="JJC9" s="338"/>
      <c r="JJD9" s="338"/>
      <c r="JJE9" s="338"/>
      <c r="JJF9" s="338"/>
      <c r="JJG9" s="338"/>
      <c r="JJH9" s="338"/>
      <c r="JJI9" s="338"/>
      <c r="JJJ9" s="338"/>
      <c r="JJK9" s="338"/>
      <c r="JJL9" s="338"/>
      <c r="JJM9" s="338"/>
      <c r="JJN9" s="338"/>
      <c r="JJO9" s="338"/>
      <c r="JJP9" s="338"/>
      <c r="JJQ9" s="338"/>
      <c r="JJR9" s="338"/>
      <c r="JJS9" s="338"/>
      <c r="JJT9" s="338"/>
      <c r="JJU9" s="338"/>
      <c r="JJV9" s="338"/>
      <c r="JJW9" s="338"/>
      <c r="JJX9" s="338"/>
      <c r="JJY9" s="338"/>
      <c r="JJZ9" s="338"/>
      <c r="JKA9" s="338"/>
      <c r="JKB9" s="338"/>
      <c r="JKC9" s="338"/>
      <c r="JKD9" s="338"/>
      <c r="JKE9" s="338"/>
      <c r="JKF9" s="338"/>
      <c r="JKG9" s="338"/>
      <c r="JKH9" s="338"/>
      <c r="JKI9" s="338"/>
      <c r="JKJ9" s="338"/>
      <c r="JKK9" s="338"/>
      <c r="JKL9" s="338"/>
      <c r="JKM9" s="338"/>
      <c r="JKN9" s="338"/>
      <c r="JKO9" s="338"/>
      <c r="JKP9" s="338"/>
      <c r="JKQ9" s="338"/>
      <c r="JKR9" s="338"/>
      <c r="JKS9" s="338"/>
      <c r="JKT9" s="338"/>
      <c r="JKU9" s="338"/>
      <c r="JKV9" s="338"/>
      <c r="JKW9" s="338"/>
      <c r="JKX9" s="338"/>
      <c r="JKY9" s="338"/>
      <c r="JKZ9" s="338"/>
      <c r="JLA9" s="338"/>
      <c r="JLB9" s="338"/>
      <c r="JLC9" s="338"/>
      <c r="JLD9" s="338"/>
      <c r="JLE9" s="338"/>
      <c r="JLF9" s="338"/>
      <c r="JLG9" s="338"/>
      <c r="JLH9" s="338"/>
      <c r="JLI9" s="338"/>
      <c r="JLJ9" s="338"/>
      <c r="JLK9" s="338"/>
      <c r="JLL9" s="338"/>
      <c r="JLM9" s="338"/>
      <c r="JLN9" s="338"/>
      <c r="JLO9" s="338"/>
      <c r="JLP9" s="338"/>
      <c r="JLQ9" s="338"/>
      <c r="JLR9" s="338"/>
      <c r="JLS9" s="338"/>
      <c r="JLT9" s="338"/>
      <c r="JLU9" s="338"/>
      <c r="JLV9" s="338"/>
      <c r="JLW9" s="338"/>
      <c r="JLX9" s="338"/>
      <c r="JLY9" s="338"/>
      <c r="JLZ9" s="338"/>
      <c r="JMA9" s="338"/>
      <c r="JMB9" s="338"/>
      <c r="JMC9" s="338"/>
      <c r="JMD9" s="338"/>
      <c r="JME9" s="338"/>
      <c r="JMF9" s="338"/>
      <c r="JMG9" s="338"/>
      <c r="JMH9" s="338"/>
      <c r="JMI9" s="338"/>
      <c r="JMJ9" s="338"/>
      <c r="JMK9" s="338"/>
      <c r="JML9" s="338"/>
      <c r="JMM9" s="338"/>
      <c r="JMN9" s="338"/>
      <c r="JMO9" s="338"/>
      <c r="JMP9" s="338"/>
      <c r="JMQ9" s="338"/>
      <c r="JMR9" s="338"/>
      <c r="JMS9" s="338"/>
      <c r="JMT9" s="338"/>
      <c r="JMU9" s="338"/>
      <c r="JMV9" s="338"/>
      <c r="JMW9" s="338"/>
      <c r="JMX9" s="338"/>
      <c r="JMY9" s="338"/>
      <c r="JMZ9" s="338"/>
      <c r="JNA9" s="338"/>
      <c r="JNB9" s="338"/>
      <c r="JNC9" s="338"/>
      <c r="JND9" s="338"/>
      <c r="JNE9" s="338"/>
      <c r="JNF9" s="338"/>
      <c r="JNG9" s="338"/>
      <c r="JNH9" s="338"/>
      <c r="JNI9" s="338"/>
      <c r="JNJ9" s="338"/>
      <c r="JNK9" s="338"/>
      <c r="JNL9" s="338"/>
      <c r="JNM9" s="338"/>
      <c r="JNN9" s="338"/>
      <c r="JNO9" s="338"/>
      <c r="JNP9" s="338"/>
      <c r="JNQ9" s="338"/>
      <c r="JNR9" s="338"/>
      <c r="JNS9" s="338"/>
      <c r="JNT9" s="338"/>
      <c r="JNU9" s="338"/>
      <c r="JNV9" s="338"/>
      <c r="JNW9" s="338"/>
      <c r="JNX9" s="338"/>
      <c r="JNY9" s="338"/>
      <c r="JNZ9" s="338"/>
      <c r="JOA9" s="338"/>
      <c r="JOB9" s="338"/>
      <c r="JOC9" s="338"/>
      <c r="JOD9" s="338"/>
      <c r="JOE9" s="338"/>
      <c r="JOF9" s="338"/>
      <c r="JOG9" s="338"/>
      <c r="JOH9" s="338"/>
      <c r="JOI9" s="338"/>
      <c r="JOJ9" s="338"/>
      <c r="JOK9" s="338"/>
      <c r="JOL9" s="338"/>
      <c r="JOM9" s="338"/>
      <c r="JON9" s="338"/>
      <c r="JOO9" s="338"/>
      <c r="JOP9" s="338"/>
      <c r="JOQ9" s="338"/>
      <c r="JOR9" s="338"/>
      <c r="JOS9" s="338"/>
      <c r="JOT9" s="338"/>
      <c r="JOU9" s="338"/>
      <c r="JOV9" s="338"/>
      <c r="JOW9" s="338"/>
      <c r="JOX9" s="338"/>
      <c r="JOY9" s="338"/>
      <c r="JOZ9" s="338"/>
      <c r="JPA9" s="338"/>
      <c r="JPB9" s="338"/>
      <c r="JPC9" s="338"/>
      <c r="JPD9" s="338"/>
      <c r="JPE9" s="338"/>
      <c r="JPF9" s="338"/>
      <c r="JPG9" s="338"/>
      <c r="JPH9" s="338"/>
      <c r="JPI9" s="338"/>
      <c r="JPJ9" s="338"/>
      <c r="JPK9" s="338"/>
      <c r="JPL9" s="338"/>
      <c r="JPM9" s="338"/>
      <c r="JPN9" s="338"/>
      <c r="JPO9" s="338"/>
      <c r="JPP9" s="338"/>
      <c r="JPQ9" s="338"/>
      <c r="JPR9" s="338"/>
      <c r="JPS9" s="338"/>
      <c r="JPT9" s="338"/>
      <c r="JPU9" s="338"/>
      <c r="JPV9" s="338"/>
      <c r="JPW9" s="338"/>
      <c r="JPX9" s="338"/>
      <c r="JPY9" s="338"/>
      <c r="JPZ9" s="338"/>
      <c r="JQA9" s="338"/>
      <c r="JQB9" s="338"/>
      <c r="JQC9" s="338"/>
      <c r="JQD9" s="338"/>
      <c r="JQE9" s="338"/>
      <c r="JQF9" s="338"/>
      <c r="JQG9" s="338"/>
      <c r="JQH9" s="338"/>
      <c r="JQI9" s="338"/>
      <c r="JQJ9" s="338"/>
      <c r="JQK9" s="338"/>
      <c r="JQL9" s="338"/>
      <c r="JQM9" s="338"/>
      <c r="JQN9" s="338"/>
      <c r="JQO9" s="338"/>
      <c r="JQP9" s="338"/>
      <c r="JQQ9" s="338"/>
      <c r="JQR9" s="338"/>
      <c r="JQS9" s="338"/>
      <c r="JQT9" s="338"/>
      <c r="JQU9" s="338"/>
      <c r="JQV9" s="338"/>
      <c r="JQW9" s="338"/>
      <c r="JQX9" s="338"/>
      <c r="JQY9" s="338"/>
      <c r="JQZ9" s="338"/>
      <c r="JRA9" s="338"/>
      <c r="JRB9" s="338"/>
      <c r="JRC9" s="338"/>
      <c r="JRD9" s="338"/>
      <c r="JRE9" s="338"/>
      <c r="JRF9" s="338"/>
      <c r="JRG9" s="338"/>
      <c r="JRH9" s="338"/>
      <c r="JRI9" s="338"/>
      <c r="JRJ9" s="338"/>
      <c r="JRK9" s="338"/>
      <c r="JRL9" s="338"/>
      <c r="JRM9" s="338"/>
      <c r="JRN9" s="338"/>
      <c r="JRO9" s="338"/>
      <c r="JRP9" s="338"/>
      <c r="JRQ9" s="338"/>
      <c r="JRR9" s="338"/>
      <c r="JRS9" s="338"/>
      <c r="JRT9" s="338"/>
      <c r="JRU9" s="338"/>
      <c r="JRV9" s="338"/>
      <c r="JRW9" s="338"/>
      <c r="JRX9" s="338"/>
      <c r="JRY9" s="338"/>
      <c r="JRZ9" s="338"/>
      <c r="JSA9" s="338"/>
      <c r="JSB9" s="338"/>
      <c r="JSC9" s="338"/>
      <c r="JSD9" s="338"/>
      <c r="JSE9" s="338"/>
      <c r="JSF9" s="338"/>
      <c r="JSG9" s="338"/>
      <c r="JSH9" s="338"/>
      <c r="JSI9" s="338"/>
      <c r="JSJ9" s="338"/>
      <c r="JSK9" s="338"/>
      <c r="JSL9" s="338"/>
      <c r="JSM9" s="338"/>
      <c r="JSN9" s="338"/>
      <c r="JSO9" s="338"/>
      <c r="JSP9" s="338"/>
      <c r="JSQ9" s="338"/>
      <c r="JSR9" s="338"/>
      <c r="JSS9" s="338"/>
      <c r="JST9" s="338"/>
      <c r="JSU9" s="338"/>
      <c r="JSV9" s="338"/>
      <c r="JSW9" s="338"/>
      <c r="JSX9" s="338"/>
      <c r="JSY9" s="338"/>
      <c r="JSZ9" s="338"/>
      <c r="JTA9" s="338"/>
      <c r="JTB9" s="338"/>
      <c r="JTC9" s="338"/>
      <c r="JTD9" s="338"/>
      <c r="JTE9" s="338"/>
      <c r="JTF9" s="338"/>
      <c r="JTG9" s="338"/>
      <c r="JTH9" s="338"/>
      <c r="JTI9" s="338"/>
      <c r="JTJ9" s="338"/>
      <c r="JTK9" s="338"/>
      <c r="JTL9" s="338"/>
      <c r="JTM9" s="338"/>
      <c r="JTN9" s="338"/>
      <c r="JTO9" s="338"/>
      <c r="JTP9" s="338"/>
      <c r="JTQ9" s="338"/>
      <c r="JTR9" s="338"/>
      <c r="JTS9" s="338"/>
      <c r="JTT9" s="338"/>
      <c r="JTU9" s="338"/>
      <c r="JTV9" s="338"/>
      <c r="JTW9" s="338"/>
      <c r="JTX9" s="338"/>
      <c r="JTY9" s="338"/>
      <c r="JTZ9" s="338"/>
      <c r="JUA9" s="338"/>
      <c r="JUB9" s="338"/>
      <c r="JUC9" s="338"/>
      <c r="JUD9" s="338"/>
      <c r="JUE9" s="338"/>
      <c r="JUF9" s="338"/>
      <c r="JUG9" s="338"/>
      <c r="JUH9" s="338"/>
      <c r="JUI9" s="338"/>
      <c r="JUJ9" s="338"/>
      <c r="JUK9" s="338"/>
      <c r="JUL9" s="338"/>
      <c r="JUM9" s="338"/>
      <c r="JUN9" s="338"/>
      <c r="JUO9" s="338"/>
      <c r="JUP9" s="338"/>
      <c r="JUQ9" s="338"/>
      <c r="JUR9" s="338"/>
      <c r="JUS9" s="338"/>
      <c r="JUT9" s="338"/>
      <c r="JUU9" s="338"/>
      <c r="JUV9" s="338"/>
      <c r="JUW9" s="338"/>
      <c r="JUX9" s="338"/>
      <c r="JUY9" s="338"/>
      <c r="JUZ9" s="338"/>
      <c r="JVA9" s="338"/>
      <c r="JVB9" s="338"/>
      <c r="JVC9" s="338"/>
      <c r="JVD9" s="338"/>
      <c r="JVE9" s="338"/>
      <c r="JVF9" s="338"/>
      <c r="JVG9" s="338"/>
      <c r="JVH9" s="338"/>
      <c r="JVI9" s="338"/>
      <c r="JVJ9" s="338"/>
      <c r="JVK9" s="338"/>
      <c r="JVL9" s="338"/>
      <c r="JVM9" s="338"/>
      <c r="JVN9" s="338"/>
      <c r="JVO9" s="338"/>
      <c r="JVP9" s="338"/>
      <c r="JVQ9" s="338"/>
      <c r="JVR9" s="338"/>
      <c r="JVS9" s="338"/>
      <c r="JVT9" s="338"/>
      <c r="JVU9" s="338"/>
      <c r="JVV9" s="338"/>
      <c r="JVW9" s="338"/>
      <c r="JVX9" s="338"/>
      <c r="JVY9" s="338"/>
      <c r="JVZ9" s="338"/>
      <c r="JWA9" s="338"/>
      <c r="JWB9" s="338"/>
      <c r="JWC9" s="338"/>
      <c r="JWD9" s="338"/>
      <c r="JWE9" s="338"/>
      <c r="JWF9" s="338"/>
      <c r="JWG9" s="338"/>
      <c r="JWH9" s="338"/>
      <c r="JWI9" s="338"/>
      <c r="JWJ9" s="338"/>
      <c r="JWK9" s="338"/>
      <c r="JWL9" s="338"/>
      <c r="JWM9" s="338"/>
      <c r="JWN9" s="338"/>
      <c r="JWO9" s="338"/>
      <c r="JWP9" s="338"/>
      <c r="JWQ9" s="338"/>
      <c r="JWR9" s="338"/>
      <c r="JWS9" s="338"/>
      <c r="JWT9" s="338"/>
      <c r="JWU9" s="338"/>
      <c r="JWV9" s="338"/>
      <c r="JWW9" s="338"/>
      <c r="JWX9" s="338"/>
      <c r="JWY9" s="338"/>
      <c r="JWZ9" s="338"/>
      <c r="JXA9" s="338"/>
      <c r="JXB9" s="338"/>
      <c r="JXC9" s="338"/>
      <c r="JXD9" s="338"/>
      <c r="JXE9" s="338"/>
      <c r="JXF9" s="338"/>
      <c r="JXG9" s="338"/>
      <c r="JXH9" s="338"/>
      <c r="JXI9" s="338"/>
      <c r="JXJ9" s="338"/>
      <c r="JXK9" s="338"/>
      <c r="JXL9" s="338"/>
      <c r="JXM9" s="338"/>
      <c r="JXN9" s="338"/>
      <c r="JXO9" s="338"/>
      <c r="JXP9" s="338"/>
      <c r="JXQ9" s="338"/>
      <c r="JXR9" s="338"/>
      <c r="JXS9" s="338"/>
      <c r="JXT9" s="338"/>
      <c r="JXU9" s="338"/>
      <c r="JXV9" s="338"/>
      <c r="JXW9" s="338"/>
      <c r="JXX9" s="338"/>
      <c r="JXY9" s="338"/>
      <c r="JXZ9" s="338"/>
      <c r="JYA9" s="338"/>
      <c r="JYB9" s="338"/>
      <c r="JYC9" s="338"/>
      <c r="JYD9" s="338"/>
      <c r="JYE9" s="338"/>
      <c r="JYF9" s="338"/>
      <c r="JYG9" s="338"/>
      <c r="JYH9" s="338"/>
      <c r="JYI9" s="338"/>
      <c r="JYJ9" s="338"/>
      <c r="JYK9" s="338"/>
      <c r="JYL9" s="338"/>
      <c r="JYM9" s="338"/>
      <c r="JYN9" s="338"/>
      <c r="JYO9" s="338"/>
      <c r="JYP9" s="338"/>
      <c r="JYQ9" s="338"/>
      <c r="JYR9" s="338"/>
      <c r="JYS9" s="338"/>
      <c r="JYT9" s="338"/>
      <c r="JYU9" s="338"/>
      <c r="JYV9" s="338"/>
      <c r="JYW9" s="338"/>
      <c r="JYX9" s="338"/>
      <c r="JYY9" s="338"/>
      <c r="JYZ9" s="338"/>
      <c r="JZA9" s="338"/>
      <c r="JZB9" s="338"/>
      <c r="JZC9" s="338"/>
      <c r="JZD9" s="338"/>
      <c r="JZE9" s="338"/>
      <c r="JZF9" s="338"/>
      <c r="JZG9" s="338"/>
      <c r="JZH9" s="338"/>
      <c r="JZI9" s="338"/>
      <c r="JZJ9" s="338"/>
      <c r="JZK9" s="338"/>
      <c r="JZL9" s="338"/>
      <c r="JZM9" s="338"/>
      <c r="JZN9" s="338"/>
      <c r="JZO9" s="338"/>
      <c r="JZP9" s="338"/>
      <c r="JZQ9" s="338"/>
      <c r="JZR9" s="338"/>
      <c r="JZS9" s="338"/>
      <c r="JZT9" s="338"/>
      <c r="JZU9" s="338"/>
      <c r="JZV9" s="338"/>
      <c r="JZW9" s="338"/>
      <c r="JZX9" s="338"/>
      <c r="JZY9" s="338"/>
      <c r="JZZ9" s="338"/>
      <c r="KAA9" s="338"/>
      <c r="KAB9" s="338"/>
      <c r="KAC9" s="338"/>
      <c r="KAD9" s="338"/>
      <c r="KAE9" s="338"/>
      <c r="KAF9" s="338"/>
      <c r="KAG9" s="338"/>
      <c r="KAH9" s="338"/>
      <c r="KAI9" s="338"/>
      <c r="KAJ9" s="338"/>
      <c r="KAK9" s="338"/>
      <c r="KAL9" s="338"/>
      <c r="KAM9" s="338"/>
      <c r="KAN9" s="338"/>
      <c r="KAO9" s="338"/>
      <c r="KAP9" s="338"/>
      <c r="KAQ9" s="338"/>
      <c r="KAR9" s="338"/>
      <c r="KAS9" s="338"/>
      <c r="KAT9" s="338"/>
      <c r="KAU9" s="338"/>
      <c r="KAV9" s="338"/>
      <c r="KAW9" s="338"/>
      <c r="KAX9" s="338"/>
      <c r="KAY9" s="338"/>
      <c r="KAZ9" s="338"/>
      <c r="KBA9" s="338"/>
      <c r="KBB9" s="338"/>
      <c r="KBC9" s="338"/>
      <c r="KBD9" s="338"/>
      <c r="KBE9" s="338"/>
      <c r="KBF9" s="338"/>
      <c r="KBG9" s="338"/>
      <c r="KBH9" s="338"/>
      <c r="KBI9" s="338"/>
      <c r="KBJ9" s="338"/>
      <c r="KBK9" s="338"/>
      <c r="KBL9" s="338"/>
      <c r="KBM9" s="338"/>
      <c r="KBN9" s="338"/>
      <c r="KBO9" s="338"/>
      <c r="KBP9" s="338"/>
      <c r="KBQ9" s="338"/>
      <c r="KBR9" s="338"/>
      <c r="KBS9" s="338"/>
      <c r="KBT9" s="338"/>
      <c r="KBU9" s="338"/>
      <c r="KBV9" s="338"/>
      <c r="KBW9" s="338"/>
      <c r="KBX9" s="338"/>
      <c r="KBY9" s="338"/>
      <c r="KBZ9" s="338"/>
      <c r="KCA9" s="338"/>
      <c r="KCB9" s="338"/>
      <c r="KCC9" s="338"/>
      <c r="KCD9" s="338"/>
      <c r="KCE9" s="338"/>
      <c r="KCF9" s="338"/>
      <c r="KCG9" s="338"/>
      <c r="KCH9" s="338"/>
      <c r="KCI9" s="338"/>
      <c r="KCJ9" s="338"/>
      <c r="KCK9" s="338"/>
      <c r="KCL9" s="338"/>
      <c r="KCM9" s="338"/>
      <c r="KCN9" s="338"/>
      <c r="KCO9" s="338"/>
      <c r="KCP9" s="338"/>
      <c r="KCQ9" s="338"/>
      <c r="KCR9" s="338"/>
      <c r="KCS9" s="338"/>
      <c r="KCT9" s="338"/>
      <c r="KCU9" s="338"/>
      <c r="KCV9" s="338"/>
      <c r="KCW9" s="338"/>
      <c r="KCX9" s="338"/>
      <c r="KCY9" s="338"/>
      <c r="KCZ9" s="338"/>
      <c r="KDA9" s="338"/>
      <c r="KDB9" s="338"/>
      <c r="KDC9" s="338"/>
      <c r="KDD9" s="338"/>
      <c r="KDE9" s="338"/>
      <c r="KDF9" s="338"/>
      <c r="KDG9" s="338"/>
      <c r="KDH9" s="338"/>
      <c r="KDI9" s="338"/>
      <c r="KDJ9" s="338"/>
      <c r="KDK9" s="338"/>
      <c r="KDL9" s="338"/>
      <c r="KDM9" s="338"/>
      <c r="KDN9" s="338"/>
      <c r="KDO9" s="338"/>
      <c r="KDP9" s="338"/>
      <c r="KDQ9" s="338"/>
      <c r="KDR9" s="338"/>
      <c r="KDS9" s="338"/>
      <c r="KDT9" s="338"/>
      <c r="KDU9" s="338"/>
      <c r="KDV9" s="338"/>
      <c r="KDW9" s="338"/>
      <c r="KDX9" s="338"/>
      <c r="KDY9" s="338"/>
      <c r="KDZ9" s="338"/>
      <c r="KEA9" s="338"/>
      <c r="KEB9" s="338"/>
      <c r="KEC9" s="338"/>
      <c r="KED9" s="338"/>
      <c r="KEE9" s="338"/>
      <c r="KEF9" s="338"/>
      <c r="KEG9" s="338"/>
      <c r="KEH9" s="338"/>
      <c r="KEI9" s="338"/>
      <c r="KEJ9" s="338"/>
      <c r="KEK9" s="338"/>
      <c r="KEL9" s="338"/>
      <c r="KEM9" s="338"/>
      <c r="KEN9" s="338"/>
      <c r="KEO9" s="338"/>
      <c r="KEP9" s="338"/>
      <c r="KEQ9" s="338"/>
      <c r="KER9" s="338"/>
      <c r="KES9" s="338"/>
      <c r="KET9" s="338"/>
      <c r="KEU9" s="338"/>
      <c r="KEV9" s="338"/>
      <c r="KEW9" s="338"/>
      <c r="KEX9" s="338"/>
      <c r="KEY9" s="338"/>
      <c r="KEZ9" s="338"/>
      <c r="KFA9" s="338"/>
      <c r="KFB9" s="338"/>
      <c r="KFC9" s="338"/>
      <c r="KFD9" s="338"/>
      <c r="KFE9" s="338"/>
      <c r="KFF9" s="338"/>
      <c r="KFG9" s="338"/>
      <c r="KFH9" s="338"/>
      <c r="KFI9" s="338"/>
      <c r="KFJ9" s="338"/>
      <c r="KFK9" s="338"/>
      <c r="KFL9" s="338"/>
      <c r="KFM9" s="338"/>
      <c r="KFN9" s="338"/>
      <c r="KFO9" s="338"/>
      <c r="KFP9" s="338"/>
      <c r="KFQ9" s="338"/>
      <c r="KFR9" s="338"/>
      <c r="KFS9" s="338"/>
      <c r="KFT9" s="338"/>
      <c r="KFU9" s="338"/>
      <c r="KFV9" s="338"/>
      <c r="KFW9" s="338"/>
      <c r="KFX9" s="338"/>
      <c r="KFY9" s="338"/>
      <c r="KFZ9" s="338"/>
      <c r="KGA9" s="338"/>
      <c r="KGB9" s="338"/>
      <c r="KGC9" s="338"/>
      <c r="KGD9" s="338"/>
      <c r="KGE9" s="338"/>
      <c r="KGF9" s="338"/>
      <c r="KGG9" s="338"/>
      <c r="KGH9" s="338"/>
      <c r="KGI9" s="338"/>
      <c r="KGJ9" s="338"/>
      <c r="KGK9" s="338"/>
      <c r="KGL9" s="338"/>
      <c r="KGM9" s="338"/>
      <c r="KGN9" s="338"/>
      <c r="KGO9" s="338"/>
      <c r="KGP9" s="338"/>
      <c r="KGQ9" s="338"/>
      <c r="KGR9" s="338"/>
      <c r="KGS9" s="338"/>
      <c r="KGT9" s="338"/>
      <c r="KGU9" s="338"/>
      <c r="KGV9" s="338"/>
      <c r="KGW9" s="338"/>
      <c r="KGX9" s="338"/>
      <c r="KGY9" s="338"/>
      <c r="KGZ9" s="338"/>
      <c r="KHA9" s="338"/>
      <c r="KHB9" s="338"/>
      <c r="KHC9" s="338"/>
      <c r="KHD9" s="338"/>
      <c r="KHE9" s="338"/>
      <c r="KHF9" s="338"/>
      <c r="KHG9" s="338"/>
      <c r="KHH9" s="338"/>
      <c r="KHI9" s="338"/>
      <c r="KHJ9" s="338"/>
      <c r="KHK9" s="338"/>
      <c r="KHL9" s="338"/>
      <c r="KHM9" s="338"/>
      <c r="KHN9" s="338"/>
      <c r="KHO9" s="338"/>
      <c r="KHP9" s="338"/>
      <c r="KHQ9" s="338"/>
      <c r="KHR9" s="338"/>
      <c r="KHS9" s="338"/>
      <c r="KHT9" s="338"/>
      <c r="KHU9" s="338"/>
      <c r="KHV9" s="338"/>
      <c r="KHW9" s="338"/>
      <c r="KHX9" s="338"/>
      <c r="KHY9" s="338"/>
      <c r="KHZ9" s="338"/>
      <c r="KIA9" s="338"/>
      <c r="KIB9" s="338"/>
      <c r="KIC9" s="338"/>
      <c r="KID9" s="338"/>
      <c r="KIE9" s="338"/>
      <c r="KIF9" s="338"/>
      <c r="KIG9" s="338"/>
      <c r="KIH9" s="338"/>
      <c r="KII9" s="338"/>
      <c r="KIJ9" s="338"/>
      <c r="KIK9" s="338"/>
      <c r="KIL9" s="338"/>
      <c r="KIM9" s="338"/>
      <c r="KIN9" s="338"/>
      <c r="KIO9" s="338"/>
      <c r="KIP9" s="338"/>
      <c r="KIQ9" s="338"/>
      <c r="KIR9" s="338"/>
      <c r="KIS9" s="338"/>
      <c r="KIT9" s="338"/>
      <c r="KIU9" s="338"/>
      <c r="KIV9" s="338"/>
      <c r="KIW9" s="338"/>
      <c r="KIX9" s="338"/>
      <c r="KIY9" s="338"/>
      <c r="KIZ9" s="338"/>
      <c r="KJA9" s="338"/>
      <c r="KJB9" s="338"/>
      <c r="KJC9" s="338"/>
      <c r="KJD9" s="338"/>
      <c r="KJE9" s="338"/>
      <c r="KJF9" s="338"/>
      <c r="KJG9" s="338"/>
      <c r="KJH9" s="338"/>
      <c r="KJI9" s="338"/>
      <c r="KJJ9" s="338"/>
      <c r="KJK9" s="338"/>
      <c r="KJL9" s="338"/>
      <c r="KJM9" s="338"/>
      <c r="KJN9" s="338"/>
      <c r="KJO9" s="338"/>
      <c r="KJP9" s="338"/>
      <c r="KJQ9" s="338"/>
      <c r="KJR9" s="338"/>
      <c r="KJS9" s="338"/>
      <c r="KJT9" s="338"/>
      <c r="KJU9" s="338"/>
      <c r="KJV9" s="338"/>
      <c r="KJW9" s="338"/>
      <c r="KJX9" s="338"/>
      <c r="KJY9" s="338"/>
      <c r="KJZ9" s="338"/>
      <c r="KKA9" s="338"/>
      <c r="KKB9" s="338"/>
      <c r="KKC9" s="338"/>
      <c r="KKD9" s="338"/>
      <c r="KKE9" s="338"/>
      <c r="KKF9" s="338"/>
      <c r="KKG9" s="338"/>
      <c r="KKH9" s="338"/>
      <c r="KKI9" s="338"/>
      <c r="KKJ9" s="338"/>
      <c r="KKK9" s="338"/>
      <c r="KKL9" s="338"/>
      <c r="KKM9" s="338"/>
      <c r="KKN9" s="338"/>
      <c r="KKO9" s="338"/>
      <c r="KKP9" s="338"/>
      <c r="KKQ9" s="338"/>
      <c r="KKR9" s="338"/>
      <c r="KKS9" s="338"/>
      <c r="KKT9" s="338"/>
      <c r="KKU9" s="338"/>
      <c r="KKV9" s="338"/>
      <c r="KKW9" s="338"/>
      <c r="KKX9" s="338"/>
      <c r="KKY9" s="338"/>
      <c r="KKZ9" s="338"/>
      <c r="KLA9" s="338"/>
      <c r="KLB9" s="338"/>
      <c r="KLC9" s="338"/>
      <c r="KLD9" s="338"/>
      <c r="KLE9" s="338"/>
      <c r="KLF9" s="338"/>
      <c r="KLG9" s="338"/>
      <c r="KLH9" s="338"/>
      <c r="KLI9" s="338"/>
      <c r="KLJ9" s="338"/>
      <c r="KLK9" s="338"/>
      <c r="KLL9" s="338"/>
      <c r="KLM9" s="338"/>
      <c r="KLN9" s="338"/>
      <c r="KLO9" s="338"/>
      <c r="KLP9" s="338"/>
      <c r="KLQ9" s="338"/>
      <c r="KLR9" s="338"/>
      <c r="KLS9" s="338"/>
      <c r="KLT9" s="338"/>
      <c r="KLU9" s="338"/>
      <c r="KLV9" s="338"/>
      <c r="KLW9" s="338"/>
      <c r="KLX9" s="338"/>
      <c r="KLY9" s="338"/>
      <c r="KLZ9" s="338"/>
      <c r="KMA9" s="338"/>
      <c r="KMB9" s="338"/>
      <c r="KMC9" s="338"/>
      <c r="KMD9" s="338"/>
      <c r="KME9" s="338"/>
      <c r="KMF9" s="338"/>
      <c r="KMG9" s="338"/>
      <c r="KMH9" s="338"/>
      <c r="KMI9" s="338"/>
      <c r="KMJ9" s="338"/>
      <c r="KMK9" s="338"/>
      <c r="KML9" s="338"/>
      <c r="KMM9" s="338"/>
      <c r="KMN9" s="338"/>
      <c r="KMO9" s="338"/>
      <c r="KMP9" s="338"/>
      <c r="KMQ9" s="338"/>
      <c r="KMR9" s="338"/>
      <c r="KMS9" s="338"/>
      <c r="KMT9" s="338"/>
      <c r="KMU9" s="338"/>
      <c r="KMV9" s="338"/>
      <c r="KMW9" s="338"/>
      <c r="KMX9" s="338"/>
      <c r="KMY9" s="338"/>
      <c r="KMZ9" s="338"/>
      <c r="KNA9" s="338"/>
      <c r="KNB9" s="338"/>
      <c r="KNC9" s="338"/>
      <c r="KND9" s="338"/>
      <c r="KNE9" s="338"/>
      <c r="KNF9" s="338"/>
      <c r="KNG9" s="338"/>
      <c r="KNH9" s="338"/>
      <c r="KNI9" s="338"/>
      <c r="KNJ9" s="338"/>
      <c r="KNK9" s="338"/>
      <c r="KNL9" s="338"/>
      <c r="KNM9" s="338"/>
      <c r="KNN9" s="338"/>
      <c r="KNO9" s="338"/>
      <c r="KNP9" s="338"/>
      <c r="KNQ9" s="338"/>
      <c r="KNR9" s="338"/>
      <c r="KNS9" s="338"/>
      <c r="KNT9" s="338"/>
      <c r="KNU9" s="338"/>
      <c r="KNV9" s="338"/>
      <c r="KNW9" s="338"/>
      <c r="KNX9" s="338"/>
      <c r="KNY9" s="338"/>
      <c r="KNZ9" s="338"/>
      <c r="KOA9" s="338"/>
      <c r="KOB9" s="338"/>
      <c r="KOC9" s="338"/>
      <c r="KOD9" s="338"/>
      <c r="KOE9" s="338"/>
      <c r="KOF9" s="338"/>
      <c r="KOG9" s="338"/>
      <c r="KOH9" s="338"/>
      <c r="KOI9" s="338"/>
      <c r="KOJ9" s="338"/>
      <c r="KOK9" s="338"/>
      <c r="KOL9" s="338"/>
      <c r="KOM9" s="338"/>
      <c r="KON9" s="338"/>
      <c r="KOO9" s="338"/>
      <c r="KOP9" s="338"/>
      <c r="KOQ9" s="338"/>
      <c r="KOR9" s="338"/>
      <c r="KOS9" s="338"/>
      <c r="KOT9" s="338"/>
      <c r="KOU9" s="338"/>
      <c r="KOV9" s="338"/>
      <c r="KOW9" s="338"/>
      <c r="KOX9" s="338"/>
      <c r="KOY9" s="338"/>
      <c r="KOZ9" s="338"/>
      <c r="KPA9" s="338"/>
      <c r="KPB9" s="338"/>
      <c r="KPC9" s="338"/>
      <c r="KPD9" s="338"/>
      <c r="KPE9" s="338"/>
      <c r="KPF9" s="338"/>
      <c r="KPG9" s="338"/>
      <c r="KPH9" s="338"/>
      <c r="KPI9" s="338"/>
      <c r="KPJ9" s="338"/>
      <c r="KPK9" s="338"/>
      <c r="KPL9" s="338"/>
      <c r="KPM9" s="338"/>
      <c r="KPN9" s="338"/>
      <c r="KPO9" s="338"/>
      <c r="KPP9" s="338"/>
      <c r="KPQ9" s="338"/>
      <c r="KPR9" s="338"/>
      <c r="KPS9" s="338"/>
      <c r="KPT9" s="338"/>
      <c r="KPU9" s="338"/>
      <c r="KPV9" s="338"/>
      <c r="KPW9" s="338"/>
      <c r="KPX9" s="338"/>
      <c r="KPY9" s="338"/>
      <c r="KPZ9" s="338"/>
      <c r="KQA9" s="338"/>
      <c r="KQB9" s="338"/>
      <c r="KQC9" s="338"/>
      <c r="KQD9" s="338"/>
      <c r="KQE9" s="338"/>
      <c r="KQF9" s="338"/>
      <c r="KQG9" s="338"/>
      <c r="KQH9" s="338"/>
      <c r="KQI9" s="338"/>
      <c r="KQJ9" s="338"/>
      <c r="KQK9" s="338"/>
      <c r="KQL9" s="338"/>
      <c r="KQM9" s="338"/>
      <c r="KQN9" s="338"/>
      <c r="KQO9" s="338"/>
      <c r="KQP9" s="338"/>
      <c r="KQQ9" s="338"/>
      <c r="KQR9" s="338"/>
      <c r="KQS9" s="338"/>
      <c r="KQT9" s="338"/>
      <c r="KQU9" s="338"/>
      <c r="KQV9" s="338"/>
      <c r="KQW9" s="338"/>
      <c r="KQX9" s="338"/>
      <c r="KQY9" s="338"/>
      <c r="KQZ9" s="338"/>
      <c r="KRA9" s="338"/>
      <c r="KRB9" s="338"/>
      <c r="KRC9" s="338"/>
      <c r="KRD9" s="338"/>
      <c r="KRE9" s="338"/>
      <c r="KRF9" s="338"/>
      <c r="KRG9" s="338"/>
      <c r="KRH9" s="338"/>
      <c r="KRI9" s="338"/>
      <c r="KRJ9" s="338"/>
      <c r="KRK9" s="338"/>
      <c r="KRL9" s="338"/>
      <c r="KRM9" s="338"/>
      <c r="KRN9" s="338"/>
      <c r="KRO9" s="338"/>
      <c r="KRP9" s="338"/>
      <c r="KRQ9" s="338"/>
      <c r="KRR9" s="338"/>
      <c r="KRS9" s="338"/>
      <c r="KRT9" s="338"/>
      <c r="KRU9" s="338"/>
      <c r="KRV9" s="338"/>
      <c r="KRW9" s="338"/>
      <c r="KRX9" s="338"/>
      <c r="KRY9" s="338"/>
      <c r="KRZ9" s="338"/>
      <c r="KSA9" s="338"/>
      <c r="KSB9" s="338"/>
      <c r="KSC9" s="338"/>
      <c r="KSD9" s="338"/>
      <c r="KSE9" s="338"/>
      <c r="KSF9" s="338"/>
      <c r="KSG9" s="338"/>
      <c r="KSH9" s="338"/>
      <c r="KSI9" s="338"/>
      <c r="KSJ9" s="338"/>
      <c r="KSK9" s="338"/>
      <c r="KSL9" s="338"/>
      <c r="KSM9" s="338"/>
      <c r="KSN9" s="338"/>
      <c r="KSO9" s="338"/>
      <c r="KSP9" s="338"/>
      <c r="KSQ9" s="338"/>
      <c r="KSR9" s="338"/>
      <c r="KSS9" s="338"/>
      <c r="KST9" s="338"/>
      <c r="KSU9" s="338"/>
      <c r="KSV9" s="338"/>
      <c r="KSW9" s="338"/>
      <c r="KSX9" s="338"/>
      <c r="KSY9" s="338"/>
      <c r="KSZ9" s="338"/>
      <c r="KTA9" s="338"/>
      <c r="KTB9" s="338"/>
      <c r="KTC9" s="338"/>
      <c r="KTD9" s="338"/>
      <c r="KTE9" s="338"/>
      <c r="KTF9" s="338"/>
      <c r="KTG9" s="338"/>
      <c r="KTH9" s="338"/>
      <c r="KTI9" s="338"/>
      <c r="KTJ9" s="338"/>
      <c r="KTK9" s="338"/>
      <c r="KTL9" s="338"/>
      <c r="KTM9" s="338"/>
      <c r="KTN9" s="338"/>
      <c r="KTO9" s="338"/>
      <c r="KTP9" s="338"/>
      <c r="KTQ9" s="338"/>
      <c r="KTR9" s="338"/>
      <c r="KTS9" s="338"/>
      <c r="KTT9" s="338"/>
      <c r="KTU9" s="338"/>
      <c r="KTV9" s="338"/>
      <c r="KTW9" s="338"/>
      <c r="KTX9" s="338"/>
      <c r="KTY9" s="338"/>
      <c r="KTZ9" s="338"/>
      <c r="KUA9" s="338"/>
      <c r="KUB9" s="338"/>
      <c r="KUC9" s="338"/>
      <c r="KUD9" s="338"/>
      <c r="KUE9" s="338"/>
      <c r="KUF9" s="338"/>
      <c r="KUG9" s="338"/>
      <c r="KUH9" s="338"/>
      <c r="KUI9" s="338"/>
      <c r="KUJ9" s="338"/>
      <c r="KUK9" s="338"/>
      <c r="KUL9" s="338"/>
      <c r="KUM9" s="338"/>
      <c r="KUN9" s="338"/>
      <c r="KUO9" s="338"/>
      <c r="KUP9" s="338"/>
      <c r="KUQ9" s="338"/>
      <c r="KUR9" s="338"/>
      <c r="KUS9" s="338"/>
      <c r="KUT9" s="338"/>
      <c r="KUU9" s="338"/>
      <c r="KUV9" s="338"/>
      <c r="KUW9" s="338"/>
      <c r="KUX9" s="338"/>
      <c r="KUY9" s="338"/>
      <c r="KUZ9" s="338"/>
      <c r="KVA9" s="338"/>
      <c r="KVB9" s="338"/>
      <c r="KVC9" s="338"/>
      <c r="KVD9" s="338"/>
      <c r="KVE9" s="338"/>
      <c r="KVF9" s="338"/>
      <c r="KVG9" s="338"/>
      <c r="KVH9" s="338"/>
      <c r="KVI9" s="338"/>
      <c r="KVJ9" s="338"/>
      <c r="KVK9" s="338"/>
      <c r="KVL9" s="338"/>
      <c r="KVM9" s="338"/>
      <c r="KVN9" s="338"/>
      <c r="KVO9" s="338"/>
      <c r="KVP9" s="338"/>
      <c r="KVQ9" s="338"/>
      <c r="KVR9" s="338"/>
      <c r="KVS9" s="338"/>
      <c r="KVT9" s="338"/>
      <c r="KVU9" s="338"/>
      <c r="KVV9" s="338"/>
      <c r="KVW9" s="338"/>
      <c r="KVX9" s="338"/>
      <c r="KVY9" s="338"/>
      <c r="KVZ9" s="338"/>
      <c r="KWA9" s="338"/>
      <c r="KWB9" s="338"/>
      <c r="KWC9" s="338"/>
      <c r="KWD9" s="338"/>
      <c r="KWE9" s="338"/>
      <c r="KWF9" s="338"/>
      <c r="KWG9" s="338"/>
      <c r="KWH9" s="338"/>
      <c r="KWI9" s="338"/>
      <c r="KWJ9" s="338"/>
      <c r="KWK9" s="338"/>
      <c r="KWL9" s="338"/>
      <c r="KWM9" s="338"/>
      <c r="KWN9" s="338"/>
      <c r="KWO9" s="338"/>
      <c r="KWP9" s="338"/>
      <c r="KWQ9" s="338"/>
      <c r="KWR9" s="338"/>
      <c r="KWS9" s="338"/>
      <c r="KWT9" s="338"/>
      <c r="KWU9" s="338"/>
      <c r="KWV9" s="338"/>
      <c r="KWW9" s="338"/>
      <c r="KWX9" s="338"/>
      <c r="KWY9" s="338"/>
      <c r="KWZ9" s="338"/>
      <c r="KXA9" s="338"/>
      <c r="KXB9" s="338"/>
      <c r="KXC9" s="338"/>
      <c r="KXD9" s="338"/>
      <c r="KXE9" s="338"/>
      <c r="KXF9" s="338"/>
      <c r="KXG9" s="338"/>
      <c r="KXH9" s="338"/>
      <c r="KXI9" s="338"/>
      <c r="KXJ9" s="338"/>
      <c r="KXK9" s="338"/>
      <c r="KXL9" s="338"/>
      <c r="KXM9" s="338"/>
      <c r="KXN9" s="338"/>
      <c r="KXO9" s="338"/>
      <c r="KXP9" s="338"/>
      <c r="KXQ9" s="338"/>
      <c r="KXR9" s="338"/>
      <c r="KXS9" s="338"/>
      <c r="KXT9" s="338"/>
      <c r="KXU9" s="338"/>
      <c r="KXV9" s="338"/>
      <c r="KXW9" s="338"/>
      <c r="KXX9" s="338"/>
      <c r="KXY9" s="338"/>
      <c r="KXZ9" s="338"/>
      <c r="KYA9" s="338"/>
      <c r="KYB9" s="338"/>
      <c r="KYC9" s="338"/>
      <c r="KYD9" s="338"/>
      <c r="KYE9" s="338"/>
      <c r="KYF9" s="338"/>
      <c r="KYG9" s="338"/>
      <c r="KYH9" s="338"/>
      <c r="KYI9" s="338"/>
      <c r="KYJ9" s="338"/>
      <c r="KYK9" s="338"/>
      <c r="KYL9" s="338"/>
      <c r="KYM9" s="338"/>
      <c r="KYN9" s="338"/>
      <c r="KYO9" s="338"/>
      <c r="KYP9" s="338"/>
      <c r="KYQ9" s="338"/>
      <c r="KYR9" s="338"/>
      <c r="KYS9" s="338"/>
      <c r="KYT9" s="338"/>
      <c r="KYU9" s="338"/>
      <c r="KYV9" s="338"/>
      <c r="KYW9" s="338"/>
      <c r="KYX9" s="338"/>
      <c r="KYY9" s="338"/>
      <c r="KYZ9" s="338"/>
      <c r="KZA9" s="338"/>
      <c r="KZB9" s="338"/>
      <c r="KZC9" s="338"/>
      <c r="KZD9" s="338"/>
      <c r="KZE9" s="338"/>
      <c r="KZF9" s="338"/>
      <c r="KZG9" s="338"/>
      <c r="KZH9" s="338"/>
      <c r="KZI9" s="338"/>
      <c r="KZJ9" s="338"/>
      <c r="KZK9" s="338"/>
      <c r="KZL9" s="338"/>
      <c r="KZM9" s="338"/>
      <c r="KZN9" s="338"/>
      <c r="KZO9" s="338"/>
      <c r="KZP9" s="338"/>
      <c r="KZQ9" s="338"/>
      <c r="KZR9" s="338"/>
      <c r="KZS9" s="338"/>
      <c r="KZT9" s="338"/>
      <c r="KZU9" s="338"/>
      <c r="KZV9" s="338"/>
      <c r="KZW9" s="338"/>
      <c r="KZX9" s="338"/>
      <c r="KZY9" s="338"/>
      <c r="KZZ9" s="338"/>
      <c r="LAA9" s="338"/>
      <c r="LAB9" s="338"/>
      <c r="LAC9" s="338"/>
      <c r="LAD9" s="338"/>
      <c r="LAE9" s="338"/>
      <c r="LAF9" s="338"/>
      <c r="LAG9" s="338"/>
      <c r="LAH9" s="338"/>
      <c r="LAI9" s="338"/>
      <c r="LAJ9" s="338"/>
      <c r="LAK9" s="338"/>
      <c r="LAL9" s="338"/>
      <c r="LAM9" s="338"/>
      <c r="LAN9" s="338"/>
      <c r="LAO9" s="338"/>
      <c r="LAP9" s="338"/>
      <c r="LAQ9" s="338"/>
      <c r="LAR9" s="338"/>
      <c r="LAS9" s="338"/>
      <c r="LAT9" s="338"/>
      <c r="LAU9" s="338"/>
      <c r="LAV9" s="338"/>
      <c r="LAW9" s="338"/>
      <c r="LAX9" s="338"/>
      <c r="LAY9" s="338"/>
      <c r="LAZ9" s="338"/>
      <c r="LBA9" s="338"/>
      <c r="LBB9" s="338"/>
      <c r="LBC9" s="338"/>
      <c r="LBD9" s="338"/>
      <c r="LBE9" s="338"/>
      <c r="LBF9" s="338"/>
      <c r="LBG9" s="338"/>
      <c r="LBH9" s="338"/>
      <c r="LBI9" s="338"/>
      <c r="LBJ9" s="338"/>
      <c r="LBK9" s="338"/>
      <c r="LBL9" s="338"/>
      <c r="LBM9" s="338"/>
      <c r="LBN9" s="338"/>
      <c r="LBO9" s="338"/>
      <c r="LBP9" s="338"/>
      <c r="LBQ9" s="338"/>
      <c r="LBR9" s="338"/>
      <c r="LBS9" s="338"/>
      <c r="LBT9" s="338"/>
      <c r="LBU9" s="338"/>
      <c r="LBV9" s="338"/>
      <c r="LBW9" s="338"/>
      <c r="LBX9" s="338"/>
      <c r="LBY9" s="338"/>
      <c r="LBZ9" s="338"/>
      <c r="LCA9" s="338"/>
      <c r="LCB9" s="338"/>
      <c r="LCC9" s="338"/>
      <c r="LCD9" s="338"/>
      <c r="LCE9" s="338"/>
      <c r="LCF9" s="338"/>
      <c r="LCG9" s="338"/>
      <c r="LCH9" s="338"/>
      <c r="LCI9" s="338"/>
      <c r="LCJ9" s="338"/>
      <c r="LCK9" s="338"/>
      <c r="LCL9" s="338"/>
      <c r="LCM9" s="338"/>
      <c r="LCN9" s="338"/>
      <c r="LCO9" s="338"/>
      <c r="LCP9" s="338"/>
      <c r="LCQ9" s="338"/>
      <c r="LCR9" s="338"/>
      <c r="LCS9" s="338"/>
      <c r="LCT9" s="338"/>
      <c r="LCU9" s="338"/>
      <c r="LCV9" s="338"/>
      <c r="LCW9" s="338"/>
      <c r="LCX9" s="338"/>
      <c r="LCY9" s="338"/>
      <c r="LCZ9" s="338"/>
      <c r="LDA9" s="338"/>
      <c r="LDB9" s="338"/>
      <c r="LDC9" s="338"/>
      <c r="LDD9" s="338"/>
      <c r="LDE9" s="338"/>
      <c r="LDF9" s="338"/>
      <c r="LDG9" s="338"/>
      <c r="LDH9" s="338"/>
      <c r="LDI9" s="338"/>
      <c r="LDJ9" s="338"/>
      <c r="LDK9" s="338"/>
      <c r="LDL9" s="338"/>
      <c r="LDM9" s="338"/>
      <c r="LDN9" s="338"/>
      <c r="LDO9" s="338"/>
      <c r="LDP9" s="338"/>
      <c r="LDQ9" s="338"/>
      <c r="LDR9" s="338"/>
      <c r="LDS9" s="338"/>
      <c r="LDT9" s="338"/>
      <c r="LDU9" s="338"/>
      <c r="LDV9" s="338"/>
      <c r="LDW9" s="338"/>
      <c r="LDX9" s="338"/>
      <c r="LDY9" s="338"/>
      <c r="LDZ9" s="338"/>
      <c r="LEA9" s="338"/>
      <c r="LEB9" s="338"/>
      <c r="LEC9" s="338"/>
      <c r="LED9" s="338"/>
      <c r="LEE9" s="338"/>
      <c r="LEF9" s="338"/>
      <c r="LEG9" s="338"/>
      <c r="LEH9" s="338"/>
      <c r="LEI9" s="338"/>
      <c r="LEJ9" s="338"/>
      <c r="LEK9" s="338"/>
      <c r="LEL9" s="338"/>
      <c r="LEM9" s="338"/>
      <c r="LEN9" s="338"/>
      <c r="LEO9" s="338"/>
      <c r="LEP9" s="338"/>
      <c r="LEQ9" s="338"/>
      <c r="LER9" s="338"/>
      <c r="LES9" s="338"/>
      <c r="LET9" s="338"/>
      <c r="LEU9" s="338"/>
      <c r="LEV9" s="338"/>
      <c r="LEW9" s="338"/>
      <c r="LEX9" s="338"/>
      <c r="LEY9" s="338"/>
      <c r="LEZ9" s="338"/>
      <c r="LFA9" s="338"/>
      <c r="LFB9" s="338"/>
      <c r="LFC9" s="338"/>
      <c r="LFD9" s="338"/>
      <c r="LFE9" s="338"/>
      <c r="LFF9" s="338"/>
      <c r="LFG9" s="338"/>
      <c r="LFH9" s="338"/>
      <c r="LFI9" s="338"/>
      <c r="LFJ9" s="338"/>
      <c r="LFK9" s="338"/>
      <c r="LFL9" s="338"/>
      <c r="LFM9" s="338"/>
      <c r="LFN9" s="338"/>
      <c r="LFO9" s="338"/>
      <c r="LFP9" s="338"/>
      <c r="LFQ9" s="338"/>
      <c r="LFR9" s="338"/>
      <c r="LFS9" s="338"/>
      <c r="LFT9" s="338"/>
      <c r="LFU9" s="338"/>
      <c r="LFV9" s="338"/>
      <c r="LFW9" s="338"/>
      <c r="LFX9" s="338"/>
      <c r="LFY9" s="338"/>
      <c r="LFZ9" s="338"/>
      <c r="LGA9" s="338"/>
      <c r="LGB9" s="338"/>
      <c r="LGC9" s="338"/>
      <c r="LGD9" s="338"/>
      <c r="LGE9" s="338"/>
      <c r="LGF9" s="338"/>
      <c r="LGG9" s="338"/>
      <c r="LGH9" s="338"/>
      <c r="LGI9" s="338"/>
      <c r="LGJ9" s="338"/>
      <c r="LGK9" s="338"/>
      <c r="LGL9" s="338"/>
      <c r="LGM9" s="338"/>
      <c r="LGN9" s="338"/>
      <c r="LGO9" s="338"/>
      <c r="LGP9" s="338"/>
      <c r="LGQ9" s="338"/>
      <c r="LGR9" s="338"/>
      <c r="LGS9" s="338"/>
      <c r="LGT9" s="338"/>
      <c r="LGU9" s="338"/>
      <c r="LGV9" s="338"/>
      <c r="LGW9" s="338"/>
      <c r="LGX9" s="338"/>
      <c r="LGY9" s="338"/>
      <c r="LGZ9" s="338"/>
      <c r="LHA9" s="338"/>
      <c r="LHB9" s="338"/>
      <c r="LHC9" s="338"/>
      <c r="LHD9" s="338"/>
      <c r="LHE9" s="338"/>
      <c r="LHF9" s="338"/>
      <c r="LHG9" s="338"/>
      <c r="LHH9" s="338"/>
      <c r="LHI9" s="338"/>
      <c r="LHJ9" s="338"/>
      <c r="LHK9" s="338"/>
      <c r="LHL9" s="338"/>
      <c r="LHM9" s="338"/>
      <c r="LHN9" s="338"/>
      <c r="LHO9" s="338"/>
      <c r="LHP9" s="338"/>
      <c r="LHQ9" s="338"/>
      <c r="LHR9" s="338"/>
      <c r="LHS9" s="338"/>
      <c r="LHT9" s="338"/>
      <c r="LHU9" s="338"/>
      <c r="LHV9" s="338"/>
      <c r="LHW9" s="338"/>
      <c r="LHX9" s="338"/>
      <c r="LHY9" s="338"/>
      <c r="LHZ9" s="338"/>
      <c r="LIA9" s="338"/>
      <c r="LIB9" s="338"/>
      <c r="LIC9" s="338"/>
      <c r="LID9" s="338"/>
      <c r="LIE9" s="338"/>
      <c r="LIF9" s="338"/>
      <c r="LIG9" s="338"/>
      <c r="LIH9" s="338"/>
      <c r="LII9" s="338"/>
      <c r="LIJ9" s="338"/>
      <c r="LIK9" s="338"/>
      <c r="LIL9" s="338"/>
      <c r="LIM9" s="338"/>
      <c r="LIN9" s="338"/>
      <c r="LIO9" s="338"/>
      <c r="LIP9" s="338"/>
      <c r="LIQ9" s="338"/>
      <c r="LIR9" s="338"/>
      <c r="LIS9" s="338"/>
      <c r="LIT9" s="338"/>
      <c r="LIU9" s="338"/>
      <c r="LIV9" s="338"/>
      <c r="LIW9" s="338"/>
      <c r="LIX9" s="338"/>
      <c r="LIY9" s="338"/>
      <c r="LIZ9" s="338"/>
      <c r="LJA9" s="338"/>
      <c r="LJB9" s="338"/>
      <c r="LJC9" s="338"/>
      <c r="LJD9" s="338"/>
      <c r="LJE9" s="338"/>
      <c r="LJF9" s="338"/>
      <c r="LJG9" s="338"/>
      <c r="LJH9" s="338"/>
      <c r="LJI9" s="338"/>
      <c r="LJJ9" s="338"/>
      <c r="LJK9" s="338"/>
      <c r="LJL9" s="338"/>
      <c r="LJM9" s="338"/>
      <c r="LJN9" s="338"/>
      <c r="LJO9" s="338"/>
      <c r="LJP9" s="338"/>
      <c r="LJQ9" s="338"/>
      <c r="LJR9" s="338"/>
      <c r="LJS9" s="338"/>
      <c r="LJT9" s="338"/>
      <c r="LJU9" s="338"/>
      <c r="LJV9" s="338"/>
      <c r="LJW9" s="338"/>
      <c r="LJX9" s="338"/>
      <c r="LJY9" s="338"/>
      <c r="LJZ9" s="338"/>
      <c r="LKA9" s="338"/>
      <c r="LKB9" s="338"/>
      <c r="LKC9" s="338"/>
      <c r="LKD9" s="338"/>
      <c r="LKE9" s="338"/>
      <c r="LKF9" s="338"/>
      <c r="LKG9" s="338"/>
      <c r="LKH9" s="338"/>
      <c r="LKI9" s="338"/>
      <c r="LKJ9" s="338"/>
      <c r="LKK9" s="338"/>
      <c r="LKL9" s="338"/>
      <c r="LKM9" s="338"/>
      <c r="LKN9" s="338"/>
      <c r="LKO9" s="338"/>
      <c r="LKP9" s="338"/>
      <c r="LKQ9" s="338"/>
      <c r="LKR9" s="338"/>
      <c r="LKS9" s="338"/>
      <c r="LKT9" s="338"/>
      <c r="LKU9" s="338"/>
      <c r="LKV9" s="338"/>
      <c r="LKW9" s="338"/>
      <c r="LKX9" s="338"/>
      <c r="LKY9" s="338"/>
      <c r="LKZ9" s="338"/>
      <c r="LLA9" s="338"/>
      <c r="LLB9" s="338"/>
      <c r="LLC9" s="338"/>
      <c r="LLD9" s="338"/>
      <c r="LLE9" s="338"/>
      <c r="LLF9" s="338"/>
      <c r="LLG9" s="338"/>
      <c r="LLH9" s="338"/>
      <c r="LLI9" s="338"/>
      <c r="LLJ9" s="338"/>
      <c r="LLK9" s="338"/>
      <c r="LLL9" s="338"/>
      <c r="LLM9" s="338"/>
      <c r="LLN9" s="338"/>
      <c r="LLO9" s="338"/>
      <c r="LLP9" s="338"/>
      <c r="LLQ9" s="338"/>
      <c r="LLR9" s="338"/>
      <c r="LLS9" s="338"/>
      <c r="LLT9" s="338"/>
      <c r="LLU9" s="338"/>
      <c r="LLV9" s="338"/>
      <c r="LLW9" s="338"/>
      <c r="LLX9" s="338"/>
      <c r="LLY9" s="338"/>
      <c r="LLZ9" s="338"/>
      <c r="LMA9" s="338"/>
      <c r="LMB9" s="338"/>
      <c r="LMC9" s="338"/>
      <c r="LMD9" s="338"/>
      <c r="LME9" s="338"/>
      <c r="LMF9" s="338"/>
      <c r="LMG9" s="338"/>
      <c r="LMH9" s="338"/>
      <c r="LMI9" s="338"/>
      <c r="LMJ9" s="338"/>
      <c r="LMK9" s="338"/>
      <c r="LML9" s="338"/>
      <c r="LMM9" s="338"/>
      <c r="LMN9" s="338"/>
      <c r="LMO9" s="338"/>
      <c r="LMP9" s="338"/>
      <c r="LMQ9" s="338"/>
      <c r="LMR9" s="338"/>
      <c r="LMS9" s="338"/>
      <c r="LMT9" s="338"/>
      <c r="LMU9" s="338"/>
      <c r="LMV9" s="338"/>
      <c r="LMW9" s="338"/>
      <c r="LMX9" s="338"/>
      <c r="LMY9" s="338"/>
      <c r="LMZ9" s="338"/>
      <c r="LNA9" s="338"/>
      <c r="LNB9" s="338"/>
      <c r="LNC9" s="338"/>
      <c r="LND9" s="338"/>
      <c r="LNE9" s="338"/>
      <c r="LNF9" s="338"/>
      <c r="LNG9" s="338"/>
      <c r="LNH9" s="338"/>
      <c r="LNI9" s="338"/>
      <c r="LNJ9" s="338"/>
      <c r="LNK9" s="338"/>
      <c r="LNL9" s="338"/>
      <c r="LNM9" s="338"/>
      <c r="LNN9" s="338"/>
      <c r="LNO9" s="338"/>
      <c r="LNP9" s="338"/>
      <c r="LNQ9" s="338"/>
      <c r="LNR9" s="338"/>
      <c r="LNS9" s="338"/>
      <c r="LNT9" s="338"/>
      <c r="LNU9" s="338"/>
      <c r="LNV9" s="338"/>
      <c r="LNW9" s="338"/>
      <c r="LNX9" s="338"/>
      <c r="LNY9" s="338"/>
      <c r="LNZ9" s="338"/>
      <c r="LOA9" s="338"/>
      <c r="LOB9" s="338"/>
      <c r="LOC9" s="338"/>
      <c r="LOD9" s="338"/>
      <c r="LOE9" s="338"/>
      <c r="LOF9" s="338"/>
      <c r="LOG9" s="338"/>
      <c r="LOH9" s="338"/>
      <c r="LOI9" s="338"/>
      <c r="LOJ9" s="338"/>
      <c r="LOK9" s="338"/>
      <c r="LOL9" s="338"/>
      <c r="LOM9" s="338"/>
      <c r="LON9" s="338"/>
      <c r="LOO9" s="338"/>
      <c r="LOP9" s="338"/>
      <c r="LOQ9" s="338"/>
      <c r="LOR9" s="338"/>
      <c r="LOS9" s="338"/>
      <c r="LOT9" s="338"/>
      <c r="LOU9" s="338"/>
      <c r="LOV9" s="338"/>
      <c r="LOW9" s="338"/>
      <c r="LOX9" s="338"/>
      <c r="LOY9" s="338"/>
      <c r="LOZ9" s="338"/>
      <c r="LPA9" s="338"/>
      <c r="LPB9" s="338"/>
      <c r="LPC9" s="338"/>
      <c r="LPD9" s="338"/>
      <c r="LPE9" s="338"/>
      <c r="LPF9" s="338"/>
      <c r="LPG9" s="338"/>
      <c r="LPH9" s="338"/>
      <c r="LPI9" s="338"/>
      <c r="LPJ9" s="338"/>
      <c r="LPK9" s="338"/>
      <c r="LPL9" s="338"/>
      <c r="LPM9" s="338"/>
      <c r="LPN9" s="338"/>
      <c r="LPO9" s="338"/>
      <c r="LPP9" s="338"/>
      <c r="LPQ9" s="338"/>
      <c r="LPR9" s="338"/>
      <c r="LPS9" s="338"/>
      <c r="LPT9" s="338"/>
      <c r="LPU9" s="338"/>
      <c r="LPV9" s="338"/>
      <c r="LPW9" s="338"/>
      <c r="LPX9" s="338"/>
      <c r="LPY9" s="338"/>
      <c r="LPZ9" s="338"/>
      <c r="LQA9" s="338"/>
      <c r="LQB9" s="338"/>
      <c r="LQC9" s="338"/>
      <c r="LQD9" s="338"/>
      <c r="LQE9" s="338"/>
      <c r="LQF9" s="338"/>
      <c r="LQG9" s="338"/>
      <c r="LQH9" s="338"/>
      <c r="LQI9" s="338"/>
      <c r="LQJ9" s="338"/>
      <c r="LQK9" s="338"/>
      <c r="LQL9" s="338"/>
      <c r="LQM9" s="338"/>
      <c r="LQN9" s="338"/>
      <c r="LQO9" s="338"/>
      <c r="LQP9" s="338"/>
      <c r="LQQ9" s="338"/>
      <c r="LQR9" s="338"/>
      <c r="LQS9" s="338"/>
      <c r="LQT9" s="338"/>
      <c r="LQU9" s="338"/>
      <c r="LQV9" s="338"/>
      <c r="LQW9" s="338"/>
      <c r="LQX9" s="338"/>
      <c r="LQY9" s="338"/>
      <c r="LQZ9" s="338"/>
      <c r="LRA9" s="338"/>
      <c r="LRB9" s="338"/>
      <c r="LRC9" s="338"/>
      <c r="LRD9" s="338"/>
      <c r="LRE9" s="338"/>
      <c r="LRF9" s="338"/>
      <c r="LRG9" s="338"/>
      <c r="LRH9" s="338"/>
      <c r="LRI9" s="338"/>
      <c r="LRJ9" s="338"/>
      <c r="LRK9" s="338"/>
      <c r="LRL9" s="338"/>
      <c r="LRM9" s="338"/>
      <c r="LRN9" s="338"/>
      <c r="LRO9" s="338"/>
      <c r="LRP9" s="338"/>
      <c r="LRQ9" s="338"/>
      <c r="LRR9" s="338"/>
      <c r="LRS9" s="338"/>
      <c r="LRT9" s="338"/>
      <c r="LRU9" s="338"/>
      <c r="LRV9" s="338"/>
      <c r="LRW9" s="338"/>
      <c r="LRX9" s="338"/>
      <c r="LRY9" s="338"/>
      <c r="LRZ9" s="338"/>
      <c r="LSA9" s="338"/>
      <c r="LSB9" s="338"/>
      <c r="LSC9" s="338"/>
      <c r="LSD9" s="338"/>
      <c r="LSE9" s="338"/>
      <c r="LSF9" s="338"/>
      <c r="LSG9" s="338"/>
      <c r="LSH9" s="338"/>
      <c r="LSI9" s="338"/>
      <c r="LSJ9" s="338"/>
      <c r="LSK9" s="338"/>
      <c r="LSL9" s="338"/>
      <c r="LSM9" s="338"/>
      <c r="LSN9" s="338"/>
      <c r="LSO9" s="338"/>
      <c r="LSP9" s="338"/>
      <c r="LSQ9" s="338"/>
      <c r="LSR9" s="338"/>
      <c r="LSS9" s="338"/>
      <c r="LST9" s="338"/>
      <c r="LSU9" s="338"/>
      <c r="LSV9" s="338"/>
      <c r="LSW9" s="338"/>
      <c r="LSX9" s="338"/>
      <c r="LSY9" s="338"/>
      <c r="LSZ9" s="338"/>
      <c r="LTA9" s="338"/>
      <c r="LTB9" s="338"/>
      <c r="LTC9" s="338"/>
      <c r="LTD9" s="338"/>
      <c r="LTE9" s="338"/>
      <c r="LTF9" s="338"/>
      <c r="LTG9" s="338"/>
      <c r="LTH9" s="338"/>
      <c r="LTI9" s="338"/>
      <c r="LTJ9" s="338"/>
      <c r="LTK9" s="338"/>
      <c r="LTL9" s="338"/>
      <c r="LTM9" s="338"/>
      <c r="LTN9" s="338"/>
      <c r="LTO9" s="338"/>
      <c r="LTP9" s="338"/>
      <c r="LTQ9" s="338"/>
      <c r="LTR9" s="338"/>
      <c r="LTS9" s="338"/>
      <c r="LTT9" s="338"/>
      <c r="LTU9" s="338"/>
      <c r="LTV9" s="338"/>
      <c r="LTW9" s="338"/>
      <c r="LTX9" s="338"/>
      <c r="LTY9" s="338"/>
      <c r="LTZ9" s="338"/>
      <c r="LUA9" s="338"/>
      <c r="LUB9" s="338"/>
      <c r="LUC9" s="338"/>
      <c r="LUD9" s="338"/>
      <c r="LUE9" s="338"/>
      <c r="LUF9" s="338"/>
      <c r="LUG9" s="338"/>
      <c r="LUH9" s="338"/>
      <c r="LUI9" s="338"/>
      <c r="LUJ9" s="338"/>
      <c r="LUK9" s="338"/>
      <c r="LUL9" s="338"/>
      <c r="LUM9" s="338"/>
      <c r="LUN9" s="338"/>
      <c r="LUO9" s="338"/>
      <c r="LUP9" s="338"/>
      <c r="LUQ9" s="338"/>
      <c r="LUR9" s="338"/>
      <c r="LUS9" s="338"/>
      <c r="LUT9" s="338"/>
      <c r="LUU9" s="338"/>
      <c r="LUV9" s="338"/>
      <c r="LUW9" s="338"/>
      <c r="LUX9" s="338"/>
      <c r="LUY9" s="338"/>
      <c r="LUZ9" s="338"/>
      <c r="LVA9" s="338"/>
      <c r="LVB9" s="338"/>
      <c r="LVC9" s="338"/>
      <c r="LVD9" s="338"/>
      <c r="LVE9" s="338"/>
      <c r="LVF9" s="338"/>
      <c r="LVG9" s="338"/>
      <c r="LVH9" s="338"/>
      <c r="LVI9" s="338"/>
      <c r="LVJ9" s="338"/>
      <c r="LVK9" s="338"/>
      <c r="LVL9" s="338"/>
      <c r="LVM9" s="338"/>
      <c r="LVN9" s="338"/>
      <c r="LVO9" s="338"/>
      <c r="LVP9" s="338"/>
      <c r="LVQ9" s="338"/>
      <c r="LVR9" s="338"/>
      <c r="LVS9" s="338"/>
      <c r="LVT9" s="338"/>
      <c r="LVU9" s="338"/>
      <c r="LVV9" s="338"/>
      <c r="LVW9" s="338"/>
      <c r="LVX9" s="338"/>
      <c r="LVY9" s="338"/>
      <c r="LVZ9" s="338"/>
      <c r="LWA9" s="338"/>
      <c r="LWB9" s="338"/>
      <c r="LWC9" s="338"/>
      <c r="LWD9" s="338"/>
      <c r="LWE9" s="338"/>
      <c r="LWF9" s="338"/>
      <c r="LWG9" s="338"/>
      <c r="LWH9" s="338"/>
      <c r="LWI9" s="338"/>
      <c r="LWJ9" s="338"/>
      <c r="LWK9" s="338"/>
      <c r="LWL9" s="338"/>
      <c r="LWM9" s="338"/>
      <c r="LWN9" s="338"/>
      <c r="LWO9" s="338"/>
      <c r="LWP9" s="338"/>
      <c r="LWQ9" s="338"/>
      <c r="LWR9" s="338"/>
      <c r="LWS9" s="338"/>
      <c r="LWT9" s="338"/>
      <c r="LWU9" s="338"/>
      <c r="LWV9" s="338"/>
      <c r="LWW9" s="338"/>
      <c r="LWX9" s="338"/>
      <c r="LWY9" s="338"/>
      <c r="LWZ9" s="338"/>
      <c r="LXA9" s="338"/>
      <c r="LXB9" s="338"/>
      <c r="LXC9" s="338"/>
      <c r="LXD9" s="338"/>
      <c r="LXE9" s="338"/>
      <c r="LXF9" s="338"/>
      <c r="LXG9" s="338"/>
      <c r="LXH9" s="338"/>
      <c r="LXI9" s="338"/>
      <c r="LXJ9" s="338"/>
      <c r="LXK9" s="338"/>
      <c r="LXL9" s="338"/>
      <c r="LXM9" s="338"/>
      <c r="LXN9" s="338"/>
      <c r="LXO9" s="338"/>
      <c r="LXP9" s="338"/>
      <c r="LXQ9" s="338"/>
      <c r="LXR9" s="338"/>
      <c r="LXS9" s="338"/>
      <c r="LXT9" s="338"/>
      <c r="LXU9" s="338"/>
      <c r="LXV9" s="338"/>
      <c r="LXW9" s="338"/>
      <c r="LXX9" s="338"/>
      <c r="LXY9" s="338"/>
      <c r="LXZ9" s="338"/>
      <c r="LYA9" s="338"/>
      <c r="LYB9" s="338"/>
      <c r="LYC9" s="338"/>
      <c r="LYD9" s="338"/>
      <c r="LYE9" s="338"/>
      <c r="LYF9" s="338"/>
      <c r="LYG9" s="338"/>
      <c r="LYH9" s="338"/>
      <c r="LYI9" s="338"/>
      <c r="LYJ9" s="338"/>
      <c r="LYK9" s="338"/>
      <c r="LYL9" s="338"/>
      <c r="LYM9" s="338"/>
      <c r="LYN9" s="338"/>
      <c r="LYO9" s="338"/>
      <c r="LYP9" s="338"/>
      <c r="LYQ9" s="338"/>
      <c r="LYR9" s="338"/>
      <c r="LYS9" s="338"/>
      <c r="LYT9" s="338"/>
      <c r="LYU9" s="338"/>
      <c r="LYV9" s="338"/>
      <c r="LYW9" s="338"/>
      <c r="LYX9" s="338"/>
      <c r="LYY9" s="338"/>
      <c r="LYZ9" s="338"/>
      <c r="LZA9" s="338"/>
      <c r="LZB9" s="338"/>
      <c r="LZC9" s="338"/>
      <c r="LZD9" s="338"/>
      <c r="LZE9" s="338"/>
      <c r="LZF9" s="338"/>
      <c r="LZG9" s="338"/>
      <c r="LZH9" s="338"/>
      <c r="LZI9" s="338"/>
      <c r="LZJ9" s="338"/>
      <c r="LZK9" s="338"/>
      <c r="LZL9" s="338"/>
      <c r="LZM9" s="338"/>
      <c r="LZN9" s="338"/>
      <c r="LZO9" s="338"/>
      <c r="LZP9" s="338"/>
      <c r="LZQ9" s="338"/>
      <c r="LZR9" s="338"/>
      <c r="LZS9" s="338"/>
      <c r="LZT9" s="338"/>
      <c r="LZU9" s="338"/>
      <c r="LZV9" s="338"/>
      <c r="LZW9" s="338"/>
      <c r="LZX9" s="338"/>
      <c r="LZY9" s="338"/>
      <c r="LZZ9" s="338"/>
      <c r="MAA9" s="338"/>
      <c r="MAB9" s="338"/>
      <c r="MAC9" s="338"/>
      <c r="MAD9" s="338"/>
      <c r="MAE9" s="338"/>
      <c r="MAF9" s="338"/>
      <c r="MAG9" s="338"/>
      <c r="MAH9" s="338"/>
      <c r="MAI9" s="338"/>
      <c r="MAJ9" s="338"/>
      <c r="MAK9" s="338"/>
      <c r="MAL9" s="338"/>
      <c r="MAM9" s="338"/>
      <c r="MAN9" s="338"/>
      <c r="MAO9" s="338"/>
      <c r="MAP9" s="338"/>
      <c r="MAQ9" s="338"/>
      <c r="MAR9" s="338"/>
      <c r="MAS9" s="338"/>
      <c r="MAT9" s="338"/>
      <c r="MAU9" s="338"/>
      <c r="MAV9" s="338"/>
      <c r="MAW9" s="338"/>
      <c r="MAX9" s="338"/>
      <c r="MAY9" s="338"/>
      <c r="MAZ9" s="338"/>
      <c r="MBA9" s="338"/>
      <c r="MBB9" s="338"/>
      <c r="MBC9" s="338"/>
      <c r="MBD9" s="338"/>
      <c r="MBE9" s="338"/>
      <c r="MBF9" s="338"/>
      <c r="MBG9" s="338"/>
      <c r="MBH9" s="338"/>
      <c r="MBI9" s="338"/>
      <c r="MBJ9" s="338"/>
      <c r="MBK9" s="338"/>
      <c r="MBL9" s="338"/>
      <c r="MBM9" s="338"/>
      <c r="MBN9" s="338"/>
      <c r="MBO9" s="338"/>
      <c r="MBP9" s="338"/>
      <c r="MBQ9" s="338"/>
      <c r="MBR9" s="338"/>
      <c r="MBS9" s="338"/>
      <c r="MBT9" s="338"/>
      <c r="MBU9" s="338"/>
      <c r="MBV9" s="338"/>
      <c r="MBW9" s="338"/>
      <c r="MBX9" s="338"/>
      <c r="MBY9" s="338"/>
      <c r="MBZ9" s="338"/>
      <c r="MCA9" s="338"/>
      <c r="MCB9" s="338"/>
      <c r="MCC9" s="338"/>
      <c r="MCD9" s="338"/>
      <c r="MCE9" s="338"/>
      <c r="MCF9" s="338"/>
      <c r="MCG9" s="338"/>
      <c r="MCH9" s="338"/>
      <c r="MCI9" s="338"/>
      <c r="MCJ9" s="338"/>
      <c r="MCK9" s="338"/>
      <c r="MCL9" s="338"/>
      <c r="MCM9" s="338"/>
      <c r="MCN9" s="338"/>
      <c r="MCO9" s="338"/>
      <c r="MCP9" s="338"/>
      <c r="MCQ9" s="338"/>
      <c r="MCR9" s="338"/>
      <c r="MCS9" s="338"/>
      <c r="MCT9" s="338"/>
      <c r="MCU9" s="338"/>
      <c r="MCV9" s="338"/>
      <c r="MCW9" s="338"/>
      <c r="MCX9" s="338"/>
      <c r="MCY9" s="338"/>
      <c r="MCZ9" s="338"/>
      <c r="MDA9" s="338"/>
      <c r="MDB9" s="338"/>
      <c r="MDC9" s="338"/>
      <c r="MDD9" s="338"/>
      <c r="MDE9" s="338"/>
      <c r="MDF9" s="338"/>
      <c r="MDG9" s="338"/>
      <c r="MDH9" s="338"/>
      <c r="MDI9" s="338"/>
      <c r="MDJ9" s="338"/>
      <c r="MDK9" s="338"/>
      <c r="MDL9" s="338"/>
      <c r="MDM9" s="338"/>
      <c r="MDN9" s="338"/>
      <c r="MDO9" s="338"/>
      <c r="MDP9" s="338"/>
      <c r="MDQ9" s="338"/>
      <c r="MDR9" s="338"/>
      <c r="MDS9" s="338"/>
      <c r="MDT9" s="338"/>
      <c r="MDU9" s="338"/>
      <c r="MDV9" s="338"/>
      <c r="MDW9" s="338"/>
      <c r="MDX9" s="338"/>
      <c r="MDY9" s="338"/>
      <c r="MDZ9" s="338"/>
      <c r="MEA9" s="338"/>
      <c r="MEB9" s="338"/>
      <c r="MEC9" s="338"/>
      <c r="MED9" s="338"/>
      <c r="MEE9" s="338"/>
      <c r="MEF9" s="338"/>
      <c r="MEG9" s="338"/>
      <c r="MEH9" s="338"/>
      <c r="MEI9" s="338"/>
      <c r="MEJ9" s="338"/>
      <c r="MEK9" s="338"/>
      <c r="MEL9" s="338"/>
      <c r="MEM9" s="338"/>
      <c r="MEN9" s="338"/>
      <c r="MEO9" s="338"/>
      <c r="MEP9" s="338"/>
      <c r="MEQ9" s="338"/>
      <c r="MER9" s="338"/>
      <c r="MES9" s="338"/>
      <c r="MET9" s="338"/>
      <c r="MEU9" s="338"/>
      <c r="MEV9" s="338"/>
      <c r="MEW9" s="338"/>
      <c r="MEX9" s="338"/>
      <c r="MEY9" s="338"/>
      <c r="MEZ9" s="338"/>
      <c r="MFA9" s="338"/>
      <c r="MFB9" s="338"/>
      <c r="MFC9" s="338"/>
      <c r="MFD9" s="338"/>
      <c r="MFE9" s="338"/>
      <c r="MFF9" s="338"/>
      <c r="MFG9" s="338"/>
      <c r="MFH9" s="338"/>
      <c r="MFI9" s="338"/>
      <c r="MFJ9" s="338"/>
      <c r="MFK9" s="338"/>
      <c r="MFL9" s="338"/>
      <c r="MFM9" s="338"/>
      <c r="MFN9" s="338"/>
      <c r="MFO9" s="338"/>
      <c r="MFP9" s="338"/>
      <c r="MFQ9" s="338"/>
      <c r="MFR9" s="338"/>
      <c r="MFS9" s="338"/>
      <c r="MFT9" s="338"/>
      <c r="MFU9" s="338"/>
      <c r="MFV9" s="338"/>
      <c r="MFW9" s="338"/>
      <c r="MFX9" s="338"/>
      <c r="MFY9" s="338"/>
      <c r="MFZ9" s="338"/>
      <c r="MGA9" s="338"/>
      <c r="MGB9" s="338"/>
      <c r="MGC9" s="338"/>
      <c r="MGD9" s="338"/>
      <c r="MGE9" s="338"/>
      <c r="MGF9" s="338"/>
      <c r="MGG9" s="338"/>
      <c r="MGH9" s="338"/>
      <c r="MGI9" s="338"/>
      <c r="MGJ9" s="338"/>
      <c r="MGK9" s="338"/>
      <c r="MGL9" s="338"/>
      <c r="MGM9" s="338"/>
      <c r="MGN9" s="338"/>
      <c r="MGO9" s="338"/>
      <c r="MGP9" s="338"/>
      <c r="MGQ9" s="338"/>
      <c r="MGR9" s="338"/>
      <c r="MGS9" s="338"/>
      <c r="MGT9" s="338"/>
      <c r="MGU9" s="338"/>
      <c r="MGV9" s="338"/>
      <c r="MGW9" s="338"/>
      <c r="MGX9" s="338"/>
      <c r="MGY9" s="338"/>
      <c r="MGZ9" s="338"/>
      <c r="MHA9" s="338"/>
      <c r="MHB9" s="338"/>
      <c r="MHC9" s="338"/>
      <c r="MHD9" s="338"/>
      <c r="MHE9" s="338"/>
      <c r="MHF9" s="338"/>
      <c r="MHG9" s="338"/>
      <c r="MHH9" s="338"/>
      <c r="MHI9" s="338"/>
      <c r="MHJ9" s="338"/>
      <c r="MHK9" s="338"/>
      <c r="MHL9" s="338"/>
      <c r="MHM9" s="338"/>
      <c r="MHN9" s="338"/>
      <c r="MHO9" s="338"/>
      <c r="MHP9" s="338"/>
      <c r="MHQ9" s="338"/>
      <c r="MHR9" s="338"/>
      <c r="MHS9" s="338"/>
      <c r="MHT9" s="338"/>
      <c r="MHU9" s="338"/>
      <c r="MHV9" s="338"/>
      <c r="MHW9" s="338"/>
      <c r="MHX9" s="338"/>
      <c r="MHY9" s="338"/>
      <c r="MHZ9" s="338"/>
      <c r="MIA9" s="338"/>
      <c r="MIB9" s="338"/>
      <c r="MIC9" s="338"/>
      <c r="MID9" s="338"/>
      <c r="MIE9" s="338"/>
      <c r="MIF9" s="338"/>
      <c r="MIG9" s="338"/>
      <c r="MIH9" s="338"/>
      <c r="MII9" s="338"/>
      <c r="MIJ9" s="338"/>
      <c r="MIK9" s="338"/>
      <c r="MIL9" s="338"/>
      <c r="MIM9" s="338"/>
      <c r="MIN9" s="338"/>
      <c r="MIO9" s="338"/>
      <c r="MIP9" s="338"/>
      <c r="MIQ9" s="338"/>
      <c r="MIR9" s="338"/>
      <c r="MIS9" s="338"/>
      <c r="MIT9" s="338"/>
      <c r="MIU9" s="338"/>
      <c r="MIV9" s="338"/>
      <c r="MIW9" s="338"/>
      <c r="MIX9" s="338"/>
      <c r="MIY9" s="338"/>
      <c r="MIZ9" s="338"/>
      <c r="MJA9" s="338"/>
      <c r="MJB9" s="338"/>
      <c r="MJC9" s="338"/>
      <c r="MJD9" s="338"/>
      <c r="MJE9" s="338"/>
      <c r="MJF9" s="338"/>
      <c r="MJG9" s="338"/>
      <c r="MJH9" s="338"/>
      <c r="MJI9" s="338"/>
      <c r="MJJ9" s="338"/>
      <c r="MJK9" s="338"/>
      <c r="MJL9" s="338"/>
      <c r="MJM9" s="338"/>
      <c r="MJN9" s="338"/>
      <c r="MJO9" s="338"/>
      <c r="MJP9" s="338"/>
      <c r="MJQ9" s="338"/>
      <c r="MJR9" s="338"/>
      <c r="MJS9" s="338"/>
      <c r="MJT9" s="338"/>
      <c r="MJU9" s="338"/>
      <c r="MJV9" s="338"/>
      <c r="MJW9" s="338"/>
      <c r="MJX9" s="338"/>
      <c r="MJY9" s="338"/>
      <c r="MJZ9" s="338"/>
      <c r="MKA9" s="338"/>
      <c r="MKB9" s="338"/>
      <c r="MKC9" s="338"/>
      <c r="MKD9" s="338"/>
      <c r="MKE9" s="338"/>
      <c r="MKF9" s="338"/>
      <c r="MKG9" s="338"/>
      <c r="MKH9" s="338"/>
      <c r="MKI9" s="338"/>
      <c r="MKJ9" s="338"/>
      <c r="MKK9" s="338"/>
      <c r="MKL9" s="338"/>
      <c r="MKM9" s="338"/>
      <c r="MKN9" s="338"/>
      <c r="MKO9" s="338"/>
      <c r="MKP9" s="338"/>
      <c r="MKQ9" s="338"/>
      <c r="MKR9" s="338"/>
      <c r="MKS9" s="338"/>
      <c r="MKT9" s="338"/>
      <c r="MKU9" s="338"/>
      <c r="MKV9" s="338"/>
      <c r="MKW9" s="338"/>
      <c r="MKX9" s="338"/>
      <c r="MKY9" s="338"/>
      <c r="MKZ9" s="338"/>
      <c r="MLA9" s="338"/>
      <c r="MLB9" s="338"/>
      <c r="MLC9" s="338"/>
      <c r="MLD9" s="338"/>
      <c r="MLE9" s="338"/>
      <c r="MLF9" s="338"/>
      <c r="MLG9" s="338"/>
      <c r="MLH9" s="338"/>
      <c r="MLI9" s="338"/>
      <c r="MLJ9" s="338"/>
      <c r="MLK9" s="338"/>
      <c r="MLL9" s="338"/>
      <c r="MLM9" s="338"/>
      <c r="MLN9" s="338"/>
      <c r="MLO9" s="338"/>
      <c r="MLP9" s="338"/>
      <c r="MLQ9" s="338"/>
      <c r="MLR9" s="338"/>
      <c r="MLS9" s="338"/>
      <c r="MLT9" s="338"/>
      <c r="MLU9" s="338"/>
      <c r="MLV9" s="338"/>
      <c r="MLW9" s="338"/>
      <c r="MLX9" s="338"/>
      <c r="MLY9" s="338"/>
      <c r="MLZ9" s="338"/>
      <c r="MMA9" s="338"/>
      <c r="MMB9" s="338"/>
      <c r="MMC9" s="338"/>
      <c r="MMD9" s="338"/>
      <c r="MME9" s="338"/>
      <c r="MMF9" s="338"/>
      <c r="MMG9" s="338"/>
      <c r="MMH9" s="338"/>
      <c r="MMI9" s="338"/>
      <c r="MMJ9" s="338"/>
      <c r="MMK9" s="338"/>
      <c r="MML9" s="338"/>
      <c r="MMM9" s="338"/>
      <c r="MMN9" s="338"/>
      <c r="MMO9" s="338"/>
      <c r="MMP9" s="338"/>
      <c r="MMQ9" s="338"/>
      <c r="MMR9" s="338"/>
      <c r="MMS9" s="338"/>
      <c r="MMT9" s="338"/>
      <c r="MMU9" s="338"/>
      <c r="MMV9" s="338"/>
      <c r="MMW9" s="338"/>
      <c r="MMX9" s="338"/>
      <c r="MMY9" s="338"/>
      <c r="MMZ9" s="338"/>
      <c r="MNA9" s="338"/>
      <c r="MNB9" s="338"/>
      <c r="MNC9" s="338"/>
      <c r="MND9" s="338"/>
      <c r="MNE9" s="338"/>
      <c r="MNF9" s="338"/>
      <c r="MNG9" s="338"/>
      <c r="MNH9" s="338"/>
      <c r="MNI9" s="338"/>
      <c r="MNJ9" s="338"/>
      <c r="MNK9" s="338"/>
      <c r="MNL9" s="338"/>
      <c r="MNM9" s="338"/>
      <c r="MNN9" s="338"/>
      <c r="MNO9" s="338"/>
      <c r="MNP9" s="338"/>
      <c r="MNQ9" s="338"/>
      <c r="MNR9" s="338"/>
      <c r="MNS9" s="338"/>
      <c r="MNT9" s="338"/>
      <c r="MNU9" s="338"/>
      <c r="MNV9" s="338"/>
      <c r="MNW9" s="338"/>
      <c r="MNX9" s="338"/>
      <c r="MNY9" s="338"/>
      <c r="MNZ9" s="338"/>
      <c r="MOA9" s="338"/>
      <c r="MOB9" s="338"/>
      <c r="MOC9" s="338"/>
      <c r="MOD9" s="338"/>
      <c r="MOE9" s="338"/>
      <c r="MOF9" s="338"/>
      <c r="MOG9" s="338"/>
      <c r="MOH9" s="338"/>
      <c r="MOI9" s="338"/>
      <c r="MOJ9" s="338"/>
      <c r="MOK9" s="338"/>
      <c r="MOL9" s="338"/>
      <c r="MOM9" s="338"/>
      <c r="MON9" s="338"/>
      <c r="MOO9" s="338"/>
      <c r="MOP9" s="338"/>
      <c r="MOQ9" s="338"/>
      <c r="MOR9" s="338"/>
      <c r="MOS9" s="338"/>
      <c r="MOT9" s="338"/>
      <c r="MOU9" s="338"/>
      <c r="MOV9" s="338"/>
      <c r="MOW9" s="338"/>
      <c r="MOX9" s="338"/>
      <c r="MOY9" s="338"/>
      <c r="MOZ9" s="338"/>
      <c r="MPA9" s="338"/>
      <c r="MPB9" s="338"/>
      <c r="MPC9" s="338"/>
      <c r="MPD9" s="338"/>
      <c r="MPE9" s="338"/>
      <c r="MPF9" s="338"/>
      <c r="MPG9" s="338"/>
      <c r="MPH9" s="338"/>
      <c r="MPI9" s="338"/>
      <c r="MPJ9" s="338"/>
      <c r="MPK9" s="338"/>
      <c r="MPL9" s="338"/>
      <c r="MPM9" s="338"/>
      <c r="MPN9" s="338"/>
      <c r="MPO9" s="338"/>
      <c r="MPP9" s="338"/>
      <c r="MPQ9" s="338"/>
      <c r="MPR9" s="338"/>
      <c r="MPS9" s="338"/>
      <c r="MPT9" s="338"/>
      <c r="MPU9" s="338"/>
      <c r="MPV9" s="338"/>
      <c r="MPW9" s="338"/>
      <c r="MPX9" s="338"/>
      <c r="MPY9" s="338"/>
      <c r="MPZ9" s="338"/>
      <c r="MQA9" s="338"/>
      <c r="MQB9" s="338"/>
      <c r="MQC9" s="338"/>
      <c r="MQD9" s="338"/>
      <c r="MQE9" s="338"/>
      <c r="MQF9" s="338"/>
      <c r="MQG9" s="338"/>
      <c r="MQH9" s="338"/>
      <c r="MQI9" s="338"/>
      <c r="MQJ9" s="338"/>
      <c r="MQK9" s="338"/>
      <c r="MQL9" s="338"/>
      <c r="MQM9" s="338"/>
      <c r="MQN9" s="338"/>
      <c r="MQO9" s="338"/>
      <c r="MQP9" s="338"/>
      <c r="MQQ9" s="338"/>
      <c r="MQR9" s="338"/>
      <c r="MQS9" s="338"/>
      <c r="MQT9" s="338"/>
      <c r="MQU9" s="338"/>
      <c r="MQV9" s="338"/>
      <c r="MQW9" s="338"/>
      <c r="MQX9" s="338"/>
      <c r="MQY9" s="338"/>
      <c r="MQZ9" s="338"/>
      <c r="MRA9" s="338"/>
      <c r="MRB9" s="338"/>
      <c r="MRC9" s="338"/>
      <c r="MRD9" s="338"/>
      <c r="MRE9" s="338"/>
      <c r="MRF9" s="338"/>
      <c r="MRG9" s="338"/>
      <c r="MRH9" s="338"/>
      <c r="MRI9" s="338"/>
      <c r="MRJ9" s="338"/>
      <c r="MRK9" s="338"/>
      <c r="MRL9" s="338"/>
      <c r="MRM9" s="338"/>
      <c r="MRN9" s="338"/>
      <c r="MRO9" s="338"/>
      <c r="MRP9" s="338"/>
      <c r="MRQ9" s="338"/>
      <c r="MRR9" s="338"/>
      <c r="MRS9" s="338"/>
      <c r="MRT9" s="338"/>
      <c r="MRU9" s="338"/>
      <c r="MRV9" s="338"/>
      <c r="MRW9" s="338"/>
      <c r="MRX9" s="338"/>
      <c r="MRY9" s="338"/>
      <c r="MRZ9" s="338"/>
      <c r="MSA9" s="338"/>
      <c r="MSB9" s="338"/>
      <c r="MSC9" s="338"/>
      <c r="MSD9" s="338"/>
      <c r="MSE9" s="338"/>
      <c r="MSF9" s="338"/>
      <c r="MSG9" s="338"/>
      <c r="MSH9" s="338"/>
      <c r="MSI9" s="338"/>
      <c r="MSJ9" s="338"/>
      <c r="MSK9" s="338"/>
      <c r="MSL9" s="338"/>
      <c r="MSM9" s="338"/>
      <c r="MSN9" s="338"/>
      <c r="MSO9" s="338"/>
      <c r="MSP9" s="338"/>
      <c r="MSQ9" s="338"/>
      <c r="MSR9" s="338"/>
      <c r="MSS9" s="338"/>
      <c r="MST9" s="338"/>
      <c r="MSU9" s="338"/>
      <c r="MSV9" s="338"/>
      <c r="MSW9" s="338"/>
      <c r="MSX9" s="338"/>
      <c r="MSY9" s="338"/>
      <c r="MSZ9" s="338"/>
      <c r="MTA9" s="338"/>
      <c r="MTB9" s="338"/>
      <c r="MTC9" s="338"/>
      <c r="MTD9" s="338"/>
      <c r="MTE9" s="338"/>
      <c r="MTF9" s="338"/>
      <c r="MTG9" s="338"/>
      <c r="MTH9" s="338"/>
      <c r="MTI9" s="338"/>
      <c r="MTJ9" s="338"/>
      <c r="MTK9" s="338"/>
      <c r="MTL9" s="338"/>
      <c r="MTM9" s="338"/>
      <c r="MTN9" s="338"/>
      <c r="MTO9" s="338"/>
      <c r="MTP9" s="338"/>
      <c r="MTQ9" s="338"/>
      <c r="MTR9" s="338"/>
      <c r="MTS9" s="338"/>
      <c r="MTT9" s="338"/>
      <c r="MTU9" s="338"/>
      <c r="MTV9" s="338"/>
      <c r="MTW9" s="338"/>
      <c r="MTX9" s="338"/>
      <c r="MTY9" s="338"/>
      <c r="MTZ9" s="338"/>
      <c r="MUA9" s="338"/>
      <c r="MUB9" s="338"/>
      <c r="MUC9" s="338"/>
      <c r="MUD9" s="338"/>
      <c r="MUE9" s="338"/>
      <c r="MUF9" s="338"/>
      <c r="MUG9" s="338"/>
      <c r="MUH9" s="338"/>
      <c r="MUI9" s="338"/>
      <c r="MUJ9" s="338"/>
      <c r="MUK9" s="338"/>
      <c r="MUL9" s="338"/>
      <c r="MUM9" s="338"/>
      <c r="MUN9" s="338"/>
      <c r="MUO9" s="338"/>
      <c r="MUP9" s="338"/>
      <c r="MUQ9" s="338"/>
      <c r="MUR9" s="338"/>
      <c r="MUS9" s="338"/>
      <c r="MUT9" s="338"/>
      <c r="MUU9" s="338"/>
      <c r="MUV9" s="338"/>
      <c r="MUW9" s="338"/>
      <c r="MUX9" s="338"/>
      <c r="MUY9" s="338"/>
      <c r="MUZ9" s="338"/>
      <c r="MVA9" s="338"/>
      <c r="MVB9" s="338"/>
      <c r="MVC9" s="338"/>
      <c r="MVD9" s="338"/>
      <c r="MVE9" s="338"/>
      <c r="MVF9" s="338"/>
      <c r="MVG9" s="338"/>
      <c r="MVH9" s="338"/>
      <c r="MVI9" s="338"/>
      <c r="MVJ9" s="338"/>
      <c r="MVK9" s="338"/>
      <c r="MVL9" s="338"/>
      <c r="MVM9" s="338"/>
      <c r="MVN9" s="338"/>
      <c r="MVO9" s="338"/>
      <c r="MVP9" s="338"/>
      <c r="MVQ9" s="338"/>
      <c r="MVR9" s="338"/>
      <c r="MVS9" s="338"/>
      <c r="MVT9" s="338"/>
      <c r="MVU9" s="338"/>
      <c r="MVV9" s="338"/>
      <c r="MVW9" s="338"/>
      <c r="MVX9" s="338"/>
      <c r="MVY9" s="338"/>
      <c r="MVZ9" s="338"/>
      <c r="MWA9" s="338"/>
      <c r="MWB9" s="338"/>
      <c r="MWC9" s="338"/>
      <c r="MWD9" s="338"/>
      <c r="MWE9" s="338"/>
      <c r="MWF9" s="338"/>
      <c r="MWG9" s="338"/>
      <c r="MWH9" s="338"/>
      <c r="MWI9" s="338"/>
      <c r="MWJ9" s="338"/>
      <c r="MWK9" s="338"/>
      <c r="MWL9" s="338"/>
      <c r="MWM9" s="338"/>
      <c r="MWN9" s="338"/>
      <c r="MWO9" s="338"/>
      <c r="MWP9" s="338"/>
      <c r="MWQ9" s="338"/>
      <c r="MWR9" s="338"/>
      <c r="MWS9" s="338"/>
      <c r="MWT9" s="338"/>
      <c r="MWU9" s="338"/>
      <c r="MWV9" s="338"/>
      <c r="MWW9" s="338"/>
      <c r="MWX9" s="338"/>
      <c r="MWY9" s="338"/>
      <c r="MWZ9" s="338"/>
      <c r="MXA9" s="338"/>
      <c r="MXB9" s="338"/>
      <c r="MXC9" s="338"/>
      <c r="MXD9" s="338"/>
      <c r="MXE9" s="338"/>
      <c r="MXF9" s="338"/>
      <c r="MXG9" s="338"/>
      <c r="MXH9" s="338"/>
      <c r="MXI9" s="338"/>
      <c r="MXJ9" s="338"/>
      <c r="MXK9" s="338"/>
      <c r="MXL9" s="338"/>
      <c r="MXM9" s="338"/>
      <c r="MXN9" s="338"/>
      <c r="MXO9" s="338"/>
      <c r="MXP9" s="338"/>
      <c r="MXQ9" s="338"/>
      <c r="MXR9" s="338"/>
      <c r="MXS9" s="338"/>
      <c r="MXT9" s="338"/>
      <c r="MXU9" s="338"/>
      <c r="MXV9" s="338"/>
      <c r="MXW9" s="338"/>
      <c r="MXX9" s="338"/>
      <c r="MXY9" s="338"/>
      <c r="MXZ9" s="338"/>
      <c r="MYA9" s="338"/>
      <c r="MYB9" s="338"/>
      <c r="MYC9" s="338"/>
      <c r="MYD9" s="338"/>
      <c r="MYE9" s="338"/>
      <c r="MYF9" s="338"/>
      <c r="MYG9" s="338"/>
      <c r="MYH9" s="338"/>
      <c r="MYI9" s="338"/>
      <c r="MYJ9" s="338"/>
      <c r="MYK9" s="338"/>
      <c r="MYL9" s="338"/>
      <c r="MYM9" s="338"/>
      <c r="MYN9" s="338"/>
      <c r="MYO9" s="338"/>
      <c r="MYP9" s="338"/>
      <c r="MYQ9" s="338"/>
      <c r="MYR9" s="338"/>
      <c r="MYS9" s="338"/>
      <c r="MYT9" s="338"/>
      <c r="MYU9" s="338"/>
      <c r="MYV9" s="338"/>
      <c r="MYW9" s="338"/>
      <c r="MYX9" s="338"/>
      <c r="MYY9" s="338"/>
      <c r="MYZ9" s="338"/>
      <c r="MZA9" s="338"/>
      <c r="MZB9" s="338"/>
      <c r="MZC9" s="338"/>
      <c r="MZD9" s="338"/>
      <c r="MZE9" s="338"/>
      <c r="MZF9" s="338"/>
      <c r="MZG9" s="338"/>
      <c r="MZH9" s="338"/>
      <c r="MZI9" s="338"/>
      <c r="MZJ9" s="338"/>
      <c r="MZK9" s="338"/>
      <c r="MZL9" s="338"/>
      <c r="MZM9" s="338"/>
      <c r="MZN9" s="338"/>
      <c r="MZO9" s="338"/>
      <c r="MZP9" s="338"/>
      <c r="MZQ9" s="338"/>
      <c r="MZR9" s="338"/>
      <c r="MZS9" s="338"/>
      <c r="MZT9" s="338"/>
      <c r="MZU9" s="338"/>
      <c r="MZV9" s="338"/>
      <c r="MZW9" s="338"/>
      <c r="MZX9" s="338"/>
      <c r="MZY9" s="338"/>
      <c r="MZZ9" s="338"/>
      <c r="NAA9" s="338"/>
      <c r="NAB9" s="338"/>
      <c r="NAC9" s="338"/>
      <c r="NAD9" s="338"/>
      <c r="NAE9" s="338"/>
      <c r="NAF9" s="338"/>
      <c r="NAG9" s="338"/>
      <c r="NAH9" s="338"/>
      <c r="NAI9" s="338"/>
      <c r="NAJ9" s="338"/>
      <c r="NAK9" s="338"/>
      <c r="NAL9" s="338"/>
      <c r="NAM9" s="338"/>
      <c r="NAN9" s="338"/>
      <c r="NAO9" s="338"/>
      <c r="NAP9" s="338"/>
      <c r="NAQ9" s="338"/>
      <c r="NAR9" s="338"/>
      <c r="NAS9" s="338"/>
      <c r="NAT9" s="338"/>
      <c r="NAU9" s="338"/>
      <c r="NAV9" s="338"/>
      <c r="NAW9" s="338"/>
      <c r="NAX9" s="338"/>
      <c r="NAY9" s="338"/>
      <c r="NAZ9" s="338"/>
      <c r="NBA9" s="338"/>
      <c r="NBB9" s="338"/>
      <c r="NBC9" s="338"/>
      <c r="NBD9" s="338"/>
      <c r="NBE9" s="338"/>
      <c r="NBF9" s="338"/>
      <c r="NBG9" s="338"/>
      <c r="NBH9" s="338"/>
      <c r="NBI9" s="338"/>
      <c r="NBJ9" s="338"/>
      <c r="NBK9" s="338"/>
      <c r="NBL9" s="338"/>
      <c r="NBM9" s="338"/>
      <c r="NBN9" s="338"/>
      <c r="NBO9" s="338"/>
      <c r="NBP9" s="338"/>
      <c r="NBQ9" s="338"/>
      <c r="NBR9" s="338"/>
      <c r="NBS9" s="338"/>
      <c r="NBT9" s="338"/>
      <c r="NBU9" s="338"/>
      <c r="NBV9" s="338"/>
      <c r="NBW9" s="338"/>
      <c r="NBX9" s="338"/>
      <c r="NBY9" s="338"/>
      <c r="NBZ9" s="338"/>
      <c r="NCA9" s="338"/>
      <c r="NCB9" s="338"/>
      <c r="NCC9" s="338"/>
      <c r="NCD9" s="338"/>
      <c r="NCE9" s="338"/>
      <c r="NCF9" s="338"/>
      <c r="NCG9" s="338"/>
      <c r="NCH9" s="338"/>
      <c r="NCI9" s="338"/>
      <c r="NCJ9" s="338"/>
      <c r="NCK9" s="338"/>
      <c r="NCL9" s="338"/>
      <c r="NCM9" s="338"/>
      <c r="NCN9" s="338"/>
      <c r="NCO9" s="338"/>
      <c r="NCP9" s="338"/>
      <c r="NCQ9" s="338"/>
      <c r="NCR9" s="338"/>
      <c r="NCS9" s="338"/>
      <c r="NCT9" s="338"/>
      <c r="NCU9" s="338"/>
      <c r="NCV9" s="338"/>
      <c r="NCW9" s="338"/>
      <c r="NCX9" s="338"/>
      <c r="NCY9" s="338"/>
      <c r="NCZ9" s="338"/>
      <c r="NDA9" s="338"/>
      <c r="NDB9" s="338"/>
      <c r="NDC9" s="338"/>
      <c r="NDD9" s="338"/>
      <c r="NDE9" s="338"/>
      <c r="NDF9" s="338"/>
      <c r="NDG9" s="338"/>
      <c r="NDH9" s="338"/>
      <c r="NDI9" s="338"/>
      <c r="NDJ9" s="338"/>
      <c r="NDK9" s="338"/>
      <c r="NDL9" s="338"/>
      <c r="NDM9" s="338"/>
      <c r="NDN9" s="338"/>
      <c r="NDO9" s="338"/>
      <c r="NDP9" s="338"/>
      <c r="NDQ9" s="338"/>
      <c r="NDR9" s="338"/>
      <c r="NDS9" s="338"/>
      <c r="NDT9" s="338"/>
      <c r="NDU9" s="338"/>
      <c r="NDV9" s="338"/>
      <c r="NDW9" s="338"/>
      <c r="NDX9" s="338"/>
      <c r="NDY9" s="338"/>
      <c r="NDZ9" s="338"/>
      <c r="NEA9" s="338"/>
      <c r="NEB9" s="338"/>
      <c r="NEC9" s="338"/>
      <c r="NED9" s="338"/>
      <c r="NEE9" s="338"/>
      <c r="NEF9" s="338"/>
      <c r="NEG9" s="338"/>
      <c r="NEH9" s="338"/>
      <c r="NEI9" s="338"/>
      <c r="NEJ9" s="338"/>
      <c r="NEK9" s="338"/>
      <c r="NEL9" s="338"/>
      <c r="NEM9" s="338"/>
      <c r="NEN9" s="338"/>
      <c r="NEO9" s="338"/>
      <c r="NEP9" s="338"/>
      <c r="NEQ9" s="338"/>
      <c r="NER9" s="338"/>
      <c r="NES9" s="338"/>
      <c r="NET9" s="338"/>
      <c r="NEU9" s="338"/>
      <c r="NEV9" s="338"/>
      <c r="NEW9" s="338"/>
      <c r="NEX9" s="338"/>
      <c r="NEY9" s="338"/>
      <c r="NEZ9" s="338"/>
      <c r="NFA9" s="338"/>
      <c r="NFB9" s="338"/>
      <c r="NFC9" s="338"/>
      <c r="NFD9" s="338"/>
      <c r="NFE9" s="338"/>
      <c r="NFF9" s="338"/>
      <c r="NFG9" s="338"/>
      <c r="NFH9" s="338"/>
      <c r="NFI9" s="338"/>
      <c r="NFJ9" s="338"/>
      <c r="NFK9" s="338"/>
      <c r="NFL9" s="338"/>
      <c r="NFM9" s="338"/>
      <c r="NFN9" s="338"/>
      <c r="NFO9" s="338"/>
      <c r="NFP9" s="338"/>
      <c r="NFQ9" s="338"/>
      <c r="NFR9" s="338"/>
      <c r="NFS9" s="338"/>
      <c r="NFT9" s="338"/>
      <c r="NFU9" s="338"/>
      <c r="NFV9" s="338"/>
      <c r="NFW9" s="338"/>
      <c r="NFX9" s="338"/>
      <c r="NFY9" s="338"/>
      <c r="NFZ9" s="338"/>
      <c r="NGA9" s="338"/>
      <c r="NGB9" s="338"/>
      <c r="NGC9" s="338"/>
      <c r="NGD9" s="338"/>
      <c r="NGE9" s="338"/>
      <c r="NGF9" s="338"/>
      <c r="NGG9" s="338"/>
      <c r="NGH9" s="338"/>
      <c r="NGI9" s="338"/>
      <c r="NGJ9" s="338"/>
      <c r="NGK9" s="338"/>
      <c r="NGL9" s="338"/>
      <c r="NGM9" s="338"/>
      <c r="NGN9" s="338"/>
      <c r="NGO9" s="338"/>
      <c r="NGP9" s="338"/>
      <c r="NGQ9" s="338"/>
      <c r="NGR9" s="338"/>
      <c r="NGS9" s="338"/>
      <c r="NGT9" s="338"/>
      <c r="NGU9" s="338"/>
      <c r="NGV9" s="338"/>
      <c r="NGW9" s="338"/>
      <c r="NGX9" s="338"/>
      <c r="NGY9" s="338"/>
      <c r="NGZ9" s="338"/>
      <c r="NHA9" s="338"/>
      <c r="NHB9" s="338"/>
      <c r="NHC9" s="338"/>
      <c r="NHD9" s="338"/>
      <c r="NHE9" s="338"/>
      <c r="NHF9" s="338"/>
      <c r="NHG9" s="338"/>
      <c r="NHH9" s="338"/>
      <c r="NHI9" s="338"/>
      <c r="NHJ9" s="338"/>
      <c r="NHK9" s="338"/>
      <c r="NHL9" s="338"/>
      <c r="NHM9" s="338"/>
      <c r="NHN9" s="338"/>
      <c r="NHO9" s="338"/>
      <c r="NHP9" s="338"/>
      <c r="NHQ9" s="338"/>
      <c r="NHR9" s="338"/>
      <c r="NHS9" s="338"/>
      <c r="NHT9" s="338"/>
      <c r="NHU9" s="338"/>
      <c r="NHV9" s="338"/>
      <c r="NHW9" s="338"/>
      <c r="NHX9" s="338"/>
      <c r="NHY9" s="338"/>
      <c r="NHZ9" s="338"/>
      <c r="NIA9" s="338"/>
      <c r="NIB9" s="338"/>
      <c r="NIC9" s="338"/>
      <c r="NID9" s="338"/>
      <c r="NIE9" s="338"/>
      <c r="NIF9" s="338"/>
      <c r="NIG9" s="338"/>
      <c r="NIH9" s="338"/>
      <c r="NII9" s="338"/>
      <c r="NIJ9" s="338"/>
      <c r="NIK9" s="338"/>
      <c r="NIL9" s="338"/>
      <c r="NIM9" s="338"/>
      <c r="NIN9" s="338"/>
      <c r="NIO9" s="338"/>
      <c r="NIP9" s="338"/>
      <c r="NIQ9" s="338"/>
      <c r="NIR9" s="338"/>
      <c r="NIS9" s="338"/>
      <c r="NIT9" s="338"/>
      <c r="NIU9" s="338"/>
      <c r="NIV9" s="338"/>
      <c r="NIW9" s="338"/>
      <c r="NIX9" s="338"/>
      <c r="NIY9" s="338"/>
      <c r="NIZ9" s="338"/>
      <c r="NJA9" s="338"/>
      <c r="NJB9" s="338"/>
      <c r="NJC9" s="338"/>
      <c r="NJD9" s="338"/>
      <c r="NJE9" s="338"/>
      <c r="NJF9" s="338"/>
      <c r="NJG9" s="338"/>
      <c r="NJH9" s="338"/>
      <c r="NJI9" s="338"/>
      <c r="NJJ9" s="338"/>
      <c r="NJK9" s="338"/>
      <c r="NJL9" s="338"/>
      <c r="NJM9" s="338"/>
      <c r="NJN9" s="338"/>
      <c r="NJO9" s="338"/>
      <c r="NJP9" s="338"/>
      <c r="NJQ9" s="338"/>
      <c r="NJR9" s="338"/>
      <c r="NJS9" s="338"/>
      <c r="NJT9" s="338"/>
      <c r="NJU9" s="338"/>
      <c r="NJV9" s="338"/>
      <c r="NJW9" s="338"/>
      <c r="NJX9" s="338"/>
      <c r="NJY9" s="338"/>
      <c r="NJZ9" s="338"/>
      <c r="NKA9" s="338"/>
      <c r="NKB9" s="338"/>
      <c r="NKC9" s="338"/>
      <c r="NKD9" s="338"/>
      <c r="NKE9" s="338"/>
      <c r="NKF9" s="338"/>
      <c r="NKG9" s="338"/>
      <c r="NKH9" s="338"/>
      <c r="NKI9" s="338"/>
      <c r="NKJ9" s="338"/>
      <c r="NKK9" s="338"/>
      <c r="NKL9" s="338"/>
      <c r="NKM9" s="338"/>
      <c r="NKN9" s="338"/>
      <c r="NKO9" s="338"/>
      <c r="NKP9" s="338"/>
      <c r="NKQ9" s="338"/>
      <c r="NKR9" s="338"/>
      <c r="NKS9" s="338"/>
      <c r="NKT9" s="338"/>
      <c r="NKU9" s="338"/>
      <c r="NKV9" s="338"/>
      <c r="NKW9" s="338"/>
      <c r="NKX9" s="338"/>
      <c r="NKY9" s="338"/>
      <c r="NKZ9" s="338"/>
      <c r="NLA9" s="338"/>
      <c r="NLB9" s="338"/>
      <c r="NLC9" s="338"/>
      <c r="NLD9" s="338"/>
      <c r="NLE9" s="338"/>
      <c r="NLF9" s="338"/>
      <c r="NLG9" s="338"/>
      <c r="NLH9" s="338"/>
      <c r="NLI9" s="338"/>
      <c r="NLJ9" s="338"/>
      <c r="NLK9" s="338"/>
      <c r="NLL9" s="338"/>
      <c r="NLM9" s="338"/>
      <c r="NLN9" s="338"/>
      <c r="NLO9" s="338"/>
      <c r="NLP9" s="338"/>
      <c r="NLQ9" s="338"/>
      <c r="NLR9" s="338"/>
      <c r="NLS9" s="338"/>
      <c r="NLT9" s="338"/>
      <c r="NLU9" s="338"/>
      <c r="NLV9" s="338"/>
      <c r="NLW9" s="338"/>
      <c r="NLX9" s="338"/>
      <c r="NLY9" s="338"/>
      <c r="NLZ9" s="338"/>
      <c r="NMA9" s="338"/>
      <c r="NMB9" s="338"/>
      <c r="NMC9" s="338"/>
      <c r="NMD9" s="338"/>
      <c r="NME9" s="338"/>
      <c r="NMF9" s="338"/>
      <c r="NMG9" s="338"/>
      <c r="NMH9" s="338"/>
      <c r="NMI9" s="338"/>
      <c r="NMJ9" s="338"/>
      <c r="NMK9" s="338"/>
      <c r="NML9" s="338"/>
      <c r="NMM9" s="338"/>
      <c r="NMN9" s="338"/>
      <c r="NMO9" s="338"/>
      <c r="NMP9" s="338"/>
      <c r="NMQ9" s="338"/>
      <c r="NMR9" s="338"/>
      <c r="NMS9" s="338"/>
      <c r="NMT9" s="338"/>
      <c r="NMU9" s="338"/>
      <c r="NMV9" s="338"/>
      <c r="NMW9" s="338"/>
      <c r="NMX9" s="338"/>
      <c r="NMY9" s="338"/>
      <c r="NMZ9" s="338"/>
      <c r="NNA9" s="338"/>
      <c r="NNB9" s="338"/>
      <c r="NNC9" s="338"/>
      <c r="NND9" s="338"/>
      <c r="NNE9" s="338"/>
      <c r="NNF9" s="338"/>
      <c r="NNG9" s="338"/>
      <c r="NNH9" s="338"/>
      <c r="NNI9" s="338"/>
      <c r="NNJ9" s="338"/>
      <c r="NNK9" s="338"/>
      <c r="NNL9" s="338"/>
      <c r="NNM9" s="338"/>
      <c r="NNN9" s="338"/>
      <c r="NNO9" s="338"/>
      <c r="NNP9" s="338"/>
      <c r="NNQ9" s="338"/>
      <c r="NNR9" s="338"/>
      <c r="NNS9" s="338"/>
      <c r="NNT9" s="338"/>
      <c r="NNU9" s="338"/>
      <c r="NNV9" s="338"/>
      <c r="NNW9" s="338"/>
      <c r="NNX9" s="338"/>
      <c r="NNY9" s="338"/>
      <c r="NNZ9" s="338"/>
      <c r="NOA9" s="338"/>
      <c r="NOB9" s="338"/>
      <c r="NOC9" s="338"/>
      <c r="NOD9" s="338"/>
      <c r="NOE9" s="338"/>
      <c r="NOF9" s="338"/>
      <c r="NOG9" s="338"/>
      <c r="NOH9" s="338"/>
      <c r="NOI9" s="338"/>
      <c r="NOJ9" s="338"/>
      <c r="NOK9" s="338"/>
      <c r="NOL9" s="338"/>
      <c r="NOM9" s="338"/>
      <c r="NON9" s="338"/>
      <c r="NOO9" s="338"/>
      <c r="NOP9" s="338"/>
      <c r="NOQ9" s="338"/>
      <c r="NOR9" s="338"/>
      <c r="NOS9" s="338"/>
      <c r="NOT9" s="338"/>
      <c r="NOU9" s="338"/>
      <c r="NOV9" s="338"/>
      <c r="NOW9" s="338"/>
      <c r="NOX9" s="338"/>
      <c r="NOY9" s="338"/>
      <c r="NOZ9" s="338"/>
      <c r="NPA9" s="338"/>
      <c r="NPB9" s="338"/>
      <c r="NPC9" s="338"/>
      <c r="NPD9" s="338"/>
      <c r="NPE9" s="338"/>
      <c r="NPF9" s="338"/>
      <c r="NPG9" s="338"/>
      <c r="NPH9" s="338"/>
      <c r="NPI9" s="338"/>
      <c r="NPJ9" s="338"/>
      <c r="NPK9" s="338"/>
      <c r="NPL9" s="338"/>
      <c r="NPM9" s="338"/>
      <c r="NPN9" s="338"/>
      <c r="NPO9" s="338"/>
      <c r="NPP9" s="338"/>
      <c r="NPQ9" s="338"/>
      <c r="NPR9" s="338"/>
      <c r="NPS9" s="338"/>
      <c r="NPT9" s="338"/>
      <c r="NPU9" s="338"/>
      <c r="NPV9" s="338"/>
      <c r="NPW9" s="338"/>
      <c r="NPX9" s="338"/>
      <c r="NPY9" s="338"/>
      <c r="NPZ9" s="338"/>
      <c r="NQA9" s="338"/>
      <c r="NQB9" s="338"/>
      <c r="NQC9" s="338"/>
      <c r="NQD9" s="338"/>
      <c r="NQE9" s="338"/>
      <c r="NQF9" s="338"/>
      <c r="NQG9" s="338"/>
      <c r="NQH9" s="338"/>
      <c r="NQI9" s="338"/>
      <c r="NQJ9" s="338"/>
      <c r="NQK9" s="338"/>
      <c r="NQL9" s="338"/>
      <c r="NQM9" s="338"/>
      <c r="NQN9" s="338"/>
      <c r="NQO9" s="338"/>
      <c r="NQP9" s="338"/>
      <c r="NQQ9" s="338"/>
      <c r="NQR9" s="338"/>
      <c r="NQS9" s="338"/>
      <c r="NQT9" s="338"/>
      <c r="NQU9" s="338"/>
      <c r="NQV9" s="338"/>
      <c r="NQW9" s="338"/>
      <c r="NQX9" s="338"/>
      <c r="NQY9" s="338"/>
      <c r="NQZ9" s="338"/>
      <c r="NRA9" s="338"/>
      <c r="NRB9" s="338"/>
      <c r="NRC9" s="338"/>
      <c r="NRD9" s="338"/>
      <c r="NRE9" s="338"/>
      <c r="NRF9" s="338"/>
      <c r="NRG9" s="338"/>
      <c r="NRH9" s="338"/>
      <c r="NRI9" s="338"/>
      <c r="NRJ9" s="338"/>
      <c r="NRK9" s="338"/>
      <c r="NRL9" s="338"/>
      <c r="NRM9" s="338"/>
      <c r="NRN9" s="338"/>
      <c r="NRO9" s="338"/>
      <c r="NRP9" s="338"/>
      <c r="NRQ9" s="338"/>
      <c r="NRR9" s="338"/>
      <c r="NRS9" s="338"/>
      <c r="NRT9" s="338"/>
      <c r="NRU9" s="338"/>
      <c r="NRV9" s="338"/>
      <c r="NRW9" s="338"/>
      <c r="NRX9" s="338"/>
      <c r="NRY9" s="338"/>
      <c r="NRZ9" s="338"/>
      <c r="NSA9" s="338"/>
      <c r="NSB9" s="338"/>
      <c r="NSC9" s="338"/>
      <c r="NSD9" s="338"/>
      <c r="NSE9" s="338"/>
      <c r="NSF9" s="338"/>
      <c r="NSG9" s="338"/>
      <c r="NSH9" s="338"/>
      <c r="NSI9" s="338"/>
      <c r="NSJ9" s="338"/>
      <c r="NSK9" s="338"/>
      <c r="NSL9" s="338"/>
      <c r="NSM9" s="338"/>
      <c r="NSN9" s="338"/>
      <c r="NSO9" s="338"/>
      <c r="NSP9" s="338"/>
      <c r="NSQ9" s="338"/>
      <c r="NSR9" s="338"/>
      <c r="NSS9" s="338"/>
      <c r="NST9" s="338"/>
      <c r="NSU9" s="338"/>
      <c r="NSV9" s="338"/>
      <c r="NSW9" s="338"/>
      <c r="NSX9" s="338"/>
      <c r="NSY9" s="338"/>
      <c r="NSZ9" s="338"/>
      <c r="NTA9" s="338"/>
      <c r="NTB9" s="338"/>
      <c r="NTC9" s="338"/>
      <c r="NTD9" s="338"/>
      <c r="NTE9" s="338"/>
      <c r="NTF9" s="338"/>
      <c r="NTG9" s="338"/>
      <c r="NTH9" s="338"/>
      <c r="NTI9" s="338"/>
      <c r="NTJ9" s="338"/>
      <c r="NTK9" s="338"/>
      <c r="NTL9" s="338"/>
      <c r="NTM9" s="338"/>
      <c r="NTN9" s="338"/>
      <c r="NTO9" s="338"/>
      <c r="NTP9" s="338"/>
      <c r="NTQ9" s="338"/>
      <c r="NTR9" s="338"/>
      <c r="NTS9" s="338"/>
      <c r="NTT9" s="338"/>
      <c r="NTU9" s="338"/>
      <c r="NTV9" s="338"/>
      <c r="NTW9" s="338"/>
      <c r="NTX9" s="338"/>
      <c r="NTY9" s="338"/>
      <c r="NTZ9" s="338"/>
      <c r="NUA9" s="338"/>
      <c r="NUB9" s="338"/>
      <c r="NUC9" s="338"/>
      <c r="NUD9" s="338"/>
      <c r="NUE9" s="338"/>
      <c r="NUF9" s="338"/>
      <c r="NUG9" s="338"/>
      <c r="NUH9" s="338"/>
      <c r="NUI9" s="338"/>
      <c r="NUJ9" s="338"/>
      <c r="NUK9" s="338"/>
      <c r="NUL9" s="338"/>
      <c r="NUM9" s="338"/>
      <c r="NUN9" s="338"/>
      <c r="NUO9" s="338"/>
      <c r="NUP9" s="338"/>
      <c r="NUQ9" s="338"/>
      <c r="NUR9" s="338"/>
      <c r="NUS9" s="338"/>
      <c r="NUT9" s="338"/>
      <c r="NUU9" s="338"/>
      <c r="NUV9" s="338"/>
      <c r="NUW9" s="338"/>
      <c r="NUX9" s="338"/>
      <c r="NUY9" s="338"/>
      <c r="NUZ9" s="338"/>
      <c r="NVA9" s="338"/>
      <c r="NVB9" s="338"/>
      <c r="NVC9" s="338"/>
      <c r="NVD9" s="338"/>
      <c r="NVE9" s="338"/>
      <c r="NVF9" s="338"/>
      <c r="NVG9" s="338"/>
      <c r="NVH9" s="338"/>
      <c r="NVI9" s="338"/>
      <c r="NVJ9" s="338"/>
      <c r="NVK9" s="338"/>
      <c r="NVL9" s="338"/>
      <c r="NVM9" s="338"/>
      <c r="NVN9" s="338"/>
      <c r="NVO9" s="338"/>
      <c r="NVP9" s="338"/>
      <c r="NVQ9" s="338"/>
      <c r="NVR9" s="338"/>
      <c r="NVS9" s="338"/>
      <c r="NVT9" s="338"/>
      <c r="NVU9" s="338"/>
      <c r="NVV9" s="338"/>
      <c r="NVW9" s="338"/>
      <c r="NVX9" s="338"/>
      <c r="NVY9" s="338"/>
      <c r="NVZ9" s="338"/>
      <c r="NWA9" s="338"/>
      <c r="NWB9" s="338"/>
      <c r="NWC9" s="338"/>
      <c r="NWD9" s="338"/>
      <c r="NWE9" s="338"/>
      <c r="NWF9" s="338"/>
      <c r="NWG9" s="338"/>
      <c r="NWH9" s="338"/>
      <c r="NWI9" s="338"/>
      <c r="NWJ9" s="338"/>
      <c r="NWK9" s="338"/>
      <c r="NWL9" s="338"/>
      <c r="NWM9" s="338"/>
      <c r="NWN9" s="338"/>
      <c r="NWO9" s="338"/>
      <c r="NWP9" s="338"/>
      <c r="NWQ9" s="338"/>
      <c r="NWR9" s="338"/>
      <c r="NWS9" s="338"/>
      <c r="NWT9" s="338"/>
      <c r="NWU9" s="338"/>
      <c r="NWV9" s="338"/>
      <c r="NWW9" s="338"/>
      <c r="NWX9" s="338"/>
      <c r="NWY9" s="338"/>
      <c r="NWZ9" s="338"/>
      <c r="NXA9" s="338"/>
      <c r="NXB9" s="338"/>
      <c r="NXC9" s="338"/>
      <c r="NXD9" s="338"/>
      <c r="NXE9" s="338"/>
      <c r="NXF9" s="338"/>
      <c r="NXG9" s="338"/>
      <c r="NXH9" s="338"/>
      <c r="NXI9" s="338"/>
      <c r="NXJ9" s="338"/>
      <c r="NXK9" s="338"/>
      <c r="NXL9" s="338"/>
      <c r="NXM9" s="338"/>
      <c r="NXN9" s="338"/>
      <c r="NXO9" s="338"/>
      <c r="NXP9" s="338"/>
      <c r="NXQ9" s="338"/>
      <c r="NXR9" s="338"/>
      <c r="NXS9" s="338"/>
      <c r="NXT9" s="338"/>
      <c r="NXU9" s="338"/>
      <c r="NXV9" s="338"/>
      <c r="NXW9" s="338"/>
      <c r="NXX9" s="338"/>
      <c r="NXY9" s="338"/>
      <c r="NXZ9" s="338"/>
      <c r="NYA9" s="338"/>
      <c r="NYB9" s="338"/>
      <c r="NYC9" s="338"/>
      <c r="NYD9" s="338"/>
      <c r="NYE9" s="338"/>
      <c r="NYF9" s="338"/>
      <c r="NYG9" s="338"/>
      <c r="NYH9" s="338"/>
      <c r="NYI9" s="338"/>
      <c r="NYJ9" s="338"/>
      <c r="NYK9" s="338"/>
      <c r="NYL9" s="338"/>
      <c r="NYM9" s="338"/>
      <c r="NYN9" s="338"/>
      <c r="NYO9" s="338"/>
      <c r="NYP9" s="338"/>
      <c r="NYQ9" s="338"/>
      <c r="NYR9" s="338"/>
      <c r="NYS9" s="338"/>
      <c r="NYT9" s="338"/>
      <c r="NYU9" s="338"/>
      <c r="NYV9" s="338"/>
      <c r="NYW9" s="338"/>
      <c r="NYX9" s="338"/>
      <c r="NYY9" s="338"/>
      <c r="NYZ9" s="338"/>
      <c r="NZA9" s="338"/>
      <c r="NZB9" s="338"/>
      <c r="NZC9" s="338"/>
      <c r="NZD9" s="338"/>
      <c r="NZE9" s="338"/>
      <c r="NZF9" s="338"/>
      <c r="NZG9" s="338"/>
      <c r="NZH9" s="338"/>
      <c r="NZI9" s="338"/>
      <c r="NZJ9" s="338"/>
      <c r="NZK9" s="338"/>
      <c r="NZL9" s="338"/>
      <c r="NZM9" s="338"/>
      <c r="NZN9" s="338"/>
      <c r="NZO9" s="338"/>
      <c r="NZP9" s="338"/>
      <c r="NZQ9" s="338"/>
      <c r="NZR9" s="338"/>
      <c r="NZS9" s="338"/>
      <c r="NZT9" s="338"/>
      <c r="NZU9" s="338"/>
      <c r="NZV9" s="338"/>
      <c r="NZW9" s="338"/>
      <c r="NZX9" s="338"/>
      <c r="NZY9" s="338"/>
      <c r="NZZ9" s="338"/>
      <c r="OAA9" s="338"/>
      <c r="OAB9" s="338"/>
      <c r="OAC9" s="338"/>
      <c r="OAD9" s="338"/>
      <c r="OAE9" s="338"/>
      <c r="OAF9" s="338"/>
      <c r="OAG9" s="338"/>
      <c r="OAH9" s="338"/>
      <c r="OAI9" s="338"/>
      <c r="OAJ9" s="338"/>
      <c r="OAK9" s="338"/>
      <c r="OAL9" s="338"/>
      <c r="OAM9" s="338"/>
      <c r="OAN9" s="338"/>
      <c r="OAO9" s="338"/>
      <c r="OAP9" s="338"/>
      <c r="OAQ9" s="338"/>
      <c r="OAR9" s="338"/>
      <c r="OAS9" s="338"/>
      <c r="OAT9" s="338"/>
      <c r="OAU9" s="338"/>
      <c r="OAV9" s="338"/>
      <c r="OAW9" s="338"/>
      <c r="OAX9" s="338"/>
      <c r="OAY9" s="338"/>
      <c r="OAZ9" s="338"/>
      <c r="OBA9" s="338"/>
      <c r="OBB9" s="338"/>
      <c r="OBC9" s="338"/>
      <c r="OBD9" s="338"/>
      <c r="OBE9" s="338"/>
      <c r="OBF9" s="338"/>
      <c r="OBG9" s="338"/>
      <c r="OBH9" s="338"/>
      <c r="OBI9" s="338"/>
      <c r="OBJ9" s="338"/>
      <c r="OBK9" s="338"/>
      <c r="OBL9" s="338"/>
      <c r="OBM9" s="338"/>
      <c r="OBN9" s="338"/>
      <c r="OBO9" s="338"/>
      <c r="OBP9" s="338"/>
      <c r="OBQ9" s="338"/>
      <c r="OBR9" s="338"/>
      <c r="OBS9" s="338"/>
      <c r="OBT9" s="338"/>
      <c r="OBU9" s="338"/>
      <c r="OBV9" s="338"/>
      <c r="OBW9" s="338"/>
      <c r="OBX9" s="338"/>
      <c r="OBY9" s="338"/>
      <c r="OBZ9" s="338"/>
      <c r="OCA9" s="338"/>
      <c r="OCB9" s="338"/>
      <c r="OCC9" s="338"/>
      <c r="OCD9" s="338"/>
      <c r="OCE9" s="338"/>
      <c r="OCF9" s="338"/>
      <c r="OCG9" s="338"/>
      <c r="OCH9" s="338"/>
      <c r="OCI9" s="338"/>
      <c r="OCJ9" s="338"/>
      <c r="OCK9" s="338"/>
      <c r="OCL9" s="338"/>
      <c r="OCM9" s="338"/>
      <c r="OCN9" s="338"/>
      <c r="OCO9" s="338"/>
      <c r="OCP9" s="338"/>
      <c r="OCQ9" s="338"/>
      <c r="OCR9" s="338"/>
      <c r="OCS9" s="338"/>
      <c r="OCT9" s="338"/>
      <c r="OCU9" s="338"/>
      <c r="OCV9" s="338"/>
      <c r="OCW9" s="338"/>
      <c r="OCX9" s="338"/>
      <c r="OCY9" s="338"/>
      <c r="OCZ9" s="338"/>
      <c r="ODA9" s="338"/>
      <c r="ODB9" s="338"/>
      <c r="ODC9" s="338"/>
      <c r="ODD9" s="338"/>
      <c r="ODE9" s="338"/>
      <c r="ODF9" s="338"/>
      <c r="ODG9" s="338"/>
      <c r="ODH9" s="338"/>
      <c r="ODI9" s="338"/>
      <c r="ODJ9" s="338"/>
      <c r="ODK9" s="338"/>
      <c r="ODL9" s="338"/>
      <c r="ODM9" s="338"/>
      <c r="ODN9" s="338"/>
      <c r="ODO9" s="338"/>
      <c r="ODP9" s="338"/>
      <c r="ODQ9" s="338"/>
      <c r="ODR9" s="338"/>
      <c r="ODS9" s="338"/>
      <c r="ODT9" s="338"/>
      <c r="ODU9" s="338"/>
      <c r="ODV9" s="338"/>
      <c r="ODW9" s="338"/>
      <c r="ODX9" s="338"/>
      <c r="ODY9" s="338"/>
      <c r="ODZ9" s="338"/>
      <c r="OEA9" s="338"/>
      <c r="OEB9" s="338"/>
      <c r="OEC9" s="338"/>
      <c r="OED9" s="338"/>
      <c r="OEE9" s="338"/>
      <c r="OEF9" s="338"/>
      <c r="OEG9" s="338"/>
      <c r="OEH9" s="338"/>
      <c r="OEI9" s="338"/>
      <c r="OEJ9" s="338"/>
      <c r="OEK9" s="338"/>
      <c r="OEL9" s="338"/>
      <c r="OEM9" s="338"/>
      <c r="OEN9" s="338"/>
      <c r="OEO9" s="338"/>
      <c r="OEP9" s="338"/>
      <c r="OEQ9" s="338"/>
      <c r="OER9" s="338"/>
      <c r="OES9" s="338"/>
      <c r="OET9" s="338"/>
      <c r="OEU9" s="338"/>
      <c r="OEV9" s="338"/>
      <c r="OEW9" s="338"/>
      <c r="OEX9" s="338"/>
      <c r="OEY9" s="338"/>
      <c r="OEZ9" s="338"/>
      <c r="OFA9" s="338"/>
      <c r="OFB9" s="338"/>
      <c r="OFC9" s="338"/>
      <c r="OFD9" s="338"/>
      <c r="OFE9" s="338"/>
      <c r="OFF9" s="338"/>
      <c r="OFG9" s="338"/>
      <c r="OFH9" s="338"/>
      <c r="OFI9" s="338"/>
      <c r="OFJ9" s="338"/>
      <c r="OFK9" s="338"/>
      <c r="OFL9" s="338"/>
      <c r="OFM9" s="338"/>
      <c r="OFN9" s="338"/>
      <c r="OFO9" s="338"/>
      <c r="OFP9" s="338"/>
      <c r="OFQ9" s="338"/>
      <c r="OFR9" s="338"/>
      <c r="OFS9" s="338"/>
      <c r="OFT9" s="338"/>
      <c r="OFU9" s="338"/>
      <c r="OFV9" s="338"/>
      <c r="OFW9" s="338"/>
      <c r="OFX9" s="338"/>
      <c r="OFY9" s="338"/>
      <c r="OFZ9" s="338"/>
      <c r="OGA9" s="338"/>
      <c r="OGB9" s="338"/>
      <c r="OGC9" s="338"/>
      <c r="OGD9" s="338"/>
      <c r="OGE9" s="338"/>
      <c r="OGF9" s="338"/>
      <c r="OGG9" s="338"/>
      <c r="OGH9" s="338"/>
      <c r="OGI9" s="338"/>
      <c r="OGJ9" s="338"/>
      <c r="OGK9" s="338"/>
      <c r="OGL9" s="338"/>
      <c r="OGM9" s="338"/>
      <c r="OGN9" s="338"/>
      <c r="OGO9" s="338"/>
      <c r="OGP9" s="338"/>
      <c r="OGQ9" s="338"/>
      <c r="OGR9" s="338"/>
      <c r="OGS9" s="338"/>
      <c r="OGT9" s="338"/>
      <c r="OGU9" s="338"/>
      <c r="OGV9" s="338"/>
      <c r="OGW9" s="338"/>
      <c r="OGX9" s="338"/>
      <c r="OGY9" s="338"/>
      <c r="OGZ9" s="338"/>
      <c r="OHA9" s="338"/>
      <c r="OHB9" s="338"/>
      <c r="OHC9" s="338"/>
      <c r="OHD9" s="338"/>
      <c r="OHE9" s="338"/>
      <c r="OHF9" s="338"/>
      <c r="OHG9" s="338"/>
      <c r="OHH9" s="338"/>
      <c r="OHI9" s="338"/>
      <c r="OHJ9" s="338"/>
      <c r="OHK9" s="338"/>
      <c r="OHL9" s="338"/>
      <c r="OHM9" s="338"/>
      <c r="OHN9" s="338"/>
      <c r="OHO9" s="338"/>
      <c r="OHP9" s="338"/>
      <c r="OHQ9" s="338"/>
      <c r="OHR9" s="338"/>
      <c r="OHS9" s="338"/>
      <c r="OHT9" s="338"/>
      <c r="OHU9" s="338"/>
      <c r="OHV9" s="338"/>
      <c r="OHW9" s="338"/>
      <c r="OHX9" s="338"/>
      <c r="OHY9" s="338"/>
      <c r="OHZ9" s="338"/>
      <c r="OIA9" s="338"/>
      <c r="OIB9" s="338"/>
      <c r="OIC9" s="338"/>
      <c r="OID9" s="338"/>
      <c r="OIE9" s="338"/>
      <c r="OIF9" s="338"/>
      <c r="OIG9" s="338"/>
      <c r="OIH9" s="338"/>
      <c r="OII9" s="338"/>
      <c r="OIJ9" s="338"/>
      <c r="OIK9" s="338"/>
      <c r="OIL9" s="338"/>
      <c r="OIM9" s="338"/>
      <c r="OIN9" s="338"/>
      <c r="OIO9" s="338"/>
      <c r="OIP9" s="338"/>
      <c r="OIQ9" s="338"/>
      <c r="OIR9" s="338"/>
      <c r="OIS9" s="338"/>
      <c r="OIT9" s="338"/>
      <c r="OIU9" s="338"/>
      <c r="OIV9" s="338"/>
      <c r="OIW9" s="338"/>
      <c r="OIX9" s="338"/>
      <c r="OIY9" s="338"/>
      <c r="OIZ9" s="338"/>
      <c r="OJA9" s="338"/>
      <c r="OJB9" s="338"/>
      <c r="OJC9" s="338"/>
      <c r="OJD9" s="338"/>
      <c r="OJE9" s="338"/>
      <c r="OJF9" s="338"/>
      <c r="OJG9" s="338"/>
      <c r="OJH9" s="338"/>
      <c r="OJI9" s="338"/>
      <c r="OJJ9" s="338"/>
      <c r="OJK9" s="338"/>
      <c r="OJL9" s="338"/>
      <c r="OJM9" s="338"/>
      <c r="OJN9" s="338"/>
      <c r="OJO9" s="338"/>
      <c r="OJP9" s="338"/>
      <c r="OJQ9" s="338"/>
      <c r="OJR9" s="338"/>
      <c r="OJS9" s="338"/>
      <c r="OJT9" s="338"/>
      <c r="OJU9" s="338"/>
      <c r="OJV9" s="338"/>
      <c r="OJW9" s="338"/>
      <c r="OJX9" s="338"/>
      <c r="OJY9" s="338"/>
      <c r="OJZ9" s="338"/>
      <c r="OKA9" s="338"/>
      <c r="OKB9" s="338"/>
      <c r="OKC9" s="338"/>
      <c r="OKD9" s="338"/>
      <c r="OKE9" s="338"/>
      <c r="OKF9" s="338"/>
      <c r="OKG9" s="338"/>
      <c r="OKH9" s="338"/>
      <c r="OKI9" s="338"/>
      <c r="OKJ9" s="338"/>
      <c r="OKK9" s="338"/>
      <c r="OKL9" s="338"/>
      <c r="OKM9" s="338"/>
      <c r="OKN9" s="338"/>
      <c r="OKO9" s="338"/>
      <c r="OKP9" s="338"/>
      <c r="OKQ9" s="338"/>
      <c r="OKR9" s="338"/>
      <c r="OKS9" s="338"/>
      <c r="OKT9" s="338"/>
      <c r="OKU9" s="338"/>
      <c r="OKV9" s="338"/>
      <c r="OKW9" s="338"/>
      <c r="OKX9" s="338"/>
      <c r="OKY9" s="338"/>
      <c r="OKZ9" s="338"/>
      <c r="OLA9" s="338"/>
      <c r="OLB9" s="338"/>
      <c r="OLC9" s="338"/>
      <c r="OLD9" s="338"/>
      <c r="OLE9" s="338"/>
      <c r="OLF9" s="338"/>
      <c r="OLG9" s="338"/>
      <c r="OLH9" s="338"/>
      <c r="OLI9" s="338"/>
      <c r="OLJ9" s="338"/>
      <c r="OLK9" s="338"/>
      <c r="OLL9" s="338"/>
      <c r="OLM9" s="338"/>
      <c r="OLN9" s="338"/>
      <c r="OLO9" s="338"/>
      <c r="OLP9" s="338"/>
      <c r="OLQ9" s="338"/>
      <c r="OLR9" s="338"/>
      <c r="OLS9" s="338"/>
      <c r="OLT9" s="338"/>
      <c r="OLU9" s="338"/>
      <c r="OLV9" s="338"/>
      <c r="OLW9" s="338"/>
      <c r="OLX9" s="338"/>
      <c r="OLY9" s="338"/>
      <c r="OLZ9" s="338"/>
      <c r="OMA9" s="338"/>
      <c r="OMB9" s="338"/>
      <c r="OMC9" s="338"/>
      <c r="OMD9" s="338"/>
      <c r="OME9" s="338"/>
      <c r="OMF9" s="338"/>
      <c r="OMG9" s="338"/>
      <c r="OMH9" s="338"/>
      <c r="OMI9" s="338"/>
      <c r="OMJ9" s="338"/>
      <c r="OMK9" s="338"/>
      <c r="OML9" s="338"/>
      <c r="OMM9" s="338"/>
      <c r="OMN9" s="338"/>
      <c r="OMO9" s="338"/>
      <c r="OMP9" s="338"/>
      <c r="OMQ9" s="338"/>
      <c r="OMR9" s="338"/>
      <c r="OMS9" s="338"/>
      <c r="OMT9" s="338"/>
      <c r="OMU9" s="338"/>
      <c r="OMV9" s="338"/>
      <c r="OMW9" s="338"/>
      <c r="OMX9" s="338"/>
      <c r="OMY9" s="338"/>
      <c r="OMZ9" s="338"/>
      <c r="ONA9" s="338"/>
      <c r="ONB9" s="338"/>
      <c r="ONC9" s="338"/>
      <c r="OND9" s="338"/>
      <c r="ONE9" s="338"/>
      <c r="ONF9" s="338"/>
      <c r="ONG9" s="338"/>
      <c r="ONH9" s="338"/>
      <c r="ONI9" s="338"/>
      <c r="ONJ9" s="338"/>
      <c r="ONK9" s="338"/>
      <c r="ONL9" s="338"/>
      <c r="ONM9" s="338"/>
      <c r="ONN9" s="338"/>
      <c r="ONO9" s="338"/>
      <c r="ONP9" s="338"/>
      <c r="ONQ9" s="338"/>
      <c r="ONR9" s="338"/>
      <c r="ONS9" s="338"/>
      <c r="ONT9" s="338"/>
      <c r="ONU9" s="338"/>
      <c r="ONV9" s="338"/>
      <c r="ONW9" s="338"/>
      <c r="ONX9" s="338"/>
      <c r="ONY9" s="338"/>
      <c r="ONZ9" s="338"/>
      <c r="OOA9" s="338"/>
      <c r="OOB9" s="338"/>
      <c r="OOC9" s="338"/>
      <c r="OOD9" s="338"/>
      <c r="OOE9" s="338"/>
      <c r="OOF9" s="338"/>
      <c r="OOG9" s="338"/>
      <c r="OOH9" s="338"/>
      <c r="OOI9" s="338"/>
      <c r="OOJ9" s="338"/>
      <c r="OOK9" s="338"/>
      <c r="OOL9" s="338"/>
      <c r="OOM9" s="338"/>
      <c r="OON9" s="338"/>
      <c r="OOO9" s="338"/>
      <c r="OOP9" s="338"/>
      <c r="OOQ9" s="338"/>
      <c r="OOR9" s="338"/>
      <c r="OOS9" s="338"/>
      <c r="OOT9" s="338"/>
      <c r="OOU9" s="338"/>
      <c r="OOV9" s="338"/>
      <c r="OOW9" s="338"/>
      <c r="OOX9" s="338"/>
      <c r="OOY9" s="338"/>
      <c r="OOZ9" s="338"/>
      <c r="OPA9" s="338"/>
      <c r="OPB9" s="338"/>
      <c r="OPC9" s="338"/>
      <c r="OPD9" s="338"/>
      <c r="OPE9" s="338"/>
      <c r="OPF9" s="338"/>
      <c r="OPG9" s="338"/>
      <c r="OPH9" s="338"/>
      <c r="OPI9" s="338"/>
      <c r="OPJ9" s="338"/>
      <c r="OPK9" s="338"/>
      <c r="OPL9" s="338"/>
      <c r="OPM9" s="338"/>
      <c r="OPN9" s="338"/>
      <c r="OPO9" s="338"/>
      <c r="OPP9" s="338"/>
      <c r="OPQ9" s="338"/>
      <c r="OPR9" s="338"/>
      <c r="OPS9" s="338"/>
      <c r="OPT9" s="338"/>
      <c r="OPU9" s="338"/>
      <c r="OPV9" s="338"/>
      <c r="OPW9" s="338"/>
      <c r="OPX9" s="338"/>
      <c r="OPY9" s="338"/>
      <c r="OPZ9" s="338"/>
      <c r="OQA9" s="338"/>
      <c r="OQB9" s="338"/>
      <c r="OQC9" s="338"/>
      <c r="OQD9" s="338"/>
      <c r="OQE9" s="338"/>
      <c r="OQF9" s="338"/>
      <c r="OQG9" s="338"/>
      <c r="OQH9" s="338"/>
      <c r="OQI9" s="338"/>
      <c r="OQJ9" s="338"/>
      <c r="OQK9" s="338"/>
      <c r="OQL9" s="338"/>
      <c r="OQM9" s="338"/>
      <c r="OQN9" s="338"/>
      <c r="OQO9" s="338"/>
      <c r="OQP9" s="338"/>
      <c r="OQQ9" s="338"/>
      <c r="OQR9" s="338"/>
      <c r="OQS9" s="338"/>
      <c r="OQT9" s="338"/>
      <c r="OQU9" s="338"/>
      <c r="OQV9" s="338"/>
      <c r="OQW9" s="338"/>
      <c r="OQX9" s="338"/>
      <c r="OQY9" s="338"/>
      <c r="OQZ9" s="338"/>
      <c r="ORA9" s="338"/>
      <c r="ORB9" s="338"/>
      <c r="ORC9" s="338"/>
      <c r="ORD9" s="338"/>
      <c r="ORE9" s="338"/>
      <c r="ORF9" s="338"/>
      <c r="ORG9" s="338"/>
      <c r="ORH9" s="338"/>
      <c r="ORI9" s="338"/>
      <c r="ORJ9" s="338"/>
      <c r="ORK9" s="338"/>
      <c r="ORL9" s="338"/>
      <c r="ORM9" s="338"/>
      <c r="ORN9" s="338"/>
      <c r="ORO9" s="338"/>
      <c r="ORP9" s="338"/>
      <c r="ORQ9" s="338"/>
      <c r="ORR9" s="338"/>
      <c r="ORS9" s="338"/>
      <c r="ORT9" s="338"/>
      <c r="ORU9" s="338"/>
      <c r="ORV9" s="338"/>
      <c r="ORW9" s="338"/>
      <c r="ORX9" s="338"/>
      <c r="ORY9" s="338"/>
      <c r="ORZ9" s="338"/>
      <c r="OSA9" s="338"/>
      <c r="OSB9" s="338"/>
      <c r="OSC9" s="338"/>
      <c r="OSD9" s="338"/>
      <c r="OSE9" s="338"/>
      <c r="OSF9" s="338"/>
      <c r="OSG9" s="338"/>
      <c r="OSH9" s="338"/>
      <c r="OSI9" s="338"/>
      <c r="OSJ9" s="338"/>
      <c r="OSK9" s="338"/>
      <c r="OSL9" s="338"/>
      <c r="OSM9" s="338"/>
      <c r="OSN9" s="338"/>
      <c r="OSO9" s="338"/>
      <c r="OSP9" s="338"/>
      <c r="OSQ9" s="338"/>
      <c r="OSR9" s="338"/>
      <c r="OSS9" s="338"/>
      <c r="OST9" s="338"/>
      <c r="OSU9" s="338"/>
      <c r="OSV9" s="338"/>
      <c r="OSW9" s="338"/>
      <c r="OSX9" s="338"/>
      <c r="OSY9" s="338"/>
      <c r="OSZ9" s="338"/>
      <c r="OTA9" s="338"/>
      <c r="OTB9" s="338"/>
      <c r="OTC9" s="338"/>
      <c r="OTD9" s="338"/>
      <c r="OTE9" s="338"/>
      <c r="OTF9" s="338"/>
      <c r="OTG9" s="338"/>
      <c r="OTH9" s="338"/>
      <c r="OTI9" s="338"/>
      <c r="OTJ9" s="338"/>
      <c r="OTK9" s="338"/>
      <c r="OTL9" s="338"/>
      <c r="OTM9" s="338"/>
      <c r="OTN9" s="338"/>
      <c r="OTO9" s="338"/>
      <c r="OTP9" s="338"/>
      <c r="OTQ9" s="338"/>
      <c r="OTR9" s="338"/>
      <c r="OTS9" s="338"/>
      <c r="OTT9" s="338"/>
      <c r="OTU9" s="338"/>
      <c r="OTV9" s="338"/>
      <c r="OTW9" s="338"/>
      <c r="OTX9" s="338"/>
      <c r="OTY9" s="338"/>
      <c r="OTZ9" s="338"/>
      <c r="OUA9" s="338"/>
      <c r="OUB9" s="338"/>
      <c r="OUC9" s="338"/>
      <c r="OUD9" s="338"/>
      <c r="OUE9" s="338"/>
      <c r="OUF9" s="338"/>
      <c r="OUG9" s="338"/>
      <c r="OUH9" s="338"/>
      <c r="OUI9" s="338"/>
      <c r="OUJ9" s="338"/>
      <c r="OUK9" s="338"/>
      <c r="OUL9" s="338"/>
      <c r="OUM9" s="338"/>
      <c r="OUN9" s="338"/>
      <c r="OUO9" s="338"/>
      <c r="OUP9" s="338"/>
      <c r="OUQ9" s="338"/>
      <c r="OUR9" s="338"/>
      <c r="OUS9" s="338"/>
      <c r="OUT9" s="338"/>
      <c r="OUU9" s="338"/>
      <c r="OUV9" s="338"/>
      <c r="OUW9" s="338"/>
      <c r="OUX9" s="338"/>
      <c r="OUY9" s="338"/>
      <c r="OUZ9" s="338"/>
      <c r="OVA9" s="338"/>
      <c r="OVB9" s="338"/>
      <c r="OVC9" s="338"/>
      <c r="OVD9" s="338"/>
      <c r="OVE9" s="338"/>
      <c r="OVF9" s="338"/>
      <c r="OVG9" s="338"/>
      <c r="OVH9" s="338"/>
      <c r="OVI9" s="338"/>
      <c r="OVJ9" s="338"/>
      <c r="OVK9" s="338"/>
      <c r="OVL9" s="338"/>
      <c r="OVM9" s="338"/>
      <c r="OVN9" s="338"/>
      <c r="OVO9" s="338"/>
      <c r="OVP9" s="338"/>
      <c r="OVQ9" s="338"/>
      <c r="OVR9" s="338"/>
      <c r="OVS9" s="338"/>
      <c r="OVT9" s="338"/>
      <c r="OVU9" s="338"/>
      <c r="OVV9" s="338"/>
      <c r="OVW9" s="338"/>
      <c r="OVX9" s="338"/>
      <c r="OVY9" s="338"/>
      <c r="OVZ9" s="338"/>
      <c r="OWA9" s="338"/>
      <c r="OWB9" s="338"/>
      <c r="OWC9" s="338"/>
      <c r="OWD9" s="338"/>
      <c r="OWE9" s="338"/>
      <c r="OWF9" s="338"/>
      <c r="OWG9" s="338"/>
      <c r="OWH9" s="338"/>
      <c r="OWI9" s="338"/>
      <c r="OWJ9" s="338"/>
      <c r="OWK9" s="338"/>
      <c r="OWL9" s="338"/>
      <c r="OWM9" s="338"/>
      <c r="OWN9" s="338"/>
      <c r="OWO9" s="338"/>
      <c r="OWP9" s="338"/>
      <c r="OWQ9" s="338"/>
      <c r="OWR9" s="338"/>
      <c r="OWS9" s="338"/>
      <c r="OWT9" s="338"/>
      <c r="OWU9" s="338"/>
      <c r="OWV9" s="338"/>
      <c r="OWW9" s="338"/>
      <c r="OWX9" s="338"/>
      <c r="OWY9" s="338"/>
      <c r="OWZ9" s="338"/>
      <c r="OXA9" s="338"/>
      <c r="OXB9" s="338"/>
      <c r="OXC9" s="338"/>
      <c r="OXD9" s="338"/>
      <c r="OXE9" s="338"/>
      <c r="OXF9" s="338"/>
      <c r="OXG9" s="338"/>
      <c r="OXH9" s="338"/>
      <c r="OXI9" s="338"/>
      <c r="OXJ9" s="338"/>
      <c r="OXK9" s="338"/>
      <c r="OXL9" s="338"/>
      <c r="OXM9" s="338"/>
      <c r="OXN9" s="338"/>
      <c r="OXO9" s="338"/>
      <c r="OXP9" s="338"/>
      <c r="OXQ9" s="338"/>
      <c r="OXR9" s="338"/>
      <c r="OXS9" s="338"/>
      <c r="OXT9" s="338"/>
      <c r="OXU9" s="338"/>
      <c r="OXV9" s="338"/>
      <c r="OXW9" s="338"/>
      <c r="OXX9" s="338"/>
      <c r="OXY9" s="338"/>
      <c r="OXZ9" s="338"/>
      <c r="OYA9" s="338"/>
      <c r="OYB9" s="338"/>
      <c r="OYC9" s="338"/>
      <c r="OYD9" s="338"/>
      <c r="OYE9" s="338"/>
      <c r="OYF9" s="338"/>
      <c r="OYG9" s="338"/>
      <c r="OYH9" s="338"/>
      <c r="OYI9" s="338"/>
      <c r="OYJ9" s="338"/>
      <c r="OYK9" s="338"/>
      <c r="OYL9" s="338"/>
      <c r="OYM9" s="338"/>
      <c r="OYN9" s="338"/>
      <c r="OYO9" s="338"/>
      <c r="OYP9" s="338"/>
      <c r="OYQ9" s="338"/>
      <c r="OYR9" s="338"/>
      <c r="OYS9" s="338"/>
      <c r="OYT9" s="338"/>
      <c r="OYU9" s="338"/>
      <c r="OYV9" s="338"/>
      <c r="OYW9" s="338"/>
      <c r="OYX9" s="338"/>
      <c r="OYY9" s="338"/>
      <c r="OYZ9" s="338"/>
      <c r="OZA9" s="338"/>
      <c r="OZB9" s="338"/>
      <c r="OZC9" s="338"/>
      <c r="OZD9" s="338"/>
      <c r="OZE9" s="338"/>
      <c r="OZF9" s="338"/>
      <c r="OZG9" s="338"/>
      <c r="OZH9" s="338"/>
      <c r="OZI9" s="338"/>
      <c r="OZJ9" s="338"/>
      <c r="OZK9" s="338"/>
      <c r="OZL9" s="338"/>
      <c r="OZM9" s="338"/>
      <c r="OZN9" s="338"/>
      <c r="OZO9" s="338"/>
      <c r="OZP9" s="338"/>
      <c r="OZQ9" s="338"/>
      <c r="OZR9" s="338"/>
      <c r="OZS9" s="338"/>
      <c r="OZT9" s="338"/>
      <c r="OZU9" s="338"/>
      <c r="OZV9" s="338"/>
      <c r="OZW9" s="338"/>
      <c r="OZX9" s="338"/>
      <c r="OZY9" s="338"/>
      <c r="OZZ9" s="338"/>
      <c r="PAA9" s="338"/>
      <c r="PAB9" s="338"/>
      <c r="PAC9" s="338"/>
      <c r="PAD9" s="338"/>
      <c r="PAE9" s="338"/>
      <c r="PAF9" s="338"/>
      <c r="PAG9" s="338"/>
      <c r="PAH9" s="338"/>
      <c r="PAI9" s="338"/>
      <c r="PAJ9" s="338"/>
      <c r="PAK9" s="338"/>
      <c r="PAL9" s="338"/>
      <c r="PAM9" s="338"/>
      <c r="PAN9" s="338"/>
      <c r="PAO9" s="338"/>
      <c r="PAP9" s="338"/>
      <c r="PAQ9" s="338"/>
      <c r="PAR9" s="338"/>
      <c r="PAS9" s="338"/>
      <c r="PAT9" s="338"/>
      <c r="PAU9" s="338"/>
      <c r="PAV9" s="338"/>
      <c r="PAW9" s="338"/>
      <c r="PAX9" s="338"/>
      <c r="PAY9" s="338"/>
      <c r="PAZ9" s="338"/>
      <c r="PBA9" s="338"/>
      <c r="PBB9" s="338"/>
      <c r="PBC9" s="338"/>
      <c r="PBD9" s="338"/>
      <c r="PBE9" s="338"/>
      <c r="PBF9" s="338"/>
      <c r="PBG9" s="338"/>
      <c r="PBH9" s="338"/>
      <c r="PBI9" s="338"/>
      <c r="PBJ9" s="338"/>
      <c r="PBK9" s="338"/>
      <c r="PBL9" s="338"/>
      <c r="PBM9" s="338"/>
      <c r="PBN9" s="338"/>
      <c r="PBO9" s="338"/>
      <c r="PBP9" s="338"/>
      <c r="PBQ9" s="338"/>
      <c r="PBR9" s="338"/>
      <c r="PBS9" s="338"/>
      <c r="PBT9" s="338"/>
      <c r="PBU9" s="338"/>
      <c r="PBV9" s="338"/>
      <c r="PBW9" s="338"/>
      <c r="PBX9" s="338"/>
      <c r="PBY9" s="338"/>
      <c r="PBZ9" s="338"/>
      <c r="PCA9" s="338"/>
      <c r="PCB9" s="338"/>
      <c r="PCC9" s="338"/>
      <c r="PCD9" s="338"/>
      <c r="PCE9" s="338"/>
      <c r="PCF9" s="338"/>
      <c r="PCG9" s="338"/>
      <c r="PCH9" s="338"/>
      <c r="PCI9" s="338"/>
      <c r="PCJ9" s="338"/>
      <c r="PCK9" s="338"/>
      <c r="PCL9" s="338"/>
      <c r="PCM9" s="338"/>
      <c r="PCN9" s="338"/>
      <c r="PCO9" s="338"/>
      <c r="PCP9" s="338"/>
      <c r="PCQ9" s="338"/>
      <c r="PCR9" s="338"/>
      <c r="PCS9" s="338"/>
      <c r="PCT9" s="338"/>
      <c r="PCU9" s="338"/>
      <c r="PCV9" s="338"/>
      <c r="PCW9" s="338"/>
      <c r="PCX9" s="338"/>
      <c r="PCY9" s="338"/>
      <c r="PCZ9" s="338"/>
      <c r="PDA9" s="338"/>
      <c r="PDB9" s="338"/>
      <c r="PDC9" s="338"/>
      <c r="PDD9" s="338"/>
      <c r="PDE9" s="338"/>
      <c r="PDF9" s="338"/>
      <c r="PDG9" s="338"/>
      <c r="PDH9" s="338"/>
      <c r="PDI9" s="338"/>
      <c r="PDJ9" s="338"/>
      <c r="PDK9" s="338"/>
      <c r="PDL9" s="338"/>
      <c r="PDM9" s="338"/>
      <c r="PDN9" s="338"/>
      <c r="PDO9" s="338"/>
      <c r="PDP9" s="338"/>
      <c r="PDQ9" s="338"/>
      <c r="PDR9" s="338"/>
      <c r="PDS9" s="338"/>
      <c r="PDT9" s="338"/>
      <c r="PDU9" s="338"/>
      <c r="PDV9" s="338"/>
      <c r="PDW9" s="338"/>
      <c r="PDX9" s="338"/>
      <c r="PDY9" s="338"/>
      <c r="PDZ9" s="338"/>
      <c r="PEA9" s="338"/>
      <c r="PEB9" s="338"/>
      <c r="PEC9" s="338"/>
      <c r="PED9" s="338"/>
      <c r="PEE9" s="338"/>
      <c r="PEF9" s="338"/>
      <c r="PEG9" s="338"/>
      <c r="PEH9" s="338"/>
      <c r="PEI9" s="338"/>
      <c r="PEJ9" s="338"/>
      <c r="PEK9" s="338"/>
      <c r="PEL9" s="338"/>
      <c r="PEM9" s="338"/>
      <c r="PEN9" s="338"/>
      <c r="PEO9" s="338"/>
      <c r="PEP9" s="338"/>
      <c r="PEQ9" s="338"/>
      <c r="PER9" s="338"/>
      <c r="PES9" s="338"/>
      <c r="PET9" s="338"/>
      <c r="PEU9" s="338"/>
      <c r="PEV9" s="338"/>
      <c r="PEW9" s="338"/>
      <c r="PEX9" s="338"/>
      <c r="PEY9" s="338"/>
      <c r="PEZ9" s="338"/>
      <c r="PFA9" s="338"/>
      <c r="PFB9" s="338"/>
      <c r="PFC9" s="338"/>
      <c r="PFD9" s="338"/>
      <c r="PFE9" s="338"/>
      <c r="PFF9" s="338"/>
      <c r="PFG9" s="338"/>
      <c r="PFH9" s="338"/>
      <c r="PFI9" s="338"/>
      <c r="PFJ9" s="338"/>
      <c r="PFK9" s="338"/>
      <c r="PFL9" s="338"/>
      <c r="PFM9" s="338"/>
      <c r="PFN9" s="338"/>
      <c r="PFO9" s="338"/>
      <c r="PFP9" s="338"/>
      <c r="PFQ9" s="338"/>
      <c r="PFR9" s="338"/>
      <c r="PFS9" s="338"/>
      <c r="PFT9" s="338"/>
      <c r="PFU9" s="338"/>
      <c r="PFV9" s="338"/>
      <c r="PFW9" s="338"/>
      <c r="PFX9" s="338"/>
      <c r="PFY9" s="338"/>
      <c r="PFZ9" s="338"/>
      <c r="PGA9" s="338"/>
      <c r="PGB9" s="338"/>
      <c r="PGC9" s="338"/>
      <c r="PGD9" s="338"/>
      <c r="PGE9" s="338"/>
      <c r="PGF9" s="338"/>
      <c r="PGG9" s="338"/>
      <c r="PGH9" s="338"/>
      <c r="PGI9" s="338"/>
      <c r="PGJ9" s="338"/>
      <c r="PGK9" s="338"/>
      <c r="PGL9" s="338"/>
      <c r="PGM9" s="338"/>
      <c r="PGN9" s="338"/>
      <c r="PGO9" s="338"/>
      <c r="PGP9" s="338"/>
      <c r="PGQ9" s="338"/>
      <c r="PGR9" s="338"/>
      <c r="PGS9" s="338"/>
      <c r="PGT9" s="338"/>
      <c r="PGU9" s="338"/>
      <c r="PGV9" s="338"/>
      <c r="PGW9" s="338"/>
      <c r="PGX9" s="338"/>
      <c r="PGY9" s="338"/>
      <c r="PGZ9" s="338"/>
      <c r="PHA9" s="338"/>
      <c r="PHB9" s="338"/>
      <c r="PHC9" s="338"/>
      <c r="PHD9" s="338"/>
      <c r="PHE9" s="338"/>
      <c r="PHF9" s="338"/>
      <c r="PHG9" s="338"/>
      <c r="PHH9" s="338"/>
      <c r="PHI9" s="338"/>
      <c r="PHJ9" s="338"/>
      <c r="PHK9" s="338"/>
      <c r="PHL9" s="338"/>
      <c r="PHM9" s="338"/>
      <c r="PHN9" s="338"/>
      <c r="PHO9" s="338"/>
      <c r="PHP9" s="338"/>
      <c r="PHQ9" s="338"/>
      <c r="PHR9" s="338"/>
      <c r="PHS9" s="338"/>
      <c r="PHT9" s="338"/>
      <c r="PHU9" s="338"/>
      <c r="PHV9" s="338"/>
      <c r="PHW9" s="338"/>
      <c r="PHX9" s="338"/>
      <c r="PHY9" s="338"/>
      <c r="PHZ9" s="338"/>
      <c r="PIA9" s="338"/>
      <c r="PIB9" s="338"/>
      <c r="PIC9" s="338"/>
      <c r="PID9" s="338"/>
      <c r="PIE9" s="338"/>
      <c r="PIF9" s="338"/>
      <c r="PIG9" s="338"/>
      <c r="PIH9" s="338"/>
      <c r="PII9" s="338"/>
      <c r="PIJ9" s="338"/>
      <c r="PIK9" s="338"/>
      <c r="PIL9" s="338"/>
      <c r="PIM9" s="338"/>
      <c r="PIN9" s="338"/>
      <c r="PIO9" s="338"/>
      <c r="PIP9" s="338"/>
      <c r="PIQ9" s="338"/>
      <c r="PIR9" s="338"/>
      <c r="PIS9" s="338"/>
      <c r="PIT9" s="338"/>
      <c r="PIU9" s="338"/>
      <c r="PIV9" s="338"/>
      <c r="PIW9" s="338"/>
      <c r="PIX9" s="338"/>
      <c r="PIY9" s="338"/>
      <c r="PIZ9" s="338"/>
      <c r="PJA9" s="338"/>
      <c r="PJB9" s="338"/>
      <c r="PJC9" s="338"/>
      <c r="PJD9" s="338"/>
      <c r="PJE9" s="338"/>
      <c r="PJF9" s="338"/>
      <c r="PJG9" s="338"/>
      <c r="PJH9" s="338"/>
      <c r="PJI9" s="338"/>
      <c r="PJJ9" s="338"/>
      <c r="PJK9" s="338"/>
      <c r="PJL9" s="338"/>
      <c r="PJM9" s="338"/>
      <c r="PJN9" s="338"/>
      <c r="PJO9" s="338"/>
      <c r="PJP9" s="338"/>
      <c r="PJQ9" s="338"/>
      <c r="PJR9" s="338"/>
      <c r="PJS9" s="338"/>
      <c r="PJT9" s="338"/>
      <c r="PJU9" s="338"/>
      <c r="PJV9" s="338"/>
      <c r="PJW9" s="338"/>
      <c r="PJX9" s="338"/>
      <c r="PJY9" s="338"/>
      <c r="PJZ9" s="338"/>
      <c r="PKA9" s="338"/>
      <c r="PKB9" s="338"/>
      <c r="PKC9" s="338"/>
      <c r="PKD9" s="338"/>
      <c r="PKE9" s="338"/>
      <c r="PKF9" s="338"/>
      <c r="PKG9" s="338"/>
      <c r="PKH9" s="338"/>
      <c r="PKI9" s="338"/>
      <c r="PKJ9" s="338"/>
      <c r="PKK9" s="338"/>
      <c r="PKL9" s="338"/>
      <c r="PKM9" s="338"/>
      <c r="PKN9" s="338"/>
      <c r="PKO9" s="338"/>
      <c r="PKP9" s="338"/>
      <c r="PKQ9" s="338"/>
      <c r="PKR9" s="338"/>
      <c r="PKS9" s="338"/>
      <c r="PKT9" s="338"/>
      <c r="PKU9" s="338"/>
      <c r="PKV9" s="338"/>
      <c r="PKW9" s="338"/>
      <c r="PKX9" s="338"/>
      <c r="PKY9" s="338"/>
      <c r="PKZ9" s="338"/>
      <c r="PLA9" s="338"/>
      <c r="PLB9" s="338"/>
      <c r="PLC9" s="338"/>
      <c r="PLD9" s="338"/>
      <c r="PLE9" s="338"/>
      <c r="PLF9" s="338"/>
      <c r="PLG9" s="338"/>
      <c r="PLH9" s="338"/>
      <c r="PLI9" s="338"/>
      <c r="PLJ9" s="338"/>
      <c r="PLK9" s="338"/>
      <c r="PLL9" s="338"/>
      <c r="PLM9" s="338"/>
      <c r="PLN9" s="338"/>
      <c r="PLO9" s="338"/>
      <c r="PLP9" s="338"/>
      <c r="PLQ9" s="338"/>
      <c r="PLR9" s="338"/>
      <c r="PLS9" s="338"/>
      <c r="PLT9" s="338"/>
      <c r="PLU9" s="338"/>
      <c r="PLV9" s="338"/>
      <c r="PLW9" s="338"/>
      <c r="PLX9" s="338"/>
      <c r="PLY9" s="338"/>
      <c r="PLZ9" s="338"/>
      <c r="PMA9" s="338"/>
      <c r="PMB9" s="338"/>
      <c r="PMC9" s="338"/>
      <c r="PMD9" s="338"/>
      <c r="PME9" s="338"/>
      <c r="PMF9" s="338"/>
      <c r="PMG9" s="338"/>
      <c r="PMH9" s="338"/>
      <c r="PMI9" s="338"/>
      <c r="PMJ9" s="338"/>
      <c r="PMK9" s="338"/>
      <c r="PML9" s="338"/>
      <c r="PMM9" s="338"/>
      <c r="PMN9" s="338"/>
      <c r="PMO9" s="338"/>
      <c r="PMP9" s="338"/>
      <c r="PMQ9" s="338"/>
      <c r="PMR9" s="338"/>
      <c r="PMS9" s="338"/>
      <c r="PMT9" s="338"/>
      <c r="PMU9" s="338"/>
      <c r="PMV9" s="338"/>
      <c r="PMW9" s="338"/>
      <c r="PMX9" s="338"/>
      <c r="PMY9" s="338"/>
      <c r="PMZ9" s="338"/>
      <c r="PNA9" s="338"/>
      <c r="PNB9" s="338"/>
      <c r="PNC9" s="338"/>
      <c r="PND9" s="338"/>
      <c r="PNE9" s="338"/>
      <c r="PNF9" s="338"/>
      <c r="PNG9" s="338"/>
      <c r="PNH9" s="338"/>
      <c r="PNI9" s="338"/>
      <c r="PNJ9" s="338"/>
      <c r="PNK9" s="338"/>
      <c r="PNL9" s="338"/>
      <c r="PNM9" s="338"/>
      <c r="PNN9" s="338"/>
      <c r="PNO9" s="338"/>
      <c r="PNP9" s="338"/>
      <c r="PNQ9" s="338"/>
      <c r="PNR9" s="338"/>
      <c r="PNS9" s="338"/>
      <c r="PNT9" s="338"/>
      <c r="PNU9" s="338"/>
      <c r="PNV9" s="338"/>
      <c r="PNW9" s="338"/>
      <c r="PNX9" s="338"/>
      <c r="PNY9" s="338"/>
      <c r="PNZ9" s="338"/>
      <c r="POA9" s="338"/>
      <c r="POB9" s="338"/>
      <c r="POC9" s="338"/>
      <c r="POD9" s="338"/>
      <c r="POE9" s="338"/>
      <c r="POF9" s="338"/>
      <c r="POG9" s="338"/>
      <c r="POH9" s="338"/>
      <c r="POI9" s="338"/>
      <c r="POJ9" s="338"/>
      <c r="POK9" s="338"/>
      <c r="POL9" s="338"/>
      <c r="POM9" s="338"/>
      <c r="PON9" s="338"/>
      <c r="POO9" s="338"/>
      <c r="POP9" s="338"/>
      <c r="POQ9" s="338"/>
      <c r="POR9" s="338"/>
      <c r="POS9" s="338"/>
      <c r="POT9" s="338"/>
      <c r="POU9" s="338"/>
      <c r="POV9" s="338"/>
      <c r="POW9" s="338"/>
      <c r="POX9" s="338"/>
      <c r="POY9" s="338"/>
      <c r="POZ9" s="338"/>
      <c r="PPA9" s="338"/>
      <c r="PPB9" s="338"/>
      <c r="PPC9" s="338"/>
      <c r="PPD9" s="338"/>
      <c r="PPE9" s="338"/>
      <c r="PPF9" s="338"/>
      <c r="PPG9" s="338"/>
      <c r="PPH9" s="338"/>
      <c r="PPI9" s="338"/>
      <c r="PPJ9" s="338"/>
      <c r="PPK9" s="338"/>
      <c r="PPL9" s="338"/>
      <c r="PPM9" s="338"/>
      <c r="PPN9" s="338"/>
      <c r="PPO9" s="338"/>
      <c r="PPP9" s="338"/>
      <c r="PPQ9" s="338"/>
      <c r="PPR9" s="338"/>
      <c r="PPS9" s="338"/>
      <c r="PPT9" s="338"/>
      <c r="PPU9" s="338"/>
      <c r="PPV9" s="338"/>
      <c r="PPW9" s="338"/>
      <c r="PPX9" s="338"/>
      <c r="PPY9" s="338"/>
      <c r="PPZ9" s="338"/>
      <c r="PQA9" s="338"/>
      <c r="PQB9" s="338"/>
      <c r="PQC9" s="338"/>
      <c r="PQD9" s="338"/>
      <c r="PQE9" s="338"/>
      <c r="PQF9" s="338"/>
      <c r="PQG9" s="338"/>
      <c r="PQH9" s="338"/>
      <c r="PQI9" s="338"/>
      <c r="PQJ9" s="338"/>
      <c r="PQK9" s="338"/>
      <c r="PQL9" s="338"/>
      <c r="PQM9" s="338"/>
      <c r="PQN9" s="338"/>
      <c r="PQO9" s="338"/>
      <c r="PQP9" s="338"/>
      <c r="PQQ9" s="338"/>
      <c r="PQR9" s="338"/>
      <c r="PQS9" s="338"/>
      <c r="PQT9" s="338"/>
      <c r="PQU9" s="338"/>
      <c r="PQV9" s="338"/>
      <c r="PQW9" s="338"/>
      <c r="PQX9" s="338"/>
      <c r="PQY9" s="338"/>
      <c r="PQZ9" s="338"/>
      <c r="PRA9" s="338"/>
      <c r="PRB9" s="338"/>
      <c r="PRC9" s="338"/>
      <c r="PRD9" s="338"/>
      <c r="PRE9" s="338"/>
      <c r="PRF9" s="338"/>
      <c r="PRG9" s="338"/>
      <c r="PRH9" s="338"/>
      <c r="PRI9" s="338"/>
      <c r="PRJ9" s="338"/>
      <c r="PRK9" s="338"/>
      <c r="PRL9" s="338"/>
      <c r="PRM9" s="338"/>
      <c r="PRN9" s="338"/>
      <c r="PRO9" s="338"/>
      <c r="PRP9" s="338"/>
      <c r="PRQ9" s="338"/>
      <c r="PRR9" s="338"/>
      <c r="PRS9" s="338"/>
      <c r="PRT9" s="338"/>
      <c r="PRU9" s="338"/>
      <c r="PRV9" s="338"/>
      <c r="PRW9" s="338"/>
      <c r="PRX9" s="338"/>
      <c r="PRY9" s="338"/>
      <c r="PRZ9" s="338"/>
      <c r="PSA9" s="338"/>
      <c r="PSB9" s="338"/>
      <c r="PSC9" s="338"/>
      <c r="PSD9" s="338"/>
      <c r="PSE9" s="338"/>
      <c r="PSF9" s="338"/>
      <c r="PSG9" s="338"/>
      <c r="PSH9" s="338"/>
      <c r="PSI9" s="338"/>
      <c r="PSJ9" s="338"/>
      <c r="PSK9" s="338"/>
      <c r="PSL9" s="338"/>
      <c r="PSM9" s="338"/>
      <c r="PSN9" s="338"/>
      <c r="PSO9" s="338"/>
      <c r="PSP9" s="338"/>
      <c r="PSQ9" s="338"/>
      <c r="PSR9" s="338"/>
      <c r="PSS9" s="338"/>
      <c r="PST9" s="338"/>
      <c r="PSU9" s="338"/>
      <c r="PSV9" s="338"/>
      <c r="PSW9" s="338"/>
      <c r="PSX9" s="338"/>
      <c r="PSY9" s="338"/>
      <c r="PSZ9" s="338"/>
      <c r="PTA9" s="338"/>
      <c r="PTB9" s="338"/>
      <c r="PTC9" s="338"/>
      <c r="PTD9" s="338"/>
      <c r="PTE9" s="338"/>
      <c r="PTF9" s="338"/>
      <c r="PTG9" s="338"/>
      <c r="PTH9" s="338"/>
      <c r="PTI9" s="338"/>
      <c r="PTJ9" s="338"/>
      <c r="PTK9" s="338"/>
      <c r="PTL9" s="338"/>
      <c r="PTM9" s="338"/>
      <c r="PTN9" s="338"/>
      <c r="PTO9" s="338"/>
      <c r="PTP9" s="338"/>
      <c r="PTQ9" s="338"/>
      <c r="PTR9" s="338"/>
      <c r="PTS9" s="338"/>
      <c r="PTT9" s="338"/>
      <c r="PTU9" s="338"/>
      <c r="PTV9" s="338"/>
      <c r="PTW9" s="338"/>
      <c r="PTX9" s="338"/>
      <c r="PTY9" s="338"/>
      <c r="PTZ9" s="338"/>
      <c r="PUA9" s="338"/>
      <c r="PUB9" s="338"/>
      <c r="PUC9" s="338"/>
      <c r="PUD9" s="338"/>
      <c r="PUE9" s="338"/>
      <c r="PUF9" s="338"/>
      <c r="PUG9" s="338"/>
      <c r="PUH9" s="338"/>
      <c r="PUI9" s="338"/>
      <c r="PUJ9" s="338"/>
      <c r="PUK9" s="338"/>
      <c r="PUL9" s="338"/>
      <c r="PUM9" s="338"/>
      <c r="PUN9" s="338"/>
      <c r="PUO9" s="338"/>
      <c r="PUP9" s="338"/>
      <c r="PUQ9" s="338"/>
      <c r="PUR9" s="338"/>
      <c r="PUS9" s="338"/>
      <c r="PUT9" s="338"/>
      <c r="PUU9" s="338"/>
      <c r="PUV9" s="338"/>
      <c r="PUW9" s="338"/>
      <c r="PUX9" s="338"/>
      <c r="PUY9" s="338"/>
      <c r="PUZ9" s="338"/>
      <c r="PVA9" s="338"/>
      <c r="PVB9" s="338"/>
      <c r="PVC9" s="338"/>
      <c r="PVD9" s="338"/>
      <c r="PVE9" s="338"/>
      <c r="PVF9" s="338"/>
      <c r="PVG9" s="338"/>
      <c r="PVH9" s="338"/>
      <c r="PVI9" s="338"/>
      <c r="PVJ9" s="338"/>
      <c r="PVK9" s="338"/>
      <c r="PVL9" s="338"/>
      <c r="PVM9" s="338"/>
      <c r="PVN9" s="338"/>
      <c r="PVO9" s="338"/>
      <c r="PVP9" s="338"/>
      <c r="PVQ9" s="338"/>
      <c r="PVR9" s="338"/>
      <c r="PVS9" s="338"/>
      <c r="PVT9" s="338"/>
      <c r="PVU9" s="338"/>
      <c r="PVV9" s="338"/>
      <c r="PVW9" s="338"/>
      <c r="PVX9" s="338"/>
      <c r="PVY9" s="338"/>
      <c r="PVZ9" s="338"/>
      <c r="PWA9" s="338"/>
      <c r="PWB9" s="338"/>
      <c r="PWC9" s="338"/>
      <c r="PWD9" s="338"/>
      <c r="PWE9" s="338"/>
      <c r="PWF9" s="338"/>
      <c r="PWG9" s="338"/>
      <c r="PWH9" s="338"/>
      <c r="PWI9" s="338"/>
      <c r="PWJ9" s="338"/>
      <c r="PWK9" s="338"/>
      <c r="PWL9" s="338"/>
      <c r="PWM9" s="338"/>
      <c r="PWN9" s="338"/>
      <c r="PWO9" s="338"/>
      <c r="PWP9" s="338"/>
      <c r="PWQ9" s="338"/>
      <c r="PWR9" s="338"/>
      <c r="PWS9" s="338"/>
      <c r="PWT9" s="338"/>
      <c r="PWU9" s="338"/>
      <c r="PWV9" s="338"/>
      <c r="PWW9" s="338"/>
      <c r="PWX9" s="338"/>
      <c r="PWY9" s="338"/>
      <c r="PWZ9" s="338"/>
      <c r="PXA9" s="338"/>
      <c r="PXB9" s="338"/>
      <c r="PXC9" s="338"/>
      <c r="PXD9" s="338"/>
      <c r="PXE9" s="338"/>
      <c r="PXF9" s="338"/>
      <c r="PXG9" s="338"/>
      <c r="PXH9" s="338"/>
      <c r="PXI9" s="338"/>
      <c r="PXJ9" s="338"/>
      <c r="PXK9" s="338"/>
      <c r="PXL9" s="338"/>
      <c r="PXM9" s="338"/>
      <c r="PXN9" s="338"/>
      <c r="PXO9" s="338"/>
      <c r="PXP9" s="338"/>
      <c r="PXQ9" s="338"/>
      <c r="PXR9" s="338"/>
      <c r="PXS9" s="338"/>
      <c r="PXT9" s="338"/>
      <c r="PXU9" s="338"/>
      <c r="PXV9" s="338"/>
      <c r="PXW9" s="338"/>
      <c r="PXX9" s="338"/>
      <c r="PXY9" s="338"/>
      <c r="PXZ9" s="338"/>
      <c r="PYA9" s="338"/>
      <c r="PYB9" s="338"/>
      <c r="PYC9" s="338"/>
      <c r="PYD9" s="338"/>
      <c r="PYE9" s="338"/>
      <c r="PYF9" s="338"/>
      <c r="PYG9" s="338"/>
      <c r="PYH9" s="338"/>
      <c r="PYI9" s="338"/>
      <c r="PYJ9" s="338"/>
      <c r="PYK9" s="338"/>
      <c r="PYL9" s="338"/>
      <c r="PYM9" s="338"/>
      <c r="PYN9" s="338"/>
      <c r="PYO9" s="338"/>
      <c r="PYP9" s="338"/>
      <c r="PYQ9" s="338"/>
      <c r="PYR9" s="338"/>
      <c r="PYS9" s="338"/>
      <c r="PYT9" s="338"/>
      <c r="PYU9" s="338"/>
      <c r="PYV9" s="338"/>
      <c r="PYW9" s="338"/>
      <c r="PYX9" s="338"/>
      <c r="PYY9" s="338"/>
      <c r="PYZ9" s="338"/>
      <c r="PZA9" s="338"/>
      <c r="PZB9" s="338"/>
      <c r="PZC9" s="338"/>
      <c r="PZD9" s="338"/>
      <c r="PZE9" s="338"/>
      <c r="PZF9" s="338"/>
      <c r="PZG9" s="338"/>
      <c r="PZH9" s="338"/>
      <c r="PZI9" s="338"/>
      <c r="PZJ9" s="338"/>
      <c r="PZK9" s="338"/>
      <c r="PZL9" s="338"/>
      <c r="PZM9" s="338"/>
      <c r="PZN9" s="338"/>
      <c r="PZO9" s="338"/>
      <c r="PZP9" s="338"/>
      <c r="PZQ9" s="338"/>
      <c r="PZR9" s="338"/>
      <c r="PZS9" s="338"/>
      <c r="PZT9" s="338"/>
      <c r="PZU9" s="338"/>
      <c r="PZV9" s="338"/>
      <c r="PZW9" s="338"/>
      <c r="PZX9" s="338"/>
      <c r="PZY9" s="338"/>
      <c r="PZZ9" s="338"/>
      <c r="QAA9" s="338"/>
      <c r="QAB9" s="338"/>
      <c r="QAC9" s="338"/>
      <c r="QAD9" s="338"/>
      <c r="QAE9" s="338"/>
      <c r="QAF9" s="338"/>
      <c r="QAG9" s="338"/>
      <c r="QAH9" s="338"/>
      <c r="QAI9" s="338"/>
      <c r="QAJ9" s="338"/>
      <c r="QAK9" s="338"/>
      <c r="QAL9" s="338"/>
      <c r="QAM9" s="338"/>
      <c r="QAN9" s="338"/>
      <c r="QAO9" s="338"/>
      <c r="QAP9" s="338"/>
      <c r="QAQ9" s="338"/>
      <c r="QAR9" s="338"/>
      <c r="QAS9" s="338"/>
      <c r="QAT9" s="338"/>
      <c r="QAU9" s="338"/>
      <c r="QAV9" s="338"/>
      <c r="QAW9" s="338"/>
      <c r="QAX9" s="338"/>
      <c r="QAY9" s="338"/>
      <c r="QAZ9" s="338"/>
      <c r="QBA9" s="338"/>
      <c r="QBB9" s="338"/>
      <c r="QBC9" s="338"/>
      <c r="QBD9" s="338"/>
      <c r="QBE9" s="338"/>
      <c r="QBF9" s="338"/>
      <c r="QBG9" s="338"/>
      <c r="QBH9" s="338"/>
      <c r="QBI9" s="338"/>
      <c r="QBJ9" s="338"/>
      <c r="QBK9" s="338"/>
      <c r="QBL9" s="338"/>
      <c r="QBM9" s="338"/>
      <c r="QBN9" s="338"/>
      <c r="QBO9" s="338"/>
      <c r="QBP9" s="338"/>
      <c r="QBQ9" s="338"/>
      <c r="QBR9" s="338"/>
      <c r="QBS9" s="338"/>
      <c r="QBT9" s="338"/>
      <c r="QBU9" s="338"/>
      <c r="QBV9" s="338"/>
      <c r="QBW9" s="338"/>
      <c r="QBX9" s="338"/>
      <c r="QBY9" s="338"/>
      <c r="QBZ9" s="338"/>
      <c r="QCA9" s="338"/>
      <c r="QCB9" s="338"/>
      <c r="QCC9" s="338"/>
      <c r="QCD9" s="338"/>
      <c r="QCE9" s="338"/>
      <c r="QCF9" s="338"/>
      <c r="QCG9" s="338"/>
      <c r="QCH9" s="338"/>
      <c r="QCI9" s="338"/>
      <c r="QCJ9" s="338"/>
      <c r="QCK9" s="338"/>
      <c r="QCL9" s="338"/>
      <c r="QCM9" s="338"/>
      <c r="QCN9" s="338"/>
      <c r="QCO9" s="338"/>
      <c r="QCP9" s="338"/>
      <c r="QCQ9" s="338"/>
      <c r="QCR9" s="338"/>
      <c r="QCS9" s="338"/>
      <c r="QCT9" s="338"/>
      <c r="QCU9" s="338"/>
      <c r="QCV9" s="338"/>
      <c r="QCW9" s="338"/>
      <c r="QCX9" s="338"/>
      <c r="QCY9" s="338"/>
      <c r="QCZ9" s="338"/>
      <c r="QDA9" s="338"/>
      <c r="QDB9" s="338"/>
      <c r="QDC9" s="338"/>
      <c r="QDD9" s="338"/>
      <c r="QDE9" s="338"/>
      <c r="QDF9" s="338"/>
      <c r="QDG9" s="338"/>
      <c r="QDH9" s="338"/>
      <c r="QDI9" s="338"/>
      <c r="QDJ9" s="338"/>
      <c r="QDK9" s="338"/>
      <c r="QDL9" s="338"/>
      <c r="QDM9" s="338"/>
      <c r="QDN9" s="338"/>
      <c r="QDO9" s="338"/>
      <c r="QDP9" s="338"/>
      <c r="QDQ9" s="338"/>
      <c r="QDR9" s="338"/>
      <c r="QDS9" s="338"/>
      <c r="QDT9" s="338"/>
      <c r="QDU9" s="338"/>
      <c r="QDV9" s="338"/>
      <c r="QDW9" s="338"/>
      <c r="QDX9" s="338"/>
      <c r="QDY9" s="338"/>
      <c r="QDZ9" s="338"/>
      <c r="QEA9" s="338"/>
      <c r="QEB9" s="338"/>
      <c r="QEC9" s="338"/>
      <c r="QED9" s="338"/>
      <c r="QEE9" s="338"/>
      <c r="QEF9" s="338"/>
      <c r="QEG9" s="338"/>
      <c r="QEH9" s="338"/>
      <c r="QEI9" s="338"/>
      <c r="QEJ9" s="338"/>
      <c r="QEK9" s="338"/>
      <c r="QEL9" s="338"/>
      <c r="QEM9" s="338"/>
      <c r="QEN9" s="338"/>
      <c r="QEO9" s="338"/>
      <c r="QEP9" s="338"/>
      <c r="QEQ9" s="338"/>
      <c r="QER9" s="338"/>
      <c r="QES9" s="338"/>
      <c r="QET9" s="338"/>
      <c r="QEU9" s="338"/>
      <c r="QEV9" s="338"/>
      <c r="QEW9" s="338"/>
      <c r="QEX9" s="338"/>
      <c r="QEY9" s="338"/>
      <c r="QEZ9" s="338"/>
      <c r="QFA9" s="338"/>
      <c r="QFB9" s="338"/>
      <c r="QFC9" s="338"/>
      <c r="QFD9" s="338"/>
      <c r="QFE9" s="338"/>
      <c r="QFF9" s="338"/>
      <c r="QFG9" s="338"/>
      <c r="QFH9" s="338"/>
      <c r="QFI9" s="338"/>
      <c r="QFJ9" s="338"/>
      <c r="QFK9" s="338"/>
      <c r="QFL9" s="338"/>
      <c r="QFM9" s="338"/>
      <c r="QFN9" s="338"/>
      <c r="QFO9" s="338"/>
      <c r="QFP9" s="338"/>
      <c r="QFQ9" s="338"/>
      <c r="QFR9" s="338"/>
      <c r="QFS9" s="338"/>
      <c r="QFT9" s="338"/>
      <c r="QFU9" s="338"/>
      <c r="QFV9" s="338"/>
      <c r="QFW9" s="338"/>
      <c r="QFX9" s="338"/>
      <c r="QFY9" s="338"/>
      <c r="QFZ9" s="338"/>
      <c r="QGA9" s="338"/>
      <c r="QGB9" s="338"/>
      <c r="QGC9" s="338"/>
      <c r="QGD9" s="338"/>
      <c r="QGE9" s="338"/>
      <c r="QGF9" s="338"/>
      <c r="QGG9" s="338"/>
      <c r="QGH9" s="338"/>
      <c r="QGI9" s="338"/>
      <c r="QGJ9" s="338"/>
      <c r="QGK9" s="338"/>
      <c r="QGL9" s="338"/>
      <c r="QGM9" s="338"/>
      <c r="QGN9" s="338"/>
      <c r="QGO9" s="338"/>
      <c r="QGP9" s="338"/>
      <c r="QGQ9" s="338"/>
      <c r="QGR9" s="338"/>
      <c r="QGS9" s="338"/>
      <c r="QGT9" s="338"/>
      <c r="QGU9" s="338"/>
      <c r="QGV9" s="338"/>
      <c r="QGW9" s="338"/>
      <c r="QGX9" s="338"/>
      <c r="QGY9" s="338"/>
      <c r="QGZ9" s="338"/>
      <c r="QHA9" s="338"/>
      <c r="QHB9" s="338"/>
      <c r="QHC9" s="338"/>
      <c r="QHD9" s="338"/>
      <c r="QHE9" s="338"/>
      <c r="QHF9" s="338"/>
      <c r="QHG9" s="338"/>
      <c r="QHH9" s="338"/>
      <c r="QHI9" s="338"/>
      <c r="QHJ9" s="338"/>
      <c r="QHK9" s="338"/>
      <c r="QHL9" s="338"/>
      <c r="QHM9" s="338"/>
      <c r="QHN9" s="338"/>
      <c r="QHO9" s="338"/>
      <c r="QHP9" s="338"/>
      <c r="QHQ9" s="338"/>
      <c r="QHR9" s="338"/>
      <c r="QHS9" s="338"/>
      <c r="QHT9" s="338"/>
      <c r="QHU9" s="338"/>
      <c r="QHV9" s="338"/>
      <c r="QHW9" s="338"/>
      <c r="QHX9" s="338"/>
      <c r="QHY9" s="338"/>
      <c r="QHZ9" s="338"/>
      <c r="QIA9" s="338"/>
      <c r="QIB9" s="338"/>
      <c r="QIC9" s="338"/>
      <c r="QID9" s="338"/>
      <c r="QIE9" s="338"/>
      <c r="QIF9" s="338"/>
      <c r="QIG9" s="338"/>
      <c r="QIH9" s="338"/>
      <c r="QII9" s="338"/>
      <c r="QIJ9" s="338"/>
      <c r="QIK9" s="338"/>
      <c r="QIL9" s="338"/>
      <c r="QIM9" s="338"/>
      <c r="QIN9" s="338"/>
      <c r="QIO9" s="338"/>
      <c r="QIP9" s="338"/>
      <c r="QIQ9" s="338"/>
      <c r="QIR9" s="338"/>
      <c r="QIS9" s="338"/>
      <c r="QIT9" s="338"/>
      <c r="QIU9" s="338"/>
      <c r="QIV9" s="338"/>
      <c r="QIW9" s="338"/>
      <c r="QIX9" s="338"/>
      <c r="QIY9" s="338"/>
      <c r="QIZ9" s="338"/>
      <c r="QJA9" s="338"/>
      <c r="QJB9" s="338"/>
      <c r="QJC9" s="338"/>
      <c r="QJD9" s="338"/>
      <c r="QJE9" s="338"/>
      <c r="QJF9" s="338"/>
      <c r="QJG9" s="338"/>
      <c r="QJH9" s="338"/>
      <c r="QJI9" s="338"/>
      <c r="QJJ9" s="338"/>
      <c r="QJK9" s="338"/>
      <c r="QJL9" s="338"/>
      <c r="QJM9" s="338"/>
      <c r="QJN9" s="338"/>
      <c r="QJO9" s="338"/>
      <c r="QJP9" s="338"/>
      <c r="QJQ9" s="338"/>
      <c r="QJR9" s="338"/>
      <c r="QJS9" s="338"/>
      <c r="QJT9" s="338"/>
      <c r="QJU9" s="338"/>
      <c r="QJV9" s="338"/>
      <c r="QJW9" s="338"/>
      <c r="QJX9" s="338"/>
      <c r="QJY9" s="338"/>
      <c r="QJZ9" s="338"/>
      <c r="QKA9" s="338"/>
      <c r="QKB9" s="338"/>
      <c r="QKC9" s="338"/>
      <c r="QKD9" s="338"/>
      <c r="QKE9" s="338"/>
      <c r="QKF9" s="338"/>
      <c r="QKG9" s="338"/>
      <c r="QKH9" s="338"/>
      <c r="QKI9" s="338"/>
      <c r="QKJ9" s="338"/>
      <c r="QKK9" s="338"/>
      <c r="QKL9" s="338"/>
      <c r="QKM9" s="338"/>
      <c r="QKN9" s="338"/>
      <c r="QKO9" s="338"/>
      <c r="QKP9" s="338"/>
      <c r="QKQ9" s="338"/>
      <c r="QKR9" s="338"/>
      <c r="QKS9" s="338"/>
      <c r="QKT9" s="338"/>
      <c r="QKU9" s="338"/>
      <c r="QKV9" s="338"/>
      <c r="QKW9" s="338"/>
      <c r="QKX9" s="338"/>
      <c r="QKY9" s="338"/>
      <c r="QKZ9" s="338"/>
      <c r="QLA9" s="338"/>
      <c r="QLB9" s="338"/>
      <c r="QLC9" s="338"/>
      <c r="QLD9" s="338"/>
      <c r="QLE9" s="338"/>
      <c r="QLF9" s="338"/>
      <c r="QLG9" s="338"/>
      <c r="QLH9" s="338"/>
      <c r="QLI9" s="338"/>
      <c r="QLJ9" s="338"/>
      <c r="QLK9" s="338"/>
      <c r="QLL9" s="338"/>
      <c r="QLM9" s="338"/>
      <c r="QLN9" s="338"/>
      <c r="QLO9" s="338"/>
      <c r="QLP9" s="338"/>
      <c r="QLQ9" s="338"/>
      <c r="QLR9" s="338"/>
      <c r="QLS9" s="338"/>
      <c r="QLT9" s="338"/>
      <c r="QLU9" s="338"/>
      <c r="QLV9" s="338"/>
      <c r="QLW9" s="338"/>
      <c r="QLX9" s="338"/>
      <c r="QLY9" s="338"/>
      <c r="QLZ9" s="338"/>
      <c r="QMA9" s="338"/>
      <c r="QMB9" s="338"/>
      <c r="QMC9" s="338"/>
      <c r="QMD9" s="338"/>
      <c r="QME9" s="338"/>
      <c r="QMF9" s="338"/>
      <c r="QMG9" s="338"/>
      <c r="QMH9" s="338"/>
      <c r="QMI9" s="338"/>
      <c r="QMJ9" s="338"/>
      <c r="QMK9" s="338"/>
      <c r="QML9" s="338"/>
      <c r="QMM9" s="338"/>
      <c r="QMN9" s="338"/>
      <c r="QMO9" s="338"/>
      <c r="QMP9" s="338"/>
      <c r="QMQ9" s="338"/>
      <c r="QMR9" s="338"/>
      <c r="QMS9" s="338"/>
      <c r="QMT9" s="338"/>
      <c r="QMU9" s="338"/>
      <c r="QMV9" s="338"/>
      <c r="QMW9" s="338"/>
      <c r="QMX9" s="338"/>
      <c r="QMY9" s="338"/>
      <c r="QMZ9" s="338"/>
      <c r="QNA9" s="338"/>
      <c r="QNB9" s="338"/>
      <c r="QNC9" s="338"/>
      <c r="QND9" s="338"/>
      <c r="QNE9" s="338"/>
      <c r="QNF9" s="338"/>
      <c r="QNG9" s="338"/>
      <c r="QNH9" s="338"/>
      <c r="QNI9" s="338"/>
      <c r="QNJ9" s="338"/>
      <c r="QNK9" s="338"/>
      <c r="QNL9" s="338"/>
      <c r="QNM9" s="338"/>
      <c r="QNN9" s="338"/>
      <c r="QNO9" s="338"/>
      <c r="QNP9" s="338"/>
      <c r="QNQ9" s="338"/>
      <c r="QNR9" s="338"/>
      <c r="QNS9" s="338"/>
      <c r="QNT9" s="338"/>
      <c r="QNU9" s="338"/>
      <c r="QNV9" s="338"/>
      <c r="QNW9" s="338"/>
      <c r="QNX9" s="338"/>
      <c r="QNY9" s="338"/>
      <c r="QNZ9" s="338"/>
      <c r="QOA9" s="338"/>
      <c r="QOB9" s="338"/>
      <c r="QOC9" s="338"/>
      <c r="QOD9" s="338"/>
      <c r="QOE9" s="338"/>
      <c r="QOF9" s="338"/>
      <c r="QOG9" s="338"/>
      <c r="QOH9" s="338"/>
      <c r="QOI9" s="338"/>
      <c r="QOJ9" s="338"/>
      <c r="QOK9" s="338"/>
      <c r="QOL9" s="338"/>
      <c r="QOM9" s="338"/>
      <c r="QON9" s="338"/>
      <c r="QOO9" s="338"/>
      <c r="QOP9" s="338"/>
      <c r="QOQ9" s="338"/>
      <c r="QOR9" s="338"/>
      <c r="QOS9" s="338"/>
      <c r="QOT9" s="338"/>
      <c r="QOU9" s="338"/>
      <c r="QOV9" s="338"/>
      <c r="QOW9" s="338"/>
      <c r="QOX9" s="338"/>
      <c r="QOY9" s="338"/>
      <c r="QOZ9" s="338"/>
      <c r="QPA9" s="338"/>
      <c r="QPB9" s="338"/>
      <c r="QPC9" s="338"/>
      <c r="QPD9" s="338"/>
      <c r="QPE9" s="338"/>
      <c r="QPF9" s="338"/>
      <c r="QPG9" s="338"/>
      <c r="QPH9" s="338"/>
      <c r="QPI9" s="338"/>
      <c r="QPJ9" s="338"/>
      <c r="QPK9" s="338"/>
      <c r="QPL9" s="338"/>
      <c r="QPM9" s="338"/>
      <c r="QPN9" s="338"/>
      <c r="QPO9" s="338"/>
      <c r="QPP9" s="338"/>
      <c r="QPQ9" s="338"/>
      <c r="QPR9" s="338"/>
      <c r="QPS9" s="338"/>
      <c r="QPT9" s="338"/>
      <c r="QPU9" s="338"/>
      <c r="QPV9" s="338"/>
      <c r="QPW9" s="338"/>
      <c r="QPX9" s="338"/>
      <c r="QPY9" s="338"/>
      <c r="QPZ9" s="338"/>
      <c r="QQA9" s="338"/>
      <c r="QQB9" s="338"/>
      <c r="QQC9" s="338"/>
      <c r="QQD9" s="338"/>
      <c r="QQE9" s="338"/>
      <c r="QQF9" s="338"/>
      <c r="QQG9" s="338"/>
      <c r="QQH9" s="338"/>
      <c r="QQI9" s="338"/>
      <c r="QQJ9" s="338"/>
      <c r="QQK9" s="338"/>
      <c r="QQL9" s="338"/>
      <c r="QQM9" s="338"/>
      <c r="QQN9" s="338"/>
      <c r="QQO9" s="338"/>
      <c r="QQP9" s="338"/>
      <c r="QQQ9" s="338"/>
      <c r="QQR9" s="338"/>
      <c r="QQS9" s="338"/>
      <c r="QQT9" s="338"/>
      <c r="QQU9" s="338"/>
      <c r="QQV9" s="338"/>
      <c r="QQW9" s="338"/>
      <c r="QQX9" s="338"/>
      <c r="QQY9" s="338"/>
      <c r="QQZ9" s="338"/>
      <c r="QRA9" s="338"/>
      <c r="QRB9" s="338"/>
      <c r="QRC9" s="338"/>
      <c r="QRD9" s="338"/>
      <c r="QRE9" s="338"/>
      <c r="QRF9" s="338"/>
      <c r="QRG9" s="338"/>
      <c r="QRH9" s="338"/>
      <c r="QRI9" s="338"/>
      <c r="QRJ9" s="338"/>
      <c r="QRK9" s="338"/>
      <c r="QRL9" s="338"/>
      <c r="QRM9" s="338"/>
      <c r="QRN9" s="338"/>
      <c r="QRO9" s="338"/>
      <c r="QRP9" s="338"/>
      <c r="QRQ9" s="338"/>
      <c r="QRR9" s="338"/>
      <c r="QRS9" s="338"/>
      <c r="QRT9" s="338"/>
      <c r="QRU9" s="338"/>
      <c r="QRV9" s="338"/>
      <c r="QRW9" s="338"/>
      <c r="QRX9" s="338"/>
      <c r="QRY9" s="338"/>
      <c r="QRZ9" s="338"/>
      <c r="QSA9" s="338"/>
      <c r="QSB9" s="338"/>
      <c r="QSC9" s="338"/>
      <c r="QSD9" s="338"/>
      <c r="QSE9" s="338"/>
      <c r="QSF9" s="338"/>
      <c r="QSG9" s="338"/>
      <c r="QSH9" s="338"/>
      <c r="QSI9" s="338"/>
      <c r="QSJ9" s="338"/>
      <c r="QSK9" s="338"/>
      <c r="QSL9" s="338"/>
      <c r="QSM9" s="338"/>
      <c r="QSN9" s="338"/>
      <c r="QSO9" s="338"/>
      <c r="QSP9" s="338"/>
      <c r="QSQ9" s="338"/>
      <c r="QSR9" s="338"/>
      <c r="QSS9" s="338"/>
      <c r="QST9" s="338"/>
      <c r="QSU9" s="338"/>
      <c r="QSV9" s="338"/>
      <c r="QSW9" s="338"/>
      <c r="QSX9" s="338"/>
      <c r="QSY9" s="338"/>
      <c r="QSZ9" s="338"/>
      <c r="QTA9" s="338"/>
      <c r="QTB9" s="338"/>
      <c r="QTC9" s="338"/>
      <c r="QTD9" s="338"/>
      <c r="QTE9" s="338"/>
      <c r="QTF9" s="338"/>
      <c r="QTG9" s="338"/>
      <c r="QTH9" s="338"/>
      <c r="QTI9" s="338"/>
      <c r="QTJ9" s="338"/>
      <c r="QTK9" s="338"/>
      <c r="QTL9" s="338"/>
      <c r="QTM9" s="338"/>
      <c r="QTN9" s="338"/>
      <c r="QTO9" s="338"/>
      <c r="QTP9" s="338"/>
      <c r="QTQ9" s="338"/>
      <c r="QTR9" s="338"/>
      <c r="QTS9" s="338"/>
      <c r="QTT9" s="338"/>
      <c r="QTU9" s="338"/>
      <c r="QTV9" s="338"/>
      <c r="QTW9" s="338"/>
      <c r="QTX9" s="338"/>
      <c r="QTY9" s="338"/>
      <c r="QTZ9" s="338"/>
      <c r="QUA9" s="338"/>
      <c r="QUB9" s="338"/>
      <c r="QUC9" s="338"/>
      <c r="QUD9" s="338"/>
      <c r="QUE9" s="338"/>
      <c r="QUF9" s="338"/>
      <c r="QUG9" s="338"/>
      <c r="QUH9" s="338"/>
      <c r="QUI9" s="338"/>
      <c r="QUJ9" s="338"/>
      <c r="QUK9" s="338"/>
      <c r="QUL9" s="338"/>
      <c r="QUM9" s="338"/>
      <c r="QUN9" s="338"/>
      <c r="QUO9" s="338"/>
      <c r="QUP9" s="338"/>
      <c r="QUQ9" s="338"/>
      <c r="QUR9" s="338"/>
      <c r="QUS9" s="338"/>
      <c r="QUT9" s="338"/>
      <c r="QUU9" s="338"/>
      <c r="QUV9" s="338"/>
      <c r="QUW9" s="338"/>
      <c r="QUX9" s="338"/>
      <c r="QUY9" s="338"/>
      <c r="QUZ9" s="338"/>
      <c r="QVA9" s="338"/>
      <c r="QVB9" s="338"/>
      <c r="QVC9" s="338"/>
      <c r="QVD9" s="338"/>
      <c r="QVE9" s="338"/>
      <c r="QVF9" s="338"/>
      <c r="QVG9" s="338"/>
      <c r="QVH9" s="338"/>
      <c r="QVI9" s="338"/>
      <c r="QVJ9" s="338"/>
      <c r="QVK9" s="338"/>
      <c r="QVL9" s="338"/>
      <c r="QVM9" s="338"/>
      <c r="QVN9" s="338"/>
      <c r="QVO9" s="338"/>
      <c r="QVP9" s="338"/>
      <c r="QVQ9" s="338"/>
      <c r="QVR9" s="338"/>
      <c r="QVS9" s="338"/>
      <c r="QVT9" s="338"/>
      <c r="QVU9" s="338"/>
      <c r="QVV9" s="338"/>
      <c r="QVW9" s="338"/>
      <c r="QVX9" s="338"/>
      <c r="QVY9" s="338"/>
      <c r="QVZ9" s="338"/>
      <c r="QWA9" s="338"/>
      <c r="QWB9" s="338"/>
      <c r="QWC9" s="338"/>
      <c r="QWD9" s="338"/>
      <c r="QWE9" s="338"/>
      <c r="QWF9" s="338"/>
      <c r="QWG9" s="338"/>
      <c r="QWH9" s="338"/>
      <c r="QWI9" s="338"/>
      <c r="QWJ9" s="338"/>
      <c r="QWK9" s="338"/>
      <c r="QWL9" s="338"/>
      <c r="QWM9" s="338"/>
      <c r="QWN9" s="338"/>
      <c r="QWO9" s="338"/>
      <c r="QWP9" s="338"/>
      <c r="QWQ9" s="338"/>
      <c r="QWR9" s="338"/>
      <c r="QWS9" s="338"/>
      <c r="QWT9" s="338"/>
      <c r="QWU9" s="338"/>
      <c r="QWV9" s="338"/>
      <c r="QWW9" s="338"/>
      <c r="QWX9" s="338"/>
      <c r="QWY9" s="338"/>
      <c r="QWZ9" s="338"/>
      <c r="QXA9" s="338"/>
      <c r="QXB9" s="338"/>
      <c r="QXC9" s="338"/>
      <c r="QXD9" s="338"/>
      <c r="QXE9" s="338"/>
      <c r="QXF9" s="338"/>
      <c r="QXG9" s="338"/>
      <c r="QXH9" s="338"/>
      <c r="QXI9" s="338"/>
      <c r="QXJ9" s="338"/>
      <c r="QXK9" s="338"/>
      <c r="QXL9" s="338"/>
      <c r="QXM9" s="338"/>
      <c r="QXN9" s="338"/>
      <c r="QXO9" s="338"/>
      <c r="QXP9" s="338"/>
      <c r="QXQ9" s="338"/>
      <c r="QXR9" s="338"/>
      <c r="QXS9" s="338"/>
      <c r="QXT9" s="338"/>
      <c r="QXU9" s="338"/>
      <c r="QXV9" s="338"/>
      <c r="QXW9" s="338"/>
      <c r="QXX9" s="338"/>
      <c r="QXY9" s="338"/>
      <c r="QXZ9" s="338"/>
      <c r="QYA9" s="338"/>
      <c r="QYB9" s="338"/>
      <c r="QYC9" s="338"/>
      <c r="QYD9" s="338"/>
      <c r="QYE9" s="338"/>
      <c r="QYF9" s="338"/>
      <c r="QYG9" s="338"/>
      <c r="QYH9" s="338"/>
      <c r="QYI9" s="338"/>
      <c r="QYJ9" s="338"/>
      <c r="QYK9" s="338"/>
      <c r="QYL9" s="338"/>
      <c r="QYM9" s="338"/>
      <c r="QYN9" s="338"/>
      <c r="QYO9" s="338"/>
      <c r="QYP9" s="338"/>
      <c r="QYQ9" s="338"/>
      <c r="QYR9" s="338"/>
      <c r="QYS9" s="338"/>
      <c r="QYT9" s="338"/>
      <c r="QYU9" s="338"/>
      <c r="QYV9" s="338"/>
      <c r="QYW9" s="338"/>
      <c r="QYX9" s="338"/>
      <c r="QYY9" s="338"/>
      <c r="QYZ9" s="338"/>
      <c r="QZA9" s="338"/>
      <c r="QZB9" s="338"/>
      <c r="QZC9" s="338"/>
      <c r="QZD9" s="338"/>
      <c r="QZE9" s="338"/>
      <c r="QZF9" s="338"/>
      <c r="QZG9" s="338"/>
      <c r="QZH9" s="338"/>
      <c r="QZI9" s="338"/>
      <c r="QZJ9" s="338"/>
      <c r="QZK9" s="338"/>
      <c r="QZL9" s="338"/>
      <c r="QZM9" s="338"/>
      <c r="QZN9" s="338"/>
      <c r="QZO9" s="338"/>
      <c r="QZP9" s="338"/>
      <c r="QZQ9" s="338"/>
      <c r="QZR9" s="338"/>
      <c r="QZS9" s="338"/>
      <c r="QZT9" s="338"/>
      <c r="QZU9" s="338"/>
      <c r="QZV9" s="338"/>
      <c r="QZW9" s="338"/>
      <c r="QZX9" s="338"/>
      <c r="QZY9" s="338"/>
      <c r="QZZ9" s="338"/>
      <c r="RAA9" s="338"/>
      <c r="RAB9" s="338"/>
      <c r="RAC9" s="338"/>
      <c r="RAD9" s="338"/>
      <c r="RAE9" s="338"/>
      <c r="RAF9" s="338"/>
      <c r="RAG9" s="338"/>
      <c r="RAH9" s="338"/>
      <c r="RAI9" s="338"/>
      <c r="RAJ9" s="338"/>
      <c r="RAK9" s="338"/>
      <c r="RAL9" s="338"/>
      <c r="RAM9" s="338"/>
      <c r="RAN9" s="338"/>
      <c r="RAO9" s="338"/>
      <c r="RAP9" s="338"/>
      <c r="RAQ9" s="338"/>
      <c r="RAR9" s="338"/>
      <c r="RAS9" s="338"/>
      <c r="RAT9" s="338"/>
      <c r="RAU9" s="338"/>
      <c r="RAV9" s="338"/>
      <c r="RAW9" s="338"/>
      <c r="RAX9" s="338"/>
      <c r="RAY9" s="338"/>
      <c r="RAZ9" s="338"/>
      <c r="RBA9" s="338"/>
      <c r="RBB9" s="338"/>
      <c r="RBC9" s="338"/>
      <c r="RBD9" s="338"/>
      <c r="RBE9" s="338"/>
      <c r="RBF9" s="338"/>
      <c r="RBG9" s="338"/>
      <c r="RBH9" s="338"/>
      <c r="RBI9" s="338"/>
      <c r="RBJ9" s="338"/>
      <c r="RBK9" s="338"/>
      <c r="RBL9" s="338"/>
      <c r="RBM9" s="338"/>
      <c r="RBN9" s="338"/>
      <c r="RBO9" s="338"/>
      <c r="RBP9" s="338"/>
      <c r="RBQ9" s="338"/>
      <c r="RBR9" s="338"/>
      <c r="RBS9" s="338"/>
      <c r="RBT9" s="338"/>
      <c r="RBU9" s="338"/>
      <c r="RBV9" s="338"/>
      <c r="RBW9" s="338"/>
      <c r="RBX9" s="338"/>
      <c r="RBY9" s="338"/>
      <c r="RBZ9" s="338"/>
      <c r="RCA9" s="338"/>
      <c r="RCB9" s="338"/>
      <c r="RCC9" s="338"/>
      <c r="RCD9" s="338"/>
      <c r="RCE9" s="338"/>
      <c r="RCF9" s="338"/>
      <c r="RCG9" s="338"/>
      <c r="RCH9" s="338"/>
      <c r="RCI9" s="338"/>
      <c r="RCJ9" s="338"/>
      <c r="RCK9" s="338"/>
      <c r="RCL9" s="338"/>
      <c r="RCM9" s="338"/>
      <c r="RCN9" s="338"/>
      <c r="RCO9" s="338"/>
      <c r="RCP9" s="338"/>
      <c r="RCQ9" s="338"/>
      <c r="RCR9" s="338"/>
      <c r="RCS9" s="338"/>
      <c r="RCT9" s="338"/>
      <c r="RCU9" s="338"/>
      <c r="RCV9" s="338"/>
      <c r="RCW9" s="338"/>
      <c r="RCX9" s="338"/>
      <c r="RCY9" s="338"/>
      <c r="RCZ9" s="338"/>
      <c r="RDA9" s="338"/>
      <c r="RDB9" s="338"/>
      <c r="RDC9" s="338"/>
      <c r="RDD9" s="338"/>
      <c r="RDE9" s="338"/>
      <c r="RDF9" s="338"/>
      <c r="RDG9" s="338"/>
      <c r="RDH9" s="338"/>
      <c r="RDI9" s="338"/>
      <c r="RDJ9" s="338"/>
      <c r="RDK9" s="338"/>
      <c r="RDL9" s="338"/>
      <c r="RDM9" s="338"/>
      <c r="RDN9" s="338"/>
      <c r="RDO9" s="338"/>
      <c r="RDP9" s="338"/>
      <c r="RDQ9" s="338"/>
      <c r="RDR9" s="338"/>
      <c r="RDS9" s="338"/>
      <c r="RDT9" s="338"/>
      <c r="RDU9" s="338"/>
      <c r="RDV9" s="338"/>
      <c r="RDW9" s="338"/>
      <c r="RDX9" s="338"/>
      <c r="RDY9" s="338"/>
      <c r="RDZ9" s="338"/>
      <c r="REA9" s="338"/>
      <c r="REB9" s="338"/>
      <c r="REC9" s="338"/>
      <c r="RED9" s="338"/>
      <c r="REE9" s="338"/>
      <c r="REF9" s="338"/>
      <c r="REG9" s="338"/>
      <c r="REH9" s="338"/>
      <c r="REI9" s="338"/>
      <c r="REJ9" s="338"/>
      <c r="REK9" s="338"/>
      <c r="REL9" s="338"/>
      <c r="REM9" s="338"/>
      <c r="REN9" s="338"/>
      <c r="REO9" s="338"/>
      <c r="REP9" s="338"/>
      <c r="REQ9" s="338"/>
      <c r="RER9" s="338"/>
      <c r="RES9" s="338"/>
      <c r="RET9" s="338"/>
      <c r="REU9" s="338"/>
      <c r="REV9" s="338"/>
      <c r="REW9" s="338"/>
      <c r="REX9" s="338"/>
      <c r="REY9" s="338"/>
      <c r="REZ9" s="338"/>
      <c r="RFA9" s="338"/>
      <c r="RFB9" s="338"/>
      <c r="RFC9" s="338"/>
      <c r="RFD9" s="338"/>
      <c r="RFE9" s="338"/>
      <c r="RFF9" s="338"/>
      <c r="RFG9" s="338"/>
      <c r="RFH9" s="338"/>
      <c r="RFI9" s="338"/>
      <c r="RFJ9" s="338"/>
      <c r="RFK9" s="338"/>
      <c r="RFL9" s="338"/>
      <c r="RFM9" s="338"/>
      <c r="RFN9" s="338"/>
      <c r="RFO9" s="338"/>
      <c r="RFP9" s="338"/>
      <c r="RFQ9" s="338"/>
      <c r="RFR9" s="338"/>
      <c r="RFS9" s="338"/>
      <c r="RFT9" s="338"/>
      <c r="RFU9" s="338"/>
      <c r="RFV9" s="338"/>
      <c r="RFW9" s="338"/>
      <c r="RFX9" s="338"/>
      <c r="RFY9" s="338"/>
      <c r="RFZ9" s="338"/>
      <c r="RGA9" s="338"/>
      <c r="RGB9" s="338"/>
      <c r="RGC9" s="338"/>
      <c r="RGD9" s="338"/>
      <c r="RGE9" s="338"/>
      <c r="RGF9" s="338"/>
      <c r="RGG9" s="338"/>
      <c r="RGH9" s="338"/>
      <c r="RGI9" s="338"/>
      <c r="RGJ9" s="338"/>
      <c r="RGK9" s="338"/>
      <c r="RGL9" s="338"/>
      <c r="RGM9" s="338"/>
      <c r="RGN9" s="338"/>
      <c r="RGO9" s="338"/>
      <c r="RGP9" s="338"/>
      <c r="RGQ9" s="338"/>
      <c r="RGR9" s="338"/>
      <c r="RGS9" s="338"/>
      <c r="RGT9" s="338"/>
      <c r="RGU9" s="338"/>
      <c r="RGV9" s="338"/>
      <c r="RGW9" s="338"/>
      <c r="RGX9" s="338"/>
      <c r="RGY9" s="338"/>
      <c r="RGZ9" s="338"/>
      <c r="RHA9" s="338"/>
      <c r="RHB9" s="338"/>
      <c r="RHC9" s="338"/>
      <c r="RHD9" s="338"/>
      <c r="RHE9" s="338"/>
      <c r="RHF9" s="338"/>
      <c r="RHG9" s="338"/>
      <c r="RHH9" s="338"/>
      <c r="RHI9" s="338"/>
      <c r="RHJ9" s="338"/>
      <c r="RHK9" s="338"/>
      <c r="RHL9" s="338"/>
      <c r="RHM9" s="338"/>
      <c r="RHN9" s="338"/>
      <c r="RHO9" s="338"/>
      <c r="RHP9" s="338"/>
      <c r="RHQ9" s="338"/>
      <c r="RHR9" s="338"/>
      <c r="RHS9" s="338"/>
      <c r="RHT9" s="338"/>
      <c r="RHU9" s="338"/>
      <c r="RHV9" s="338"/>
      <c r="RHW9" s="338"/>
      <c r="RHX9" s="338"/>
      <c r="RHY9" s="338"/>
      <c r="RHZ9" s="338"/>
      <c r="RIA9" s="338"/>
      <c r="RIB9" s="338"/>
      <c r="RIC9" s="338"/>
      <c r="RID9" s="338"/>
      <c r="RIE9" s="338"/>
      <c r="RIF9" s="338"/>
      <c r="RIG9" s="338"/>
      <c r="RIH9" s="338"/>
      <c r="RII9" s="338"/>
      <c r="RIJ9" s="338"/>
      <c r="RIK9" s="338"/>
      <c r="RIL9" s="338"/>
      <c r="RIM9" s="338"/>
      <c r="RIN9" s="338"/>
      <c r="RIO9" s="338"/>
      <c r="RIP9" s="338"/>
      <c r="RIQ9" s="338"/>
      <c r="RIR9" s="338"/>
      <c r="RIS9" s="338"/>
      <c r="RIT9" s="338"/>
      <c r="RIU9" s="338"/>
      <c r="RIV9" s="338"/>
      <c r="RIW9" s="338"/>
      <c r="RIX9" s="338"/>
      <c r="RIY9" s="338"/>
      <c r="RIZ9" s="338"/>
      <c r="RJA9" s="338"/>
      <c r="RJB9" s="338"/>
      <c r="RJC9" s="338"/>
      <c r="RJD9" s="338"/>
      <c r="RJE9" s="338"/>
      <c r="RJF9" s="338"/>
      <c r="RJG9" s="338"/>
      <c r="RJH9" s="338"/>
      <c r="RJI9" s="338"/>
      <c r="RJJ9" s="338"/>
      <c r="RJK9" s="338"/>
      <c r="RJL9" s="338"/>
      <c r="RJM9" s="338"/>
      <c r="RJN9" s="338"/>
      <c r="RJO9" s="338"/>
      <c r="RJP9" s="338"/>
      <c r="RJQ9" s="338"/>
      <c r="RJR9" s="338"/>
      <c r="RJS9" s="338"/>
      <c r="RJT9" s="338"/>
      <c r="RJU9" s="338"/>
      <c r="RJV9" s="338"/>
      <c r="RJW9" s="338"/>
      <c r="RJX9" s="338"/>
      <c r="RJY9" s="338"/>
      <c r="RJZ9" s="338"/>
      <c r="RKA9" s="338"/>
      <c r="RKB9" s="338"/>
      <c r="RKC9" s="338"/>
      <c r="RKD9" s="338"/>
      <c r="RKE9" s="338"/>
      <c r="RKF9" s="338"/>
      <c r="RKG9" s="338"/>
      <c r="RKH9" s="338"/>
      <c r="RKI9" s="338"/>
      <c r="RKJ9" s="338"/>
      <c r="RKK9" s="338"/>
      <c r="RKL9" s="338"/>
      <c r="RKM9" s="338"/>
      <c r="RKN9" s="338"/>
      <c r="RKO9" s="338"/>
      <c r="RKP9" s="338"/>
      <c r="RKQ9" s="338"/>
      <c r="RKR9" s="338"/>
      <c r="RKS9" s="338"/>
      <c r="RKT9" s="338"/>
      <c r="RKU9" s="338"/>
      <c r="RKV9" s="338"/>
      <c r="RKW9" s="338"/>
      <c r="RKX9" s="338"/>
      <c r="RKY9" s="338"/>
      <c r="RKZ9" s="338"/>
      <c r="RLA9" s="338"/>
      <c r="RLB9" s="338"/>
      <c r="RLC9" s="338"/>
      <c r="RLD9" s="338"/>
      <c r="RLE9" s="338"/>
      <c r="RLF9" s="338"/>
      <c r="RLG9" s="338"/>
      <c r="RLH9" s="338"/>
      <c r="RLI9" s="338"/>
      <c r="RLJ9" s="338"/>
      <c r="RLK9" s="338"/>
      <c r="RLL9" s="338"/>
      <c r="RLM9" s="338"/>
      <c r="RLN9" s="338"/>
      <c r="RLO9" s="338"/>
      <c r="RLP9" s="338"/>
      <c r="RLQ9" s="338"/>
      <c r="RLR9" s="338"/>
      <c r="RLS9" s="338"/>
      <c r="RLT9" s="338"/>
      <c r="RLU9" s="338"/>
      <c r="RLV9" s="338"/>
      <c r="RLW9" s="338"/>
      <c r="RLX9" s="338"/>
      <c r="RLY9" s="338"/>
      <c r="RLZ9" s="338"/>
      <c r="RMA9" s="338"/>
      <c r="RMB9" s="338"/>
      <c r="RMC9" s="338"/>
      <c r="RMD9" s="338"/>
      <c r="RME9" s="338"/>
      <c r="RMF9" s="338"/>
      <c r="RMG9" s="338"/>
      <c r="RMH9" s="338"/>
      <c r="RMI9" s="338"/>
      <c r="RMJ9" s="338"/>
      <c r="RMK9" s="338"/>
      <c r="RML9" s="338"/>
      <c r="RMM9" s="338"/>
      <c r="RMN9" s="338"/>
      <c r="RMO9" s="338"/>
      <c r="RMP9" s="338"/>
      <c r="RMQ9" s="338"/>
      <c r="RMR9" s="338"/>
      <c r="RMS9" s="338"/>
      <c r="RMT9" s="338"/>
      <c r="RMU9" s="338"/>
      <c r="RMV9" s="338"/>
      <c r="RMW9" s="338"/>
      <c r="RMX9" s="338"/>
      <c r="RMY9" s="338"/>
      <c r="RMZ9" s="338"/>
      <c r="RNA9" s="338"/>
      <c r="RNB9" s="338"/>
      <c r="RNC9" s="338"/>
      <c r="RND9" s="338"/>
      <c r="RNE9" s="338"/>
      <c r="RNF9" s="338"/>
      <c r="RNG9" s="338"/>
      <c r="RNH9" s="338"/>
      <c r="RNI9" s="338"/>
      <c r="RNJ9" s="338"/>
      <c r="RNK9" s="338"/>
      <c r="RNL9" s="338"/>
      <c r="RNM9" s="338"/>
      <c r="RNN9" s="338"/>
      <c r="RNO9" s="338"/>
      <c r="RNP9" s="338"/>
      <c r="RNQ9" s="338"/>
      <c r="RNR9" s="338"/>
      <c r="RNS9" s="338"/>
      <c r="RNT9" s="338"/>
      <c r="RNU9" s="338"/>
      <c r="RNV9" s="338"/>
      <c r="RNW9" s="338"/>
      <c r="RNX9" s="338"/>
      <c r="RNY9" s="338"/>
      <c r="RNZ9" s="338"/>
      <c r="ROA9" s="338"/>
      <c r="ROB9" s="338"/>
      <c r="ROC9" s="338"/>
      <c r="ROD9" s="338"/>
      <c r="ROE9" s="338"/>
      <c r="ROF9" s="338"/>
      <c r="ROG9" s="338"/>
      <c r="ROH9" s="338"/>
      <c r="ROI9" s="338"/>
      <c r="ROJ9" s="338"/>
      <c r="ROK9" s="338"/>
      <c r="ROL9" s="338"/>
      <c r="ROM9" s="338"/>
      <c r="RON9" s="338"/>
      <c r="ROO9" s="338"/>
      <c r="ROP9" s="338"/>
      <c r="ROQ9" s="338"/>
      <c r="ROR9" s="338"/>
      <c r="ROS9" s="338"/>
      <c r="ROT9" s="338"/>
      <c r="ROU9" s="338"/>
      <c r="ROV9" s="338"/>
      <c r="ROW9" s="338"/>
      <c r="ROX9" s="338"/>
      <c r="ROY9" s="338"/>
      <c r="ROZ9" s="338"/>
      <c r="RPA9" s="338"/>
      <c r="RPB9" s="338"/>
      <c r="RPC9" s="338"/>
      <c r="RPD9" s="338"/>
      <c r="RPE9" s="338"/>
      <c r="RPF9" s="338"/>
      <c r="RPG9" s="338"/>
      <c r="RPH9" s="338"/>
      <c r="RPI9" s="338"/>
      <c r="RPJ9" s="338"/>
      <c r="RPK9" s="338"/>
      <c r="RPL9" s="338"/>
      <c r="RPM9" s="338"/>
      <c r="RPN9" s="338"/>
      <c r="RPO9" s="338"/>
      <c r="RPP9" s="338"/>
      <c r="RPQ9" s="338"/>
      <c r="RPR9" s="338"/>
      <c r="RPS9" s="338"/>
      <c r="RPT9" s="338"/>
      <c r="RPU9" s="338"/>
      <c r="RPV9" s="338"/>
      <c r="RPW9" s="338"/>
      <c r="RPX9" s="338"/>
      <c r="RPY9" s="338"/>
      <c r="RPZ9" s="338"/>
      <c r="RQA9" s="338"/>
      <c r="RQB9" s="338"/>
      <c r="RQC9" s="338"/>
      <c r="RQD9" s="338"/>
      <c r="RQE9" s="338"/>
      <c r="RQF9" s="338"/>
      <c r="RQG9" s="338"/>
      <c r="RQH9" s="338"/>
      <c r="RQI9" s="338"/>
      <c r="RQJ9" s="338"/>
      <c r="RQK9" s="338"/>
      <c r="RQL9" s="338"/>
      <c r="RQM9" s="338"/>
      <c r="RQN9" s="338"/>
      <c r="RQO9" s="338"/>
      <c r="RQP9" s="338"/>
      <c r="RQQ9" s="338"/>
      <c r="RQR9" s="338"/>
      <c r="RQS9" s="338"/>
      <c r="RQT9" s="338"/>
      <c r="RQU9" s="338"/>
      <c r="RQV9" s="338"/>
      <c r="RQW9" s="338"/>
      <c r="RQX9" s="338"/>
      <c r="RQY9" s="338"/>
      <c r="RQZ9" s="338"/>
      <c r="RRA9" s="338"/>
      <c r="RRB9" s="338"/>
      <c r="RRC9" s="338"/>
      <c r="RRD9" s="338"/>
      <c r="RRE9" s="338"/>
      <c r="RRF9" s="338"/>
      <c r="RRG9" s="338"/>
      <c r="RRH9" s="338"/>
      <c r="RRI9" s="338"/>
      <c r="RRJ9" s="338"/>
      <c r="RRK9" s="338"/>
      <c r="RRL9" s="338"/>
      <c r="RRM9" s="338"/>
      <c r="RRN9" s="338"/>
      <c r="RRO9" s="338"/>
      <c r="RRP9" s="338"/>
      <c r="RRQ9" s="338"/>
      <c r="RRR9" s="338"/>
      <c r="RRS9" s="338"/>
      <c r="RRT9" s="338"/>
      <c r="RRU9" s="338"/>
      <c r="RRV9" s="338"/>
      <c r="RRW9" s="338"/>
      <c r="RRX9" s="338"/>
      <c r="RRY9" s="338"/>
      <c r="RRZ9" s="338"/>
      <c r="RSA9" s="338"/>
      <c r="RSB9" s="338"/>
      <c r="RSC9" s="338"/>
      <c r="RSD9" s="338"/>
      <c r="RSE9" s="338"/>
      <c r="RSF9" s="338"/>
      <c r="RSG9" s="338"/>
      <c r="RSH9" s="338"/>
      <c r="RSI9" s="338"/>
      <c r="RSJ9" s="338"/>
      <c r="RSK9" s="338"/>
      <c r="RSL9" s="338"/>
      <c r="RSM9" s="338"/>
      <c r="RSN9" s="338"/>
      <c r="RSO9" s="338"/>
      <c r="RSP9" s="338"/>
      <c r="RSQ9" s="338"/>
      <c r="RSR9" s="338"/>
      <c r="RSS9" s="338"/>
      <c r="RST9" s="338"/>
      <c r="RSU9" s="338"/>
      <c r="RSV9" s="338"/>
      <c r="RSW9" s="338"/>
      <c r="RSX9" s="338"/>
      <c r="RSY9" s="338"/>
      <c r="RSZ9" s="338"/>
      <c r="RTA9" s="338"/>
      <c r="RTB9" s="338"/>
      <c r="RTC9" s="338"/>
      <c r="RTD9" s="338"/>
      <c r="RTE9" s="338"/>
      <c r="RTF9" s="338"/>
      <c r="RTG9" s="338"/>
      <c r="RTH9" s="338"/>
      <c r="RTI9" s="338"/>
      <c r="RTJ9" s="338"/>
      <c r="RTK9" s="338"/>
      <c r="RTL9" s="338"/>
      <c r="RTM9" s="338"/>
      <c r="RTN9" s="338"/>
      <c r="RTO9" s="338"/>
      <c r="RTP9" s="338"/>
      <c r="RTQ9" s="338"/>
      <c r="RTR9" s="338"/>
      <c r="RTS9" s="338"/>
      <c r="RTT9" s="338"/>
      <c r="RTU9" s="338"/>
      <c r="RTV9" s="338"/>
      <c r="RTW9" s="338"/>
      <c r="RTX9" s="338"/>
      <c r="RTY9" s="338"/>
      <c r="RTZ9" s="338"/>
      <c r="RUA9" s="338"/>
      <c r="RUB9" s="338"/>
      <c r="RUC9" s="338"/>
      <c r="RUD9" s="338"/>
      <c r="RUE9" s="338"/>
      <c r="RUF9" s="338"/>
      <c r="RUG9" s="338"/>
      <c r="RUH9" s="338"/>
      <c r="RUI9" s="338"/>
      <c r="RUJ9" s="338"/>
      <c r="RUK9" s="338"/>
      <c r="RUL9" s="338"/>
      <c r="RUM9" s="338"/>
      <c r="RUN9" s="338"/>
      <c r="RUO9" s="338"/>
      <c r="RUP9" s="338"/>
      <c r="RUQ9" s="338"/>
      <c r="RUR9" s="338"/>
      <c r="RUS9" s="338"/>
      <c r="RUT9" s="338"/>
      <c r="RUU9" s="338"/>
      <c r="RUV9" s="338"/>
      <c r="RUW9" s="338"/>
      <c r="RUX9" s="338"/>
      <c r="RUY9" s="338"/>
      <c r="RUZ9" s="338"/>
      <c r="RVA9" s="338"/>
      <c r="RVB9" s="338"/>
      <c r="RVC9" s="338"/>
      <c r="RVD9" s="338"/>
      <c r="RVE9" s="338"/>
      <c r="RVF9" s="338"/>
      <c r="RVG9" s="338"/>
      <c r="RVH9" s="338"/>
      <c r="RVI9" s="338"/>
      <c r="RVJ9" s="338"/>
      <c r="RVK9" s="338"/>
      <c r="RVL9" s="338"/>
      <c r="RVM9" s="338"/>
      <c r="RVN9" s="338"/>
      <c r="RVO9" s="338"/>
      <c r="RVP9" s="338"/>
      <c r="RVQ9" s="338"/>
      <c r="RVR9" s="338"/>
      <c r="RVS9" s="338"/>
      <c r="RVT9" s="338"/>
      <c r="RVU9" s="338"/>
      <c r="RVV9" s="338"/>
      <c r="RVW9" s="338"/>
      <c r="RVX9" s="338"/>
      <c r="RVY9" s="338"/>
      <c r="RVZ9" s="338"/>
      <c r="RWA9" s="338"/>
      <c r="RWB9" s="338"/>
      <c r="RWC9" s="338"/>
      <c r="RWD9" s="338"/>
      <c r="RWE9" s="338"/>
      <c r="RWF9" s="338"/>
      <c r="RWG9" s="338"/>
      <c r="RWH9" s="338"/>
      <c r="RWI9" s="338"/>
      <c r="RWJ9" s="338"/>
      <c r="RWK9" s="338"/>
      <c r="RWL9" s="338"/>
      <c r="RWM9" s="338"/>
      <c r="RWN9" s="338"/>
      <c r="RWO9" s="338"/>
      <c r="RWP9" s="338"/>
      <c r="RWQ9" s="338"/>
      <c r="RWR9" s="338"/>
      <c r="RWS9" s="338"/>
      <c r="RWT9" s="338"/>
      <c r="RWU9" s="338"/>
      <c r="RWV9" s="338"/>
      <c r="RWW9" s="338"/>
      <c r="RWX9" s="338"/>
      <c r="RWY9" s="338"/>
      <c r="RWZ9" s="338"/>
      <c r="RXA9" s="338"/>
      <c r="RXB9" s="338"/>
      <c r="RXC9" s="338"/>
      <c r="RXD9" s="338"/>
      <c r="RXE9" s="338"/>
      <c r="RXF9" s="338"/>
      <c r="RXG9" s="338"/>
      <c r="RXH9" s="338"/>
      <c r="RXI9" s="338"/>
      <c r="RXJ9" s="338"/>
      <c r="RXK9" s="338"/>
      <c r="RXL9" s="338"/>
      <c r="RXM9" s="338"/>
      <c r="RXN9" s="338"/>
      <c r="RXO9" s="338"/>
      <c r="RXP9" s="338"/>
      <c r="RXQ9" s="338"/>
      <c r="RXR9" s="338"/>
      <c r="RXS9" s="338"/>
      <c r="RXT9" s="338"/>
      <c r="RXU9" s="338"/>
      <c r="RXV9" s="338"/>
      <c r="RXW9" s="338"/>
      <c r="RXX9" s="338"/>
      <c r="RXY9" s="338"/>
      <c r="RXZ9" s="338"/>
      <c r="RYA9" s="338"/>
      <c r="RYB9" s="338"/>
      <c r="RYC9" s="338"/>
      <c r="RYD9" s="338"/>
      <c r="RYE9" s="338"/>
      <c r="RYF9" s="338"/>
      <c r="RYG9" s="338"/>
      <c r="RYH9" s="338"/>
      <c r="RYI9" s="338"/>
      <c r="RYJ9" s="338"/>
      <c r="RYK9" s="338"/>
      <c r="RYL9" s="338"/>
      <c r="RYM9" s="338"/>
      <c r="RYN9" s="338"/>
      <c r="RYO9" s="338"/>
      <c r="RYP9" s="338"/>
      <c r="RYQ9" s="338"/>
      <c r="RYR9" s="338"/>
      <c r="RYS9" s="338"/>
      <c r="RYT9" s="338"/>
      <c r="RYU9" s="338"/>
      <c r="RYV9" s="338"/>
      <c r="RYW9" s="338"/>
      <c r="RYX9" s="338"/>
      <c r="RYY9" s="338"/>
      <c r="RYZ9" s="338"/>
      <c r="RZA9" s="338"/>
      <c r="RZB9" s="338"/>
      <c r="RZC9" s="338"/>
      <c r="RZD9" s="338"/>
      <c r="RZE9" s="338"/>
      <c r="RZF9" s="338"/>
      <c r="RZG9" s="338"/>
      <c r="RZH9" s="338"/>
      <c r="RZI9" s="338"/>
      <c r="RZJ9" s="338"/>
      <c r="RZK9" s="338"/>
      <c r="RZL9" s="338"/>
      <c r="RZM9" s="338"/>
      <c r="RZN9" s="338"/>
      <c r="RZO9" s="338"/>
      <c r="RZP9" s="338"/>
      <c r="RZQ9" s="338"/>
      <c r="RZR9" s="338"/>
      <c r="RZS9" s="338"/>
      <c r="RZT9" s="338"/>
      <c r="RZU9" s="338"/>
      <c r="RZV9" s="338"/>
      <c r="RZW9" s="338"/>
      <c r="RZX9" s="338"/>
      <c r="RZY9" s="338"/>
      <c r="RZZ9" s="338"/>
      <c r="SAA9" s="338"/>
      <c r="SAB9" s="338"/>
      <c r="SAC9" s="338"/>
      <c r="SAD9" s="338"/>
      <c r="SAE9" s="338"/>
      <c r="SAF9" s="338"/>
      <c r="SAG9" s="338"/>
      <c r="SAH9" s="338"/>
      <c r="SAI9" s="338"/>
      <c r="SAJ9" s="338"/>
      <c r="SAK9" s="338"/>
      <c r="SAL9" s="338"/>
      <c r="SAM9" s="338"/>
      <c r="SAN9" s="338"/>
      <c r="SAO9" s="338"/>
      <c r="SAP9" s="338"/>
      <c r="SAQ9" s="338"/>
      <c r="SAR9" s="338"/>
      <c r="SAS9" s="338"/>
      <c r="SAT9" s="338"/>
      <c r="SAU9" s="338"/>
      <c r="SAV9" s="338"/>
      <c r="SAW9" s="338"/>
      <c r="SAX9" s="338"/>
      <c r="SAY9" s="338"/>
      <c r="SAZ9" s="338"/>
      <c r="SBA9" s="338"/>
      <c r="SBB9" s="338"/>
      <c r="SBC9" s="338"/>
      <c r="SBD9" s="338"/>
      <c r="SBE9" s="338"/>
      <c r="SBF9" s="338"/>
      <c r="SBG9" s="338"/>
      <c r="SBH9" s="338"/>
      <c r="SBI9" s="338"/>
      <c r="SBJ9" s="338"/>
      <c r="SBK9" s="338"/>
      <c r="SBL9" s="338"/>
      <c r="SBM9" s="338"/>
      <c r="SBN9" s="338"/>
      <c r="SBO9" s="338"/>
      <c r="SBP9" s="338"/>
      <c r="SBQ9" s="338"/>
      <c r="SBR9" s="338"/>
      <c r="SBS9" s="338"/>
      <c r="SBT9" s="338"/>
      <c r="SBU9" s="338"/>
      <c r="SBV9" s="338"/>
      <c r="SBW9" s="338"/>
      <c r="SBX9" s="338"/>
      <c r="SBY9" s="338"/>
      <c r="SBZ9" s="338"/>
      <c r="SCA9" s="338"/>
      <c r="SCB9" s="338"/>
      <c r="SCC9" s="338"/>
      <c r="SCD9" s="338"/>
      <c r="SCE9" s="338"/>
      <c r="SCF9" s="338"/>
      <c r="SCG9" s="338"/>
      <c r="SCH9" s="338"/>
      <c r="SCI9" s="338"/>
      <c r="SCJ9" s="338"/>
      <c r="SCK9" s="338"/>
      <c r="SCL9" s="338"/>
      <c r="SCM9" s="338"/>
      <c r="SCN9" s="338"/>
      <c r="SCO9" s="338"/>
      <c r="SCP9" s="338"/>
      <c r="SCQ9" s="338"/>
      <c r="SCR9" s="338"/>
      <c r="SCS9" s="338"/>
      <c r="SCT9" s="338"/>
      <c r="SCU9" s="338"/>
      <c r="SCV9" s="338"/>
      <c r="SCW9" s="338"/>
      <c r="SCX9" s="338"/>
      <c r="SCY9" s="338"/>
      <c r="SCZ9" s="338"/>
      <c r="SDA9" s="338"/>
      <c r="SDB9" s="338"/>
      <c r="SDC9" s="338"/>
      <c r="SDD9" s="338"/>
      <c r="SDE9" s="338"/>
      <c r="SDF9" s="338"/>
      <c r="SDG9" s="338"/>
      <c r="SDH9" s="338"/>
      <c r="SDI9" s="338"/>
      <c r="SDJ9" s="338"/>
      <c r="SDK9" s="338"/>
      <c r="SDL9" s="338"/>
      <c r="SDM9" s="338"/>
      <c r="SDN9" s="338"/>
      <c r="SDO9" s="338"/>
      <c r="SDP9" s="338"/>
      <c r="SDQ9" s="338"/>
      <c r="SDR9" s="338"/>
      <c r="SDS9" s="338"/>
      <c r="SDT9" s="338"/>
      <c r="SDU9" s="338"/>
      <c r="SDV9" s="338"/>
      <c r="SDW9" s="338"/>
      <c r="SDX9" s="338"/>
      <c r="SDY9" s="338"/>
      <c r="SDZ9" s="338"/>
      <c r="SEA9" s="338"/>
      <c r="SEB9" s="338"/>
      <c r="SEC9" s="338"/>
      <c r="SED9" s="338"/>
      <c r="SEE9" s="338"/>
      <c r="SEF9" s="338"/>
      <c r="SEG9" s="338"/>
      <c r="SEH9" s="338"/>
      <c r="SEI9" s="338"/>
      <c r="SEJ9" s="338"/>
      <c r="SEK9" s="338"/>
      <c r="SEL9" s="338"/>
      <c r="SEM9" s="338"/>
      <c r="SEN9" s="338"/>
      <c r="SEO9" s="338"/>
      <c r="SEP9" s="338"/>
      <c r="SEQ9" s="338"/>
      <c r="SER9" s="338"/>
      <c r="SES9" s="338"/>
      <c r="SET9" s="338"/>
      <c r="SEU9" s="338"/>
      <c r="SEV9" s="338"/>
      <c r="SEW9" s="338"/>
      <c r="SEX9" s="338"/>
      <c r="SEY9" s="338"/>
      <c r="SEZ9" s="338"/>
      <c r="SFA9" s="338"/>
      <c r="SFB9" s="338"/>
      <c r="SFC9" s="338"/>
      <c r="SFD9" s="338"/>
      <c r="SFE9" s="338"/>
      <c r="SFF9" s="338"/>
      <c r="SFG9" s="338"/>
      <c r="SFH9" s="338"/>
      <c r="SFI9" s="338"/>
      <c r="SFJ9" s="338"/>
      <c r="SFK9" s="338"/>
      <c r="SFL9" s="338"/>
      <c r="SFM9" s="338"/>
      <c r="SFN9" s="338"/>
      <c r="SFO9" s="338"/>
      <c r="SFP9" s="338"/>
      <c r="SFQ9" s="338"/>
      <c r="SFR9" s="338"/>
      <c r="SFS9" s="338"/>
      <c r="SFT9" s="338"/>
      <c r="SFU9" s="338"/>
      <c r="SFV9" s="338"/>
      <c r="SFW9" s="338"/>
      <c r="SFX9" s="338"/>
      <c r="SFY9" s="338"/>
      <c r="SFZ9" s="338"/>
      <c r="SGA9" s="338"/>
      <c r="SGB9" s="338"/>
      <c r="SGC9" s="338"/>
      <c r="SGD9" s="338"/>
      <c r="SGE9" s="338"/>
      <c r="SGF9" s="338"/>
      <c r="SGG9" s="338"/>
      <c r="SGH9" s="338"/>
      <c r="SGI9" s="338"/>
      <c r="SGJ9" s="338"/>
      <c r="SGK9" s="338"/>
      <c r="SGL9" s="338"/>
      <c r="SGM9" s="338"/>
      <c r="SGN9" s="338"/>
      <c r="SGO9" s="338"/>
      <c r="SGP9" s="338"/>
      <c r="SGQ9" s="338"/>
      <c r="SGR9" s="338"/>
      <c r="SGS9" s="338"/>
      <c r="SGT9" s="338"/>
      <c r="SGU9" s="338"/>
      <c r="SGV9" s="338"/>
      <c r="SGW9" s="338"/>
      <c r="SGX9" s="338"/>
      <c r="SGY9" s="338"/>
      <c r="SGZ9" s="338"/>
      <c r="SHA9" s="338"/>
      <c r="SHB9" s="338"/>
      <c r="SHC9" s="338"/>
      <c r="SHD9" s="338"/>
      <c r="SHE9" s="338"/>
      <c r="SHF9" s="338"/>
      <c r="SHG9" s="338"/>
      <c r="SHH9" s="338"/>
      <c r="SHI9" s="338"/>
      <c r="SHJ9" s="338"/>
      <c r="SHK9" s="338"/>
      <c r="SHL9" s="338"/>
      <c r="SHM9" s="338"/>
      <c r="SHN9" s="338"/>
      <c r="SHO9" s="338"/>
      <c r="SHP9" s="338"/>
      <c r="SHQ9" s="338"/>
      <c r="SHR9" s="338"/>
      <c r="SHS9" s="338"/>
      <c r="SHT9" s="338"/>
      <c r="SHU9" s="338"/>
      <c r="SHV9" s="338"/>
      <c r="SHW9" s="338"/>
      <c r="SHX9" s="338"/>
      <c r="SHY9" s="338"/>
      <c r="SHZ9" s="338"/>
      <c r="SIA9" s="338"/>
      <c r="SIB9" s="338"/>
      <c r="SIC9" s="338"/>
      <c r="SID9" s="338"/>
      <c r="SIE9" s="338"/>
      <c r="SIF9" s="338"/>
      <c r="SIG9" s="338"/>
      <c r="SIH9" s="338"/>
      <c r="SII9" s="338"/>
      <c r="SIJ9" s="338"/>
      <c r="SIK9" s="338"/>
      <c r="SIL9" s="338"/>
      <c r="SIM9" s="338"/>
      <c r="SIN9" s="338"/>
      <c r="SIO9" s="338"/>
      <c r="SIP9" s="338"/>
      <c r="SIQ9" s="338"/>
      <c r="SIR9" s="338"/>
      <c r="SIS9" s="338"/>
      <c r="SIT9" s="338"/>
      <c r="SIU9" s="338"/>
      <c r="SIV9" s="338"/>
      <c r="SIW9" s="338"/>
      <c r="SIX9" s="338"/>
      <c r="SIY9" s="338"/>
      <c r="SIZ9" s="338"/>
      <c r="SJA9" s="338"/>
      <c r="SJB9" s="338"/>
      <c r="SJC9" s="338"/>
      <c r="SJD9" s="338"/>
      <c r="SJE9" s="338"/>
      <c r="SJF9" s="338"/>
      <c r="SJG9" s="338"/>
      <c r="SJH9" s="338"/>
      <c r="SJI9" s="338"/>
      <c r="SJJ9" s="338"/>
      <c r="SJK9" s="338"/>
      <c r="SJL9" s="338"/>
      <c r="SJM9" s="338"/>
      <c r="SJN9" s="338"/>
      <c r="SJO9" s="338"/>
      <c r="SJP9" s="338"/>
      <c r="SJQ9" s="338"/>
      <c r="SJR9" s="338"/>
      <c r="SJS9" s="338"/>
      <c r="SJT9" s="338"/>
      <c r="SJU9" s="338"/>
      <c r="SJV9" s="338"/>
      <c r="SJW9" s="338"/>
      <c r="SJX9" s="338"/>
      <c r="SJY9" s="338"/>
      <c r="SJZ9" s="338"/>
      <c r="SKA9" s="338"/>
      <c r="SKB9" s="338"/>
      <c r="SKC9" s="338"/>
      <c r="SKD9" s="338"/>
      <c r="SKE9" s="338"/>
      <c r="SKF9" s="338"/>
      <c r="SKG9" s="338"/>
      <c r="SKH9" s="338"/>
      <c r="SKI9" s="338"/>
      <c r="SKJ9" s="338"/>
      <c r="SKK9" s="338"/>
      <c r="SKL9" s="338"/>
      <c r="SKM9" s="338"/>
      <c r="SKN9" s="338"/>
      <c r="SKO9" s="338"/>
      <c r="SKP9" s="338"/>
      <c r="SKQ9" s="338"/>
      <c r="SKR9" s="338"/>
      <c r="SKS9" s="338"/>
      <c r="SKT9" s="338"/>
      <c r="SKU9" s="338"/>
      <c r="SKV9" s="338"/>
      <c r="SKW9" s="338"/>
      <c r="SKX9" s="338"/>
      <c r="SKY9" s="338"/>
      <c r="SKZ9" s="338"/>
      <c r="SLA9" s="338"/>
      <c r="SLB9" s="338"/>
      <c r="SLC9" s="338"/>
      <c r="SLD9" s="338"/>
      <c r="SLE9" s="338"/>
      <c r="SLF9" s="338"/>
      <c r="SLG9" s="338"/>
      <c r="SLH9" s="338"/>
      <c r="SLI9" s="338"/>
      <c r="SLJ9" s="338"/>
      <c r="SLK9" s="338"/>
      <c r="SLL9" s="338"/>
      <c r="SLM9" s="338"/>
      <c r="SLN9" s="338"/>
      <c r="SLO9" s="338"/>
      <c r="SLP9" s="338"/>
      <c r="SLQ9" s="338"/>
      <c r="SLR9" s="338"/>
      <c r="SLS9" s="338"/>
      <c r="SLT9" s="338"/>
      <c r="SLU9" s="338"/>
      <c r="SLV9" s="338"/>
      <c r="SLW9" s="338"/>
      <c r="SLX9" s="338"/>
      <c r="SLY9" s="338"/>
      <c r="SLZ9" s="338"/>
      <c r="SMA9" s="338"/>
      <c r="SMB9" s="338"/>
      <c r="SMC9" s="338"/>
      <c r="SMD9" s="338"/>
      <c r="SME9" s="338"/>
      <c r="SMF9" s="338"/>
      <c r="SMG9" s="338"/>
      <c r="SMH9" s="338"/>
      <c r="SMI9" s="338"/>
      <c r="SMJ9" s="338"/>
      <c r="SMK9" s="338"/>
      <c r="SML9" s="338"/>
      <c r="SMM9" s="338"/>
      <c r="SMN9" s="338"/>
      <c r="SMO9" s="338"/>
      <c r="SMP9" s="338"/>
      <c r="SMQ9" s="338"/>
      <c r="SMR9" s="338"/>
      <c r="SMS9" s="338"/>
      <c r="SMT9" s="338"/>
      <c r="SMU9" s="338"/>
      <c r="SMV9" s="338"/>
      <c r="SMW9" s="338"/>
      <c r="SMX9" s="338"/>
      <c r="SMY9" s="338"/>
      <c r="SMZ9" s="338"/>
      <c r="SNA9" s="338"/>
      <c r="SNB9" s="338"/>
      <c r="SNC9" s="338"/>
      <c r="SND9" s="338"/>
      <c r="SNE9" s="338"/>
      <c r="SNF9" s="338"/>
      <c r="SNG9" s="338"/>
      <c r="SNH9" s="338"/>
      <c r="SNI9" s="338"/>
      <c r="SNJ9" s="338"/>
      <c r="SNK9" s="338"/>
      <c r="SNL9" s="338"/>
      <c r="SNM9" s="338"/>
      <c r="SNN9" s="338"/>
      <c r="SNO9" s="338"/>
      <c r="SNP9" s="338"/>
      <c r="SNQ9" s="338"/>
      <c r="SNR9" s="338"/>
      <c r="SNS9" s="338"/>
      <c r="SNT9" s="338"/>
      <c r="SNU9" s="338"/>
      <c r="SNV9" s="338"/>
      <c r="SNW9" s="338"/>
      <c r="SNX9" s="338"/>
      <c r="SNY9" s="338"/>
      <c r="SNZ9" s="338"/>
      <c r="SOA9" s="338"/>
      <c r="SOB9" s="338"/>
      <c r="SOC9" s="338"/>
      <c r="SOD9" s="338"/>
      <c r="SOE9" s="338"/>
      <c r="SOF9" s="338"/>
      <c r="SOG9" s="338"/>
      <c r="SOH9" s="338"/>
      <c r="SOI9" s="338"/>
      <c r="SOJ9" s="338"/>
      <c r="SOK9" s="338"/>
      <c r="SOL9" s="338"/>
      <c r="SOM9" s="338"/>
      <c r="SON9" s="338"/>
      <c r="SOO9" s="338"/>
      <c r="SOP9" s="338"/>
      <c r="SOQ9" s="338"/>
      <c r="SOR9" s="338"/>
      <c r="SOS9" s="338"/>
      <c r="SOT9" s="338"/>
      <c r="SOU9" s="338"/>
      <c r="SOV9" s="338"/>
      <c r="SOW9" s="338"/>
      <c r="SOX9" s="338"/>
      <c r="SOY9" s="338"/>
      <c r="SOZ9" s="338"/>
      <c r="SPA9" s="338"/>
      <c r="SPB9" s="338"/>
      <c r="SPC9" s="338"/>
      <c r="SPD9" s="338"/>
      <c r="SPE9" s="338"/>
      <c r="SPF9" s="338"/>
      <c r="SPG9" s="338"/>
      <c r="SPH9" s="338"/>
      <c r="SPI9" s="338"/>
      <c r="SPJ9" s="338"/>
      <c r="SPK9" s="338"/>
      <c r="SPL9" s="338"/>
      <c r="SPM9" s="338"/>
      <c r="SPN9" s="338"/>
      <c r="SPO9" s="338"/>
      <c r="SPP9" s="338"/>
      <c r="SPQ9" s="338"/>
      <c r="SPR9" s="338"/>
      <c r="SPS9" s="338"/>
      <c r="SPT9" s="338"/>
      <c r="SPU9" s="338"/>
      <c r="SPV9" s="338"/>
      <c r="SPW9" s="338"/>
      <c r="SPX9" s="338"/>
      <c r="SPY9" s="338"/>
      <c r="SPZ9" s="338"/>
      <c r="SQA9" s="338"/>
      <c r="SQB9" s="338"/>
      <c r="SQC9" s="338"/>
      <c r="SQD9" s="338"/>
      <c r="SQE9" s="338"/>
      <c r="SQF9" s="338"/>
      <c r="SQG9" s="338"/>
      <c r="SQH9" s="338"/>
      <c r="SQI9" s="338"/>
      <c r="SQJ9" s="338"/>
      <c r="SQK9" s="338"/>
      <c r="SQL9" s="338"/>
      <c r="SQM9" s="338"/>
      <c r="SQN9" s="338"/>
      <c r="SQO9" s="338"/>
      <c r="SQP9" s="338"/>
      <c r="SQQ9" s="338"/>
      <c r="SQR9" s="338"/>
      <c r="SQS9" s="338"/>
      <c r="SQT9" s="338"/>
      <c r="SQU9" s="338"/>
      <c r="SQV9" s="338"/>
      <c r="SQW9" s="338"/>
      <c r="SQX9" s="338"/>
      <c r="SQY9" s="338"/>
      <c r="SQZ9" s="338"/>
      <c r="SRA9" s="338"/>
      <c r="SRB9" s="338"/>
      <c r="SRC9" s="338"/>
      <c r="SRD9" s="338"/>
      <c r="SRE9" s="338"/>
      <c r="SRF9" s="338"/>
      <c r="SRG9" s="338"/>
      <c r="SRH9" s="338"/>
      <c r="SRI9" s="338"/>
      <c r="SRJ9" s="338"/>
      <c r="SRK9" s="338"/>
      <c r="SRL9" s="338"/>
      <c r="SRM9" s="338"/>
      <c r="SRN9" s="338"/>
      <c r="SRO9" s="338"/>
      <c r="SRP9" s="338"/>
      <c r="SRQ9" s="338"/>
      <c r="SRR9" s="338"/>
      <c r="SRS9" s="338"/>
      <c r="SRT9" s="338"/>
      <c r="SRU9" s="338"/>
      <c r="SRV9" s="338"/>
      <c r="SRW9" s="338"/>
      <c r="SRX9" s="338"/>
      <c r="SRY9" s="338"/>
      <c r="SRZ9" s="338"/>
      <c r="SSA9" s="338"/>
      <c r="SSB9" s="338"/>
      <c r="SSC9" s="338"/>
      <c r="SSD9" s="338"/>
      <c r="SSE9" s="338"/>
      <c r="SSF9" s="338"/>
      <c r="SSG9" s="338"/>
      <c r="SSH9" s="338"/>
      <c r="SSI9" s="338"/>
      <c r="SSJ9" s="338"/>
      <c r="SSK9" s="338"/>
      <c r="SSL9" s="338"/>
      <c r="SSM9" s="338"/>
      <c r="SSN9" s="338"/>
      <c r="SSO9" s="338"/>
      <c r="SSP9" s="338"/>
      <c r="SSQ9" s="338"/>
      <c r="SSR9" s="338"/>
      <c r="SSS9" s="338"/>
      <c r="SST9" s="338"/>
      <c r="SSU9" s="338"/>
      <c r="SSV9" s="338"/>
      <c r="SSW9" s="338"/>
      <c r="SSX9" s="338"/>
      <c r="SSY9" s="338"/>
      <c r="SSZ9" s="338"/>
      <c r="STA9" s="338"/>
      <c r="STB9" s="338"/>
      <c r="STC9" s="338"/>
      <c r="STD9" s="338"/>
      <c r="STE9" s="338"/>
      <c r="STF9" s="338"/>
      <c r="STG9" s="338"/>
      <c r="STH9" s="338"/>
      <c r="STI9" s="338"/>
      <c r="STJ9" s="338"/>
      <c r="STK9" s="338"/>
      <c r="STL9" s="338"/>
      <c r="STM9" s="338"/>
      <c r="STN9" s="338"/>
      <c r="STO9" s="338"/>
      <c r="STP9" s="338"/>
      <c r="STQ9" s="338"/>
      <c r="STR9" s="338"/>
      <c r="STS9" s="338"/>
      <c r="STT9" s="338"/>
      <c r="STU9" s="338"/>
      <c r="STV9" s="338"/>
      <c r="STW9" s="338"/>
      <c r="STX9" s="338"/>
      <c r="STY9" s="338"/>
      <c r="STZ9" s="338"/>
      <c r="SUA9" s="338"/>
      <c r="SUB9" s="338"/>
      <c r="SUC9" s="338"/>
      <c r="SUD9" s="338"/>
      <c r="SUE9" s="338"/>
      <c r="SUF9" s="338"/>
      <c r="SUG9" s="338"/>
      <c r="SUH9" s="338"/>
      <c r="SUI9" s="338"/>
      <c r="SUJ9" s="338"/>
      <c r="SUK9" s="338"/>
      <c r="SUL9" s="338"/>
      <c r="SUM9" s="338"/>
      <c r="SUN9" s="338"/>
      <c r="SUO9" s="338"/>
      <c r="SUP9" s="338"/>
      <c r="SUQ9" s="338"/>
      <c r="SUR9" s="338"/>
      <c r="SUS9" s="338"/>
      <c r="SUT9" s="338"/>
      <c r="SUU9" s="338"/>
      <c r="SUV9" s="338"/>
      <c r="SUW9" s="338"/>
      <c r="SUX9" s="338"/>
      <c r="SUY9" s="338"/>
      <c r="SUZ9" s="338"/>
      <c r="SVA9" s="338"/>
      <c r="SVB9" s="338"/>
      <c r="SVC9" s="338"/>
      <c r="SVD9" s="338"/>
      <c r="SVE9" s="338"/>
      <c r="SVF9" s="338"/>
      <c r="SVG9" s="338"/>
      <c r="SVH9" s="338"/>
      <c r="SVI9" s="338"/>
      <c r="SVJ9" s="338"/>
      <c r="SVK9" s="338"/>
      <c r="SVL9" s="338"/>
      <c r="SVM9" s="338"/>
      <c r="SVN9" s="338"/>
      <c r="SVO9" s="338"/>
      <c r="SVP9" s="338"/>
      <c r="SVQ9" s="338"/>
      <c r="SVR9" s="338"/>
      <c r="SVS9" s="338"/>
      <c r="SVT9" s="338"/>
      <c r="SVU9" s="338"/>
      <c r="SVV9" s="338"/>
      <c r="SVW9" s="338"/>
      <c r="SVX9" s="338"/>
      <c r="SVY9" s="338"/>
      <c r="SVZ9" s="338"/>
      <c r="SWA9" s="338"/>
      <c r="SWB9" s="338"/>
      <c r="SWC9" s="338"/>
      <c r="SWD9" s="338"/>
      <c r="SWE9" s="338"/>
      <c r="SWF9" s="338"/>
      <c r="SWG9" s="338"/>
      <c r="SWH9" s="338"/>
      <c r="SWI9" s="338"/>
      <c r="SWJ9" s="338"/>
      <c r="SWK9" s="338"/>
      <c r="SWL9" s="338"/>
      <c r="SWM9" s="338"/>
      <c r="SWN9" s="338"/>
      <c r="SWO9" s="338"/>
      <c r="SWP9" s="338"/>
      <c r="SWQ9" s="338"/>
      <c r="SWR9" s="338"/>
      <c r="SWS9" s="338"/>
      <c r="SWT9" s="338"/>
      <c r="SWU9" s="338"/>
      <c r="SWV9" s="338"/>
      <c r="SWW9" s="338"/>
      <c r="SWX9" s="338"/>
      <c r="SWY9" s="338"/>
      <c r="SWZ9" s="338"/>
      <c r="SXA9" s="338"/>
      <c r="SXB9" s="338"/>
      <c r="SXC9" s="338"/>
      <c r="SXD9" s="338"/>
      <c r="SXE9" s="338"/>
      <c r="SXF9" s="338"/>
      <c r="SXG9" s="338"/>
      <c r="SXH9" s="338"/>
      <c r="SXI9" s="338"/>
      <c r="SXJ9" s="338"/>
      <c r="SXK9" s="338"/>
      <c r="SXL9" s="338"/>
      <c r="SXM9" s="338"/>
      <c r="SXN9" s="338"/>
      <c r="SXO9" s="338"/>
      <c r="SXP9" s="338"/>
      <c r="SXQ9" s="338"/>
      <c r="SXR9" s="338"/>
      <c r="SXS9" s="338"/>
      <c r="SXT9" s="338"/>
      <c r="SXU9" s="338"/>
      <c r="SXV9" s="338"/>
      <c r="SXW9" s="338"/>
      <c r="SXX9" s="338"/>
      <c r="SXY9" s="338"/>
      <c r="SXZ9" s="338"/>
      <c r="SYA9" s="338"/>
      <c r="SYB9" s="338"/>
      <c r="SYC9" s="338"/>
      <c r="SYD9" s="338"/>
      <c r="SYE9" s="338"/>
      <c r="SYF9" s="338"/>
      <c r="SYG9" s="338"/>
      <c r="SYH9" s="338"/>
      <c r="SYI9" s="338"/>
      <c r="SYJ9" s="338"/>
      <c r="SYK9" s="338"/>
      <c r="SYL9" s="338"/>
      <c r="SYM9" s="338"/>
      <c r="SYN9" s="338"/>
      <c r="SYO9" s="338"/>
      <c r="SYP9" s="338"/>
      <c r="SYQ9" s="338"/>
      <c r="SYR9" s="338"/>
      <c r="SYS9" s="338"/>
      <c r="SYT9" s="338"/>
      <c r="SYU9" s="338"/>
      <c r="SYV9" s="338"/>
      <c r="SYW9" s="338"/>
      <c r="SYX9" s="338"/>
      <c r="SYY9" s="338"/>
      <c r="SYZ9" s="338"/>
      <c r="SZA9" s="338"/>
      <c r="SZB9" s="338"/>
      <c r="SZC9" s="338"/>
      <c r="SZD9" s="338"/>
      <c r="SZE9" s="338"/>
      <c r="SZF9" s="338"/>
      <c r="SZG9" s="338"/>
      <c r="SZH9" s="338"/>
      <c r="SZI9" s="338"/>
      <c r="SZJ9" s="338"/>
      <c r="SZK9" s="338"/>
      <c r="SZL9" s="338"/>
      <c r="SZM9" s="338"/>
      <c r="SZN9" s="338"/>
      <c r="SZO9" s="338"/>
      <c r="SZP9" s="338"/>
      <c r="SZQ9" s="338"/>
      <c r="SZR9" s="338"/>
      <c r="SZS9" s="338"/>
      <c r="SZT9" s="338"/>
      <c r="SZU9" s="338"/>
      <c r="SZV9" s="338"/>
      <c r="SZW9" s="338"/>
      <c r="SZX9" s="338"/>
      <c r="SZY9" s="338"/>
      <c r="SZZ9" s="338"/>
      <c r="TAA9" s="338"/>
      <c r="TAB9" s="338"/>
      <c r="TAC9" s="338"/>
      <c r="TAD9" s="338"/>
      <c r="TAE9" s="338"/>
      <c r="TAF9" s="338"/>
      <c r="TAG9" s="338"/>
      <c r="TAH9" s="338"/>
      <c r="TAI9" s="338"/>
      <c r="TAJ9" s="338"/>
      <c r="TAK9" s="338"/>
      <c r="TAL9" s="338"/>
      <c r="TAM9" s="338"/>
      <c r="TAN9" s="338"/>
      <c r="TAO9" s="338"/>
      <c r="TAP9" s="338"/>
      <c r="TAQ9" s="338"/>
      <c r="TAR9" s="338"/>
      <c r="TAS9" s="338"/>
      <c r="TAT9" s="338"/>
      <c r="TAU9" s="338"/>
      <c r="TAV9" s="338"/>
      <c r="TAW9" s="338"/>
      <c r="TAX9" s="338"/>
      <c r="TAY9" s="338"/>
      <c r="TAZ9" s="338"/>
      <c r="TBA9" s="338"/>
      <c r="TBB9" s="338"/>
      <c r="TBC9" s="338"/>
      <c r="TBD9" s="338"/>
      <c r="TBE9" s="338"/>
      <c r="TBF9" s="338"/>
      <c r="TBG9" s="338"/>
      <c r="TBH9" s="338"/>
      <c r="TBI9" s="338"/>
      <c r="TBJ9" s="338"/>
      <c r="TBK9" s="338"/>
      <c r="TBL9" s="338"/>
      <c r="TBM9" s="338"/>
      <c r="TBN9" s="338"/>
      <c r="TBO9" s="338"/>
      <c r="TBP9" s="338"/>
      <c r="TBQ9" s="338"/>
      <c r="TBR9" s="338"/>
      <c r="TBS9" s="338"/>
      <c r="TBT9" s="338"/>
      <c r="TBU9" s="338"/>
      <c r="TBV9" s="338"/>
      <c r="TBW9" s="338"/>
      <c r="TBX9" s="338"/>
      <c r="TBY9" s="338"/>
      <c r="TBZ9" s="338"/>
      <c r="TCA9" s="338"/>
      <c r="TCB9" s="338"/>
      <c r="TCC9" s="338"/>
      <c r="TCD9" s="338"/>
      <c r="TCE9" s="338"/>
      <c r="TCF9" s="338"/>
      <c r="TCG9" s="338"/>
      <c r="TCH9" s="338"/>
      <c r="TCI9" s="338"/>
      <c r="TCJ9" s="338"/>
      <c r="TCK9" s="338"/>
      <c r="TCL9" s="338"/>
      <c r="TCM9" s="338"/>
      <c r="TCN9" s="338"/>
      <c r="TCO9" s="338"/>
      <c r="TCP9" s="338"/>
      <c r="TCQ9" s="338"/>
      <c r="TCR9" s="338"/>
      <c r="TCS9" s="338"/>
      <c r="TCT9" s="338"/>
      <c r="TCU9" s="338"/>
      <c r="TCV9" s="338"/>
      <c r="TCW9" s="338"/>
      <c r="TCX9" s="338"/>
      <c r="TCY9" s="338"/>
      <c r="TCZ9" s="338"/>
      <c r="TDA9" s="338"/>
      <c r="TDB9" s="338"/>
      <c r="TDC9" s="338"/>
      <c r="TDD9" s="338"/>
      <c r="TDE9" s="338"/>
      <c r="TDF9" s="338"/>
      <c r="TDG9" s="338"/>
      <c r="TDH9" s="338"/>
      <c r="TDI9" s="338"/>
      <c r="TDJ9" s="338"/>
      <c r="TDK9" s="338"/>
      <c r="TDL9" s="338"/>
      <c r="TDM9" s="338"/>
      <c r="TDN9" s="338"/>
      <c r="TDO9" s="338"/>
      <c r="TDP9" s="338"/>
      <c r="TDQ9" s="338"/>
      <c r="TDR9" s="338"/>
      <c r="TDS9" s="338"/>
      <c r="TDT9" s="338"/>
      <c r="TDU9" s="338"/>
      <c r="TDV9" s="338"/>
      <c r="TDW9" s="338"/>
      <c r="TDX9" s="338"/>
      <c r="TDY9" s="338"/>
      <c r="TDZ9" s="338"/>
      <c r="TEA9" s="338"/>
      <c r="TEB9" s="338"/>
      <c r="TEC9" s="338"/>
      <c r="TED9" s="338"/>
      <c r="TEE9" s="338"/>
      <c r="TEF9" s="338"/>
      <c r="TEG9" s="338"/>
      <c r="TEH9" s="338"/>
      <c r="TEI9" s="338"/>
      <c r="TEJ9" s="338"/>
      <c r="TEK9" s="338"/>
      <c r="TEL9" s="338"/>
      <c r="TEM9" s="338"/>
      <c r="TEN9" s="338"/>
      <c r="TEO9" s="338"/>
      <c r="TEP9" s="338"/>
      <c r="TEQ9" s="338"/>
      <c r="TER9" s="338"/>
      <c r="TES9" s="338"/>
      <c r="TET9" s="338"/>
      <c r="TEU9" s="338"/>
      <c r="TEV9" s="338"/>
      <c r="TEW9" s="338"/>
      <c r="TEX9" s="338"/>
      <c r="TEY9" s="338"/>
      <c r="TEZ9" s="338"/>
      <c r="TFA9" s="338"/>
      <c r="TFB9" s="338"/>
      <c r="TFC9" s="338"/>
      <c r="TFD9" s="338"/>
      <c r="TFE9" s="338"/>
      <c r="TFF9" s="338"/>
      <c r="TFG9" s="338"/>
      <c r="TFH9" s="338"/>
      <c r="TFI9" s="338"/>
      <c r="TFJ9" s="338"/>
      <c r="TFK9" s="338"/>
      <c r="TFL9" s="338"/>
      <c r="TFM9" s="338"/>
      <c r="TFN9" s="338"/>
      <c r="TFO9" s="338"/>
      <c r="TFP9" s="338"/>
      <c r="TFQ9" s="338"/>
      <c r="TFR9" s="338"/>
      <c r="TFS9" s="338"/>
      <c r="TFT9" s="338"/>
      <c r="TFU9" s="338"/>
      <c r="TFV9" s="338"/>
      <c r="TFW9" s="338"/>
      <c r="TFX9" s="338"/>
      <c r="TFY9" s="338"/>
      <c r="TFZ9" s="338"/>
      <c r="TGA9" s="338"/>
      <c r="TGB9" s="338"/>
      <c r="TGC9" s="338"/>
      <c r="TGD9" s="338"/>
      <c r="TGE9" s="338"/>
      <c r="TGF9" s="338"/>
      <c r="TGG9" s="338"/>
      <c r="TGH9" s="338"/>
      <c r="TGI9" s="338"/>
      <c r="TGJ9" s="338"/>
      <c r="TGK9" s="338"/>
      <c r="TGL9" s="338"/>
      <c r="TGM9" s="338"/>
      <c r="TGN9" s="338"/>
      <c r="TGO9" s="338"/>
      <c r="TGP9" s="338"/>
      <c r="TGQ9" s="338"/>
      <c r="TGR9" s="338"/>
      <c r="TGS9" s="338"/>
      <c r="TGT9" s="338"/>
      <c r="TGU9" s="338"/>
      <c r="TGV9" s="338"/>
      <c r="TGW9" s="338"/>
      <c r="TGX9" s="338"/>
      <c r="TGY9" s="338"/>
      <c r="TGZ9" s="338"/>
      <c r="THA9" s="338"/>
      <c r="THB9" s="338"/>
      <c r="THC9" s="338"/>
      <c r="THD9" s="338"/>
      <c r="THE9" s="338"/>
      <c r="THF9" s="338"/>
      <c r="THG9" s="338"/>
      <c r="THH9" s="338"/>
      <c r="THI9" s="338"/>
      <c r="THJ9" s="338"/>
      <c r="THK9" s="338"/>
      <c r="THL9" s="338"/>
      <c r="THM9" s="338"/>
      <c r="THN9" s="338"/>
      <c r="THO9" s="338"/>
      <c r="THP9" s="338"/>
      <c r="THQ9" s="338"/>
      <c r="THR9" s="338"/>
      <c r="THS9" s="338"/>
      <c r="THT9" s="338"/>
      <c r="THU9" s="338"/>
      <c r="THV9" s="338"/>
      <c r="THW9" s="338"/>
      <c r="THX9" s="338"/>
      <c r="THY9" s="338"/>
      <c r="THZ9" s="338"/>
      <c r="TIA9" s="338"/>
      <c r="TIB9" s="338"/>
      <c r="TIC9" s="338"/>
      <c r="TID9" s="338"/>
      <c r="TIE9" s="338"/>
      <c r="TIF9" s="338"/>
      <c r="TIG9" s="338"/>
      <c r="TIH9" s="338"/>
      <c r="TII9" s="338"/>
      <c r="TIJ9" s="338"/>
      <c r="TIK9" s="338"/>
      <c r="TIL9" s="338"/>
      <c r="TIM9" s="338"/>
      <c r="TIN9" s="338"/>
      <c r="TIO9" s="338"/>
      <c r="TIP9" s="338"/>
      <c r="TIQ9" s="338"/>
      <c r="TIR9" s="338"/>
      <c r="TIS9" s="338"/>
      <c r="TIT9" s="338"/>
      <c r="TIU9" s="338"/>
      <c r="TIV9" s="338"/>
      <c r="TIW9" s="338"/>
      <c r="TIX9" s="338"/>
      <c r="TIY9" s="338"/>
      <c r="TIZ9" s="338"/>
      <c r="TJA9" s="338"/>
      <c r="TJB9" s="338"/>
      <c r="TJC9" s="338"/>
      <c r="TJD9" s="338"/>
      <c r="TJE9" s="338"/>
      <c r="TJF9" s="338"/>
      <c r="TJG9" s="338"/>
      <c r="TJH9" s="338"/>
      <c r="TJI9" s="338"/>
      <c r="TJJ9" s="338"/>
      <c r="TJK9" s="338"/>
      <c r="TJL9" s="338"/>
      <c r="TJM9" s="338"/>
      <c r="TJN9" s="338"/>
      <c r="TJO9" s="338"/>
      <c r="TJP9" s="338"/>
      <c r="TJQ9" s="338"/>
      <c r="TJR9" s="338"/>
      <c r="TJS9" s="338"/>
      <c r="TJT9" s="338"/>
      <c r="TJU9" s="338"/>
      <c r="TJV9" s="338"/>
      <c r="TJW9" s="338"/>
      <c r="TJX9" s="338"/>
      <c r="TJY9" s="338"/>
      <c r="TJZ9" s="338"/>
      <c r="TKA9" s="338"/>
      <c r="TKB9" s="338"/>
      <c r="TKC9" s="338"/>
      <c r="TKD9" s="338"/>
      <c r="TKE9" s="338"/>
      <c r="TKF9" s="338"/>
      <c r="TKG9" s="338"/>
      <c r="TKH9" s="338"/>
      <c r="TKI9" s="338"/>
      <c r="TKJ9" s="338"/>
      <c r="TKK9" s="338"/>
      <c r="TKL9" s="338"/>
      <c r="TKM9" s="338"/>
      <c r="TKN9" s="338"/>
      <c r="TKO9" s="338"/>
      <c r="TKP9" s="338"/>
      <c r="TKQ9" s="338"/>
      <c r="TKR9" s="338"/>
      <c r="TKS9" s="338"/>
      <c r="TKT9" s="338"/>
      <c r="TKU9" s="338"/>
      <c r="TKV9" s="338"/>
      <c r="TKW9" s="338"/>
      <c r="TKX9" s="338"/>
      <c r="TKY9" s="338"/>
      <c r="TKZ9" s="338"/>
      <c r="TLA9" s="338"/>
      <c r="TLB9" s="338"/>
      <c r="TLC9" s="338"/>
      <c r="TLD9" s="338"/>
      <c r="TLE9" s="338"/>
      <c r="TLF9" s="338"/>
      <c r="TLG9" s="338"/>
      <c r="TLH9" s="338"/>
      <c r="TLI9" s="338"/>
      <c r="TLJ9" s="338"/>
      <c r="TLK9" s="338"/>
      <c r="TLL9" s="338"/>
      <c r="TLM9" s="338"/>
      <c r="TLN9" s="338"/>
      <c r="TLO9" s="338"/>
      <c r="TLP9" s="338"/>
      <c r="TLQ9" s="338"/>
      <c r="TLR9" s="338"/>
      <c r="TLS9" s="338"/>
      <c r="TLT9" s="338"/>
      <c r="TLU9" s="338"/>
      <c r="TLV9" s="338"/>
      <c r="TLW9" s="338"/>
      <c r="TLX9" s="338"/>
      <c r="TLY9" s="338"/>
      <c r="TLZ9" s="338"/>
      <c r="TMA9" s="338"/>
      <c r="TMB9" s="338"/>
      <c r="TMC9" s="338"/>
      <c r="TMD9" s="338"/>
      <c r="TME9" s="338"/>
      <c r="TMF9" s="338"/>
      <c r="TMG9" s="338"/>
      <c r="TMH9" s="338"/>
      <c r="TMI9" s="338"/>
      <c r="TMJ9" s="338"/>
      <c r="TMK9" s="338"/>
      <c r="TML9" s="338"/>
      <c r="TMM9" s="338"/>
      <c r="TMN9" s="338"/>
      <c r="TMO9" s="338"/>
      <c r="TMP9" s="338"/>
      <c r="TMQ9" s="338"/>
      <c r="TMR9" s="338"/>
      <c r="TMS9" s="338"/>
      <c r="TMT9" s="338"/>
      <c r="TMU9" s="338"/>
      <c r="TMV9" s="338"/>
      <c r="TMW9" s="338"/>
      <c r="TMX9" s="338"/>
      <c r="TMY9" s="338"/>
      <c r="TMZ9" s="338"/>
      <c r="TNA9" s="338"/>
      <c r="TNB9" s="338"/>
      <c r="TNC9" s="338"/>
      <c r="TND9" s="338"/>
      <c r="TNE9" s="338"/>
      <c r="TNF9" s="338"/>
      <c r="TNG9" s="338"/>
      <c r="TNH9" s="338"/>
      <c r="TNI9" s="338"/>
      <c r="TNJ9" s="338"/>
      <c r="TNK9" s="338"/>
      <c r="TNL9" s="338"/>
      <c r="TNM9" s="338"/>
      <c r="TNN9" s="338"/>
      <c r="TNO9" s="338"/>
      <c r="TNP9" s="338"/>
      <c r="TNQ9" s="338"/>
      <c r="TNR9" s="338"/>
      <c r="TNS9" s="338"/>
      <c r="TNT9" s="338"/>
      <c r="TNU9" s="338"/>
      <c r="TNV9" s="338"/>
      <c r="TNW9" s="338"/>
      <c r="TNX9" s="338"/>
      <c r="TNY9" s="338"/>
      <c r="TNZ9" s="338"/>
      <c r="TOA9" s="338"/>
      <c r="TOB9" s="338"/>
      <c r="TOC9" s="338"/>
      <c r="TOD9" s="338"/>
      <c r="TOE9" s="338"/>
      <c r="TOF9" s="338"/>
      <c r="TOG9" s="338"/>
      <c r="TOH9" s="338"/>
      <c r="TOI9" s="338"/>
      <c r="TOJ9" s="338"/>
      <c r="TOK9" s="338"/>
      <c r="TOL9" s="338"/>
      <c r="TOM9" s="338"/>
      <c r="TON9" s="338"/>
      <c r="TOO9" s="338"/>
      <c r="TOP9" s="338"/>
      <c r="TOQ9" s="338"/>
      <c r="TOR9" s="338"/>
      <c r="TOS9" s="338"/>
      <c r="TOT9" s="338"/>
      <c r="TOU9" s="338"/>
      <c r="TOV9" s="338"/>
      <c r="TOW9" s="338"/>
      <c r="TOX9" s="338"/>
      <c r="TOY9" s="338"/>
      <c r="TOZ9" s="338"/>
      <c r="TPA9" s="338"/>
      <c r="TPB9" s="338"/>
      <c r="TPC9" s="338"/>
      <c r="TPD9" s="338"/>
      <c r="TPE9" s="338"/>
      <c r="TPF9" s="338"/>
      <c r="TPG9" s="338"/>
      <c r="TPH9" s="338"/>
      <c r="TPI9" s="338"/>
      <c r="TPJ9" s="338"/>
      <c r="TPK9" s="338"/>
      <c r="TPL9" s="338"/>
      <c r="TPM9" s="338"/>
      <c r="TPN9" s="338"/>
      <c r="TPO9" s="338"/>
      <c r="TPP9" s="338"/>
      <c r="TPQ9" s="338"/>
      <c r="TPR9" s="338"/>
      <c r="TPS9" s="338"/>
      <c r="TPT9" s="338"/>
      <c r="TPU9" s="338"/>
      <c r="TPV9" s="338"/>
      <c r="TPW9" s="338"/>
      <c r="TPX9" s="338"/>
      <c r="TPY9" s="338"/>
      <c r="TPZ9" s="338"/>
      <c r="TQA9" s="338"/>
      <c r="TQB9" s="338"/>
      <c r="TQC9" s="338"/>
      <c r="TQD9" s="338"/>
      <c r="TQE9" s="338"/>
      <c r="TQF9" s="338"/>
      <c r="TQG9" s="338"/>
      <c r="TQH9" s="338"/>
      <c r="TQI9" s="338"/>
      <c r="TQJ9" s="338"/>
      <c r="TQK9" s="338"/>
      <c r="TQL9" s="338"/>
      <c r="TQM9" s="338"/>
      <c r="TQN9" s="338"/>
      <c r="TQO9" s="338"/>
      <c r="TQP9" s="338"/>
      <c r="TQQ9" s="338"/>
      <c r="TQR9" s="338"/>
      <c r="TQS9" s="338"/>
      <c r="TQT9" s="338"/>
      <c r="TQU9" s="338"/>
      <c r="TQV9" s="338"/>
      <c r="TQW9" s="338"/>
      <c r="TQX9" s="338"/>
      <c r="TQY9" s="338"/>
      <c r="TQZ9" s="338"/>
      <c r="TRA9" s="338"/>
      <c r="TRB9" s="338"/>
      <c r="TRC9" s="338"/>
      <c r="TRD9" s="338"/>
      <c r="TRE9" s="338"/>
      <c r="TRF9" s="338"/>
      <c r="TRG9" s="338"/>
      <c r="TRH9" s="338"/>
      <c r="TRI9" s="338"/>
      <c r="TRJ9" s="338"/>
      <c r="TRK9" s="338"/>
      <c r="TRL9" s="338"/>
      <c r="TRM9" s="338"/>
      <c r="TRN9" s="338"/>
      <c r="TRO9" s="338"/>
      <c r="TRP9" s="338"/>
      <c r="TRQ9" s="338"/>
      <c r="TRR9" s="338"/>
      <c r="TRS9" s="338"/>
      <c r="TRT9" s="338"/>
      <c r="TRU9" s="338"/>
      <c r="TRV9" s="338"/>
      <c r="TRW9" s="338"/>
      <c r="TRX9" s="338"/>
      <c r="TRY9" s="338"/>
      <c r="TRZ9" s="338"/>
      <c r="TSA9" s="338"/>
      <c r="TSB9" s="338"/>
      <c r="TSC9" s="338"/>
      <c r="TSD9" s="338"/>
      <c r="TSE9" s="338"/>
      <c r="TSF9" s="338"/>
      <c r="TSG9" s="338"/>
      <c r="TSH9" s="338"/>
      <c r="TSI9" s="338"/>
      <c r="TSJ9" s="338"/>
      <c r="TSK9" s="338"/>
      <c r="TSL9" s="338"/>
      <c r="TSM9" s="338"/>
      <c r="TSN9" s="338"/>
      <c r="TSO9" s="338"/>
      <c r="TSP9" s="338"/>
      <c r="TSQ9" s="338"/>
      <c r="TSR9" s="338"/>
      <c r="TSS9" s="338"/>
      <c r="TST9" s="338"/>
      <c r="TSU9" s="338"/>
      <c r="TSV9" s="338"/>
      <c r="TSW9" s="338"/>
      <c r="TSX9" s="338"/>
      <c r="TSY9" s="338"/>
      <c r="TSZ9" s="338"/>
      <c r="TTA9" s="338"/>
      <c r="TTB9" s="338"/>
      <c r="TTC9" s="338"/>
      <c r="TTD9" s="338"/>
      <c r="TTE9" s="338"/>
      <c r="TTF9" s="338"/>
      <c r="TTG9" s="338"/>
      <c r="TTH9" s="338"/>
      <c r="TTI9" s="338"/>
      <c r="TTJ9" s="338"/>
      <c r="TTK9" s="338"/>
      <c r="TTL9" s="338"/>
      <c r="TTM9" s="338"/>
      <c r="TTN9" s="338"/>
      <c r="TTO9" s="338"/>
      <c r="TTP9" s="338"/>
      <c r="TTQ9" s="338"/>
      <c r="TTR9" s="338"/>
      <c r="TTS9" s="338"/>
      <c r="TTT9" s="338"/>
      <c r="TTU9" s="338"/>
      <c r="TTV9" s="338"/>
      <c r="TTW9" s="338"/>
      <c r="TTX9" s="338"/>
      <c r="TTY9" s="338"/>
      <c r="TTZ9" s="338"/>
      <c r="TUA9" s="338"/>
      <c r="TUB9" s="338"/>
      <c r="TUC9" s="338"/>
      <c r="TUD9" s="338"/>
      <c r="TUE9" s="338"/>
      <c r="TUF9" s="338"/>
      <c r="TUG9" s="338"/>
      <c r="TUH9" s="338"/>
      <c r="TUI9" s="338"/>
      <c r="TUJ9" s="338"/>
      <c r="TUK9" s="338"/>
      <c r="TUL9" s="338"/>
      <c r="TUM9" s="338"/>
      <c r="TUN9" s="338"/>
      <c r="TUO9" s="338"/>
      <c r="TUP9" s="338"/>
      <c r="TUQ9" s="338"/>
      <c r="TUR9" s="338"/>
      <c r="TUS9" s="338"/>
      <c r="TUT9" s="338"/>
      <c r="TUU9" s="338"/>
      <c r="TUV9" s="338"/>
      <c r="TUW9" s="338"/>
      <c r="TUX9" s="338"/>
      <c r="TUY9" s="338"/>
      <c r="TUZ9" s="338"/>
      <c r="TVA9" s="338"/>
      <c r="TVB9" s="338"/>
      <c r="TVC9" s="338"/>
      <c r="TVD9" s="338"/>
      <c r="TVE9" s="338"/>
      <c r="TVF9" s="338"/>
      <c r="TVG9" s="338"/>
      <c r="TVH9" s="338"/>
      <c r="TVI9" s="338"/>
      <c r="TVJ9" s="338"/>
      <c r="TVK9" s="338"/>
      <c r="TVL9" s="338"/>
      <c r="TVM9" s="338"/>
      <c r="TVN9" s="338"/>
      <c r="TVO9" s="338"/>
      <c r="TVP9" s="338"/>
      <c r="TVQ9" s="338"/>
      <c r="TVR9" s="338"/>
      <c r="TVS9" s="338"/>
      <c r="TVT9" s="338"/>
      <c r="TVU9" s="338"/>
      <c r="TVV9" s="338"/>
      <c r="TVW9" s="338"/>
      <c r="TVX9" s="338"/>
      <c r="TVY9" s="338"/>
      <c r="TVZ9" s="338"/>
      <c r="TWA9" s="338"/>
      <c r="TWB9" s="338"/>
      <c r="TWC9" s="338"/>
      <c r="TWD9" s="338"/>
      <c r="TWE9" s="338"/>
      <c r="TWF9" s="338"/>
      <c r="TWG9" s="338"/>
      <c r="TWH9" s="338"/>
      <c r="TWI9" s="338"/>
      <c r="TWJ9" s="338"/>
      <c r="TWK9" s="338"/>
      <c r="TWL9" s="338"/>
      <c r="TWM9" s="338"/>
      <c r="TWN9" s="338"/>
      <c r="TWO9" s="338"/>
      <c r="TWP9" s="338"/>
      <c r="TWQ9" s="338"/>
      <c r="TWR9" s="338"/>
      <c r="TWS9" s="338"/>
      <c r="TWT9" s="338"/>
      <c r="TWU9" s="338"/>
      <c r="TWV9" s="338"/>
      <c r="TWW9" s="338"/>
      <c r="TWX9" s="338"/>
      <c r="TWY9" s="338"/>
      <c r="TWZ9" s="338"/>
      <c r="TXA9" s="338"/>
      <c r="TXB9" s="338"/>
      <c r="TXC9" s="338"/>
      <c r="TXD9" s="338"/>
      <c r="TXE9" s="338"/>
      <c r="TXF9" s="338"/>
      <c r="TXG9" s="338"/>
      <c r="TXH9" s="338"/>
      <c r="TXI9" s="338"/>
      <c r="TXJ9" s="338"/>
      <c r="TXK9" s="338"/>
      <c r="TXL9" s="338"/>
      <c r="TXM9" s="338"/>
      <c r="TXN9" s="338"/>
      <c r="TXO9" s="338"/>
      <c r="TXP9" s="338"/>
      <c r="TXQ9" s="338"/>
      <c r="TXR9" s="338"/>
      <c r="TXS9" s="338"/>
      <c r="TXT9" s="338"/>
      <c r="TXU9" s="338"/>
      <c r="TXV9" s="338"/>
      <c r="TXW9" s="338"/>
      <c r="TXX9" s="338"/>
      <c r="TXY9" s="338"/>
      <c r="TXZ9" s="338"/>
      <c r="TYA9" s="338"/>
      <c r="TYB9" s="338"/>
      <c r="TYC9" s="338"/>
      <c r="TYD9" s="338"/>
      <c r="TYE9" s="338"/>
      <c r="TYF9" s="338"/>
      <c r="TYG9" s="338"/>
      <c r="TYH9" s="338"/>
      <c r="TYI9" s="338"/>
      <c r="TYJ9" s="338"/>
      <c r="TYK9" s="338"/>
      <c r="TYL9" s="338"/>
      <c r="TYM9" s="338"/>
      <c r="TYN9" s="338"/>
      <c r="TYO9" s="338"/>
      <c r="TYP9" s="338"/>
      <c r="TYQ9" s="338"/>
      <c r="TYR9" s="338"/>
      <c r="TYS9" s="338"/>
      <c r="TYT9" s="338"/>
      <c r="TYU9" s="338"/>
      <c r="TYV9" s="338"/>
      <c r="TYW9" s="338"/>
      <c r="TYX9" s="338"/>
      <c r="TYY9" s="338"/>
      <c r="TYZ9" s="338"/>
      <c r="TZA9" s="338"/>
      <c r="TZB9" s="338"/>
      <c r="TZC9" s="338"/>
      <c r="TZD9" s="338"/>
      <c r="TZE9" s="338"/>
      <c r="TZF9" s="338"/>
      <c r="TZG9" s="338"/>
      <c r="TZH9" s="338"/>
      <c r="TZI9" s="338"/>
      <c r="TZJ9" s="338"/>
      <c r="TZK9" s="338"/>
      <c r="TZL9" s="338"/>
      <c r="TZM9" s="338"/>
      <c r="TZN9" s="338"/>
      <c r="TZO9" s="338"/>
      <c r="TZP9" s="338"/>
      <c r="TZQ9" s="338"/>
      <c r="TZR9" s="338"/>
      <c r="TZS9" s="338"/>
      <c r="TZT9" s="338"/>
      <c r="TZU9" s="338"/>
      <c r="TZV9" s="338"/>
      <c r="TZW9" s="338"/>
      <c r="TZX9" s="338"/>
      <c r="TZY9" s="338"/>
      <c r="TZZ9" s="338"/>
      <c r="UAA9" s="338"/>
      <c r="UAB9" s="338"/>
      <c r="UAC9" s="338"/>
      <c r="UAD9" s="338"/>
      <c r="UAE9" s="338"/>
      <c r="UAF9" s="338"/>
      <c r="UAG9" s="338"/>
      <c r="UAH9" s="338"/>
      <c r="UAI9" s="338"/>
      <c r="UAJ9" s="338"/>
      <c r="UAK9" s="338"/>
      <c r="UAL9" s="338"/>
      <c r="UAM9" s="338"/>
      <c r="UAN9" s="338"/>
      <c r="UAO9" s="338"/>
      <c r="UAP9" s="338"/>
      <c r="UAQ9" s="338"/>
      <c r="UAR9" s="338"/>
      <c r="UAS9" s="338"/>
      <c r="UAT9" s="338"/>
      <c r="UAU9" s="338"/>
      <c r="UAV9" s="338"/>
      <c r="UAW9" s="338"/>
      <c r="UAX9" s="338"/>
      <c r="UAY9" s="338"/>
      <c r="UAZ9" s="338"/>
      <c r="UBA9" s="338"/>
      <c r="UBB9" s="338"/>
      <c r="UBC9" s="338"/>
      <c r="UBD9" s="338"/>
      <c r="UBE9" s="338"/>
      <c r="UBF9" s="338"/>
      <c r="UBG9" s="338"/>
      <c r="UBH9" s="338"/>
      <c r="UBI9" s="338"/>
      <c r="UBJ9" s="338"/>
      <c r="UBK9" s="338"/>
      <c r="UBL9" s="338"/>
      <c r="UBM9" s="338"/>
      <c r="UBN9" s="338"/>
      <c r="UBO9" s="338"/>
      <c r="UBP9" s="338"/>
      <c r="UBQ9" s="338"/>
      <c r="UBR9" s="338"/>
      <c r="UBS9" s="338"/>
      <c r="UBT9" s="338"/>
      <c r="UBU9" s="338"/>
      <c r="UBV9" s="338"/>
      <c r="UBW9" s="338"/>
      <c r="UBX9" s="338"/>
      <c r="UBY9" s="338"/>
      <c r="UBZ9" s="338"/>
      <c r="UCA9" s="338"/>
      <c r="UCB9" s="338"/>
      <c r="UCC9" s="338"/>
      <c r="UCD9" s="338"/>
      <c r="UCE9" s="338"/>
      <c r="UCF9" s="338"/>
      <c r="UCG9" s="338"/>
      <c r="UCH9" s="338"/>
      <c r="UCI9" s="338"/>
      <c r="UCJ9" s="338"/>
      <c r="UCK9" s="338"/>
      <c r="UCL9" s="338"/>
      <c r="UCM9" s="338"/>
      <c r="UCN9" s="338"/>
      <c r="UCO9" s="338"/>
      <c r="UCP9" s="338"/>
      <c r="UCQ9" s="338"/>
      <c r="UCR9" s="338"/>
      <c r="UCS9" s="338"/>
      <c r="UCT9" s="338"/>
      <c r="UCU9" s="338"/>
      <c r="UCV9" s="338"/>
      <c r="UCW9" s="338"/>
      <c r="UCX9" s="338"/>
      <c r="UCY9" s="338"/>
      <c r="UCZ9" s="338"/>
      <c r="UDA9" s="338"/>
      <c r="UDB9" s="338"/>
      <c r="UDC9" s="338"/>
      <c r="UDD9" s="338"/>
      <c r="UDE9" s="338"/>
      <c r="UDF9" s="338"/>
      <c r="UDG9" s="338"/>
      <c r="UDH9" s="338"/>
      <c r="UDI9" s="338"/>
      <c r="UDJ9" s="338"/>
      <c r="UDK9" s="338"/>
      <c r="UDL9" s="338"/>
      <c r="UDM9" s="338"/>
      <c r="UDN9" s="338"/>
      <c r="UDO9" s="338"/>
      <c r="UDP9" s="338"/>
      <c r="UDQ9" s="338"/>
      <c r="UDR9" s="338"/>
      <c r="UDS9" s="338"/>
      <c r="UDT9" s="338"/>
      <c r="UDU9" s="338"/>
      <c r="UDV9" s="338"/>
      <c r="UDW9" s="338"/>
      <c r="UDX9" s="338"/>
      <c r="UDY9" s="338"/>
      <c r="UDZ9" s="338"/>
      <c r="UEA9" s="338"/>
      <c r="UEB9" s="338"/>
      <c r="UEC9" s="338"/>
      <c r="UED9" s="338"/>
      <c r="UEE9" s="338"/>
      <c r="UEF9" s="338"/>
      <c r="UEG9" s="338"/>
      <c r="UEH9" s="338"/>
      <c r="UEI9" s="338"/>
      <c r="UEJ9" s="338"/>
      <c r="UEK9" s="338"/>
      <c r="UEL9" s="338"/>
      <c r="UEM9" s="338"/>
      <c r="UEN9" s="338"/>
      <c r="UEO9" s="338"/>
      <c r="UEP9" s="338"/>
      <c r="UEQ9" s="338"/>
      <c r="UER9" s="338"/>
      <c r="UES9" s="338"/>
      <c r="UET9" s="338"/>
      <c r="UEU9" s="338"/>
      <c r="UEV9" s="338"/>
      <c r="UEW9" s="338"/>
      <c r="UEX9" s="338"/>
      <c r="UEY9" s="338"/>
      <c r="UEZ9" s="338"/>
      <c r="UFA9" s="338"/>
      <c r="UFB9" s="338"/>
      <c r="UFC9" s="338"/>
      <c r="UFD9" s="338"/>
      <c r="UFE9" s="338"/>
      <c r="UFF9" s="338"/>
      <c r="UFG9" s="338"/>
      <c r="UFH9" s="338"/>
      <c r="UFI9" s="338"/>
      <c r="UFJ9" s="338"/>
      <c r="UFK9" s="338"/>
      <c r="UFL9" s="338"/>
      <c r="UFM9" s="338"/>
      <c r="UFN9" s="338"/>
      <c r="UFO9" s="338"/>
      <c r="UFP9" s="338"/>
      <c r="UFQ9" s="338"/>
      <c r="UFR9" s="338"/>
      <c r="UFS9" s="338"/>
      <c r="UFT9" s="338"/>
      <c r="UFU9" s="338"/>
      <c r="UFV9" s="338"/>
      <c r="UFW9" s="338"/>
      <c r="UFX9" s="338"/>
      <c r="UFY9" s="338"/>
      <c r="UFZ9" s="338"/>
      <c r="UGA9" s="338"/>
      <c r="UGB9" s="338"/>
      <c r="UGC9" s="338"/>
      <c r="UGD9" s="338"/>
      <c r="UGE9" s="338"/>
      <c r="UGF9" s="338"/>
      <c r="UGG9" s="338"/>
      <c r="UGH9" s="338"/>
      <c r="UGI9" s="338"/>
      <c r="UGJ9" s="338"/>
      <c r="UGK9" s="338"/>
      <c r="UGL9" s="338"/>
      <c r="UGM9" s="338"/>
      <c r="UGN9" s="338"/>
      <c r="UGO9" s="338"/>
      <c r="UGP9" s="338"/>
      <c r="UGQ9" s="338"/>
      <c r="UGR9" s="338"/>
      <c r="UGS9" s="338"/>
      <c r="UGT9" s="338"/>
      <c r="UGU9" s="338"/>
      <c r="UGV9" s="338"/>
      <c r="UGW9" s="338"/>
      <c r="UGX9" s="338"/>
      <c r="UGY9" s="338"/>
      <c r="UGZ9" s="338"/>
      <c r="UHA9" s="338"/>
      <c r="UHB9" s="338"/>
      <c r="UHC9" s="338"/>
      <c r="UHD9" s="338"/>
      <c r="UHE9" s="338"/>
      <c r="UHF9" s="338"/>
      <c r="UHG9" s="338"/>
      <c r="UHH9" s="338"/>
      <c r="UHI9" s="338"/>
      <c r="UHJ9" s="338"/>
      <c r="UHK9" s="338"/>
      <c r="UHL9" s="338"/>
      <c r="UHM9" s="338"/>
      <c r="UHN9" s="338"/>
      <c r="UHO9" s="338"/>
      <c r="UHP9" s="338"/>
      <c r="UHQ9" s="338"/>
      <c r="UHR9" s="338"/>
      <c r="UHS9" s="338"/>
      <c r="UHT9" s="338"/>
      <c r="UHU9" s="338"/>
      <c r="UHV9" s="338"/>
      <c r="UHW9" s="338"/>
      <c r="UHX9" s="338"/>
      <c r="UHY9" s="338"/>
      <c r="UHZ9" s="338"/>
      <c r="UIA9" s="338"/>
      <c r="UIB9" s="338"/>
      <c r="UIC9" s="338"/>
      <c r="UID9" s="338"/>
      <c r="UIE9" s="338"/>
      <c r="UIF9" s="338"/>
      <c r="UIG9" s="338"/>
      <c r="UIH9" s="338"/>
      <c r="UII9" s="338"/>
      <c r="UIJ9" s="338"/>
      <c r="UIK9" s="338"/>
      <c r="UIL9" s="338"/>
      <c r="UIM9" s="338"/>
      <c r="UIN9" s="338"/>
      <c r="UIO9" s="338"/>
      <c r="UIP9" s="338"/>
      <c r="UIQ9" s="338"/>
      <c r="UIR9" s="338"/>
      <c r="UIS9" s="338"/>
      <c r="UIT9" s="338"/>
      <c r="UIU9" s="338"/>
      <c r="UIV9" s="338"/>
      <c r="UIW9" s="338"/>
      <c r="UIX9" s="338"/>
      <c r="UIY9" s="338"/>
      <c r="UIZ9" s="338"/>
      <c r="UJA9" s="338"/>
      <c r="UJB9" s="338"/>
      <c r="UJC9" s="338"/>
      <c r="UJD9" s="338"/>
      <c r="UJE9" s="338"/>
      <c r="UJF9" s="338"/>
      <c r="UJG9" s="338"/>
      <c r="UJH9" s="338"/>
      <c r="UJI9" s="338"/>
      <c r="UJJ9" s="338"/>
      <c r="UJK9" s="338"/>
      <c r="UJL9" s="338"/>
      <c r="UJM9" s="338"/>
      <c r="UJN9" s="338"/>
      <c r="UJO9" s="338"/>
      <c r="UJP9" s="338"/>
      <c r="UJQ9" s="338"/>
      <c r="UJR9" s="338"/>
      <c r="UJS9" s="338"/>
      <c r="UJT9" s="338"/>
      <c r="UJU9" s="338"/>
      <c r="UJV9" s="338"/>
      <c r="UJW9" s="338"/>
      <c r="UJX9" s="338"/>
      <c r="UJY9" s="338"/>
      <c r="UJZ9" s="338"/>
      <c r="UKA9" s="338"/>
      <c r="UKB9" s="338"/>
      <c r="UKC9" s="338"/>
      <c r="UKD9" s="338"/>
      <c r="UKE9" s="338"/>
      <c r="UKF9" s="338"/>
      <c r="UKG9" s="338"/>
      <c r="UKH9" s="338"/>
      <c r="UKI9" s="338"/>
      <c r="UKJ9" s="338"/>
      <c r="UKK9" s="338"/>
      <c r="UKL9" s="338"/>
      <c r="UKM9" s="338"/>
      <c r="UKN9" s="338"/>
      <c r="UKO9" s="338"/>
      <c r="UKP9" s="338"/>
      <c r="UKQ9" s="338"/>
      <c r="UKR9" s="338"/>
      <c r="UKS9" s="338"/>
      <c r="UKT9" s="338"/>
      <c r="UKU9" s="338"/>
      <c r="UKV9" s="338"/>
      <c r="UKW9" s="338"/>
      <c r="UKX9" s="338"/>
      <c r="UKY9" s="338"/>
      <c r="UKZ9" s="338"/>
      <c r="ULA9" s="338"/>
      <c r="ULB9" s="338"/>
      <c r="ULC9" s="338"/>
      <c r="ULD9" s="338"/>
      <c r="ULE9" s="338"/>
      <c r="ULF9" s="338"/>
      <c r="ULG9" s="338"/>
      <c r="ULH9" s="338"/>
      <c r="ULI9" s="338"/>
      <c r="ULJ9" s="338"/>
      <c r="ULK9" s="338"/>
      <c r="ULL9" s="338"/>
      <c r="ULM9" s="338"/>
      <c r="ULN9" s="338"/>
      <c r="ULO9" s="338"/>
      <c r="ULP9" s="338"/>
      <c r="ULQ9" s="338"/>
      <c r="ULR9" s="338"/>
      <c r="ULS9" s="338"/>
      <c r="ULT9" s="338"/>
      <c r="ULU9" s="338"/>
      <c r="ULV9" s="338"/>
      <c r="ULW9" s="338"/>
      <c r="ULX9" s="338"/>
      <c r="ULY9" s="338"/>
      <c r="ULZ9" s="338"/>
      <c r="UMA9" s="338"/>
      <c r="UMB9" s="338"/>
      <c r="UMC9" s="338"/>
      <c r="UMD9" s="338"/>
      <c r="UME9" s="338"/>
      <c r="UMF9" s="338"/>
      <c r="UMG9" s="338"/>
      <c r="UMH9" s="338"/>
      <c r="UMI9" s="338"/>
      <c r="UMJ9" s="338"/>
      <c r="UMK9" s="338"/>
      <c r="UML9" s="338"/>
      <c r="UMM9" s="338"/>
      <c r="UMN9" s="338"/>
      <c r="UMO9" s="338"/>
      <c r="UMP9" s="338"/>
      <c r="UMQ9" s="338"/>
      <c r="UMR9" s="338"/>
      <c r="UMS9" s="338"/>
      <c r="UMT9" s="338"/>
      <c r="UMU9" s="338"/>
      <c r="UMV9" s="338"/>
      <c r="UMW9" s="338"/>
      <c r="UMX9" s="338"/>
      <c r="UMY9" s="338"/>
      <c r="UMZ9" s="338"/>
      <c r="UNA9" s="338"/>
      <c r="UNB9" s="338"/>
      <c r="UNC9" s="338"/>
      <c r="UND9" s="338"/>
      <c r="UNE9" s="338"/>
      <c r="UNF9" s="338"/>
      <c r="UNG9" s="338"/>
      <c r="UNH9" s="338"/>
      <c r="UNI9" s="338"/>
      <c r="UNJ9" s="338"/>
      <c r="UNK9" s="338"/>
      <c r="UNL9" s="338"/>
      <c r="UNM9" s="338"/>
      <c r="UNN9" s="338"/>
      <c r="UNO9" s="338"/>
      <c r="UNP9" s="338"/>
      <c r="UNQ9" s="338"/>
      <c r="UNR9" s="338"/>
      <c r="UNS9" s="338"/>
      <c r="UNT9" s="338"/>
      <c r="UNU9" s="338"/>
      <c r="UNV9" s="338"/>
      <c r="UNW9" s="338"/>
      <c r="UNX9" s="338"/>
      <c r="UNY9" s="338"/>
      <c r="UNZ9" s="338"/>
      <c r="UOA9" s="338"/>
      <c r="UOB9" s="338"/>
      <c r="UOC9" s="338"/>
      <c r="UOD9" s="338"/>
      <c r="UOE9" s="338"/>
      <c r="UOF9" s="338"/>
      <c r="UOG9" s="338"/>
      <c r="UOH9" s="338"/>
      <c r="UOI9" s="338"/>
      <c r="UOJ9" s="338"/>
      <c r="UOK9" s="338"/>
      <c r="UOL9" s="338"/>
      <c r="UOM9" s="338"/>
      <c r="UON9" s="338"/>
      <c r="UOO9" s="338"/>
      <c r="UOP9" s="338"/>
      <c r="UOQ9" s="338"/>
      <c r="UOR9" s="338"/>
      <c r="UOS9" s="338"/>
      <c r="UOT9" s="338"/>
      <c r="UOU9" s="338"/>
      <c r="UOV9" s="338"/>
      <c r="UOW9" s="338"/>
      <c r="UOX9" s="338"/>
      <c r="UOY9" s="338"/>
      <c r="UOZ9" s="338"/>
      <c r="UPA9" s="338"/>
      <c r="UPB9" s="338"/>
      <c r="UPC9" s="338"/>
      <c r="UPD9" s="338"/>
      <c r="UPE9" s="338"/>
      <c r="UPF9" s="338"/>
      <c r="UPG9" s="338"/>
      <c r="UPH9" s="338"/>
      <c r="UPI9" s="338"/>
      <c r="UPJ9" s="338"/>
      <c r="UPK9" s="338"/>
      <c r="UPL9" s="338"/>
      <c r="UPM9" s="338"/>
      <c r="UPN9" s="338"/>
      <c r="UPO9" s="338"/>
      <c r="UPP9" s="338"/>
      <c r="UPQ9" s="338"/>
      <c r="UPR9" s="338"/>
      <c r="UPS9" s="338"/>
      <c r="UPT9" s="338"/>
      <c r="UPU9" s="338"/>
      <c r="UPV9" s="338"/>
      <c r="UPW9" s="338"/>
      <c r="UPX9" s="338"/>
      <c r="UPY9" s="338"/>
      <c r="UPZ9" s="338"/>
      <c r="UQA9" s="338"/>
      <c r="UQB9" s="338"/>
      <c r="UQC9" s="338"/>
      <c r="UQD9" s="338"/>
      <c r="UQE9" s="338"/>
      <c r="UQF9" s="338"/>
      <c r="UQG9" s="338"/>
      <c r="UQH9" s="338"/>
      <c r="UQI9" s="338"/>
      <c r="UQJ9" s="338"/>
      <c r="UQK9" s="338"/>
      <c r="UQL9" s="338"/>
      <c r="UQM9" s="338"/>
      <c r="UQN9" s="338"/>
      <c r="UQO9" s="338"/>
      <c r="UQP9" s="338"/>
      <c r="UQQ9" s="338"/>
      <c r="UQR9" s="338"/>
      <c r="UQS9" s="338"/>
      <c r="UQT9" s="338"/>
      <c r="UQU9" s="338"/>
      <c r="UQV9" s="338"/>
      <c r="UQW9" s="338"/>
      <c r="UQX9" s="338"/>
      <c r="UQY9" s="338"/>
      <c r="UQZ9" s="338"/>
      <c r="URA9" s="338"/>
      <c r="URB9" s="338"/>
      <c r="URC9" s="338"/>
      <c r="URD9" s="338"/>
      <c r="URE9" s="338"/>
      <c r="URF9" s="338"/>
      <c r="URG9" s="338"/>
      <c r="URH9" s="338"/>
      <c r="URI9" s="338"/>
      <c r="URJ9" s="338"/>
      <c r="URK9" s="338"/>
      <c r="URL9" s="338"/>
      <c r="URM9" s="338"/>
      <c r="URN9" s="338"/>
      <c r="URO9" s="338"/>
      <c r="URP9" s="338"/>
      <c r="URQ9" s="338"/>
      <c r="URR9" s="338"/>
      <c r="URS9" s="338"/>
      <c r="URT9" s="338"/>
      <c r="URU9" s="338"/>
      <c r="URV9" s="338"/>
      <c r="URW9" s="338"/>
      <c r="URX9" s="338"/>
      <c r="URY9" s="338"/>
      <c r="URZ9" s="338"/>
      <c r="USA9" s="338"/>
      <c r="USB9" s="338"/>
      <c r="USC9" s="338"/>
      <c r="USD9" s="338"/>
      <c r="USE9" s="338"/>
      <c r="USF9" s="338"/>
      <c r="USG9" s="338"/>
      <c r="USH9" s="338"/>
      <c r="USI9" s="338"/>
      <c r="USJ9" s="338"/>
      <c r="USK9" s="338"/>
      <c r="USL9" s="338"/>
      <c r="USM9" s="338"/>
      <c r="USN9" s="338"/>
      <c r="USO9" s="338"/>
      <c r="USP9" s="338"/>
      <c r="USQ9" s="338"/>
      <c r="USR9" s="338"/>
      <c r="USS9" s="338"/>
      <c r="UST9" s="338"/>
      <c r="USU9" s="338"/>
      <c r="USV9" s="338"/>
      <c r="USW9" s="338"/>
      <c r="USX9" s="338"/>
      <c r="USY9" s="338"/>
      <c r="USZ9" s="338"/>
      <c r="UTA9" s="338"/>
      <c r="UTB9" s="338"/>
      <c r="UTC9" s="338"/>
      <c r="UTD9" s="338"/>
      <c r="UTE9" s="338"/>
      <c r="UTF9" s="338"/>
      <c r="UTG9" s="338"/>
      <c r="UTH9" s="338"/>
      <c r="UTI9" s="338"/>
      <c r="UTJ9" s="338"/>
      <c r="UTK9" s="338"/>
      <c r="UTL9" s="338"/>
      <c r="UTM9" s="338"/>
      <c r="UTN9" s="338"/>
      <c r="UTO9" s="338"/>
      <c r="UTP9" s="338"/>
      <c r="UTQ9" s="338"/>
      <c r="UTR9" s="338"/>
      <c r="UTS9" s="338"/>
      <c r="UTT9" s="338"/>
      <c r="UTU9" s="338"/>
      <c r="UTV9" s="338"/>
      <c r="UTW9" s="338"/>
      <c r="UTX9" s="338"/>
      <c r="UTY9" s="338"/>
      <c r="UTZ9" s="338"/>
      <c r="UUA9" s="338"/>
      <c r="UUB9" s="338"/>
      <c r="UUC9" s="338"/>
      <c r="UUD9" s="338"/>
      <c r="UUE9" s="338"/>
      <c r="UUF9" s="338"/>
      <c r="UUG9" s="338"/>
      <c r="UUH9" s="338"/>
      <c r="UUI9" s="338"/>
      <c r="UUJ9" s="338"/>
      <c r="UUK9" s="338"/>
      <c r="UUL9" s="338"/>
      <c r="UUM9" s="338"/>
      <c r="UUN9" s="338"/>
      <c r="UUO9" s="338"/>
      <c r="UUP9" s="338"/>
      <c r="UUQ9" s="338"/>
      <c r="UUR9" s="338"/>
      <c r="UUS9" s="338"/>
      <c r="UUT9" s="338"/>
      <c r="UUU9" s="338"/>
      <c r="UUV9" s="338"/>
      <c r="UUW9" s="338"/>
      <c r="UUX9" s="338"/>
      <c r="UUY9" s="338"/>
      <c r="UUZ9" s="338"/>
      <c r="UVA9" s="338"/>
      <c r="UVB9" s="338"/>
      <c r="UVC9" s="338"/>
      <c r="UVD9" s="338"/>
      <c r="UVE9" s="338"/>
      <c r="UVF9" s="338"/>
      <c r="UVG9" s="338"/>
      <c r="UVH9" s="338"/>
      <c r="UVI9" s="338"/>
      <c r="UVJ9" s="338"/>
      <c r="UVK9" s="338"/>
      <c r="UVL9" s="338"/>
      <c r="UVM9" s="338"/>
      <c r="UVN9" s="338"/>
      <c r="UVO9" s="338"/>
      <c r="UVP9" s="338"/>
      <c r="UVQ9" s="338"/>
      <c r="UVR9" s="338"/>
      <c r="UVS9" s="338"/>
      <c r="UVT9" s="338"/>
      <c r="UVU9" s="338"/>
      <c r="UVV9" s="338"/>
      <c r="UVW9" s="338"/>
      <c r="UVX9" s="338"/>
      <c r="UVY9" s="338"/>
      <c r="UVZ9" s="338"/>
      <c r="UWA9" s="338"/>
      <c r="UWB9" s="338"/>
      <c r="UWC9" s="338"/>
      <c r="UWD9" s="338"/>
      <c r="UWE9" s="338"/>
      <c r="UWF9" s="338"/>
      <c r="UWG9" s="338"/>
      <c r="UWH9" s="338"/>
      <c r="UWI9" s="338"/>
      <c r="UWJ9" s="338"/>
      <c r="UWK9" s="338"/>
      <c r="UWL9" s="338"/>
      <c r="UWM9" s="338"/>
      <c r="UWN9" s="338"/>
      <c r="UWO9" s="338"/>
      <c r="UWP9" s="338"/>
      <c r="UWQ9" s="338"/>
      <c r="UWR9" s="338"/>
      <c r="UWS9" s="338"/>
      <c r="UWT9" s="338"/>
      <c r="UWU9" s="338"/>
      <c r="UWV9" s="338"/>
      <c r="UWW9" s="338"/>
      <c r="UWX9" s="338"/>
      <c r="UWY9" s="338"/>
      <c r="UWZ9" s="338"/>
      <c r="UXA9" s="338"/>
      <c r="UXB9" s="338"/>
      <c r="UXC9" s="338"/>
      <c r="UXD9" s="338"/>
      <c r="UXE9" s="338"/>
      <c r="UXF9" s="338"/>
      <c r="UXG9" s="338"/>
      <c r="UXH9" s="338"/>
      <c r="UXI9" s="338"/>
      <c r="UXJ9" s="338"/>
      <c r="UXK9" s="338"/>
      <c r="UXL9" s="338"/>
      <c r="UXM9" s="338"/>
      <c r="UXN9" s="338"/>
      <c r="UXO9" s="338"/>
      <c r="UXP9" s="338"/>
      <c r="UXQ9" s="338"/>
      <c r="UXR9" s="338"/>
      <c r="UXS9" s="338"/>
      <c r="UXT9" s="338"/>
      <c r="UXU9" s="338"/>
      <c r="UXV9" s="338"/>
      <c r="UXW9" s="338"/>
      <c r="UXX9" s="338"/>
      <c r="UXY9" s="338"/>
      <c r="UXZ9" s="338"/>
      <c r="UYA9" s="338"/>
      <c r="UYB9" s="338"/>
      <c r="UYC9" s="338"/>
      <c r="UYD9" s="338"/>
      <c r="UYE9" s="338"/>
      <c r="UYF9" s="338"/>
      <c r="UYG9" s="338"/>
      <c r="UYH9" s="338"/>
      <c r="UYI9" s="338"/>
      <c r="UYJ9" s="338"/>
      <c r="UYK9" s="338"/>
      <c r="UYL9" s="338"/>
      <c r="UYM9" s="338"/>
      <c r="UYN9" s="338"/>
      <c r="UYO9" s="338"/>
      <c r="UYP9" s="338"/>
      <c r="UYQ9" s="338"/>
      <c r="UYR9" s="338"/>
      <c r="UYS9" s="338"/>
      <c r="UYT9" s="338"/>
      <c r="UYU9" s="338"/>
      <c r="UYV9" s="338"/>
      <c r="UYW9" s="338"/>
      <c r="UYX9" s="338"/>
      <c r="UYY9" s="338"/>
      <c r="UYZ9" s="338"/>
      <c r="UZA9" s="338"/>
      <c r="UZB9" s="338"/>
      <c r="UZC9" s="338"/>
      <c r="UZD9" s="338"/>
      <c r="UZE9" s="338"/>
      <c r="UZF9" s="338"/>
      <c r="UZG9" s="338"/>
      <c r="UZH9" s="338"/>
      <c r="UZI9" s="338"/>
      <c r="UZJ9" s="338"/>
      <c r="UZK9" s="338"/>
      <c r="UZL9" s="338"/>
      <c r="UZM9" s="338"/>
      <c r="UZN9" s="338"/>
      <c r="UZO9" s="338"/>
      <c r="UZP9" s="338"/>
      <c r="UZQ9" s="338"/>
      <c r="UZR9" s="338"/>
      <c r="UZS9" s="338"/>
      <c r="UZT9" s="338"/>
      <c r="UZU9" s="338"/>
      <c r="UZV9" s="338"/>
      <c r="UZW9" s="338"/>
      <c r="UZX9" s="338"/>
      <c r="UZY9" s="338"/>
      <c r="UZZ9" s="338"/>
      <c r="VAA9" s="338"/>
      <c r="VAB9" s="338"/>
      <c r="VAC9" s="338"/>
      <c r="VAD9" s="338"/>
      <c r="VAE9" s="338"/>
      <c r="VAF9" s="338"/>
      <c r="VAG9" s="338"/>
      <c r="VAH9" s="338"/>
      <c r="VAI9" s="338"/>
      <c r="VAJ9" s="338"/>
      <c r="VAK9" s="338"/>
      <c r="VAL9" s="338"/>
      <c r="VAM9" s="338"/>
      <c r="VAN9" s="338"/>
      <c r="VAO9" s="338"/>
      <c r="VAP9" s="338"/>
      <c r="VAQ9" s="338"/>
      <c r="VAR9" s="338"/>
      <c r="VAS9" s="338"/>
      <c r="VAT9" s="338"/>
      <c r="VAU9" s="338"/>
      <c r="VAV9" s="338"/>
      <c r="VAW9" s="338"/>
      <c r="VAX9" s="338"/>
      <c r="VAY9" s="338"/>
      <c r="VAZ9" s="338"/>
      <c r="VBA9" s="338"/>
      <c r="VBB9" s="338"/>
      <c r="VBC9" s="338"/>
      <c r="VBD9" s="338"/>
      <c r="VBE9" s="338"/>
      <c r="VBF9" s="338"/>
      <c r="VBG9" s="338"/>
      <c r="VBH9" s="338"/>
      <c r="VBI9" s="338"/>
      <c r="VBJ9" s="338"/>
      <c r="VBK9" s="338"/>
      <c r="VBL9" s="338"/>
      <c r="VBM9" s="338"/>
      <c r="VBN9" s="338"/>
      <c r="VBO9" s="338"/>
      <c r="VBP9" s="338"/>
      <c r="VBQ9" s="338"/>
      <c r="VBR9" s="338"/>
      <c r="VBS9" s="338"/>
      <c r="VBT9" s="338"/>
      <c r="VBU9" s="338"/>
      <c r="VBV9" s="338"/>
      <c r="VBW9" s="338"/>
      <c r="VBX9" s="338"/>
      <c r="VBY9" s="338"/>
      <c r="VBZ9" s="338"/>
      <c r="VCA9" s="338"/>
      <c r="VCB9" s="338"/>
      <c r="VCC9" s="338"/>
      <c r="VCD9" s="338"/>
      <c r="VCE9" s="338"/>
      <c r="VCF9" s="338"/>
      <c r="VCG9" s="338"/>
      <c r="VCH9" s="338"/>
      <c r="VCI9" s="338"/>
      <c r="VCJ9" s="338"/>
      <c r="VCK9" s="338"/>
      <c r="VCL9" s="338"/>
      <c r="VCM9" s="338"/>
      <c r="VCN9" s="338"/>
      <c r="VCO9" s="338"/>
      <c r="VCP9" s="338"/>
      <c r="VCQ9" s="338"/>
      <c r="VCR9" s="338"/>
      <c r="VCS9" s="338"/>
      <c r="VCT9" s="338"/>
      <c r="VCU9" s="338"/>
      <c r="VCV9" s="338"/>
      <c r="VCW9" s="338"/>
      <c r="VCX9" s="338"/>
      <c r="VCY9" s="338"/>
      <c r="VCZ9" s="338"/>
      <c r="VDA9" s="338"/>
      <c r="VDB9" s="338"/>
      <c r="VDC9" s="338"/>
      <c r="VDD9" s="338"/>
      <c r="VDE9" s="338"/>
      <c r="VDF9" s="338"/>
      <c r="VDG9" s="338"/>
      <c r="VDH9" s="338"/>
      <c r="VDI9" s="338"/>
      <c r="VDJ9" s="338"/>
      <c r="VDK9" s="338"/>
      <c r="VDL9" s="338"/>
      <c r="VDM9" s="338"/>
      <c r="VDN9" s="338"/>
      <c r="VDO9" s="338"/>
      <c r="VDP9" s="338"/>
      <c r="VDQ9" s="338"/>
      <c r="VDR9" s="338"/>
      <c r="VDS9" s="338"/>
      <c r="VDT9" s="338"/>
      <c r="VDU9" s="338"/>
      <c r="VDV9" s="338"/>
      <c r="VDW9" s="338"/>
      <c r="VDX9" s="338"/>
      <c r="VDY9" s="338"/>
      <c r="VDZ9" s="338"/>
      <c r="VEA9" s="338"/>
      <c r="VEB9" s="338"/>
      <c r="VEC9" s="338"/>
      <c r="VED9" s="338"/>
      <c r="VEE9" s="338"/>
      <c r="VEF9" s="338"/>
      <c r="VEG9" s="338"/>
      <c r="VEH9" s="338"/>
      <c r="VEI9" s="338"/>
      <c r="VEJ9" s="338"/>
      <c r="VEK9" s="338"/>
      <c r="VEL9" s="338"/>
      <c r="VEM9" s="338"/>
      <c r="VEN9" s="338"/>
      <c r="VEO9" s="338"/>
      <c r="VEP9" s="338"/>
      <c r="VEQ9" s="338"/>
      <c r="VER9" s="338"/>
      <c r="VES9" s="338"/>
      <c r="VET9" s="338"/>
      <c r="VEU9" s="338"/>
      <c r="VEV9" s="338"/>
      <c r="VEW9" s="338"/>
      <c r="VEX9" s="338"/>
      <c r="VEY9" s="338"/>
      <c r="VEZ9" s="338"/>
      <c r="VFA9" s="338"/>
      <c r="VFB9" s="338"/>
      <c r="VFC9" s="338"/>
      <c r="VFD9" s="338"/>
      <c r="VFE9" s="338"/>
      <c r="VFF9" s="338"/>
      <c r="VFG9" s="338"/>
      <c r="VFH9" s="338"/>
      <c r="VFI9" s="338"/>
      <c r="VFJ9" s="338"/>
      <c r="VFK9" s="338"/>
      <c r="VFL9" s="338"/>
      <c r="VFM9" s="338"/>
      <c r="VFN9" s="338"/>
      <c r="VFO9" s="338"/>
      <c r="VFP9" s="338"/>
      <c r="VFQ9" s="338"/>
      <c r="VFR9" s="338"/>
      <c r="VFS9" s="338"/>
      <c r="VFT9" s="338"/>
      <c r="VFU9" s="338"/>
      <c r="VFV9" s="338"/>
      <c r="VFW9" s="338"/>
      <c r="VFX9" s="338"/>
      <c r="VFY9" s="338"/>
      <c r="VFZ9" s="338"/>
      <c r="VGA9" s="338"/>
      <c r="VGB9" s="338"/>
      <c r="VGC9" s="338"/>
      <c r="VGD9" s="338"/>
      <c r="VGE9" s="338"/>
      <c r="VGF9" s="338"/>
      <c r="VGG9" s="338"/>
      <c r="VGH9" s="338"/>
      <c r="VGI9" s="338"/>
      <c r="VGJ9" s="338"/>
      <c r="VGK9" s="338"/>
      <c r="VGL9" s="338"/>
      <c r="VGM9" s="338"/>
      <c r="VGN9" s="338"/>
      <c r="VGO9" s="338"/>
      <c r="VGP9" s="338"/>
      <c r="VGQ9" s="338"/>
      <c r="VGR9" s="338"/>
      <c r="VGS9" s="338"/>
      <c r="VGT9" s="338"/>
      <c r="VGU9" s="338"/>
      <c r="VGV9" s="338"/>
      <c r="VGW9" s="338"/>
      <c r="VGX9" s="338"/>
      <c r="VGY9" s="338"/>
      <c r="VGZ9" s="338"/>
      <c r="VHA9" s="338"/>
      <c r="VHB9" s="338"/>
      <c r="VHC9" s="338"/>
      <c r="VHD9" s="338"/>
      <c r="VHE9" s="338"/>
      <c r="VHF9" s="338"/>
      <c r="VHG9" s="338"/>
      <c r="VHH9" s="338"/>
      <c r="VHI9" s="338"/>
      <c r="VHJ9" s="338"/>
      <c r="VHK9" s="338"/>
      <c r="VHL9" s="338"/>
      <c r="VHM9" s="338"/>
      <c r="VHN9" s="338"/>
      <c r="VHO9" s="338"/>
      <c r="VHP9" s="338"/>
      <c r="VHQ9" s="338"/>
      <c r="VHR9" s="338"/>
      <c r="VHS9" s="338"/>
      <c r="VHT9" s="338"/>
      <c r="VHU9" s="338"/>
      <c r="VHV9" s="338"/>
      <c r="VHW9" s="338"/>
      <c r="VHX9" s="338"/>
      <c r="VHY9" s="338"/>
      <c r="VHZ9" s="338"/>
      <c r="VIA9" s="338"/>
      <c r="VIB9" s="338"/>
      <c r="VIC9" s="338"/>
      <c r="VID9" s="338"/>
      <c r="VIE9" s="338"/>
      <c r="VIF9" s="338"/>
      <c r="VIG9" s="338"/>
      <c r="VIH9" s="338"/>
      <c r="VII9" s="338"/>
      <c r="VIJ9" s="338"/>
      <c r="VIK9" s="338"/>
      <c r="VIL9" s="338"/>
      <c r="VIM9" s="338"/>
      <c r="VIN9" s="338"/>
      <c r="VIO9" s="338"/>
      <c r="VIP9" s="338"/>
      <c r="VIQ9" s="338"/>
      <c r="VIR9" s="338"/>
      <c r="VIS9" s="338"/>
      <c r="VIT9" s="338"/>
      <c r="VIU9" s="338"/>
      <c r="VIV9" s="338"/>
      <c r="VIW9" s="338"/>
      <c r="VIX9" s="338"/>
      <c r="VIY9" s="338"/>
      <c r="VIZ9" s="338"/>
      <c r="VJA9" s="338"/>
      <c r="VJB9" s="338"/>
      <c r="VJC9" s="338"/>
      <c r="VJD9" s="338"/>
      <c r="VJE9" s="338"/>
      <c r="VJF9" s="338"/>
      <c r="VJG9" s="338"/>
      <c r="VJH9" s="338"/>
      <c r="VJI9" s="338"/>
      <c r="VJJ9" s="338"/>
      <c r="VJK9" s="338"/>
      <c r="VJL9" s="338"/>
      <c r="VJM9" s="338"/>
      <c r="VJN9" s="338"/>
      <c r="VJO9" s="338"/>
      <c r="VJP9" s="338"/>
      <c r="VJQ9" s="338"/>
      <c r="VJR9" s="338"/>
      <c r="VJS9" s="338"/>
      <c r="VJT9" s="338"/>
      <c r="VJU9" s="338"/>
      <c r="VJV9" s="338"/>
      <c r="VJW9" s="338"/>
      <c r="VJX9" s="338"/>
      <c r="VJY9" s="338"/>
      <c r="VJZ9" s="338"/>
      <c r="VKA9" s="338"/>
      <c r="VKB9" s="338"/>
      <c r="VKC9" s="338"/>
      <c r="VKD9" s="338"/>
      <c r="VKE9" s="338"/>
      <c r="VKF9" s="338"/>
      <c r="VKG9" s="338"/>
      <c r="VKH9" s="338"/>
      <c r="VKI9" s="338"/>
      <c r="VKJ9" s="338"/>
      <c r="VKK9" s="338"/>
      <c r="VKL9" s="338"/>
      <c r="VKM9" s="338"/>
      <c r="VKN9" s="338"/>
      <c r="VKO9" s="338"/>
      <c r="VKP9" s="338"/>
      <c r="VKQ9" s="338"/>
      <c r="VKR9" s="338"/>
      <c r="VKS9" s="338"/>
      <c r="VKT9" s="338"/>
      <c r="VKU9" s="338"/>
      <c r="VKV9" s="338"/>
      <c r="VKW9" s="338"/>
      <c r="VKX9" s="338"/>
      <c r="VKY9" s="338"/>
      <c r="VKZ9" s="338"/>
      <c r="VLA9" s="338"/>
      <c r="VLB9" s="338"/>
      <c r="VLC9" s="338"/>
      <c r="VLD9" s="338"/>
      <c r="VLE9" s="338"/>
      <c r="VLF9" s="338"/>
      <c r="VLG9" s="338"/>
      <c r="VLH9" s="338"/>
      <c r="VLI9" s="338"/>
      <c r="VLJ9" s="338"/>
      <c r="VLK9" s="338"/>
      <c r="VLL9" s="338"/>
      <c r="VLM9" s="338"/>
      <c r="VLN9" s="338"/>
      <c r="VLO9" s="338"/>
      <c r="VLP9" s="338"/>
      <c r="VLQ9" s="338"/>
      <c r="VLR9" s="338"/>
      <c r="VLS9" s="338"/>
      <c r="VLT9" s="338"/>
      <c r="VLU9" s="338"/>
      <c r="VLV9" s="338"/>
      <c r="VLW9" s="338"/>
      <c r="VLX9" s="338"/>
      <c r="VLY9" s="338"/>
      <c r="VLZ9" s="338"/>
      <c r="VMA9" s="338"/>
      <c r="VMB9" s="338"/>
      <c r="VMC9" s="338"/>
      <c r="VMD9" s="338"/>
      <c r="VME9" s="338"/>
      <c r="VMF9" s="338"/>
      <c r="VMG9" s="338"/>
      <c r="VMH9" s="338"/>
      <c r="VMI9" s="338"/>
      <c r="VMJ9" s="338"/>
      <c r="VMK9" s="338"/>
      <c r="VML9" s="338"/>
      <c r="VMM9" s="338"/>
      <c r="VMN9" s="338"/>
      <c r="VMO9" s="338"/>
      <c r="VMP9" s="338"/>
      <c r="VMQ9" s="338"/>
      <c r="VMR9" s="338"/>
      <c r="VMS9" s="338"/>
      <c r="VMT9" s="338"/>
      <c r="VMU9" s="338"/>
      <c r="VMV9" s="338"/>
      <c r="VMW9" s="338"/>
      <c r="VMX9" s="338"/>
      <c r="VMY9" s="338"/>
      <c r="VMZ9" s="338"/>
      <c r="VNA9" s="338"/>
      <c r="VNB9" s="338"/>
      <c r="VNC9" s="338"/>
      <c r="VND9" s="338"/>
      <c r="VNE9" s="338"/>
      <c r="VNF9" s="338"/>
      <c r="VNG9" s="338"/>
      <c r="VNH9" s="338"/>
      <c r="VNI9" s="338"/>
      <c r="VNJ9" s="338"/>
      <c r="VNK9" s="338"/>
      <c r="VNL9" s="338"/>
      <c r="VNM9" s="338"/>
      <c r="VNN9" s="338"/>
      <c r="VNO9" s="338"/>
      <c r="VNP9" s="338"/>
      <c r="VNQ9" s="338"/>
      <c r="VNR9" s="338"/>
      <c r="VNS9" s="338"/>
      <c r="VNT9" s="338"/>
      <c r="VNU9" s="338"/>
      <c r="VNV9" s="338"/>
      <c r="VNW9" s="338"/>
      <c r="VNX9" s="338"/>
      <c r="VNY9" s="338"/>
      <c r="VNZ9" s="338"/>
      <c r="VOA9" s="338"/>
      <c r="VOB9" s="338"/>
      <c r="VOC9" s="338"/>
      <c r="VOD9" s="338"/>
      <c r="VOE9" s="338"/>
      <c r="VOF9" s="338"/>
      <c r="VOG9" s="338"/>
      <c r="VOH9" s="338"/>
      <c r="VOI9" s="338"/>
      <c r="VOJ9" s="338"/>
      <c r="VOK9" s="338"/>
      <c r="VOL9" s="338"/>
      <c r="VOM9" s="338"/>
      <c r="VON9" s="338"/>
      <c r="VOO9" s="338"/>
      <c r="VOP9" s="338"/>
      <c r="VOQ9" s="338"/>
      <c r="VOR9" s="338"/>
      <c r="VOS9" s="338"/>
      <c r="VOT9" s="338"/>
      <c r="VOU9" s="338"/>
      <c r="VOV9" s="338"/>
      <c r="VOW9" s="338"/>
      <c r="VOX9" s="338"/>
      <c r="VOY9" s="338"/>
      <c r="VOZ9" s="338"/>
      <c r="VPA9" s="338"/>
      <c r="VPB9" s="338"/>
      <c r="VPC9" s="338"/>
      <c r="VPD9" s="338"/>
      <c r="VPE9" s="338"/>
      <c r="VPF9" s="338"/>
      <c r="VPG9" s="338"/>
      <c r="VPH9" s="338"/>
      <c r="VPI9" s="338"/>
      <c r="VPJ9" s="338"/>
      <c r="VPK9" s="338"/>
      <c r="VPL9" s="338"/>
      <c r="VPM9" s="338"/>
      <c r="VPN9" s="338"/>
      <c r="VPO9" s="338"/>
      <c r="VPP9" s="338"/>
      <c r="VPQ9" s="338"/>
      <c r="VPR9" s="338"/>
      <c r="VPS9" s="338"/>
      <c r="VPT9" s="338"/>
      <c r="VPU9" s="338"/>
      <c r="VPV9" s="338"/>
      <c r="VPW9" s="338"/>
      <c r="VPX9" s="338"/>
      <c r="VPY9" s="338"/>
      <c r="VPZ9" s="338"/>
      <c r="VQA9" s="338"/>
      <c r="VQB9" s="338"/>
      <c r="VQC9" s="338"/>
      <c r="VQD9" s="338"/>
      <c r="VQE9" s="338"/>
      <c r="VQF9" s="338"/>
      <c r="VQG9" s="338"/>
      <c r="VQH9" s="338"/>
      <c r="VQI9" s="338"/>
      <c r="VQJ9" s="338"/>
      <c r="VQK9" s="338"/>
      <c r="VQL9" s="338"/>
      <c r="VQM9" s="338"/>
      <c r="VQN9" s="338"/>
      <c r="VQO9" s="338"/>
      <c r="VQP9" s="338"/>
      <c r="VQQ9" s="338"/>
      <c r="VQR9" s="338"/>
      <c r="VQS9" s="338"/>
      <c r="VQT9" s="338"/>
      <c r="VQU9" s="338"/>
      <c r="VQV9" s="338"/>
      <c r="VQW9" s="338"/>
      <c r="VQX9" s="338"/>
      <c r="VQY9" s="338"/>
      <c r="VQZ9" s="338"/>
      <c r="VRA9" s="338"/>
      <c r="VRB9" s="338"/>
      <c r="VRC9" s="338"/>
      <c r="VRD9" s="338"/>
      <c r="VRE9" s="338"/>
      <c r="VRF9" s="338"/>
      <c r="VRG9" s="338"/>
      <c r="VRH9" s="338"/>
      <c r="VRI9" s="338"/>
      <c r="VRJ9" s="338"/>
      <c r="VRK9" s="338"/>
      <c r="VRL9" s="338"/>
      <c r="VRM9" s="338"/>
      <c r="VRN9" s="338"/>
      <c r="VRO9" s="338"/>
      <c r="VRP9" s="338"/>
      <c r="VRQ9" s="338"/>
      <c r="VRR9" s="338"/>
      <c r="VRS9" s="338"/>
      <c r="VRT9" s="338"/>
      <c r="VRU9" s="338"/>
      <c r="VRV9" s="338"/>
      <c r="VRW9" s="338"/>
      <c r="VRX9" s="338"/>
      <c r="VRY9" s="338"/>
      <c r="VRZ9" s="338"/>
      <c r="VSA9" s="338"/>
      <c r="VSB9" s="338"/>
      <c r="VSC9" s="338"/>
      <c r="VSD9" s="338"/>
      <c r="VSE9" s="338"/>
      <c r="VSF9" s="338"/>
      <c r="VSG9" s="338"/>
      <c r="VSH9" s="338"/>
      <c r="VSI9" s="338"/>
      <c r="VSJ9" s="338"/>
      <c r="VSK9" s="338"/>
      <c r="VSL9" s="338"/>
      <c r="VSM9" s="338"/>
      <c r="VSN9" s="338"/>
      <c r="VSO9" s="338"/>
      <c r="VSP9" s="338"/>
      <c r="VSQ9" s="338"/>
      <c r="VSR9" s="338"/>
      <c r="VSS9" s="338"/>
      <c r="VST9" s="338"/>
      <c r="VSU9" s="338"/>
      <c r="VSV9" s="338"/>
      <c r="VSW9" s="338"/>
      <c r="VSX9" s="338"/>
      <c r="VSY9" s="338"/>
      <c r="VSZ9" s="338"/>
      <c r="VTA9" s="338"/>
      <c r="VTB9" s="338"/>
      <c r="VTC9" s="338"/>
      <c r="VTD9" s="338"/>
      <c r="VTE9" s="338"/>
      <c r="VTF9" s="338"/>
      <c r="VTG9" s="338"/>
      <c r="VTH9" s="338"/>
      <c r="VTI9" s="338"/>
      <c r="VTJ9" s="338"/>
      <c r="VTK9" s="338"/>
      <c r="VTL9" s="338"/>
      <c r="VTM9" s="338"/>
      <c r="VTN9" s="338"/>
      <c r="VTO9" s="338"/>
      <c r="VTP9" s="338"/>
      <c r="VTQ9" s="338"/>
      <c r="VTR9" s="338"/>
      <c r="VTS9" s="338"/>
      <c r="VTT9" s="338"/>
      <c r="VTU9" s="338"/>
      <c r="VTV9" s="338"/>
      <c r="VTW9" s="338"/>
      <c r="VTX9" s="338"/>
      <c r="VTY9" s="338"/>
      <c r="VTZ9" s="338"/>
      <c r="VUA9" s="338"/>
      <c r="VUB9" s="338"/>
      <c r="VUC9" s="338"/>
      <c r="VUD9" s="338"/>
      <c r="VUE9" s="338"/>
      <c r="VUF9" s="338"/>
      <c r="VUG9" s="338"/>
      <c r="VUH9" s="338"/>
      <c r="VUI9" s="338"/>
      <c r="VUJ9" s="338"/>
      <c r="VUK9" s="338"/>
      <c r="VUL9" s="338"/>
      <c r="VUM9" s="338"/>
      <c r="VUN9" s="338"/>
      <c r="VUO9" s="338"/>
      <c r="VUP9" s="338"/>
      <c r="VUQ9" s="338"/>
      <c r="VUR9" s="338"/>
      <c r="VUS9" s="338"/>
      <c r="VUT9" s="338"/>
      <c r="VUU9" s="338"/>
      <c r="VUV9" s="338"/>
      <c r="VUW9" s="338"/>
      <c r="VUX9" s="338"/>
      <c r="VUY9" s="338"/>
      <c r="VUZ9" s="338"/>
      <c r="VVA9" s="338"/>
      <c r="VVB9" s="338"/>
      <c r="VVC9" s="338"/>
      <c r="VVD9" s="338"/>
      <c r="VVE9" s="338"/>
      <c r="VVF9" s="338"/>
      <c r="VVG9" s="338"/>
      <c r="VVH9" s="338"/>
      <c r="VVI9" s="338"/>
      <c r="VVJ9" s="338"/>
      <c r="VVK9" s="338"/>
      <c r="VVL9" s="338"/>
      <c r="VVM9" s="338"/>
      <c r="VVN9" s="338"/>
      <c r="VVO9" s="338"/>
      <c r="VVP9" s="338"/>
      <c r="VVQ9" s="338"/>
      <c r="VVR9" s="338"/>
      <c r="VVS9" s="338"/>
      <c r="VVT9" s="338"/>
      <c r="VVU9" s="338"/>
      <c r="VVV9" s="338"/>
      <c r="VVW9" s="338"/>
      <c r="VVX9" s="338"/>
      <c r="VVY9" s="338"/>
      <c r="VVZ9" s="338"/>
      <c r="VWA9" s="338"/>
      <c r="VWB9" s="338"/>
      <c r="VWC9" s="338"/>
      <c r="VWD9" s="338"/>
      <c r="VWE9" s="338"/>
      <c r="VWF9" s="338"/>
      <c r="VWG9" s="338"/>
      <c r="VWH9" s="338"/>
      <c r="VWI9" s="338"/>
      <c r="VWJ9" s="338"/>
      <c r="VWK9" s="338"/>
      <c r="VWL9" s="338"/>
      <c r="VWM9" s="338"/>
      <c r="VWN9" s="338"/>
      <c r="VWO9" s="338"/>
      <c r="VWP9" s="338"/>
      <c r="VWQ9" s="338"/>
      <c r="VWR9" s="338"/>
      <c r="VWS9" s="338"/>
      <c r="VWT9" s="338"/>
      <c r="VWU9" s="338"/>
      <c r="VWV9" s="338"/>
      <c r="VWW9" s="338"/>
      <c r="VWX9" s="338"/>
      <c r="VWY9" s="338"/>
      <c r="VWZ9" s="338"/>
      <c r="VXA9" s="338"/>
      <c r="VXB9" s="338"/>
      <c r="VXC9" s="338"/>
      <c r="VXD9" s="338"/>
      <c r="VXE9" s="338"/>
      <c r="VXF9" s="338"/>
      <c r="VXG9" s="338"/>
      <c r="VXH9" s="338"/>
      <c r="VXI9" s="338"/>
      <c r="VXJ9" s="338"/>
      <c r="VXK9" s="338"/>
      <c r="VXL9" s="338"/>
      <c r="VXM9" s="338"/>
      <c r="VXN9" s="338"/>
      <c r="VXO9" s="338"/>
      <c r="VXP9" s="338"/>
      <c r="VXQ9" s="338"/>
      <c r="VXR9" s="338"/>
      <c r="VXS9" s="338"/>
      <c r="VXT9" s="338"/>
      <c r="VXU9" s="338"/>
      <c r="VXV9" s="338"/>
      <c r="VXW9" s="338"/>
      <c r="VXX9" s="338"/>
      <c r="VXY9" s="338"/>
      <c r="VXZ9" s="338"/>
      <c r="VYA9" s="338"/>
      <c r="VYB9" s="338"/>
      <c r="VYC9" s="338"/>
      <c r="VYD9" s="338"/>
      <c r="VYE9" s="338"/>
      <c r="VYF9" s="338"/>
      <c r="VYG9" s="338"/>
      <c r="VYH9" s="338"/>
      <c r="VYI9" s="338"/>
      <c r="VYJ9" s="338"/>
      <c r="VYK9" s="338"/>
      <c r="VYL9" s="338"/>
      <c r="VYM9" s="338"/>
      <c r="VYN9" s="338"/>
      <c r="VYO9" s="338"/>
      <c r="VYP9" s="338"/>
      <c r="VYQ9" s="338"/>
      <c r="VYR9" s="338"/>
      <c r="VYS9" s="338"/>
      <c r="VYT9" s="338"/>
      <c r="VYU9" s="338"/>
      <c r="VYV9" s="338"/>
      <c r="VYW9" s="338"/>
      <c r="VYX9" s="338"/>
      <c r="VYY9" s="338"/>
      <c r="VYZ9" s="338"/>
      <c r="VZA9" s="338"/>
      <c r="VZB9" s="338"/>
      <c r="VZC9" s="338"/>
      <c r="VZD9" s="338"/>
      <c r="VZE9" s="338"/>
      <c r="VZF9" s="338"/>
      <c r="VZG9" s="338"/>
      <c r="VZH9" s="338"/>
      <c r="VZI9" s="338"/>
      <c r="VZJ9" s="338"/>
      <c r="VZK9" s="338"/>
      <c r="VZL9" s="338"/>
      <c r="VZM9" s="338"/>
      <c r="VZN9" s="338"/>
      <c r="VZO9" s="338"/>
      <c r="VZP9" s="338"/>
      <c r="VZQ9" s="338"/>
      <c r="VZR9" s="338"/>
      <c r="VZS9" s="338"/>
      <c r="VZT9" s="338"/>
      <c r="VZU9" s="338"/>
      <c r="VZV9" s="338"/>
      <c r="VZW9" s="338"/>
      <c r="VZX9" s="338"/>
      <c r="VZY9" s="338"/>
      <c r="VZZ9" s="338"/>
      <c r="WAA9" s="338"/>
      <c r="WAB9" s="338"/>
      <c r="WAC9" s="338"/>
      <c r="WAD9" s="338"/>
      <c r="WAE9" s="338"/>
      <c r="WAF9" s="338"/>
      <c r="WAG9" s="338"/>
      <c r="WAH9" s="338"/>
      <c r="WAI9" s="338"/>
      <c r="WAJ9" s="338"/>
      <c r="WAK9" s="338"/>
      <c r="WAL9" s="338"/>
      <c r="WAM9" s="338"/>
      <c r="WAN9" s="338"/>
      <c r="WAO9" s="338"/>
      <c r="WAP9" s="338"/>
      <c r="WAQ9" s="338"/>
      <c r="WAR9" s="338"/>
      <c r="WAS9" s="338"/>
      <c r="WAT9" s="338"/>
      <c r="WAU9" s="338"/>
      <c r="WAV9" s="338"/>
      <c r="WAW9" s="338"/>
      <c r="WAX9" s="338"/>
      <c r="WAY9" s="338"/>
      <c r="WAZ9" s="338"/>
      <c r="WBA9" s="338"/>
      <c r="WBB9" s="338"/>
      <c r="WBC9" s="338"/>
      <c r="WBD9" s="338"/>
      <c r="WBE9" s="338"/>
      <c r="WBF9" s="338"/>
      <c r="WBG9" s="338"/>
      <c r="WBH9" s="338"/>
      <c r="WBI9" s="338"/>
      <c r="WBJ9" s="338"/>
      <c r="WBK9" s="338"/>
      <c r="WBL9" s="338"/>
      <c r="WBM9" s="338"/>
      <c r="WBN9" s="338"/>
      <c r="WBO9" s="338"/>
      <c r="WBP9" s="338"/>
      <c r="WBQ9" s="338"/>
      <c r="WBR9" s="338"/>
      <c r="WBS9" s="338"/>
      <c r="WBT9" s="338"/>
      <c r="WBU9" s="338"/>
      <c r="WBV9" s="338"/>
      <c r="WBW9" s="338"/>
      <c r="WBX9" s="338"/>
      <c r="WBY9" s="338"/>
      <c r="WBZ9" s="338"/>
      <c r="WCA9" s="338"/>
      <c r="WCB9" s="338"/>
      <c r="WCC9" s="338"/>
      <c r="WCD9" s="338"/>
      <c r="WCE9" s="338"/>
      <c r="WCF9" s="338"/>
      <c r="WCG9" s="338"/>
      <c r="WCH9" s="338"/>
      <c r="WCI9" s="338"/>
      <c r="WCJ9" s="338"/>
      <c r="WCK9" s="338"/>
      <c r="WCL9" s="338"/>
      <c r="WCM9" s="338"/>
      <c r="WCN9" s="338"/>
      <c r="WCO9" s="338"/>
      <c r="WCP9" s="338"/>
      <c r="WCQ9" s="338"/>
      <c r="WCR9" s="338"/>
      <c r="WCS9" s="338"/>
      <c r="WCT9" s="338"/>
      <c r="WCU9" s="338"/>
      <c r="WCV9" s="338"/>
      <c r="WCW9" s="338"/>
      <c r="WCX9" s="338"/>
      <c r="WCY9" s="338"/>
      <c r="WCZ9" s="338"/>
      <c r="WDA9" s="338"/>
      <c r="WDB9" s="338"/>
      <c r="WDC9" s="338"/>
      <c r="WDD9" s="338"/>
      <c r="WDE9" s="338"/>
      <c r="WDF9" s="338"/>
      <c r="WDG9" s="338"/>
      <c r="WDH9" s="338"/>
      <c r="WDI9" s="338"/>
      <c r="WDJ9" s="338"/>
      <c r="WDK9" s="338"/>
      <c r="WDL9" s="338"/>
      <c r="WDM9" s="338"/>
      <c r="WDN9" s="338"/>
      <c r="WDO9" s="338"/>
      <c r="WDP9" s="338"/>
      <c r="WDQ9" s="338"/>
      <c r="WDR9" s="338"/>
      <c r="WDS9" s="338"/>
      <c r="WDT9" s="338"/>
      <c r="WDU9" s="338"/>
      <c r="WDV9" s="338"/>
      <c r="WDW9" s="338"/>
      <c r="WDX9" s="338"/>
      <c r="WDY9" s="338"/>
      <c r="WDZ9" s="338"/>
      <c r="WEA9" s="338"/>
      <c r="WEB9" s="338"/>
      <c r="WEC9" s="338"/>
      <c r="WED9" s="338"/>
      <c r="WEE9" s="338"/>
      <c r="WEF9" s="338"/>
      <c r="WEG9" s="338"/>
      <c r="WEH9" s="338"/>
      <c r="WEI9" s="338"/>
      <c r="WEJ9" s="338"/>
      <c r="WEK9" s="338"/>
      <c r="WEL9" s="338"/>
      <c r="WEM9" s="338"/>
      <c r="WEN9" s="338"/>
      <c r="WEO9" s="338"/>
      <c r="WEP9" s="338"/>
      <c r="WEQ9" s="338"/>
      <c r="WER9" s="338"/>
      <c r="WES9" s="338"/>
      <c r="WET9" s="338"/>
      <c r="WEU9" s="338"/>
      <c r="WEV9" s="338"/>
      <c r="WEW9" s="338"/>
      <c r="WEX9" s="338"/>
      <c r="WEY9" s="338"/>
      <c r="WEZ9" s="338"/>
      <c r="WFA9" s="338"/>
      <c r="WFB9" s="338"/>
      <c r="WFC9" s="338"/>
      <c r="WFD9" s="338"/>
      <c r="WFE9" s="338"/>
      <c r="WFF9" s="338"/>
      <c r="WFG9" s="338"/>
      <c r="WFH9" s="338"/>
      <c r="WFI9" s="338"/>
      <c r="WFJ9" s="338"/>
      <c r="WFK9" s="338"/>
      <c r="WFL9" s="338"/>
      <c r="WFM9" s="338"/>
      <c r="WFN9" s="338"/>
      <c r="WFO9" s="338"/>
      <c r="WFP9" s="338"/>
      <c r="WFQ9" s="338"/>
      <c r="WFR9" s="338"/>
      <c r="WFS9" s="338"/>
      <c r="WFT9" s="338"/>
      <c r="WFU9" s="338"/>
      <c r="WFV9" s="338"/>
      <c r="WFW9" s="338"/>
      <c r="WFX9" s="338"/>
      <c r="WFY9" s="338"/>
      <c r="WFZ9" s="338"/>
      <c r="WGA9" s="338"/>
      <c r="WGB9" s="338"/>
      <c r="WGC9" s="338"/>
      <c r="WGD9" s="338"/>
      <c r="WGE9" s="338"/>
      <c r="WGF9" s="338"/>
      <c r="WGG9" s="338"/>
      <c r="WGH9" s="338"/>
      <c r="WGI9" s="338"/>
      <c r="WGJ9" s="338"/>
      <c r="WGK9" s="338"/>
      <c r="WGL9" s="338"/>
      <c r="WGM9" s="338"/>
      <c r="WGN9" s="338"/>
      <c r="WGO9" s="338"/>
      <c r="WGP9" s="338"/>
      <c r="WGQ9" s="338"/>
      <c r="WGR9" s="338"/>
      <c r="WGS9" s="338"/>
      <c r="WGT9" s="338"/>
      <c r="WGU9" s="338"/>
      <c r="WGV9" s="338"/>
      <c r="WGW9" s="338"/>
      <c r="WGX9" s="338"/>
      <c r="WGY9" s="338"/>
      <c r="WGZ9" s="338"/>
      <c r="WHA9" s="338"/>
      <c r="WHB9" s="338"/>
      <c r="WHC9" s="338"/>
      <c r="WHD9" s="338"/>
      <c r="WHE9" s="338"/>
      <c r="WHF9" s="338"/>
      <c r="WHG9" s="338"/>
      <c r="WHH9" s="338"/>
      <c r="WHI9" s="338"/>
      <c r="WHJ9" s="338"/>
      <c r="WHK9" s="338"/>
      <c r="WHL9" s="338"/>
      <c r="WHM9" s="338"/>
      <c r="WHN9" s="338"/>
      <c r="WHO9" s="338"/>
      <c r="WHP9" s="338"/>
      <c r="WHQ9" s="338"/>
      <c r="WHR9" s="338"/>
      <c r="WHS9" s="338"/>
      <c r="WHT9" s="338"/>
      <c r="WHU9" s="338"/>
      <c r="WHV9" s="338"/>
      <c r="WHW9" s="338"/>
      <c r="WHX9" s="338"/>
      <c r="WHY9" s="338"/>
      <c r="WHZ9" s="338"/>
      <c r="WIA9" s="338"/>
      <c r="WIB9" s="338"/>
      <c r="WIC9" s="338"/>
      <c r="WID9" s="338"/>
      <c r="WIE9" s="338"/>
      <c r="WIF9" s="338"/>
      <c r="WIG9" s="338"/>
      <c r="WIH9" s="338"/>
      <c r="WII9" s="338"/>
      <c r="WIJ9" s="338"/>
      <c r="WIK9" s="338"/>
      <c r="WIL9" s="338"/>
      <c r="WIM9" s="338"/>
      <c r="WIN9" s="338"/>
      <c r="WIO9" s="338"/>
      <c r="WIP9" s="338"/>
      <c r="WIQ9" s="338"/>
      <c r="WIR9" s="338"/>
      <c r="WIS9" s="338"/>
      <c r="WIT9" s="338"/>
      <c r="WIU9" s="338"/>
      <c r="WIV9" s="338"/>
      <c r="WIW9" s="338"/>
      <c r="WIX9" s="338"/>
      <c r="WIY9" s="338"/>
      <c r="WIZ9" s="338"/>
      <c r="WJA9" s="338"/>
      <c r="WJB9" s="338"/>
      <c r="WJC9" s="338"/>
      <c r="WJD9" s="338"/>
      <c r="WJE9" s="338"/>
      <c r="WJF9" s="338"/>
      <c r="WJG9" s="338"/>
      <c r="WJH9" s="338"/>
      <c r="WJI9" s="338"/>
      <c r="WJJ9" s="338"/>
      <c r="WJK9" s="338"/>
      <c r="WJL9" s="338"/>
      <c r="WJM9" s="338"/>
      <c r="WJN9" s="338"/>
      <c r="WJO9" s="338"/>
      <c r="WJP9" s="338"/>
      <c r="WJQ9" s="338"/>
      <c r="WJR9" s="338"/>
      <c r="WJS9" s="338"/>
      <c r="WJT9" s="338"/>
      <c r="WJU9" s="338"/>
      <c r="WJV9" s="338"/>
      <c r="WJW9" s="338"/>
      <c r="WJX9" s="338"/>
      <c r="WJY9" s="338"/>
      <c r="WJZ9" s="338"/>
      <c r="WKA9" s="338"/>
      <c r="WKB9" s="338"/>
      <c r="WKC9" s="338"/>
      <c r="WKD9" s="338"/>
      <c r="WKE9" s="338"/>
      <c r="WKF9" s="338"/>
      <c r="WKG9" s="338"/>
      <c r="WKH9" s="338"/>
      <c r="WKI9" s="338"/>
      <c r="WKJ9" s="338"/>
      <c r="WKK9" s="338"/>
      <c r="WKL9" s="338"/>
      <c r="WKM9" s="338"/>
      <c r="WKN9" s="338"/>
      <c r="WKO9" s="338"/>
      <c r="WKP9" s="338"/>
      <c r="WKQ9" s="338"/>
      <c r="WKR9" s="338"/>
      <c r="WKS9" s="338"/>
      <c r="WKT9" s="338"/>
      <c r="WKU9" s="338"/>
      <c r="WKV9" s="338"/>
      <c r="WKW9" s="338"/>
      <c r="WKX9" s="338"/>
      <c r="WKY9" s="338"/>
      <c r="WKZ9" s="338"/>
      <c r="WLA9" s="338"/>
      <c r="WLB9" s="338"/>
      <c r="WLC9" s="338"/>
      <c r="WLD9" s="338"/>
      <c r="WLE9" s="338"/>
      <c r="WLF9" s="338"/>
      <c r="WLG9" s="338"/>
      <c r="WLH9" s="338"/>
      <c r="WLI9" s="338"/>
      <c r="WLJ9" s="338"/>
      <c r="WLK9" s="338"/>
      <c r="WLL9" s="338"/>
      <c r="WLM9" s="338"/>
      <c r="WLN9" s="338"/>
      <c r="WLO9" s="338"/>
      <c r="WLP9" s="338"/>
      <c r="WLQ9" s="338"/>
      <c r="WLR9" s="338"/>
      <c r="WLS9" s="338"/>
      <c r="WLT9" s="338"/>
      <c r="WLU9" s="338"/>
      <c r="WLV9" s="338"/>
      <c r="WLW9" s="338"/>
      <c r="WLX9" s="338"/>
      <c r="WLY9" s="338"/>
      <c r="WLZ9" s="338"/>
      <c r="WMA9" s="338"/>
      <c r="WMB9" s="338"/>
      <c r="WMC9" s="338"/>
      <c r="WMD9" s="338"/>
      <c r="WME9" s="338"/>
      <c r="WMF9" s="338"/>
      <c r="WMG9" s="338"/>
      <c r="WMH9" s="338"/>
      <c r="WMI9" s="338"/>
      <c r="WMJ9" s="338"/>
      <c r="WMK9" s="338"/>
      <c r="WML9" s="338"/>
      <c r="WMM9" s="338"/>
      <c r="WMN9" s="338"/>
      <c r="WMO9" s="338"/>
      <c r="WMP9" s="338"/>
      <c r="WMQ9" s="338"/>
      <c r="WMR9" s="338"/>
      <c r="WMS9" s="338"/>
      <c r="WMT9" s="338"/>
      <c r="WMU9" s="338"/>
      <c r="WMV9" s="338"/>
      <c r="WMW9" s="338"/>
      <c r="WMX9" s="338"/>
      <c r="WMY9" s="338"/>
      <c r="WMZ9" s="338"/>
      <c r="WNA9" s="338"/>
      <c r="WNB9" s="338"/>
      <c r="WNC9" s="338"/>
      <c r="WND9" s="338"/>
      <c r="WNE9" s="338"/>
      <c r="WNF9" s="338"/>
      <c r="WNG9" s="338"/>
      <c r="WNH9" s="338"/>
      <c r="WNI9" s="338"/>
      <c r="WNJ9" s="338"/>
      <c r="WNK9" s="338"/>
      <c r="WNL9" s="338"/>
      <c r="WNM9" s="338"/>
      <c r="WNN9" s="338"/>
      <c r="WNO9" s="338"/>
      <c r="WNP9" s="338"/>
      <c r="WNQ9" s="338"/>
      <c r="WNR9" s="338"/>
      <c r="WNS9" s="338"/>
      <c r="WNT9" s="338"/>
      <c r="WNU9" s="338"/>
      <c r="WNV9" s="338"/>
      <c r="WNW9" s="338"/>
      <c r="WNX9" s="338"/>
      <c r="WNY9" s="338"/>
      <c r="WNZ9" s="338"/>
      <c r="WOA9" s="338"/>
      <c r="WOB9" s="338"/>
      <c r="WOC9" s="338"/>
      <c r="WOD9" s="338"/>
      <c r="WOE9" s="338"/>
      <c r="WOF9" s="338"/>
      <c r="WOG9" s="338"/>
      <c r="WOH9" s="338"/>
      <c r="WOI9" s="338"/>
      <c r="WOJ9" s="338"/>
      <c r="WOK9" s="338"/>
      <c r="WOL9" s="338"/>
      <c r="WOM9" s="338"/>
      <c r="WON9" s="338"/>
      <c r="WOO9" s="338"/>
      <c r="WOP9" s="338"/>
      <c r="WOQ9" s="338"/>
      <c r="WOR9" s="338"/>
      <c r="WOS9" s="338"/>
      <c r="WOT9" s="338"/>
      <c r="WOU9" s="338"/>
      <c r="WOV9" s="338"/>
      <c r="WOW9" s="338"/>
      <c r="WOX9" s="338"/>
      <c r="WOY9" s="338"/>
      <c r="WOZ9" s="338"/>
      <c r="WPA9" s="338"/>
      <c r="WPB9" s="338"/>
      <c r="WPC9" s="338"/>
      <c r="WPD9" s="338"/>
      <c r="WPE9" s="338"/>
      <c r="WPF9" s="338"/>
      <c r="WPG9" s="338"/>
      <c r="WPH9" s="338"/>
      <c r="WPI9" s="338"/>
      <c r="WPJ9" s="338"/>
      <c r="WPK9" s="338"/>
      <c r="WPL9" s="338"/>
      <c r="WPM9" s="338"/>
      <c r="WPN9" s="338"/>
      <c r="WPO9" s="338"/>
      <c r="WPP9" s="338"/>
      <c r="WPQ9" s="338"/>
      <c r="WPR9" s="338"/>
      <c r="WPS9" s="338"/>
      <c r="WPT9" s="338"/>
      <c r="WPU9" s="338"/>
      <c r="WPV9" s="338"/>
      <c r="WPW9" s="338"/>
      <c r="WPX9" s="338"/>
      <c r="WPY9" s="338"/>
      <c r="WPZ9" s="338"/>
      <c r="WQA9" s="338"/>
      <c r="WQB9" s="338"/>
      <c r="WQC9" s="338"/>
      <c r="WQD9" s="338"/>
      <c r="WQE9" s="338"/>
      <c r="WQF9" s="338"/>
      <c r="WQG9" s="338"/>
      <c r="WQH9" s="338"/>
      <c r="WQI9" s="338"/>
      <c r="WQJ9" s="338"/>
      <c r="WQK9" s="338"/>
      <c r="WQL9" s="338"/>
      <c r="WQM9" s="338"/>
      <c r="WQN9" s="338"/>
      <c r="WQO9" s="338"/>
      <c r="WQP9" s="338"/>
      <c r="WQQ9" s="338"/>
      <c r="WQR9" s="338"/>
      <c r="WQS9" s="338"/>
      <c r="WQT9" s="338"/>
      <c r="WQU9" s="338"/>
      <c r="WQV9" s="338"/>
      <c r="WQW9" s="338"/>
      <c r="WQX9" s="338"/>
      <c r="WQY9" s="338"/>
      <c r="WQZ9" s="338"/>
      <c r="WRA9" s="338"/>
      <c r="WRB9" s="338"/>
      <c r="WRC9" s="338"/>
      <c r="WRD9" s="338"/>
      <c r="WRE9" s="338"/>
      <c r="WRF9" s="338"/>
      <c r="WRG9" s="338"/>
      <c r="WRH9" s="338"/>
      <c r="WRI9" s="338"/>
      <c r="WRJ9" s="338"/>
      <c r="WRK9" s="338"/>
      <c r="WRL9" s="338"/>
      <c r="WRM9" s="338"/>
      <c r="WRN9" s="338"/>
      <c r="WRO9" s="338"/>
      <c r="WRP9" s="338"/>
      <c r="WRQ9" s="338"/>
      <c r="WRR9" s="338"/>
      <c r="WRS9" s="338"/>
      <c r="WRT9" s="338"/>
      <c r="WRU9" s="338"/>
      <c r="WRV9" s="338"/>
      <c r="WRW9" s="338"/>
      <c r="WRX9" s="338"/>
      <c r="WRY9" s="338"/>
      <c r="WRZ9" s="338"/>
      <c r="WSA9" s="338"/>
      <c r="WSB9" s="338"/>
      <c r="WSC9" s="338"/>
      <c r="WSD9" s="338"/>
      <c r="WSE9" s="338"/>
      <c r="WSF9" s="338"/>
      <c r="WSG9" s="338"/>
      <c r="WSH9" s="338"/>
      <c r="WSI9" s="338"/>
      <c r="WSJ9" s="338"/>
      <c r="WSK9" s="338"/>
      <c r="WSL9" s="338"/>
      <c r="WSM9" s="338"/>
      <c r="WSN9" s="338"/>
      <c r="WSO9" s="338"/>
      <c r="WSP9" s="338"/>
      <c r="WSQ9" s="338"/>
      <c r="WSR9" s="338"/>
      <c r="WSS9" s="338"/>
      <c r="WST9" s="338"/>
      <c r="WSU9" s="338"/>
      <c r="WSV9" s="338"/>
      <c r="WSW9" s="338"/>
      <c r="WSX9" s="338"/>
      <c r="WSY9" s="338"/>
      <c r="WSZ9" s="338"/>
      <c r="WTA9" s="338"/>
      <c r="WTB9" s="338"/>
      <c r="WTC9" s="338"/>
      <c r="WTD9" s="338"/>
      <c r="WTE9" s="338"/>
      <c r="WTF9" s="338"/>
      <c r="WTG9" s="338"/>
      <c r="WTH9" s="338"/>
      <c r="WTI9" s="338"/>
      <c r="WTJ9" s="338"/>
      <c r="WTK9" s="338"/>
      <c r="WTL9" s="338"/>
      <c r="WTM9" s="338"/>
      <c r="WTN9" s="338"/>
      <c r="WTO9" s="338"/>
      <c r="WTP9" s="338"/>
      <c r="WTQ9" s="338"/>
      <c r="WTR9" s="338"/>
      <c r="WTS9" s="338"/>
      <c r="WTT9" s="338"/>
      <c r="WTU9" s="338"/>
      <c r="WTV9" s="338"/>
      <c r="WTW9" s="338"/>
      <c r="WTX9" s="338"/>
      <c r="WTY9" s="338"/>
      <c r="WTZ9" s="338"/>
      <c r="WUA9" s="338"/>
      <c r="WUB9" s="338"/>
      <c r="WUC9" s="338"/>
      <c r="WUD9" s="338"/>
      <c r="WUE9" s="338"/>
      <c r="WUF9" s="338"/>
      <c r="WUG9" s="338"/>
      <c r="WUH9" s="338"/>
      <c r="WUI9" s="338"/>
      <c r="WUJ9" s="338"/>
      <c r="WUK9" s="338"/>
      <c r="WUL9" s="338"/>
      <c r="WUM9" s="338"/>
      <c r="WUN9" s="338"/>
      <c r="WUO9" s="338"/>
      <c r="WUP9" s="338"/>
      <c r="WUQ9" s="338"/>
      <c r="WUR9" s="338"/>
      <c r="WUS9" s="338"/>
      <c r="WUT9" s="338"/>
      <c r="WUU9" s="338"/>
      <c r="WUV9" s="338"/>
      <c r="WUW9" s="338"/>
      <c r="WUX9" s="338"/>
      <c r="WUY9" s="338"/>
      <c r="WUZ9" s="338"/>
      <c r="WVA9" s="338"/>
      <c r="WVB9" s="338"/>
      <c r="WVC9" s="338"/>
      <c r="WVD9" s="338"/>
      <c r="WVE9" s="338"/>
      <c r="WVF9" s="338"/>
      <c r="WVG9" s="338"/>
      <c r="WVH9" s="338"/>
      <c r="WVI9" s="338"/>
      <c r="WVJ9" s="338"/>
      <c r="WVK9" s="338"/>
      <c r="WVL9" s="338"/>
      <c r="WVM9" s="338"/>
      <c r="WVN9" s="338"/>
      <c r="WVO9" s="338"/>
      <c r="WVP9" s="338"/>
      <c r="WVQ9" s="338"/>
      <c r="WVR9" s="338"/>
      <c r="WVS9" s="338"/>
      <c r="WVT9" s="338"/>
      <c r="WVU9" s="338"/>
      <c r="WVV9" s="338"/>
      <c r="WVW9" s="338"/>
      <c r="WVX9" s="338"/>
      <c r="WVY9" s="338"/>
      <c r="WVZ9" s="338"/>
      <c r="WWA9" s="338"/>
      <c r="WWB9" s="338"/>
      <c r="WWC9" s="338"/>
      <c r="WWD9" s="338"/>
      <c r="WWE9" s="338"/>
      <c r="WWF9" s="338"/>
      <c r="WWG9" s="338"/>
      <c r="WWH9" s="338"/>
      <c r="WWI9" s="338"/>
      <c r="WWJ9" s="338"/>
      <c r="WWK9" s="338"/>
      <c r="WWL9" s="338"/>
      <c r="WWM9" s="338"/>
      <c r="WWN9" s="338"/>
      <c r="WWO9" s="338"/>
      <c r="WWP9" s="338"/>
      <c r="WWQ9" s="338"/>
      <c r="WWR9" s="338"/>
      <c r="WWS9" s="338"/>
      <c r="WWT9" s="338"/>
      <c r="WWU9" s="338"/>
      <c r="WWV9" s="338"/>
      <c r="WWW9" s="338"/>
      <c r="WWX9" s="338"/>
      <c r="WWY9" s="338"/>
      <c r="WWZ9" s="338"/>
      <c r="WXA9" s="338"/>
      <c r="WXB9" s="338"/>
      <c r="WXC9" s="338"/>
      <c r="WXD9" s="338"/>
      <c r="WXE9" s="338"/>
      <c r="WXF9" s="338"/>
      <c r="WXG9" s="338"/>
      <c r="WXH9" s="338"/>
      <c r="WXI9" s="338"/>
      <c r="WXJ9" s="338"/>
      <c r="WXK9" s="338"/>
      <c r="WXL9" s="338"/>
      <c r="WXM9" s="338"/>
      <c r="WXN9" s="338"/>
      <c r="WXO9" s="338"/>
      <c r="WXP9" s="338"/>
      <c r="WXQ9" s="338"/>
      <c r="WXR9" s="338"/>
      <c r="WXS9" s="338"/>
      <c r="WXT9" s="338"/>
      <c r="WXU9" s="338"/>
      <c r="WXV9" s="338"/>
      <c r="WXW9" s="338"/>
      <c r="WXX9" s="338"/>
      <c r="WXY9" s="338"/>
      <c r="WXZ9" s="338"/>
      <c r="WYA9" s="338"/>
      <c r="WYB9" s="338"/>
      <c r="WYC9" s="338"/>
      <c r="WYD9" s="338"/>
      <c r="WYE9" s="338"/>
      <c r="WYF9" s="338"/>
      <c r="WYG9" s="338"/>
      <c r="WYH9" s="338"/>
      <c r="WYI9" s="338"/>
      <c r="WYJ9" s="338"/>
      <c r="WYK9" s="338"/>
      <c r="WYL9" s="338"/>
      <c r="WYM9" s="338"/>
      <c r="WYN9" s="338"/>
      <c r="WYO9" s="338"/>
      <c r="WYP9" s="338"/>
      <c r="WYQ9" s="338"/>
      <c r="WYR9" s="338"/>
      <c r="WYS9" s="338"/>
      <c r="WYT9" s="338"/>
      <c r="WYU9" s="338"/>
      <c r="WYV9" s="338"/>
      <c r="WYW9" s="338"/>
      <c r="WYX9" s="338"/>
      <c r="WYY9" s="338"/>
      <c r="WYZ9" s="338"/>
      <c r="WZA9" s="338"/>
      <c r="WZB9" s="338"/>
      <c r="WZC9" s="338"/>
      <c r="WZD9" s="338"/>
      <c r="WZE9" s="338"/>
      <c r="WZF9" s="338"/>
      <c r="WZG9" s="338"/>
      <c r="WZH9" s="338"/>
      <c r="WZI9" s="338"/>
      <c r="WZJ9" s="338"/>
      <c r="WZK9" s="338"/>
      <c r="WZL9" s="338"/>
      <c r="WZM9" s="338"/>
      <c r="WZN9" s="338"/>
      <c r="WZO9" s="338"/>
      <c r="WZP9" s="338"/>
      <c r="WZQ9" s="338"/>
      <c r="WZR9" s="338"/>
      <c r="WZS9" s="338"/>
      <c r="WZT9" s="338"/>
      <c r="WZU9" s="338"/>
      <c r="WZV9" s="338"/>
      <c r="WZW9" s="338"/>
      <c r="WZX9" s="338"/>
      <c r="WZY9" s="338"/>
      <c r="WZZ9" s="338"/>
      <c r="XAA9" s="338"/>
      <c r="XAB9" s="338"/>
      <c r="XAC9" s="338"/>
      <c r="XAD9" s="338"/>
      <c r="XAE9" s="338"/>
      <c r="XAF9" s="338"/>
      <c r="XAG9" s="338"/>
      <c r="XAH9" s="338"/>
      <c r="XAI9" s="338"/>
      <c r="XAJ9" s="338"/>
      <c r="XAK9" s="338"/>
      <c r="XAL9" s="338"/>
      <c r="XAM9" s="338"/>
      <c r="XAN9" s="338"/>
      <c r="XAO9" s="338"/>
      <c r="XAP9" s="338"/>
      <c r="XAQ9" s="338"/>
      <c r="XAR9" s="338"/>
      <c r="XAS9" s="338"/>
      <c r="XAT9" s="338"/>
      <c r="XAU9" s="338"/>
      <c r="XAV9" s="338"/>
      <c r="XAW9" s="338"/>
      <c r="XAX9" s="338"/>
      <c r="XAY9" s="338"/>
      <c r="XAZ9" s="338"/>
      <c r="XBA9" s="338"/>
      <c r="XBB9" s="338"/>
      <c r="XBC9" s="338"/>
      <c r="XBD9" s="338"/>
      <c r="XBE9" s="338"/>
      <c r="XBF9" s="338"/>
      <c r="XBG9" s="338"/>
      <c r="XBH9" s="338"/>
      <c r="XBI9" s="338"/>
      <c r="XBJ9" s="338"/>
      <c r="XBK9" s="338"/>
      <c r="XBL9" s="338"/>
      <c r="XBM9" s="338"/>
      <c r="XBN9" s="338"/>
      <c r="XBO9" s="338"/>
      <c r="XBP9" s="338"/>
      <c r="XBQ9" s="338"/>
      <c r="XBR9" s="338"/>
      <c r="XBS9" s="338"/>
      <c r="XBT9" s="338"/>
      <c r="XBU9" s="338"/>
      <c r="XBV9" s="338"/>
      <c r="XBW9" s="338"/>
      <c r="XBX9" s="338"/>
      <c r="XBY9" s="338"/>
      <c r="XBZ9" s="338"/>
      <c r="XCA9" s="338"/>
      <c r="XCB9" s="338"/>
      <c r="XCC9" s="338"/>
      <c r="XCD9" s="338"/>
      <c r="XCE9" s="338"/>
      <c r="XCF9" s="338"/>
      <c r="XCG9" s="338"/>
      <c r="XCH9" s="338"/>
      <c r="XCI9" s="338"/>
      <c r="XCJ9" s="338"/>
      <c r="XCK9" s="338"/>
      <c r="XCL9" s="338"/>
      <c r="XCM9" s="338"/>
      <c r="XCN9" s="338"/>
      <c r="XCO9" s="338"/>
      <c r="XCP9" s="338"/>
      <c r="XCQ9" s="338"/>
      <c r="XCR9" s="338"/>
      <c r="XCS9" s="338"/>
      <c r="XCT9" s="338"/>
      <c r="XCU9" s="338"/>
      <c r="XCV9" s="338"/>
      <c r="XCW9" s="338"/>
      <c r="XCX9" s="338"/>
      <c r="XCY9" s="338"/>
      <c r="XCZ9" s="338"/>
      <c r="XDA9" s="338"/>
      <c r="XDB9" s="338"/>
      <c r="XDC9" s="338"/>
      <c r="XDD9" s="338"/>
      <c r="XDE9" s="338"/>
      <c r="XDF9" s="338"/>
      <c r="XDG9" s="338"/>
      <c r="XDH9" s="338"/>
      <c r="XDI9" s="338"/>
      <c r="XDJ9" s="338"/>
      <c r="XDK9" s="338"/>
      <c r="XDL9" s="338"/>
      <c r="XDM9" s="338"/>
      <c r="XDN9" s="338"/>
      <c r="XDO9" s="338"/>
      <c r="XDP9" s="338"/>
      <c r="XDQ9" s="338"/>
      <c r="XDR9" s="338"/>
      <c r="XDS9" s="338"/>
      <c r="XDT9" s="338"/>
      <c r="XDU9" s="338"/>
      <c r="XDV9" s="338"/>
      <c r="XDW9" s="338"/>
      <c r="XDX9" s="338"/>
      <c r="XDY9" s="338"/>
      <c r="XDZ9" s="338"/>
      <c r="XEA9" s="338"/>
      <c r="XEB9" s="338"/>
      <c r="XEC9" s="338"/>
      <c r="XED9" s="338"/>
      <c r="XEE9" s="338"/>
      <c r="XEF9" s="338"/>
      <c r="XEG9" s="338"/>
      <c r="XEH9" s="338"/>
      <c r="XEI9" s="338"/>
      <c r="XEJ9" s="338"/>
      <c r="XEK9" s="338"/>
      <c r="XEL9" s="338"/>
      <c r="XEM9" s="338"/>
      <c r="XEN9" s="338"/>
      <c r="XEO9" s="338"/>
      <c r="XEP9" s="338"/>
      <c r="XEQ9" s="338"/>
      <c r="XER9" s="338"/>
      <c r="XES9" s="338"/>
      <c r="XET9" s="338"/>
      <c r="XEU9" s="338"/>
      <c r="XEV9" s="338"/>
      <c r="XEW9" s="338"/>
      <c r="XEX9" s="338"/>
      <c r="XEY9" s="338"/>
      <c r="XEZ9" s="338"/>
      <c r="XFA9" s="338"/>
      <c r="XFB9" s="338"/>
      <c r="XFC9" s="338"/>
      <c r="XFD9" s="338"/>
    </row>
    <row r="11" spans="1:16384" s="11" customFormat="1" ht="30.6" customHeight="1" x14ac:dyDescent="0.2">
      <c r="B11" s="344" t="s">
        <v>81</v>
      </c>
      <c r="C11" s="344"/>
      <c r="D11" s="344"/>
      <c r="E11" s="344"/>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338"/>
      <c r="FM11" s="338"/>
      <c r="FN11" s="338"/>
      <c r="FO11" s="338"/>
      <c r="FP11" s="338"/>
      <c r="FQ11" s="338"/>
      <c r="FR11" s="338"/>
      <c r="FS11" s="338"/>
      <c r="FT11" s="338"/>
      <c r="FU11" s="338"/>
      <c r="FV11" s="338"/>
      <c r="FW11" s="338"/>
      <c r="FX11" s="338"/>
      <c r="FY11" s="338"/>
      <c r="FZ11" s="338"/>
      <c r="GA11" s="338"/>
      <c r="GB11" s="338"/>
      <c r="GC11" s="338"/>
      <c r="GD11" s="338"/>
      <c r="GE11" s="338"/>
      <c r="GF11" s="338"/>
      <c r="GG11" s="338"/>
      <c r="GH11" s="338"/>
      <c r="GI11" s="338"/>
      <c r="GJ11" s="338"/>
      <c r="GK11" s="338"/>
      <c r="GL11" s="338"/>
      <c r="GM11" s="338"/>
      <c r="GN11" s="338"/>
      <c r="GO11" s="338"/>
      <c r="GP11" s="338"/>
      <c r="GQ11" s="338"/>
      <c r="GR11" s="338"/>
      <c r="GS11" s="338"/>
      <c r="GT11" s="338"/>
      <c r="GU11" s="338"/>
      <c r="GV11" s="338"/>
      <c r="GW11" s="338"/>
      <c r="GX11" s="338"/>
      <c r="GY11" s="338"/>
      <c r="GZ11" s="338"/>
      <c r="HA11" s="338"/>
      <c r="HB11" s="338"/>
      <c r="HC11" s="338"/>
      <c r="HD11" s="338"/>
      <c r="HE11" s="338"/>
      <c r="HF11" s="338"/>
      <c r="HG11" s="338"/>
      <c r="HH11" s="338"/>
      <c r="HI11" s="338"/>
      <c r="HJ11" s="338"/>
      <c r="HK11" s="338"/>
      <c r="HL11" s="338"/>
      <c r="HM11" s="338"/>
      <c r="HN11" s="338"/>
      <c r="HO11" s="338"/>
      <c r="HP11" s="338"/>
      <c r="HQ11" s="338"/>
      <c r="HR11" s="338"/>
      <c r="HS11" s="338"/>
      <c r="HT11" s="338"/>
      <c r="HU11" s="338"/>
      <c r="HV11" s="338"/>
      <c r="HW11" s="338"/>
      <c r="HX11" s="338"/>
      <c r="HY11" s="338"/>
      <c r="HZ11" s="338"/>
      <c r="IA11" s="338"/>
      <c r="IB11" s="338"/>
      <c r="IC11" s="338"/>
      <c r="ID11" s="338"/>
      <c r="IE11" s="338"/>
      <c r="IF11" s="338"/>
      <c r="IG11" s="338"/>
      <c r="IH11" s="338"/>
      <c r="II11" s="338"/>
      <c r="IJ11" s="338"/>
      <c r="IK11" s="338"/>
      <c r="IL11" s="338"/>
      <c r="IM11" s="338"/>
      <c r="IN11" s="338"/>
      <c r="IO11" s="338"/>
      <c r="IP11" s="338"/>
      <c r="IQ11" s="338"/>
      <c r="IR11" s="338"/>
      <c r="IS11" s="338"/>
      <c r="IT11" s="338"/>
      <c r="IU11" s="338"/>
      <c r="IV11" s="338"/>
      <c r="IW11" s="338"/>
      <c r="IX11" s="338"/>
      <c r="IY11" s="338"/>
      <c r="IZ11" s="338"/>
      <c r="JA11" s="338"/>
      <c r="JB11" s="338"/>
      <c r="JC11" s="338"/>
      <c r="JD11" s="338"/>
      <c r="JE11" s="338"/>
      <c r="JF11" s="338"/>
      <c r="JG11" s="338"/>
      <c r="JH11" s="338"/>
      <c r="JI11" s="338"/>
      <c r="JJ11" s="338"/>
      <c r="JK11" s="338"/>
      <c r="JL11" s="338"/>
      <c r="JM11" s="338"/>
      <c r="JN11" s="338"/>
      <c r="JO11" s="338"/>
      <c r="JP11" s="338"/>
      <c r="JQ11" s="338"/>
      <c r="JR11" s="338"/>
      <c r="JS11" s="338"/>
      <c r="JT11" s="338"/>
      <c r="JU11" s="338"/>
      <c r="JV11" s="338"/>
      <c r="JW11" s="338"/>
      <c r="JX11" s="338"/>
      <c r="JY11" s="338"/>
      <c r="JZ11" s="338"/>
      <c r="KA11" s="338"/>
      <c r="KB11" s="338"/>
      <c r="KC11" s="338"/>
      <c r="KD11" s="338"/>
      <c r="KE11" s="338"/>
      <c r="KF11" s="338"/>
      <c r="KG11" s="338"/>
      <c r="KH11" s="338"/>
      <c r="KI11" s="338"/>
      <c r="KJ11" s="338"/>
      <c r="KK11" s="338"/>
      <c r="KL11" s="338"/>
      <c r="KM11" s="338"/>
      <c r="KN11" s="338"/>
      <c r="KO11" s="338"/>
      <c r="KP11" s="338"/>
      <c r="KQ11" s="338"/>
      <c r="KR11" s="338"/>
      <c r="KS11" s="338"/>
      <c r="KT11" s="338"/>
      <c r="KU11" s="338"/>
      <c r="KV11" s="338"/>
      <c r="KW11" s="338"/>
      <c r="KX11" s="338"/>
      <c r="KY11" s="338"/>
      <c r="KZ11" s="338"/>
      <c r="LA11" s="338"/>
      <c r="LB11" s="338"/>
      <c r="LC11" s="338"/>
      <c r="LD11" s="338"/>
      <c r="LE11" s="338"/>
      <c r="LF11" s="338"/>
      <c r="LG11" s="338"/>
      <c r="LH11" s="338"/>
      <c r="LI11" s="338"/>
      <c r="LJ11" s="338"/>
      <c r="LK11" s="338"/>
      <c r="LL11" s="338"/>
      <c r="LM11" s="338"/>
      <c r="LN11" s="338"/>
      <c r="LO11" s="338"/>
      <c r="LP11" s="338"/>
      <c r="LQ11" s="338"/>
      <c r="LR11" s="338"/>
      <c r="LS11" s="338"/>
      <c r="LT11" s="338"/>
      <c r="LU11" s="338"/>
      <c r="LV11" s="338"/>
      <c r="LW11" s="338"/>
      <c r="LX11" s="338"/>
      <c r="LY11" s="338"/>
      <c r="LZ11" s="338"/>
      <c r="MA11" s="338"/>
      <c r="MB11" s="338"/>
      <c r="MC11" s="338"/>
      <c r="MD11" s="338"/>
      <c r="ME11" s="338"/>
      <c r="MF11" s="338"/>
      <c r="MG11" s="338"/>
      <c r="MH11" s="338"/>
      <c r="MI11" s="338"/>
      <c r="MJ11" s="338"/>
      <c r="MK11" s="338"/>
      <c r="ML11" s="338"/>
      <c r="MM11" s="338"/>
      <c r="MN11" s="338"/>
      <c r="MO11" s="338"/>
      <c r="MP11" s="338"/>
      <c r="MQ11" s="338"/>
      <c r="MR11" s="338"/>
      <c r="MS11" s="338"/>
      <c r="MT11" s="338"/>
      <c r="MU11" s="338"/>
      <c r="MV11" s="338"/>
      <c r="MW11" s="338"/>
      <c r="MX11" s="338"/>
      <c r="MY11" s="338"/>
      <c r="MZ11" s="338"/>
      <c r="NA11" s="338"/>
      <c r="NB11" s="338"/>
      <c r="NC11" s="338"/>
      <c r="ND11" s="338"/>
      <c r="NE11" s="338"/>
      <c r="NF11" s="338"/>
      <c r="NG11" s="338"/>
      <c r="NH11" s="338"/>
      <c r="NI11" s="338"/>
      <c r="NJ11" s="338"/>
      <c r="NK11" s="338"/>
      <c r="NL11" s="338"/>
      <c r="NM11" s="338"/>
      <c r="NN11" s="338"/>
      <c r="NO11" s="338"/>
      <c r="NP11" s="338"/>
      <c r="NQ11" s="338"/>
      <c r="NR11" s="338"/>
      <c r="NS11" s="338"/>
      <c r="NT11" s="338"/>
      <c r="NU11" s="338"/>
      <c r="NV11" s="338"/>
      <c r="NW11" s="338"/>
      <c r="NX11" s="338"/>
      <c r="NY11" s="338"/>
      <c r="NZ11" s="338"/>
      <c r="OA11" s="338"/>
      <c r="OB11" s="338"/>
      <c r="OC11" s="338"/>
      <c r="OD11" s="338"/>
      <c r="OE11" s="338"/>
      <c r="OF11" s="338"/>
      <c r="OG11" s="338"/>
      <c r="OH11" s="338"/>
      <c r="OI11" s="338"/>
      <c r="OJ11" s="338"/>
      <c r="OK11" s="338"/>
      <c r="OL11" s="338"/>
      <c r="OM11" s="338"/>
      <c r="ON11" s="338"/>
      <c r="OO11" s="338"/>
      <c r="OP11" s="338"/>
      <c r="OQ11" s="338"/>
      <c r="OR11" s="338"/>
      <c r="OS11" s="338"/>
      <c r="OT11" s="338"/>
      <c r="OU11" s="338"/>
      <c r="OV11" s="338"/>
      <c r="OW11" s="338"/>
      <c r="OX11" s="338"/>
      <c r="OY11" s="338"/>
      <c r="OZ11" s="338"/>
      <c r="PA11" s="338"/>
      <c r="PB11" s="338"/>
      <c r="PC11" s="338"/>
      <c r="PD11" s="338"/>
      <c r="PE11" s="338"/>
      <c r="PF11" s="338"/>
      <c r="PG11" s="338"/>
      <c r="PH11" s="338"/>
      <c r="PI11" s="338"/>
      <c r="PJ11" s="338"/>
      <c r="PK11" s="338"/>
      <c r="PL11" s="338"/>
      <c r="PM11" s="338"/>
      <c r="PN11" s="338"/>
      <c r="PO11" s="338"/>
      <c r="PP11" s="338"/>
      <c r="PQ11" s="338"/>
      <c r="PR11" s="338"/>
      <c r="PS11" s="338"/>
      <c r="PT11" s="338"/>
      <c r="PU11" s="338"/>
      <c r="PV11" s="338"/>
      <c r="PW11" s="338"/>
      <c r="PX11" s="338"/>
      <c r="PY11" s="338"/>
      <c r="PZ11" s="338"/>
      <c r="QA11" s="338"/>
      <c r="QB11" s="338"/>
      <c r="QC11" s="338"/>
      <c r="QD11" s="338"/>
      <c r="QE11" s="338"/>
      <c r="QF11" s="338"/>
      <c r="QG11" s="338"/>
      <c r="QH11" s="338"/>
      <c r="QI11" s="338"/>
      <c r="QJ11" s="338"/>
      <c r="QK11" s="338"/>
      <c r="QL11" s="338"/>
      <c r="QM11" s="338"/>
      <c r="QN11" s="338"/>
      <c r="QO11" s="338"/>
      <c r="QP11" s="338"/>
      <c r="QQ11" s="338"/>
      <c r="QR11" s="338"/>
      <c r="QS11" s="338"/>
      <c r="QT11" s="338"/>
      <c r="QU11" s="338"/>
      <c r="QV11" s="338"/>
      <c r="QW11" s="338"/>
      <c r="QX11" s="338"/>
      <c r="QY11" s="338"/>
      <c r="QZ11" s="338"/>
      <c r="RA11" s="338"/>
      <c r="RB11" s="338"/>
      <c r="RC11" s="338"/>
      <c r="RD11" s="338"/>
      <c r="RE11" s="338"/>
      <c r="RF11" s="338"/>
      <c r="RG11" s="338"/>
      <c r="RH11" s="338"/>
      <c r="RI11" s="338"/>
      <c r="RJ11" s="338"/>
      <c r="RK11" s="338"/>
      <c r="RL11" s="338"/>
      <c r="RM11" s="338"/>
      <c r="RN11" s="338"/>
      <c r="RO11" s="338"/>
      <c r="RP11" s="338"/>
      <c r="RQ11" s="338"/>
      <c r="RR11" s="338"/>
      <c r="RS11" s="338"/>
      <c r="RT11" s="338"/>
      <c r="RU11" s="338"/>
      <c r="RV11" s="338"/>
      <c r="RW11" s="338"/>
      <c r="RX11" s="338"/>
      <c r="RY11" s="338"/>
      <c r="RZ11" s="338"/>
      <c r="SA11" s="338"/>
      <c r="SB11" s="338"/>
      <c r="SC11" s="338"/>
      <c r="SD11" s="338"/>
      <c r="SE11" s="338"/>
      <c r="SF11" s="338"/>
      <c r="SG11" s="338"/>
      <c r="SH11" s="338"/>
      <c r="SI11" s="338"/>
      <c r="SJ11" s="338"/>
      <c r="SK11" s="338"/>
      <c r="SL11" s="338"/>
      <c r="SM11" s="338"/>
      <c r="SN11" s="338"/>
      <c r="SO11" s="338"/>
      <c r="SP11" s="338"/>
      <c r="SQ11" s="338"/>
      <c r="SR11" s="338"/>
      <c r="SS11" s="338"/>
      <c r="ST11" s="338"/>
      <c r="SU11" s="338"/>
      <c r="SV11" s="338"/>
      <c r="SW11" s="338"/>
      <c r="SX11" s="338"/>
      <c r="SY11" s="338"/>
      <c r="SZ11" s="338"/>
      <c r="TA11" s="338"/>
      <c r="TB11" s="338"/>
      <c r="TC11" s="338"/>
      <c r="TD11" s="338"/>
      <c r="TE11" s="338"/>
      <c r="TF11" s="338"/>
      <c r="TG11" s="338"/>
      <c r="TH11" s="338"/>
      <c r="TI11" s="338"/>
      <c r="TJ11" s="338"/>
      <c r="TK11" s="338"/>
      <c r="TL11" s="338"/>
      <c r="TM11" s="338"/>
      <c r="TN11" s="338"/>
      <c r="TO11" s="338"/>
      <c r="TP11" s="338"/>
      <c r="TQ11" s="338"/>
      <c r="TR11" s="338"/>
      <c r="TS11" s="338"/>
      <c r="TT11" s="338"/>
      <c r="TU11" s="338"/>
      <c r="TV11" s="338"/>
      <c r="TW11" s="338"/>
      <c r="TX11" s="338"/>
      <c r="TY11" s="338"/>
      <c r="TZ11" s="338"/>
      <c r="UA11" s="338"/>
      <c r="UB11" s="338"/>
      <c r="UC11" s="338"/>
      <c r="UD11" s="338"/>
      <c r="UE11" s="338"/>
      <c r="UF11" s="338"/>
      <c r="UG11" s="338"/>
      <c r="UH11" s="338"/>
      <c r="UI11" s="338"/>
      <c r="UJ11" s="338"/>
      <c r="UK11" s="338"/>
      <c r="UL11" s="338"/>
      <c r="UM11" s="338"/>
      <c r="UN11" s="338"/>
      <c r="UO11" s="338"/>
      <c r="UP11" s="338"/>
      <c r="UQ11" s="338"/>
      <c r="UR11" s="338"/>
      <c r="US11" s="338"/>
      <c r="UT11" s="338"/>
      <c r="UU11" s="338"/>
      <c r="UV11" s="338"/>
      <c r="UW11" s="338"/>
      <c r="UX11" s="338"/>
      <c r="UY11" s="338"/>
      <c r="UZ11" s="338"/>
      <c r="VA11" s="338"/>
      <c r="VB11" s="338"/>
      <c r="VC11" s="338"/>
      <c r="VD11" s="338"/>
      <c r="VE11" s="338"/>
      <c r="VF11" s="338"/>
      <c r="VG11" s="338"/>
      <c r="VH11" s="338"/>
      <c r="VI11" s="338"/>
      <c r="VJ11" s="338"/>
      <c r="VK11" s="338"/>
      <c r="VL11" s="338"/>
      <c r="VM11" s="338"/>
      <c r="VN11" s="338"/>
      <c r="VO11" s="338"/>
      <c r="VP11" s="338"/>
      <c r="VQ11" s="338"/>
      <c r="VR11" s="338"/>
      <c r="VS11" s="338"/>
      <c r="VT11" s="338"/>
      <c r="VU11" s="338"/>
      <c r="VV11" s="338"/>
      <c r="VW11" s="338"/>
      <c r="VX11" s="338"/>
      <c r="VY11" s="338"/>
      <c r="VZ11" s="338"/>
      <c r="WA11" s="338"/>
      <c r="WB11" s="338"/>
      <c r="WC11" s="338"/>
      <c r="WD11" s="338"/>
      <c r="WE11" s="338"/>
      <c r="WF11" s="338"/>
      <c r="WG11" s="338"/>
      <c r="WH11" s="338"/>
      <c r="WI11" s="338"/>
      <c r="WJ11" s="338"/>
      <c r="WK11" s="338"/>
      <c r="WL11" s="338"/>
      <c r="WM11" s="338"/>
      <c r="WN11" s="338"/>
      <c r="WO11" s="338"/>
      <c r="WP11" s="338"/>
      <c r="WQ11" s="338"/>
      <c r="WR11" s="338"/>
      <c r="WS11" s="338"/>
      <c r="WT11" s="338"/>
      <c r="WU11" s="338"/>
      <c r="WV11" s="338"/>
      <c r="WW11" s="338"/>
      <c r="WX11" s="338"/>
      <c r="WY11" s="338"/>
      <c r="WZ11" s="338"/>
      <c r="XA11" s="338"/>
      <c r="XB11" s="338"/>
      <c r="XC11" s="338"/>
      <c r="XD11" s="338"/>
      <c r="XE11" s="338"/>
      <c r="XF11" s="338"/>
      <c r="XG11" s="338"/>
      <c r="XH11" s="338"/>
      <c r="XI11" s="338"/>
      <c r="XJ11" s="338"/>
      <c r="XK11" s="338"/>
      <c r="XL11" s="338"/>
      <c r="XM11" s="338"/>
      <c r="XN11" s="338"/>
      <c r="XO11" s="338"/>
      <c r="XP11" s="338"/>
      <c r="XQ11" s="338"/>
      <c r="XR11" s="338"/>
      <c r="XS11" s="338"/>
      <c r="XT11" s="338"/>
      <c r="XU11" s="338"/>
      <c r="XV11" s="338"/>
      <c r="XW11" s="338"/>
      <c r="XX11" s="338"/>
      <c r="XY11" s="338"/>
      <c r="XZ11" s="338"/>
      <c r="YA11" s="338"/>
      <c r="YB11" s="338"/>
      <c r="YC11" s="338"/>
      <c r="YD11" s="338"/>
      <c r="YE11" s="338"/>
      <c r="YF11" s="338"/>
      <c r="YG11" s="338"/>
      <c r="YH11" s="338"/>
      <c r="YI11" s="338"/>
      <c r="YJ11" s="338"/>
      <c r="YK11" s="338"/>
      <c r="YL11" s="338"/>
      <c r="YM11" s="338"/>
      <c r="YN11" s="338"/>
      <c r="YO11" s="338"/>
      <c r="YP11" s="338"/>
      <c r="YQ11" s="338"/>
      <c r="YR11" s="338"/>
      <c r="YS11" s="338"/>
      <c r="YT11" s="338"/>
      <c r="YU11" s="338"/>
      <c r="YV11" s="338"/>
      <c r="YW11" s="338"/>
      <c r="YX11" s="338"/>
      <c r="YY11" s="338"/>
      <c r="YZ11" s="338"/>
      <c r="ZA11" s="338"/>
      <c r="ZB11" s="338"/>
      <c r="ZC11" s="338"/>
      <c r="ZD11" s="338"/>
      <c r="ZE11" s="338"/>
      <c r="ZF11" s="338"/>
      <c r="ZG11" s="338"/>
      <c r="ZH11" s="338"/>
      <c r="ZI11" s="338"/>
      <c r="ZJ11" s="338"/>
      <c r="ZK11" s="338"/>
      <c r="ZL11" s="338"/>
      <c r="ZM11" s="338"/>
      <c r="ZN11" s="338"/>
      <c r="ZO11" s="338"/>
      <c r="ZP11" s="338"/>
      <c r="ZQ11" s="338"/>
      <c r="ZR11" s="338"/>
      <c r="ZS11" s="338"/>
      <c r="ZT11" s="338"/>
      <c r="ZU11" s="338"/>
      <c r="ZV11" s="338"/>
      <c r="ZW11" s="338"/>
      <c r="ZX11" s="338"/>
      <c r="ZY11" s="338"/>
      <c r="ZZ11" s="338"/>
      <c r="AAA11" s="338"/>
      <c r="AAB11" s="338"/>
      <c r="AAC11" s="338"/>
      <c r="AAD11" s="338"/>
      <c r="AAE11" s="338"/>
      <c r="AAF11" s="338"/>
      <c r="AAG11" s="338"/>
      <c r="AAH11" s="338"/>
      <c r="AAI11" s="338"/>
      <c r="AAJ11" s="338"/>
      <c r="AAK11" s="338"/>
      <c r="AAL11" s="338"/>
      <c r="AAM11" s="338"/>
      <c r="AAN11" s="338"/>
      <c r="AAO11" s="338"/>
      <c r="AAP11" s="338"/>
      <c r="AAQ11" s="338"/>
      <c r="AAR11" s="338"/>
      <c r="AAS11" s="338"/>
      <c r="AAT11" s="338"/>
      <c r="AAU11" s="338"/>
      <c r="AAV11" s="338"/>
      <c r="AAW11" s="338"/>
      <c r="AAX11" s="338"/>
      <c r="AAY11" s="338"/>
      <c r="AAZ11" s="338"/>
      <c r="ABA11" s="338"/>
      <c r="ABB11" s="338"/>
      <c r="ABC11" s="338"/>
      <c r="ABD11" s="338"/>
      <c r="ABE11" s="338"/>
      <c r="ABF11" s="338"/>
      <c r="ABG11" s="338"/>
      <c r="ABH11" s="338"/>
      <c r="ABI11" s="338"/>
      <c r="ABJ11" s="338"/>
      <c r="ABK11" s="338"/>
      <c r="ABL11" s="338"/>
      <c r="ABM11" s="338"/>
      <c r="ABN11" s="338"/>
      <c r="ABO11" s="338"/>
      <c r="ABP11" s="338"/>
      <c r="ABQ11" s="338"/>
      <c r="ABR11" s="338"/>
      <c r="ABS11" s="338"/>
      <c r="ABT11" s="338"/>
      <c r="ABU11" s="338"/>
      <c r="ABV11" s="338"/>
      <c r="ABW11" s="338"/>
      <c r="ABX11" s="338"/>
      <c r="ABY11" s="338"/>
      <c r="ABZ11" s="338"/>
      <c r="ACA11" s="338"/>
      <c r="ACB11" s="338"/>
      <c r="ACC11" s="338"/>
      <c r="ACD11" s="338"/>
      <c r="ACE11" s="338"/>
      <c r="ACF11" s="338"/>
      <c r="ACG11" s="338"/>
      <c r="ACH11" s="338"/>
      <c r="ACI11" s="338"/>
      <c r="ACJ11" s="338"/>
      <c r="ACK11" s="338"/>
      <c r="ACL11" s="338"/>
      <c r="ACM11" s="338"/>
      <c r="ACN11" s="338"/>
      <c r="ACO11" s="338"/>
      <c r="ACP11" s="338"/>
      <c r="ACQ11" s="338"/>
      <c r="ACR11" s="338"/>
      <c r="ACS11" s="338"/>
      <c r="ACT11" s="338"/>
      <c r="ACU11" s="338"/>
      <c r="ACV11" s="338"/>
      <c r="ACW11" s="338"/>
      <c r="ACX11" s="338"/>
      <c r="ACY11" s="338"/>
      <c r="ACZ11" s="338"/>
      <c r="ADA11" s="338"/>
      <c r="ADB11" s="338"/>
      <c r="ADC11" s="338"/>
      <c r="ADD11" s="338"/>
      <c r="ADE11" s="338"/>
      <c r="ADF11" s="338"/>
      <c r="ADG11" s="338"/>
      <c r="ADH11" s="338"/>
      <c r="ADI11" s="338"/>
      <c r="ADJ11" s="338"/>
      <c r="ADK11" s="338"/>
      <c r="ADL11" s="338"/>
      <c r="ADM11" s="338"/>
      <c r="ADN11" s="338"/>
      <c r="ADO11" s="338"/>
      <c r="ADP11" s="338"/>
      <c r="ADQ11" s="338"/>
      <c r="ADR11" s="338"/>
      <c r="ADS11" s="338"/>
      <c r="ADT11" s="338"/>
      <c r="ADU11" s="338"/>
      <c r="ADV11" s="338"/>
      <c r="ADW11" s="338"/>
      <c r="ADX11" s="338"/>
      <c r="ADY11" s="338"/>
      <c r="ADZ11" s="338"/>
      <c r="AEA11" s="338"/>
      <c r="AEB11" s="338"/>
      <c r="AEC11" s="338"/>
      <c r="AED11" s="338"/>
      <c r="AEE11" s="338"/>
      <c r="AEF11" s="338"/>
      <c r="AEG11" s="338"/>
      <c r="AEH11" s="338"/>
      <c r="AEI11" s="338"/>
      <c r="AEJ11" s="338"/>
      <c r="AEK11" s="338"/>
      <c r="AEL11" s="338"/>
      <c r="AEM11" s="338"/>
      <c r="AEN11" s="338"/>
      <c r="AEO11" s="338"/>
      <c r="AEP11" s="338"/>
      <c r="AEQ11" s="338"/>
      <c r="AER11" s="338"/>
      <c r="AES11" s="338"/>
      <c r="AET11" s="338"/>
      <c r="AEU11" s="338"/>
      <c r="AEV11" s="338"/>
      <c r="AEW11" s="338"/>
      <c r="AEX11" s="338"/>
      <c r="AEY11" s="338"/>
      <c r="AEZ11" s="338"/>
      <c r="AFA11" s="338"/>
      <c r="AFB11" s="338"/>
      <c r="AFC11" s="338"/>
      <c r="AFD11" s="338"/>
      <c r="AFE11" s="338"/>
      <c r="AFF11" s="338"/>
      <c r="AFG11" s="338"/>
      <c r="AFH11" s="338"/>
      <c r="AFI11" s="338"/>
      <c r="AFJ11" s="338"/>
      <c r="AFK11" s="338"/>
      <c r="AFL11" s="338"/>
      <c r="AFM11" s="338"/>
      <c r="AFN11" s="338"/>
      <c r="AFO11" s="338"/>
      <c r="AFP11" s="338"/>
      <c r="AFQ11" s="338"/>
      <c r="AFR11" s="338"/>
      <c r="AFS11" s="338"/>
      <c r="AFT11" s="338"/>
      <c r="AFU11" s="338"/>
      <c r="AFV11" s="338"/>
      <c r="AFW11" s="338"/>
      <c r="AFX11" s="338"/>
      <c r="AFY11" s="338"/>
      <c r="AFZ11" s="338"/>
      <c r="AGA11" s="338"/>
      <c r="AGB11" s="338"/>
      <c r="AGC11" s="338"/>
      <c r="AGD11" s="338"/>
      <c r="AGE11" s="338"/>
      <c r="AGF11" s="338"/>
      <c r="AGG11" s="338"/>
      <c r="AGH11" s="338"/>
      <c r="AGI11" s="338"/>
      <c r="AGJ11" s="338"/>
      <c r="AGK11" s="338"/>
      <c r="AGL11" s="338"/>
      <c r="AGM11" s="338"/>
      <c r="AGN11" s="338"/>
      <c r="AGO11" s="338"/>
      <c r="AGP11" s="338"/>
      <c r="AGQ11" s="338"/>
      <c r="AGR11" s="338"/>
      <c r="AGS11" s="338"/>
      <c r="AGT11" s="338"/>
      <c r="AGU11" s="338"/>
      <c r="AGV11" s="338"/>
      <c r="AGW11" s="338"/>
      <c r="AGX11" s="338"/>
      <c r="AGY11" s="338"/>
      <c r="AGZ11" s="338"/>
      <c r="AHA11" s="338"/>
      <c r="AHB11" s="338"/>
      <c r="AHC11" s="338"/>
      <c r="AHD11" s="338"/>
      <c r="AHE11" s="338"/>
      <c r="AHF11" s="338"/>
      <c r="AHG11" s="338"/>
      <c r="AHH11" s="338"/>
      <c r="AHI11" s="338"/>
      <c r="AHJ11" s="338"/>
      <c r="AHK11" s="338"/>
      <c r="AHL11" s="338"/>
      <c r="AHM11" s="338"/>
      <c r="AHN11" s="338"/>
      <c r="AHO11" s="338"/>
      <c r="AHP11" s="338"/>
      <c r="AHQ11" s="338"/>
      <c r="AHR11" s="338"/>
      <c r="AHS11" s="338"/>
      <c r="AHT11" s="338"/>
      <c r="AHU11" s="338"/>
      <c r="AHV11" s="338"/>
      <c r="AHW11" s="338"/>
      <c r="AHX11" s="338"/>
      <c r="AHY11" s="338"/>
      <c r="AHZ11" s="338"/>
      <c r="AIA11" s="338"/>
      <c r="AIB11" s="338"/>
      <c r="AIC11" s="338"/>
      <c r="AID11" s="338"/>
      <c r="AIE11" s="338"/>
      <c r="AIF11" s="338"/>
      <c r="AIG11" s="338"/>
      <c r="AIH11" s="338"/>
      <c r="AII11" s="338"/>
      <c r="AIJ11" s="338"/>
      <c r="AIK11" s="338"/>
      <c r="AIL11" s="338"/>
      <c r="AIM11" s="338"/>
      <c r="AIN11" s="338"/>
      <c r="AIO11" s="338"/>
      <c r="AIP11" s="338"/>
      <c r="AIQ11" s="338"/>
      <c r="AIR11" s="338"/>
      <c r="AIS11" s="338"/>
      <c r="AIT11" s="338"/>
      <c r="AIU11" s="338"/>
      <c r="AIV11" s="338"/>
      <c r="AIW11" s="338"/>
      <c r="AIX11" s="338"/>
      <c r="AIY11" s="338"/>
      <c r="AIZ11" s="338"/>
      <c r="AJA11" s="338"/>
      <c r="AJB11" s="338"/>
      <c r="AJC11" s="338"/>
      <c r="AJD11" s="338"/>
      <c r="AJE11" s="338"/>
      <c r="AJF11" s="338"/>
      <c r="AJG11" s="338"/>
      <c r="AJH11" s="338"/>
      <c r="AJI11" s="338"/>
      <c r="AJJ11" s="338"/>
      <c r="AJK11" s="338"/>
      <c r="AJL11" s="338"/>
      <c r="AJM11" s="338"/>
      <c r="AJN11" s="338"/>
      <c r="AJO11" s="338"/>
      <c r="AJP11" s="338"/>
      <c r="AJQ11" s="338"/>
      <c r="AJR11" s="338"/>
      <c r="AJS11" s="338"/>
      <c r="AJT11" s="338"/>
      <c r="AJU11" s="338"/>
      <c r="AJV11" s="338"/>
      <c r="AJW11" s="338"/>
      <c r="AJX11" s="338"/>
      <c r="AJY11" s="338"/>
      <c r="AJZ11" s="338"/>
      <c r="AKA11" s="338"/>
      <c r="AKB11" s="338"/>
      <c r="AKC11" s="338"/>
      <c r="AKD11" s="338"/>
      <c r="AKE11" s="338"/>
      <c r="AKF11" s="338"/>
      <c r="AKG11" s="338"/>
      <c r="AKH11" s="338"/>
      <c r="AKI11" s="338"/>
      <c r="AKJ11" s="338"/>
      <c r="AKK11" s="338"/>
      <c r="AKL11" s="338"/>
      <c r="AKM11" s="338"/>
      <c r="AKN11" s="338"/>
      <c r="AKO11" s="338"/>
      <c r="AKP11" s="338"/>
      <c r="AKQ11" s="338"/>
      <c r="AKR11" s="338"/>
      <c r="AKS11" s="338"/>
      <c r="AKT11" s="338"/>
      <c r="AKU11" s="338"/>
      <c r="AKV11" s="338"/>
      <c r="AKW11" s="338"/>
      <c r="AKX11" s="338"/>
      <c r="AKY11" s="338"/>
      <c r="AKZ11" s="338"/>
      <c r="ALA11" s="338"/>
      <c r="ALB11" s="338"/>
      <c r="ALC11" s="338"/>
      <c r="ALD11" s="338"/>
      <c r="ALE11" s="338"/>
      <c r="ALF11" s="338"/>
      <c r="ALG11" s="338"/>
      <c r="ALH11" s="338"/>
      <c r="ALI11" s="338"/>
      <c r="ALJ11" s="338"/>
      <c r="ALK11" s="338"/>
      <c r="ALL11" s="338"/>
      <c r="ALM11" s="338"/>
      <c r="ALN11" s="338"/>
      <c r="ALO11" s="338"/>
      <c r="ALP11" s="338"/>
      <c r="ALQ11" s="338"/>
      <c r="ALR11" s="338"/>
      <c r="ALS11" s="338"/>
      <c r="ALT11" s="338"/>
      <c r="ALU11" s="338"/>
      <c r="ALV11" s="338"/>
      <c r="ALW11" s="338"/>
      <c r="ALX11" s="338"/>
      <c r="ALY11" s="338"/>
      <c r="ALZ11" s="338"/>
      <c r="AMA11" s="338"/>
      <c r="AMB11" s="338"/>
      <c r="AMC11" s="338"/>
      <c r="AMD11" s="338"/>
      <c r="AME11" s="338"/>
      <c r="AMF11" s="338"/>
      <c r="AMG11" s="338"/>
      <c r="AMH11" s="338"/>
      <c r="AMI11" s="338"/>
      <c r="AMJ11" s="338"/>
      <c r="AMK11" s="338"/>
      <c r="AML11" s="338"/>
      <c r="AMM11" s="338"/>
      <c r="AMN11" s="338"/>
      <c r="AMO11" s="338"/>
      <c r="AMP11" s="338"/>
      <c r="AMQ11" s="338"/>
      <c r="AMR11" s="338"/>
      <c r="AMS11" s="338"/>
      <c r="AMT11" s="338"/>
      <c r="AMU11" s="338"/>
      <c r="AMV11" s="338"/>
      <c r="AMW11" s="338"/>
      <c r="AMX11" s="338"/>
      <c r="AMY11" s="338"/>
      <c r="AMZ11" s="338"/>
      <c r="ANA11" s="338"/>
      <c r="ANB11" s="338"/>
      <c r="ANC11" s="338"/>
      <c r="AND11" s="338"/>
      <c r="ANE11" s="338"/>
      <c r="ANF11" s="338"/>
      <c r="ANG11" s="338"/>
      <c r="ANH11" s="338"/>
      <c r="ANI11" s="338"/>
      <c r="ANJ11" s="338"/>
      <c r="ANK11" s="338"/>
      <c r="ANL11" s="338"/>
      <c r="ANM11" s="338"/>
      <c r="ANN11" s="338"/>
      <c r="ANO11" s="338"/>
      <c r="ANP11" s="338"/>
      <c r="ANQ11" s="338"/>
      <c r="ANR11" s="338"/>
      <c r="ANS11" s="338"/>
      <c r="ANT11" s="338"/>
      <c r="ANU11" s="338"/>
      <c r="ANV11" s="338"/>
      <c r="ANW11" s="338"/>
      <c r="ANX11" s="338"/>
      <c r="ANY11" s="338"/>
      <c r="ANZ11" s="338"/>
      <c r="AOA11" s="338"/>
      <c r="AOB11" s="338"/>
      <c r="AOC11" s="338"/>
      <c r="AOD11" s="338"/>
      <c r="AOE11" s="338"/>
      <c r="AOF11" s="338"/>
      <c r="AOG11" s="338"/>
      <c r="AOH11" s="338"/>
      <c r="AOI11" s="338"/>
      <c r="AOJ11" s="338"/>
      <c r="AOK11" s="338"/>
      <c r="AOL11" s="338"/>
      <c r="AOM11" s="338"/>
      <c r="AON11" s="338"/>
      <c r="AOO11" s="338"/>
      <c r="AOP11" s="338"/>
      <c r="AOQ11" s="338"/>
      <c r="AOR11" s="338"/>
      <c r="AOS11" s="338"/>
      <c r="AOT11" s="338"/>
      <c r="AOU11" s="338"/>
      <c r="AOV11" s="338"/>
      <c r="AOW11" s="338"/>
      <c r="AOX11" s="338"/>
      <c r="AOY11" s="338"/>
      <c r="AOZ11" s="338"/>
      <c r="APA11" s="338"/>
      <c r="APB11" s="338"/>
      <c r="APC11" s="338"/>
      <c r="APD11" s="338"/>
      <c r="APE11" s="338"/>
      <c r="APF11" s="338"/>
      <c r="APG11" s="338"/>
      <c r="APH11" s="338"/>
      <c r="API11" s="338"/>
      <c r="APJ11" s="338"/>
      <c r="APK11" s="338"/>
      <c r="APL11" s="338"/>
      <c r="APM11" s="338"/>
      <c r="APN11" s="338"/>
      <c r="APO11" s="338"/>
      <c r="APP11" s="338"/>
      <c r="APQ11" s="338"/>
      <c r="APR11" s="338"/>
      <c r="APS11" s="338"/>
      <c r="APT11" s="338"/>
      <c r="APU11" s="338"/>
      <c r="APV11" s="338"/>
      <c r="APW11" s="338"/>
      <c r="APX11" s="338"/>
      <c r="APY11" s="338"/>
      <c r="APZ11" s="338"/>
      <c r="AQA11" s="338"/>
      <c r="AQB11" s="338"/>
      <c r="AQC11" s="338"/>
      <c r="AQD11" s="338"/>
      <c r="AQE11" s="338"/>
      <c r="AQF11" s="338"/>
      <c r="AQG11" s="338"/>
      <c r="AQH11" s="338"/>
      <c r="AQI11" s="338"/>
      <c r="AQJ11" s="338"/>
      <c r="AQK11" s="338"/>
      <c r="AQL11" s="338"/>
      <c r="AQM11" s="338"/>
      <c r="AQN11" s="338"/>
      <c r="AQO11" s="338"/>
      <c r="AQP11" s="338"/>
      <c r="AQQ11" s="338"/>
      <c r="AQR11" s="338"/>
      <c r="AQS11" s="338"/>
      <c r="AQT11" s="338"/>
      <c r="AQU11" s="338"/>
      <c r="AQV11" s="338"/>
      <c r="AQW11" s="338"/>
      <c r="AQX11" s="338"/>
      <c r="AQY11" s="338"/>
      <c r="AQZ11" s="338"/>
      <c r="ARA11" s="338"/>
      <c r="ARB11" s="338"/>
      <c r="ARC11" s="338"/>
      <c r="ARD11" s="338"/>
      <c r="ARE11" s="338"/>
      <c r="ARF11" s="338"/>
      <c r="ARG11" s="338"/>
      <c r="ARH11" s="338"/>
      <c r="ARI11" s="338"/>
      <c r="ARJ11" s="338"/>
      <c r="ARK11" s="338"/>
      <c r="ARL11" s="338"/>
      <c r="ARM11" s="338"/>
      <c r="ARN11" s="338"/>
      <c r="ARO11" s="338"/>
      <c r="ARP11" s="338"/>
      <c r="ARQ11" s="338"/>
      <c r="ARR11" s="338"/>
      <c r="ARS11" s="338"/>
      <c r="ART11" s="338"/>
      <c r="ARU11" s="338"/>
      <c r="ARV11" s="338"/>
      <c r="ARW11" s="338"/>
      <c r="ARX11" s="338"/>
      <c r="ARY11" s="338"/>
      <c r="ARZ11" s="338"/>
      <c r="ASA11" s="338"/>
      <c r="ASB11" s="338"/>
      <c r="ASC11" s="338"/>
      <c r="ASD11" s="338"/>
      <c r="ASE11" s="338"/>
      <c r="ASF11" s="338"/>
      <c r="ASG11" s="338"/>
      <c r="ASH11" s="338"/>
      <c r="ASI11" s="338"/>
      <c r="ASJ11" s="338"/>
      <c r="ASK11" s="338"/>
      <c r="ASL11" s="338"/>
      <c r="ASM11" s="338"/>
      <c r="ASN11" s="338"/>
      <c r="ASO11" s="338"/>
      <c r="ASP11" s="338"/>
      <c r="ASQ11" s="338"/>
      <c r="ASR11" s="338"/>
      <c r="ASS11" s="338"/>
      <c r="AST11" s="338"/>
      <c r="ASU11" s="338"/>
      <c r="ASV11" s="338"/>
      <c r="ASW11" s="338"/>
      <c r="ASX11" s="338"/>
      <c r="ASY11" s="338"/>
      <c r="ASZ11" s="338"/>
      <c r="ATA11" s="338"/>
      <c r="ATB11" s="338"/>
      <c r="ATC11" s="338"/>
      <c r="ATD11" s="338"/>
      <c r="ATE11" s="338"/>
      <c r="ATF11" s="338"/>
      <c r="ATG11" s="338"/>
      <c r="ATH11" s="338"/>
      <c r="ATI11" s="338"/>
      <c r="ATJ11" s="338"/>
      <c r="ATK11" s="338"/>
      <c r="ATL11" s="338"/>
      <c r="ATM11" s="338"/>
      <c r="ATN11" s="338"/>
      <c r="ATO11" s="338"/>
      <c r="ATP11" s="338"/>
      <c r="ATQ11" s="338"/>
      <c r="ATR11" s="338"/>
      <c r="ATS11" s="338"/>
      <c r="ATT11" s="338"/>
      <c r="ATU11" s="338"/>
      <c r="ATV11" s="338"/>
      <c r="ATW11" s="338"/>
      <c r="ATX11" s="338"/>
      <c r="ATY11" s="338"/>
      <c r="ATZ11" s="338"/>
      <c r="AUA11" s="338"/>
      <c r="AUB11" s="338"/>
      <c r="AUC11" s="338"/>
      <c r="AUD11" s="338"/>
      <c r="AUE11" s="338"/>
      <c r="AUF11" s="338"/>
      <c r="AUG11" s="338"/>
      <c r="AUH11" s="338"/>
      <c r="AUI11" s="338"/>
      <c r="AUJ11" s="338"/>
      <c r="AUK11" s="338"/>
      <c r="AUL11" s="338"/>
      <c r="AUM11" s="338"/>
      <c r="AUN11" s="338"/>
      <c r="AUO11" s="338"/>
      <c r="AUP11" s="338"/>
      <c r="AUQ11" s="338"/>
      <c r="AUR11" s="338"/>
      <c r="AUS11" s="338"/>
      <c r="AUT11" s="338"/>
      <c r="AUU11" s="338"/>
      <c r="AUV11" s="338"/>
      <c r="AUW11" s="338"/>
      <c r="AUX11" s="338"/>
      <c r="AUY11" s="338"/>
      <c r="AUZ11" s="338"/>
      <c r="AVA11" s="338"/>
      <c r="AVB11" s="338"/>
      <c r="AVC11" s="338"/>
      <c r="AVD11" s="338"/>
      <c r="AVE11" s="338"/>
      <c r="AVF11" s="338"/>
      <c r="AVG11" s="338"/>
      <c r="AVH11" s="338"/>
      <c r="AVI11" s="338"/>
      <c r="AVJ11" s="338"/>
      <c r="AVK11" s="338"/>
      <c r="AVL11" s="338"/>
      <c r="AVM11" s="338"/>
      <c r="AVN11" s="338"/>
      <c r="AVO11" s="338"/>
      <c r="AVP11" s="338"/>
      <c r="AVQ11" s="338"/>
      <c r="AVR11" s="338"/>
      <c r="AVS11" s="338"/>
      <c r="AVT11" s="338"/>
      <c r="AVU11" s="338"/>
      <c r="AVV11" s="338"/>
      <c r="AVW11" s="338"/>
      <c r="AVX11" s="338"/>
      <c r="AVY11" s="338"/>
      <c r="AVZ11" s="338"/>
      <c r="AWA11" s="338"/>
      <c r="AWB11" s="338"/>
      <c r="AWC11" s="338"/>
      <c r="AWD11" s="338"/>
      <c r="AWE11" s="338"/>
      <c r="AWF11" s="338"/>
      <c r="AWG11" s="338"/>
      <c r="AWH11" s="338"/>
      <c r="AWI11" s="338"/>
      <c r="AWJ11" s="338"/>
      <c r="AWK11" s="338"/>
      <c r="AWL11" s="338"/>
      <c r="AWM11" s="338"/>
      <c r="AWN11" s="338"/>
      <c r="AWO11" s="338"/>
      <c r="AWP11" s="338"/>
      <c r="AWQ11" s="338"/>
      <c r="AWR11" s="338"/>
      <c r="AWS11" s="338"/>
      <c r="AWT11" s="338"/>
      <c r="AWU11" s="338"/>
      <c r="AWV11" s="338"/>
      <c r="AWW11" s="338"/>
      <c r="AWX11" s="338"/>
      <c r="AWY11" s="338"/>
      <c r="AWZ11" s="338"/>
      <c r="AXA11" s="338"/>
      <c r="AXB11" s="338"/>
      <c r="AXC11" s="338"/>
      <c r="AXD11" s="338"/>
      <c r="AXE11" s="338"/>
      <c r="AXF11" s="338"/>
      <c r="AXG11" s="338"/>
      <c r="AXH11" s="338"/>
      <c r="AXI11" s="338"/>
      <c r="AXJ11" s="338"/>
      <c r="AXK11" s="338"/>
      <c r="AXL11" s="338"/>
      <c r="AXM11" s="338"/>
      <c r="AXN11" s="338"/>
      <c r="AXO11" s="338"/>
      <c r="AXP11" s="338"/>
      <c r="AXQ11" s="338"/>
      <c r="AXR11" s="338"/>
      <c r="AXS11" s="338"/>
      <c r="AXT11" s="338"/>
      <c r="AXU11" s="338"/>
      <c r="AXV11" s="338"/>
      <c r="AXW11" s="338"/>
      <c r="AXX11" s="338"/>
      <c r="AXY11" s="338"/>
      <c r="AXZ11" s="338"/>
      <c r="AYA11" s="338"/>
      <c r="AYB11" s="338"/>
      <c r="AYC11" s="338"/>
      <c r="AYD11" s="338"/>
      <c r="AYE11" s="338"/>
      <c r="AYF11" s="338"/>
      <c r="AYG11" s="338"/>
      <c r="AYH11" s="338"/>
      <c r="AYI11" s="338"/>
      <c r="AYJ11" s="338"/>
      <c r="AYK11" s="338"/>
      <c r="AYL11" s="338"/>
      <c r="AYM11" s="338"/>
      <c r="AYN11" s="338"/>
      <c r="AYO11" s="338"/>
      <c r="AYP11" s="338"/>
      <c r="AYQ11" s="338"/>
      <c r="AYR11" s="338"/>
      <c r="AYS11" s="338"/>
      <c r="AYT11" s="338"/>
      <c r="AYU11" s="338"/>
      <c r="AYV11" s="338"/>
      <c r="AYW11" s="338"/>
      <c r="AYX11" s="338"/>
      <c r="AYY11" s="338"/>
      <c r="AYZ11" s="338"/>
      <c r="AZA11" s="338"/>
      <c r="AZB11" s="338"/>
      <c r="AZC11" s="338"/>
      <c r="AZD11" s="338"/>
      <c r="AZE11" s="338"/>
      <c r="AZF11" s="338"/>
      <c r="AZG11" s="338"/>
      <c r="AZH11" s="338"/>
      <c r="AZI11" s="338"/>
      <c r="AZJ11" s="338"/>
      <c r="AZK11" s="338"/>
      <c r="AZL11" s="338"/>
      <c r="AZM11" s="338"/>
      <c r="AZN11" s="338"/>
      <c r="AZO11" s="338"/>
      <c r="AZP11" s="338"/>
      <c r="AZQ11" s="338"/>
      <c r="AZR11" s="338"/>
      <c r="AZS11" s="338"/>
      <c r="AZT11" s="338"/>
      <c r="AZU11" s="338"/>
      <c r="AZV11" s="338"/>
      <c r="AZW11" s="338"/>
      <c r="AZX11" s="338"/>
      <c r="AZY11" s="338"/>
      <c r="AZZ11" s="338"/>
      <c r="BAA11" s="338"/>
      <c r="BAB11" s="338"/>
      <c r="BAC11" s="338"/>
      <c r="BAD11" s="338"/>
      <c r="BAE11" s="338"/>
      <c r="BAF11" s="338"/>
      <c r="BAG11" s="338"/>
      <c r="BAH11" s="338"/>
      <c r="BAI11" s="338"/>
      <c r="BAJ11" s="338"/>
      <c r="BAK11" s="338"/>
      <c r="BAL11" s="338"/>
      <c r="BAM11" s="338"/>
      <c r="BAN11" s="338"/>
      <c r="BAO11" s="338"/>
      <c r="BAP11" s="338"/>
      <c r="BAQ11" s="338"/>
      <c r="BAR11" s="338"/>
      <c r="BAS11" s="338"/>
      <c r="BAT11" s="338"/>
      <c r="BAU11" s="338"/>
      <c r="BAV11" s="338"/>
      <c r="BAW11" s="338"/>
      <c r="BAX11" s="338"/>
      <c r="BAY11" s="338"/>
      <c r="BAZ11" s="338"/>
      <c r="BBA11" s="338"/>
      <c r="BBB11" s="338"/>
      <c r="BBC11" s="338"/>
      <c r="BBD11" s="338"/>
      <c r="BBE11" s="338"/>
      <c r="BBF11" s="338"/>
      <c r="BBG11" s="338"/>
      <c r="BBH11" s="338"/>
      <c r="BBI11" s="338"/>
      <c r="BBJ11" s="338"/>
      <c r="BBK11" s="338"/>
      <c r="BBL11" s="338"/>
      <c r="BBM11" s="338"/>
      <c r="BBN11" s="338"/>
      <c r="BBO11" s="338"/>
      <c r="BBP11" s="338"/>
      <c r="BBQ11" s="338"/>
      <c r="BBR11" s="338"/>
      <c r="BBS11" s="338"/>
      <c r="BBT11" s="338"/>
      <c r="BBU11" s="338"/>
      <c r="BBV11" s="338"/>
      <c r="BBW11" s="338"/>
      <c r="BBX11" s="338"/>
      <c r="BBY11" s="338"/>
      <c r="BBZ11" s="338"/>
      <c r="BCA11" s="338"/>
      <c r="BCB11" s="338"/>
      <c r="BCC11" s="338"/>
      <c r="BCD11" s="338"/>
      <c r="BCE11" s="338"/>
      <c r="BCF11" s="338"/>
      <c r="BCG11" s="338"/>
      <c r="BCH11" s="338"/>
      <c r="BCI11" s="338"/>
      <c r="BCJ11" s="338"/>
      <c r="BCK11" s="338"/>
      <c r="BCL11" s="338"/>
      <c r="BCM11" s="338"/>
      <c r="BCN11" s="338"/>
      <c r="BCO11" s="338"/>
      <c r="BCP11" s="338"/>
      <c r="BCQ11" s="338"/>
      <c r="BCR11" s="338"/>
      <c r="BCS11" s="338"/>
      <c r="BCT11" s="338"/>
      <c r="BCU11" s="338"/>
      <c r="BCV11" s="338"/>
      <c r="BCW11" s="338"/>
      <c r="BCX11" s="338"/>
      <c r="BCY11" s="338"/>
      <c r="BCZ11" s="338"/>
      <c r="BDA11" s="338"/>
      <c r="BDB11" s="338"/>
      <c r="BDC11" s="338"/>
      <c r="BDD11" s="338"/>
      <c r="BDE11" s="338"/>
      <c r="BDF11" s="338"/>
      <c r="BDG11" s="338"/>
      <c r="BDH11" s="338"/>
      <c r="BDI11" s="338"/>
      <c r="BDJ11" s="338"/>
      <c r="BDK11" s="338"/>
      <c r="BDL11" s="338"/>
      <c r="BDM11" s="338"/>
      <c r="BDN11" s="338"/>
      <c r="BDO11" s="338"/>
      <c r="BDP11" s="338"/>
      <c r="BDQ11" s="338"/>
      <c r="BDR11" s="338"/>
      <c r="BDS11" s="338"/>
      <c r="BDT11" s="338"/>
      <c r="BDU11" s="338"/>
      <c r="BDV11" s="338"/>
      <c r="BDW11" s="338"/>
      <c r="BDX11" s="338"/>
      <c r="BDY11" s="338"/>
      <c r="BDZ11" s="338"/>
      <c r="BEA11" s="338"/>
      <c r="BEB11" s="338"/>
      <c r="BEC11" s="338"/>
      <c r="BED11" s="338"/>
      <c r="BEE11" s="338"/>
      <c r="BEF11" s="338"/>
      <c r="BEG11" s="338"/>
      <c r="BEH11" s="338"/>
      <c r="BEI11" s="338"/>
      <c r="BEJ11" s="338"/>
      <c r="BEK11" s="338"/>
      <c r="BEL11" s="338"/>
      <c r="BEM11" s="338"/>
      <c r="BEN11" s="338"/>
      <c r="BEO11" s="338"/>
      <c r="BEP11" s="338"/>
      <c r="BEQ11" s="338"/>
      <c r="BER11" s="338"/>
      <c r="BES11" s="338"/>
      <c r="BET11" s="338"/>
      <c r="BEU11" s="338"/>
      <c r="BEV11" s="338"/>
      <c r="BEW11" s="338"/>
      <c r="BEX11" s="338"/>
      <c r="BEY11" s="338"/>
      <c r="BEZ11" s="338"/>
      <c r="BFA11" s="338"/>
      <c r="BFB11" s="338"/>
      <c r="BFC11" s="338"/>
      <c r="BFD11" s="338"/>
      <c r="BFE11" s="338"/>
      <c r="BFF11" s="338"/>
      <c r="BFG11" s="338"/>
      <c r="BFH11" s="338"/>
      <c r="BFI11" s="338"/>
      <c r="BFJ11" s="338"/>
      <c r="BFK11" s="338"/>
      <c r="BFL11" s="338"/>
      <c r="BFM11" s="338"/>
      <c r="BFN11" s="338"/>
      <c r="BFO11" s="338"/>
      <c r="BFP11" s="338"/>
      <c r="BFQ11" s="338"/>
      <c r="BFR11" s="338"/>
      <c r="BFS11" s="338"/>
      <c r="BFT11" s="338"/>
      <c r="BFU11" s="338"/>
      <c r="BFV11" s="338"/>
      <c r="BFW11" s="338"/>
      <c r="BFX11" s="338"/>
      <c r="BFY11" s="338"/>
      <c r="BFZ11" s="338"/>
      <c r="BGA11" s="338"/>
      <c r="BGB11" s="338"/>
      <c r="BGC11" s="338"/>
      <c r="BGD11" s="338"/>
      <c r="BGE11" s="338"/>
      <c r="BGF11" s="338"/>
      <c r="BGG11" s="338"/>
      <c r="BGH11" s="338"/>
      <c r="BGI11" s="338"/>
      <c r="BGJ11" s="338"/>
      <c r="BGK11" s="338"/>
      <c r="BGL11" s="338"/>
      <c r="BGM11" s="338"/>
      <c r="BGN11" s="338"/>
      <c r="BGO11" s="338"/>
      <c r="BGP11" s="338"/>
      <c r="BGQ11" s="338"/>
      <c r="BGR11" s="338"/>
      <c r="BGS11" s="338"/>
      <c r="BGT11" s="338"/>
      <c r="BGU11" s="338"/>
      <c r="BGV11" s="338"/>
      <c r="BGW11" s="338"/>
      <c r="BGX11" s="338"/>
      <c r="BGY11" s="338"/>
      <c r="BGZ11" s="338"/>
      <c r="BHA11" s="338"/>
      <c r="BHB11" s="338"/>
      <c r="BHC11" s="338"/>
      <c r="BHD11" s="338"/>
      <c r="BHE11" s="338"/>
      <c r="BHF11" s="338"/>
      <c r="BHG11" s="338"/>
      <c r="BHH11" s="338"/>
      <c r="BHI11" s="338"/>
      <c r="BHJ11" s="338"/>
      <c r="BHK11" s="338"/>
      <c r="BHL11" s="338"/>
      <c r="BHM11" s="338"/>
      <c r="BHN11" s="338"/>
      <c r="BHO11" s="338"/>
      <c r="BHP11" s="338"/>
      <c r="BHQ11" s="338"/>
      <c r="BHR11" s="338"/>
      <c r="BHS11" s="338"/>
      <c r="BHT11" s="338"/>
      <c r="BHU11" s="338"/>
      <c r="BHV11" s="338"/>
      <c r="BHW11" s="338"/>
      <c r="BHX11" s="338"/>
      <c r="BHY11" s="338"/>
      <c r="BHZ11" s="338"/>
      <c r="BIA11" s="338"/>
      <c r="BIB11" s="338"/>
      <c r="BIC11" s="338"/>
      <c r="BID11" s="338"/>
      <c r="BIE11" s="338"/>
      <c r="BIF11" s="338"/>
      <c r="BIG11" s="338"/>
      <c r="BIH11" s="338"/>
      <c r="BII11" s="338"/>
      <c r="BIJ11" s="338"/>
      <c r="BIK11" s="338"/>
      <c r="BIL11" s="338"/>
      <c r="BIM11" s="338"/>
      <c r="BIN11" s="338"/>
      <c r="BIO11" s="338"/>
      <c r="BIP11" s="338"/>
      <c r="BIQ11" s="338"/>
      <c r="BIR11" s="338"/>
      <c r="BIS11" s="338"/>
      <c r="BIT11" s="338"/>
      <c r="BIU11" s="338"/>
      <c r="BIV11" s="338"/>
      <c r="BIW11" s="338"/>
      <c r="BIX11" s="338"/>
      <c r="BIY11" s="338"/>
      <c r="BIZ11" s="338"/>
      <c r="BJA11" s="338"/>
      <c r="BJB11" s="338"/>
      <c r="BJC11" s="338"/>
      <c r="BJD11" s="338"/>
      <c r="BJE11" s="338"/>
      <c r="BJF11" s="338"/>
      <c r="BJG11" s="338"/>
      <c r="BJH11" s="338"/>
      <c r="BJI11" s="338"/>
      <c r="BJJ11" s="338"/>
      <c r="BJK11" s="338"/>
      <c r="BJL11" s="338"/>
      <c r="BJM11" s="338"/>
      <c r="BJN11" s="338"/>
      <c r="BJO11" s="338"/>
      <c r="BJP11" s="338"/>
      <c r="BJQ11" s="338"/>
      <c r="BJR11" s="338"/>
      <c r="BJS11" s="338"/>
      <c r="BJT11" s="338"/>
      <c r="BJU11" s="338"/>
      <c r="BJV11" s="338"/>
      <c r="BJW11" s="338"/>
      <c r="BJX11" s="338"/>
      <c r="BJY11" s="338"/>
      <c r="BJZ11" s="338"/>
      <c r="BKA11" s="338"/>
      <c r="BKB11" s="338"/>
      <c r="BKC11" s="338"/>
      <c r="BKD11" s="338"/>
      <c r="BKE11" s="338"/>
      <c r="BKF11" s="338"/>
      <c r="BKG11" s="338"/>
      <c r="BKH11" s="338"/>
      <c r="BKI11" s="338"/>
      <c r="BKJ11" s="338"/>
      <c r="BKK11" s="338"/>
      <c r="BKL11" s="338"/>
      <c r="BKM11" s="338"/>
      <c r="BKN11" s="338"/>
      <c r="BKO11" s="338"/>
      <c r="BKP11" s="338"/>
      <c r="BKQ11" s="338"/>
      <c r="BKR11" s="338"/>
      <c r="BKS11" s="338"/>
      <c r="BKT11" s="338"/>
      <c r="BKU11" s="338"/>
      <c r="BKV11" s="338"/>
      <c r="BKW11" s="338"/>
      <c r="BKX11" s="338"/>
      <c r="BKY11" s="338"/>
      <c r="BKZ11" s="338"/>
      <c r="BLA11" s="338"/>
      <c r="BLB11" s="338"/>
      <c r="BLC11" s="338"/>
      <c r="BLD11" s="338"/>
      <c r="BLE11" s="338"/>
      <c r="BLF11" s="338"/>
      <c r="BLG11" s="338"/>
      <c r="BLH11" s="338"/>
      <c r="BLI11" s="338"/>
      <c r="BLJ11" s="338"/>
      <c r="BLK11" s="338"/>
      <c r="BLL11" s="338"/>
      <c r="BLM11" s="338"/>
      <c r="BLN11" s="338"/>
      <c r="BLO11" s="338"/>
      <c r="BLP11" s="338"/>
      <c r="BLQ11" s="338"/>
      <c r="BLR11" s="338"/>
      <c r="BLS11" s="338"/>
      <c r="BLT11" s="338"/>
      <c r="BLU11" s="338"/>
      <c r="BLV11" s="338"/>
      <c r="BLW11" s="338"/>
      <c r="BLX11" s="338"/>
      <c r="BLY11" s="338"/>
      <c r="BLZ11" s="338"/>
      <c r="BMA11" s="338"/>
      <c r="BMB11" s="338"/>
      <c r="BMC11" s="338"/>
      <c r="BMD11" s="338"/>
      <c r="BME11" s="338"/>
      <c r="BMF11" s="338"/>
      <c r="BMG11" s="338"/>
      <c r="BMH11" s="338"/>
      <c r="BMI11" s="338"/>
      <c r="BMJ11" s="338"/>
      <c r="BMK11" s="338"/>
      <c r="BML11" s="338"/>
      <c r="BMM11" s="338"/>
      <c r="BMN11" s="338"/>
      <c r="BMO11" s="338"/>
      <c r="BMP11" s="338"/>
      <c r="BMQ11" s="338"/>
      <c r="BMR11" s="338"/>
      <c r="BMS11" s="338"/>
      <c r="BMT11" s="338"/>
      <c r="BMU11" s="338"/>
      <c r="BMV11" s="338"/>
      <c r="BMW11" s="338"/>
      <c r="BMX11" s="338"/>
      <c r="BMY11" s="338"/>
      <c r="BMZ11" s="338"/>
      <c r="BNA11" s="338"/>
      <c r="BNB11" s="338"/>
      <c r="BNC11" s="338"/>
      <c r="BND11" s="338"/>
      <c r="BNE11" s="338"/>
      <c r="BNF11" s="338"/>
      <c r="BNG11" s="338"/>
      <c r="BNH11" s="338"/>
      <c r="BNI11" s="338"/>
      <c r="BNJ11" s="338"/>
      <c r="BNK11" s="338"/>
      <c r="BNL11" s="338"/>
      <c r="BNM11" s="338"/>
      <c r="BNN11" s="338"/>
      <c r="BNO11" s="338"/>
      <c r="BNP11" s="338"/>
      <c r="BNQ11" s="338"/>
      <c r="BNR11" s="338"/>
      <c r="BNS11" s="338"/>
      <c r="BNT11" s="338"/>
      <c r="BNU11" s="338"/>
      <c r="BNV11" s="338"/>
      <c r="BNW11" s="338"/>
      <c r="BNX11" s="338"/>
      <c r="BNY11" s="338"/>
      <c r="BNZ11" s="338"/>
      <c r="BOA11" s="338"/>
      <c r="BOB11" s="338"/>
      <c r="BOC11" s="338"/>
      <c r="BOD11" s="338"/>
      <c r="BOE11" s="338"/>
      <c r="BOF11" s="338"/>
      <c r="BOG11" s="338"/>
      <c r="BOH11" s="338"/>
      <c r="BOI11" s="338"/>
      <c r="BOJ11" s="338"/>
      <c r="BOK11" s="338"/>
      <c r="BOL11" s="338"/>
      <c r="BOM11" s="338"/>
      <c r="BON11" s="338"/>
      <c r="BOO11" s="338"/>
      <c r="BOP11" s="338"/>
      <c r="BOQ11" s="338"/>
      <c r="BOR11" s="338"/>
      <c r="BOS11" s="338"/>
      <c r="BOT11" s="338"/>
      <c r="BOU11" s="338"/>
      <c r="BOV11" s="338"/>
      <c r="BOW11" s="338"/>
      <c r="BOX11" s="338"/>
      <c r="BOY11" s="338"/>
      <c r="BOZ11" s="338"/>
      <c r="BPA11" s="338"/>
      <c r="BPB11" s="338"/>
      <c r="BPC11" s="338"/>
      <c r="BPD11" s="338"/>
      <c r="BPE11" s="338"/>
      <c r="BPF11" s="338"/>
      <c r="BPG11" s="338"/>
      <c r="BPH11" s="338"/>
      <c r="BPI11" s="338"/>
      <c r="BPJ11" s="338"/>
      <c r="BPK11" s="338"/>
      <c r="BPL11" s="338"/>
      <c r="BPM11" s="338"/>
      <c r="BPN11" s="338"/>
      <c r="BPO11" s="338"/>
      <c r="BPP11" s="338"/>
      <c r="BPQ11" s="338"/>
      <c r="BPR11" s="338"/>
      <c r="BPS11" s="338"/>
      <c r="BPT11" s="338"/>
      <c r="BPU11" s="338"/>
      <c r="BPV11" s="338"/>
      <c r="BPW11" s="338"/>
      <c r="BPX11" s="338"/>
      <c r="BPY11" s="338"/>
      <c r="BPZ11" s="338"/>
      <c r="BQA11" s="338"/>
      <c r="BQB11" s="338"/>
      <c r="BQC11" s="338"/>
      <c r="BQD11" s="338"/>
      <c r="BQE11" s="338"/>
      <c r="BQF11" s="338"/>
      <c r="BQG11" s="338"/>
      <c r="BQH11" s="338"/>
      <c r="BQI11" s="338"/>
      <c r="BQJ11" s="338"/>
      <c r="BQK11" s="338"/>
      <c r="BQL11" s="338"/>
      <c r="BQM11" s="338"/>
      <c r="BQN11" s="338"/>
      <c r="BQO11" s="338"/>
      <c r="BQP11" s="338"/>
      <c r="BQQ11" s="338"/>
      <c r="BQR11" s="338"/>
      <c r="BQS11" s="338"/>
      <c r="BQT11" s="338"/>
      <c r="BQU11" s="338"/>
      <c r="BQV11" s="338"/>
      <c r="BQW11" s="338"/>
      <c r="BQX11" s="338"/>
      <c r="BQY11" s="338"/>
      <c r="BQZ11" s="338"/>
      <c r="BRA11" s="338"/>
      <c r="BRB11" s="338"/>
      <c r="BRC11" s="338"/>
      <c r="BRD11" s="338"/>
      <c r="BRE11" s="338"/>
      <c r="BRF11" s="338"/>
      <c r="BRG11" s="338"/>
      <c r="BRH11" s="338"/>
      <c r="BRI11" s="338"/>
      <c r="BRJ11" s="338"/>
      <c r="BRK11" s="338"/>
      <c r="BRL11" s="338"/>
      <c r="BRM11" s="338"/>
      <c r="BRN11" s="338"/>
      <c r="BRO11" s="338"/>
      <c r="BRP11" s="338"/>
      <c r="BRQ11" s="338"/>
      <c r="BRR11" s="338"/>
      <c r="BRS11" s="338"/>
      <c r="BRT11" s="338"/>
      <c r="BRU11" s="338"/>
      <c r="BRV11" s="338"/>
      <c r="BRW11" s="338"/>
      <c r="BRX11" s="338"/>
      <c r="BRY11" s="338"/>
      <c r="BRZ11" s="338"/>
      <c r="BSA11" s="338"/>
      <c r="BSB11" s="338"/>
      <c r="BSC11" s="338"/>
      <c r="BSD11" s="338"/>
      <c r="BSE11" s="338"/>
      <c r="BSF11" s="338"/>
      <c r="BSG11" s="338"/>
      <c r="BSH11" s="338"/>
      <c r="BSI11" s="338"/>
      <c r="BSJ11" s="338"/>
      <c r="BSK11" s="338"/>
      <c r="BSL11" s="338"/>
      <c r="BSM11" s="338"/>
      <c r="BSN11" s="338"/>
      <c r="BSO11" s="338"/>
      <c r="BSP11" s="338"/>
      <c r="BSQ11" s="338"/>
      <c r="BSR11" s="338"/>
      <c r="BSS11" s="338"/>
      <c r="BST11" s="338"/>
      <c r="BSU11" s="338"/>
      <c r="BSV11" s="338"/>
      <c r="BSW11" s="338"/>
      <c r="BSX11" s="338"/>
      <c r="BSY11" s="338"/>
      <c r="BSZ11" s="338"/>
      <c r="BTA11" s="338"/>
      <c r="BTB11" s="338"/>
      <c r="BTC11" s="338"/>
      <c r="BTD11" s="338"/>
      <c r="BTE11" s="338"/>
      <c r="BTF11" s="338"/>
      <c r="BTG11" s="338"/>
      <c r="BTH11" s="338"/>
      <c r="BTI11" s="338"/>
      <c r="BTJ11" s="338"/>
      <c r="BTK11" s="338"/>
      <c r="BTL11" s="338"/>
      <c r="BTM11" s="338"/>
      <c r="BTN11" s="338"/>
      <c r="BTO11" s="338"/>
      <c r="BTP11" s="338"/>
      <c r="BTQ11" s="338"/>
      <c r="BTR11" s="338"/>
      <c r="BTS11" s="338"/>
      <c r="BTT11" s="338"/>
      <c r="BTU11" s="338"/>
      <c r="BTV11" s="338"/>
      <c r="BTW11" s="338"/>
      <c r="BTX11" s="338"/>
      <c r="BTY11" s="338"/>
      <c r="BTZ11" s="338"/>
      <c r="BUA11" s="338"/>
      <c r="BUB11" s="338"/>
      <c r="BUC11" s="338"/>
      <c r="BUD11" s="338"/>
      <c r="BUE11" s="338"/>
      <c r="BUF11" s="338"/>
      <c r="BUG11" s="338"/>
      <c r="BUH11" s="338"/>
      <c r="BUI11" s="338"/>
      <c r="BUJ11" s="338"/>
      <c r="BUK11" s="338"/>
      <c r="BUL11" s="338"/>
      <c r="BUM11" s="338"/>
      <c r="BUN11" s="338"/>
      <c r="BUO11" s="338"/>
      <c r="BUP11" s="338"/>
      <c r="BUQ11" s="338"/>
      <c r="BUR11" s="338"/>
      <c r="BUS11" s="338"/>
      <c r="BUT11" s="338"/>
      <c r="BUU11" s="338"/>
      <c r="BUV11" s="338"/>
      <c r="BUW11" s="338"/>
      <c r="BUX11" s="338"/>
      <c r="BUY11" s="338"/>
      <c r="BUZ11" s="338"/>
      <c r="BVA11" s="338"/>
      <c r="BVB11" s="338"/>
      <c r="BVC11" s="338"/>
      <c r="BVD11" s="338"/>
      <c r="BVE11" s="338"/>
      <c r="BVF11" s="338"/>
      <c r="BVG11" s="338"/>
      <c r="BVH11" s="338"/>
      <c r="BVI11" s="338"/>
      <c r="BVJ11" s="338"/>
      <c r="BVK11" s="338"/>
      <c r="BVL11" s="338"/>
      <c r="BVM11" s="338"/>
      <c r="BVN11" s="338"/>
      <c r="BVO11" s="338"/>
      <c r="BVP11" s="338"/>
      <c r="BVQ11" s="338"/>
      <c r="BVR11" s="338"/>
      <c r="BVS11" s="338"/>
      <c r="BVT11" s="338"/>
      <c r="BVU11" s="338"/>
      <c r="BVV11" s="338"/>
      <c r="BVW11" s="338"/>
      <c r="BVX11" s="338"/>
      <c r="BVY11" s="338"/>
      <c r="BVZ11" s="338"/>
      <c r="BWA11" s="338"/>
      <c r="BWB11" s="338"/>
      <c r="BWC11" s="338"/>
      <c r="BWD11" s="338"/>
      <c r="BWE11" s="338"/>
      <c r="BWF11" s="338"/>
      <c r="BWG11" s="338"/>
      <c r="BWH11" s="338"/>
      <c r="BWI11" s="338"/>
      <c r="BWJ11" s="338"/>
      <c r="BWK11" s="338"/>
      <c r="BWL11" s="338"/>
      <c r="BWM11" s="338"/>
      <c r="BWN11" s="338"/>
      <c r="BWO11" s="338"/>
      <c r="BWP11" s="338"/>
      <c r="BWQ11" s="338"/>
      <c r="BWR11" s="338"/>
      <c r="BWS11" s="338"/>
      <c r="BWT11" s="338"/>
      <c r="BWU11" s="338"/>
      <c r="BWV11" s="338"/>
      <c r="BWW11" s="338"/>
      <c r="BWX11" s="338"/>
      <c r="BWY11" s="338"/>
      <c r="BWZ11" s="338"/>
      <c r="BXA11" s="338"/>
      <c r="BXB11" s="338"/>
      <c r="BXC11" s="338"/>
      <c r="BXD11" s="338"/>
      <c r="BXE11" s="338"/>
      <c r="BXF11" s="338"/>
      <c r="BXG11" s="338"/>
      <c r="BXH11" s="338"/>
      <c r="BXI11" s="338"/>
      <c r="BXJ11" s="338"/>
      <c r="BXK11" s="338"/>
      <c r="BXL11" s="338"/>
      <c r="BXM11" s="338"/>
      <c r="BXN11" s="338"/>
      <c r="BXO11" s="338"/>
      <c r="BXP11" s="338"/>
      <c r="BXQ11" s="338"/>
      <c r="BXR11" s="338"/>
      <c r="BXS11" s="338"/>
      <c r="BXT11" s="338"/>
      <c r="BXU11" s="338"/>
      <c r="BXV11" s="338"/>
      <c r="BXW11" s="338"/>
      <c r="BXX11" s="338"/>
      <c r="BXY11" s="338"/>
      <c r="BXZ11" s="338"/>
      <c r="BYA11" s="338"/>
      <c r="BYB11" s="338"/>
      <c r="BYC11" s="338"/>
      <c r="BYD11" s="338"/>
      <c r="BYE11" s="338"/>
      <c r="BYF11" s="338"/>
      <c r="BYG11" s="338"/>
      <c r="BYH11" s="338"/>
      <c r="BYI11" s="338"/>
      <c r="BYJ11" s="338"/>
      <c r="BYK11" s="338"/>
      <c r="BYL11" s="338"/>
      <c r="BYM11" s="338"/>
      <c r="BYN11" s="338"/>
      <c r="BYO11" s="338"/>
      <c r="BYP11" s="338"/>
      <c r="BYQ11" s="338"/>
      <c r="BYR11" s="338"/>
      <c r="BYS11" s="338"/>
      <c r="BYT11" s="338"/>
      <c r="BYU11" s="338"/>
      <c r="BYV11" s="338"/>
      <c r="BYW11" s="338"/>
      <c r="BYX11" s="338"/>
      <c r="BYY11" s="338"/>
      <c r="BYZ11" s="338"/>
      <c r="BZA11" s="338"/>
      <c r="BZB11" s="338"/>
      <c r="BZC11" s="338"/>
      <c r="BZD11" s="338"/>
      <c r="BZE11" s="338"/>
      <c r="BZF11" s="338"/>
      <c r="BZG11" s="338"/>
      <c r="BZH11" s="338"/>
      <c r="BZI11" s="338"/>
      <c r="BZJ11" s="338"/>
      <c r="BZK11" s="338"/>
      <c r="BZL11" s="338"/>
      <c r="BZM11" s="338"/>
      <c r="BZN11" s="338"/>
      <c r="BZO11" s="338"/>
      <c r="BZP11" s="338"/>
      <c r="BZQ11" s="338"/>
      <c r="BZR11" s="338"/>
      <c r="BZS11" s="338"/>
      <c r="BZT11" s="338"/>
      <c r="BZU11" s="338"/>
      <c r="BZV11" s="338"/>
      <c r="BZW11" s="338"/>
      <c r="BZX11" s="338"/>
      <c r="BZY11" s="338"/>
      <c r="BZZ11" s="338"/>
      <c r="CAA11" s="338"/>
      <c r="CAB11" s="338"/>
      <c r="CAC11" s="338"/>
      <c r="CAD11" s="338"/>
      <c r="CAE11" s="338"/>
      <c r="CAF11" s="338"/>
      <c r="CAG11" s="338"/>
      <c r="CAH11" s="338"/>
      <c r="CAI11" s="338"/>
      <c r="CAJ11" s="338"/>
      <c r="CAK11" s="338"/>
      <c r="CAL11" s="338"/>
      <c r="CAM11" s="338"/>
      <c r="CAN11" s="338"/>
      <c r="CAO11" s="338"/>
      <c r="CAP11" s="338"/>
      <c r="CAQ11" s="338"/>
      <c r="CAR11" s="338"/>
      <c r="CAS11" s="338"/>
      <c r="CAT11" s="338"/>
      <c r="CAU11" s="338"/>
      <c r="CAV11" s="338"/>
      <c r="CAW11" s="338"/>
      <c r="CAX11" s="338"/>
      <c r="CAY11" s="338"/>
      <c r="CAZ11" s="338"/>
      <c r="CBA11" s="338"/>
      <c r="CBB11" s="338"/>
      <c r="CBC11" s="338"/>
      <c r="CBD11" s="338"/>
      <c r="CBE11" s="338"/>
      <c r="CBF11" s="338"/>
      <c r="CBG11" s="338"/>
      <c r="CBH11" s="338"/>
      <c r="CBI11" s="338"/>
      <c r="CBJ11" s="338"/>
      <c r="CBK11" s="338"/>
      <c r="CBL11" s="338"/>
      <c r="CBM11" s="338"/>
      <c r="CBN11" s="338"/>
      <c r="CBO11" s="338"/>
      <c r="CBP11" s="338"/>
      <c r="CBQ11" s="338"/>
      <c r="CBR11" s="338"/>
      <c r="CBS11" s="338"/>
      <c r="CBT11" s="338"/>
      <c r="CBU11" s="338"/>
      <c r="CBV11" s="338"/>
      <c r="CBW11" s="338"/>
      <c r="CBX11" s="338"/>
      <c r="CBY11" s="338"/>
      <c r="CBZ11" s="338"/>
      <c r="CCA11" s="338"/>
      <c r="CCB11" s="338"/>
      <c r="CCC11" s="338"/>
      <c r="CCD11" s="338"/>
      <c r="CCE11" s="338"/>
      <c r="CCF11" s="338"/>
      <c r="CCG11" s="338"/>
      <c r="CCH11" s="338"/>
      <c r="CCI11" s="338"/>
      <c r="CCJ11" s="338"/>
      <c r="CCK11" s="338"/>
      <c r="CCL11" s="338"/>
      <c r="CCM11" s="338"/>
      <c r="CCN11" s="338"/>
      <c r="CCO11" s="338"/>
      <c r="CCP11" s="338"/>
      <c r="CCQ11" s="338"/>
      <c r="CCR11" s="338"/>
      <c r="CCS11" s="338"/>
      <c r="CCT11" s="338"/>
      <c r="CCU11" s="338"/>
      <c r="CCV11" s="338"/>
      <c r="CCW11" s="338"/>
      <c r="CCX11" s="338"/>
      <c r="CCY11" s="338"/>
      <c r="CCZ11" s="338"/>
      <c r="CDA11" s="338"/>
      <c r="CDB11" s="338"/>
      <c r="CDC11" s="338"/>
      <c r="CDD11" s="338"/>
      <c r="CDE11" s="338"/>
      <c r="CDF11" s="338"/>
      <c r="CDG11" s="338"/>
      <c r="CDH11" s="338"/>
      <c r="CDI11" s="338"/>
      <c r="CDJ11" s="338"/>
      <c r="CDK11" s="338"/>
      <c r="CDL11" s="338"/>
      <c r="CDM11" s="338"/>
      <c r="CDN11" s="338"/>
      <c r="CDO11" s="338"/>
      <c r="CDP11" s="338"/>
      <c r="CDQ11" s="338"/>
      <c r="CDR11" s="338"/>
      <c r="CDS11" s="338"/>
      <c r="CDT11" s="338"/>
      <c r="CDU11" s="338"/>
      <c r="CDV11" s="338"/>
      <c r="CDW11" s="338"/>
      <c r="CDX11" s="338"/>
      <c r="CDY11" s="338"/>
      <c r="CDZ11" s="338"/>
      <c r="CEA11" s="338"/>
      <c r="CEB11" s="338"/>
      <c r="CEC11" s="338"/>
      <c r="CED11" s="338"/>
      <c r="CEE11" s="338"/>
      <c r="CEF11" s="338"/>
      <c r="CEG11" s="338"/>
      <c r="CEH11" s="338"/>
      <c r="CEI11" s="338"/>
      <c r="CEJ11" s="338"/>
      <c r="CEK11" s="338"/>
      <c r="CEL11" s="338"/>
      <c r="CEM11" s="338"/>
      <c r="CEN11" s="338"/>
      <c r="CEO11" s="338"/>
      <c r="CEP11" s="338"/>
      <c r="CEQ11" s="338"/>
      <c r="CER11" s="338"/>
      <c r="CES11" s="338"/>
      <c r="CET11" s="338"/>
      <c r="CEU11" s="338"/>
      <c r="CEV11" s="338"/>
      <c r="CEW11" s="338"/>
      <c r="CEX11" s="338"/>
      <c r="CEY11" s="338"/>
      <c r="CEZ11" s="338"/>
      <c r="CFA11" s="338"/>
      <c r="CFB11" s="338"/>
      <c r="CFC11" s="338"/>
      <c r="CFD11" s="338"/>
      <c r="CFE11" s="338"/>
      <c r="CFF11" s="338"/>
      <c r="CFG11" s="338"/>
      <c r="CFH11" s="338"/>
      <c r="CFI11" s="338"/>
      <c r="CFJ11" s="338"/>
      <c r="CFK11" s="338"/>
      <c r="CFL11" s="338"/>
      <c r="CFM11" s="338"/>
      <c r="CFN11" s="338"/>
      <c r="CFO11" s="338"/>
      <c r="CFP11" s="338"/>
      <c r="CFQ11" s="338"/>
      <c r="CFR11" s="338"/>
      <c r="CFS11" s="338"/>
      <c r="CFT11" s="338"/>
      <c r="CFU11" s="338"/>
      <c r="CFV11" s="338"/>
      <c r="CFW11" s="338"/>
      <c r="CFX11" s="338"/>
      <c r="CFY11" s="338"/>
      <c r="CFZ11" s="338"/>
      <c r="CGA11" s="338"/>
      <c r="CGB11" s="338"/>
      <c r="CGC11" s="338"/>
      <c r="CGD11" s="338"/>
      <c r="CGE11" s="338"/>
      <c r="CGF11" s="338"/>
      <c r="CGG11" s="338"/>
      <c r="CGH11" s="338"/>
      <c r="CGI11" s="338"/>
      <c r="CGJ11" s="338"/>
      <c r="CGK11" s="338"/>
      <c r="CGL11" s="338"/>
      <c r="CGM11" s="338"/>
      <c r="CGN11" s="338"/>
      <c r="CGO11" s="338"/>
      <c r="CGP11" s="338"/>
      <c r="CGQ11" s="338"/>
      <c r="CGR11" s="338"/>
      <c r="CGS11" s="338"/>
      <c r="CGT11" s="338"/>
      <c r="CGU11" s="338"/>
      <c r="CGV11" s="338"/>
      <c r="CGW11" s="338"/>
      <c r="CGX11" s="338"/>
      <c r="CGY11" s="338"/>
      <c r="CGZ11" s="338"/>
      <c r="CHA11" s="338"/>
      <c r="CHB11" s="338"/>
      <c r="CHC11" s="338"/>
      <c r="CHD11" s="338"/>
      <c r="CHE11" s="338"/>
      <c r="CHF11" s="338"/>
      <c r="CHG11" s="338"/>
      <c r="CHH11" s="338"/>
      <c r="CHI11" s="338"/>
      <c r="CHJ11" s="338"/>
      <c r="CHK11" s="338"/>
      <c r="CHL11" s="338"/>
      <c r="CHM11" s="338"/>
      <c r="CHN11" s="338"/>
      <c r="CHO11" s="338"/>
      <c r="CHP11" s="338"/>
      <c r="CHQ11" s="338"/>
      <c r="CHR11" s="338"/>
      <c r="CHS11" s="338"/>
      <c r="CHT11" s="338"/>
      <c r="CHU11" s="338"/>
      <c r="CHV11" s="338"/>
      <c r="CHW11" s="338"/>
      <c r="CHX11" s="338"/>
      <c r="CHY11" s="338"/>
      <c r="CHZ11" s="338"/>
      <c r="CIA11" s="338"/>
      <c r="CIB11" s="338"/>
      <c r="CIC11" s="338"/>
      <c r="CID11" s="338"/>
      <c r="CIE11" s="338"/>
      <c r="CIF11" s="338"/>
      <c r="CIG11" s="338"/>
      <c r="CIH11" s="338"/>
      <c r="CII11" s="338"/>
      <c r="CIJ11" s="338"/>
      <c r="CIK11" s="338"/>
      <c r="CIL11" s="338"/>
      <c r="CIM11" s="338"/>
      <c r="CIN11" s="338"/>
      <c r="CIO11" s="338"/>
      <c r="CIP11" s="338"/>
      <c r="CIQ11" s="338"/>
      <c r="CIR11" s="338"/>
      <c r="CIS11" s="338"/>
      <c r="CIT11" s="338"/>
      <c r="CIU11" s="338"/>
      <c r="CIV11" s="338"/>
      <c r="CIW11" s="338"/>
      <c r="CIX11" s="338"/>
      <c r="CIY11" s="338"/>
      <c r="CIZ11" s="338"/>
      <c r="CJA11" s="338"/>
      <c r="CJB11" s="338"/>
      <c r="CJC11" s="338"/>
      <c r="CJD11" s="338"/>
      <c r="CJE11" s="338"/>
      <c r="CJF11" s="338"/>
      <c r="CJG11" s="338"/>
      <c r="CJH11" s="338"/>
      <c r="CJI11" s="338"/>
      <c r="CJJ11" s="338"/>
      <c r="CJK11" s="338"/>
      <c r="CJL11" s="338"/>
      <c r="CJM11" s="338"/>
      <c r="CJN11" s="338"/>
      <c r="CJO11" s="338"/>
      <c r="CJP11" s="338"/>
      <c r="CJQ11" s="338"/>
      <c r="CJR11" s="338"/>
      <c r="CJS11" s="338"/>
      <c r="CJT11" s="338"/>
      <c r="CJU11" s="338"/>
      <c r="CJV11" s="338"/>
      <c r="CJW11" s="338"/>
      <c r="CJX11" s="338"/>
      <c r="CJY11" s="338"/>
      <c r="CJZ11" s="338"/>
      <c r="CKA11" s="338"/>
      <c r="CKB11" s="338"/>
      <c r="CKC11" s="338"/>
      <c r="CKD11" s="338"/>
      <c r="CKE11" s="338"/>
      <c r="CKF11" s="338"/>
      <c r="CKG11" s="338"/>
      <c r="CKH11" s="338"/>
      <c r="CKI11" s="338"/>
      <c r="CKJ11" s="338"/>
      <c r="CKK11" s="338"/>
      <c r="CKL11" s="338"/>
      <c r="CKM11" s="338"/>
      <c r="CKN11" s="338"/>
      <c r="CKO11" s="338"/>
      <c r="CKP11" s="338"/>
      <c r="CKQ11" s="338"/>
      <c r="CKR11" s="338"/>
      <c r="CKS11" s="338"/>
      <c r="CKT11" s="338"/>
      <c r="CKU11" s="338"/>
      <c r="CKV11" s="338"/>
      <c r="CKW11" s="338"/>
      <c r="CKX11" s="338"/>
      <c r="CKY11" s="338"/>
      <c r="CKZ11" s="338"/>
      <c r="CLA11" s="338"/>
      <c r="CLB11" s="338"/>
      <c r="CLC11" s="338"/>
      <c r="CLD11" s="338"/>
      <c r="CLE11" s="338"/>
      <c r="CLF11" s="338"/>
      <c r="CLG11" s="338"/>
      <c r="CLH11" s="338"/>
      <c r="CLI11" s="338"/>
      <c r="CLJ11" s="338"/>
      <c r="CLK11" s="338"/>
      <c r="CLL11" s="338"/>
      <c r="CLM11" s="338"/>
      <c r="CLN11" s="338"/>
      <c r="CLO11" s="338"/>
      <c r="CLP11" s="338"/>
      <c r="CLQ11" s="338"/>
      <c r="CLR11" s="338"/>
      <c r="CLS11" s="338"/>
      <c r="CLT11" s="338"/>
      <c r="CLU11" s="338"/>
      <c r="CLV11" s="338"/>
      <c r="CLW11" s="338"/>
      <c r="CLX11" s="338"/>
      <c r="CLY11" s="338"/>
      <c r="CLZ11" s="338"/>
      <c r="CMA11" s="338"/>
      <c r="CMB11" s="338"/>
      <c r="CMC11" s="338"/>
      <c r="CMD11" s="338"/>
      <c r="CME11" s="338"/>
      <c r="CMF11" s="338"/>
      <c r="CMG11" s="338"/>
      <c r="CMH11" s="338"/>
      <c r="CMI11" s="338"/>
      <c r="CMJ11" s="338"/>
      <c r="CMK11" s="338"/>
      <c r="CML11" s="338"/>
      <c r="CMM11" s="338"/>
      <c r="CMN11" s="338"/>
      <c r="CMO11" s="338"/>
      <c r="CMP11" s="338"/>
      <c r="CMQ11" s="338"/>
      <c r="CMR11" s="338"/>
      <c r="CMS11" s="338"/>
      <c r="CMT11" s="338"/>
      <c r="CMU11" s="338"/>
      <c r="CMV11" s="338"/>
      <c r="CMW11" s="338"/>
      <c r="CMX11" s="338"/>
      <c r="CMY11" s="338"/>
      <c r="CMZ11" s="338"/>
      <c r="CNA11" s="338"/>
      <c r="CNB11" s="338"/>
      <c r="CNC11" s="338"/>
      <c r="CND11" s="338"/>
      <c r="CNE11" s="338"/>
      <c r="CNF11" s="338"/>
      <c r="CNG11" s="338"/>
      <c r="CNH11" s="338"/>
      <c r="CNI11" s="338"/>
      <c r="CNJ11" s="338"/>
      <c r="CNK11" s="338"/>
      <c r="CNL11" s="338"/>
      <c r="CNM11" s="338"/>
      <c r="CNN11" s="338"/>
      <c r="CNO11" s="338"/>
      <c r="CNP11" s="338"/>
      <c r="CNQ11" s="338"/>
      <c r="CNR11" s="338"/>
      <c r="CNS11" s="338"/>
      <c r="CNT11" s="338"/>
      <c r="CNU11" s="338"/>
      <c r="CNV11" s="338"/>
      <c r="CNW11" s="338"/>
      <c r="CNX11" s="338"/>
      <c r="CNY11" s="338"/>
      <c r="CNZ11" s="338"/>
      <c r="COA11" s="338"/>
      <c r="COB11" s="338"/>
      <c r="COC11" s="338"/>
      <c r="COD11" s="338"/>
      <c r="COE11" s="338"/>
      <c r="COF11" s="338"/>
      <c r="COG11" s="338"/>
      <c r="COH11" s="338"/>
      <c r="COI11" s="338"/>
      <c r="COJ11" s="338"/>
      <c r="COK11" s="338"/>
      <c r="COL11" s="338"/>
      <c r="COM11" s="338"/>
      <c r="CON11" s="338"/>
      <c r="COO11" s="338"/>
      <c r="COP11" s="338"/>
      <c r="COQ11" s="338"/>
      <c r="COR11" s="338"/>
      <c r="COS11" s="338"/>
      <c r="COT11" s="338"/>
      <c r="COU11" s="338"/>
      <c r="COV11" s="338"/>
      <c r="COW11" s="338"/>
      <c r="COX11" s="338"/>
      <c r="COY11" s="338"/>
      <c r="COZ11" s="338"/>
      <c r="CPA11" s="338"/>
      <c r="CPB11" s="338"/>
      <c r="CPC11" s="338"/>
      <c r="CPD11" s="338"/>
      <c r="CPE11" s="338"/>
      <c r="CPF11" s="338"/>
      <c r="CPG11" s="338"/>
      <c r="CPH11" s="338"/>
      <c r="CPI11" s="338"/>
      <c r="CPJ11" s="338"/>
      <c r="CPK11" s="338"/>
      <c r="CPL11" s="338"/>
      <c r="CPM11" s="338"/>
      <c r="CPN11" s="338"/>
      <c r="CPO11" s="338"/>
      <c r="CPP11" s="338"/>
      <c r="CPQ11" s="338"/>
      <c r="CPR11" s="338"/>
      <c r="CPS11" s="338"/>
      <c r="CPT11" s="338"/>
      <c r="CPU11" s="338"/>
      <c r="CPV11" s="338"/>
      <c r="CPW11" s="338"/>
      <c r="CPX11" s="338"/>
      <c r="CPY11" s="338"/>
      <c r="CPZ11" s="338"/>
      <c r="CQA11" s="338"/>
      <c r="CQB11" s="338"/>
      <c r="CQC11" s="338"/>
      <c r="CQD11" s="338"/>
      <c r="CQE11" s="338"/>
      <c r="CQF11" s="338"/>
      <c r="CQG11" s="338"/>
      <c r="CQH11" s="338"/>
      <c r="CQI11" s="338"/>
      <c r="CQJ11" s="338"/>
      <c r="CQK11" s="338"/>
      <c r="CQL11" s="338"/>
      <c r="CQM11" s="338"/>
      <c r="CQN11" s="338"/>
      <c r="CQO11" s="338"/>
      <c r="CQP11" s="338"/>
      <c r="CQQ11" s="338"/>
      <c r="CQR11" s="338"/>
      <c r="CQS11" s="338"/>
      <c r="CQT11" s="338"/>
      <c r="CQU11" s="338"/>
      <c r="CQV11" s="338"/>
      <c r="CQW11" s="338"/>
      <c r="CQX11" s="338"/>
      <c r="CQY11" s="338"/>
      <c r="CQZ11" s="338"/>
      <c r="CRA11" s="338"/>
      <c r="CRB11" s="338"/>
      <c r="CRC11" s="338"/>
      <c r="CRD11" s="338"/>
      <c r="CRE11" s="338"/>
      <c r="CRF11" s="338"/>
      <c r="CRG11" s="338"/>
      <c r="CRH11" s="338"/>
      <c r="CRI11" s="338"/>
      <c r="CRJ11" s="338"/>
      <c r="CRK11" s="338"/>
      <c r="CRL11" s="338"/>
      <c r="CRM11" s="338"/>
      <c r="CRN11" s="338"/>
      <c r="CRO11" s="338"/>
      <c r="CRP11" s="338"/>
      <c r="CRQ11" s="338"/>
      <c r="CRR11" s="338"/>
      <c r="CRS11" s="338"/>
      <c r="CRT11" s="338"/>
      <c r="CRU11" s="338"/>
      <c r="CRV11" s="338"/>
      <c r="CRW11" s="338"/>
      <c r="CRX11" s="338"/>
      <c r="CRY11" s="338"/>
      <c r="CRZ11" s="338"/>
      <c r="CSA11" s="338"/>
      <c r="CSB11" s="338"/>
      <c r="CSC11" s="338"/>
      <c r="CSD11" s="338"/>
      <c r="CSE11" s="338"/>
      <c r="CSF11" s="338"/>
      <c r="CSG11" s="338"/>
      <c r="CSH11" s="338"/>
      <c r="CSI11" s="338"/>
      <c r="CSJ11" s="338"/>
      <c r="CSK11" s="338"/>
      <c r="CSL11" s="338"/>
      <c r="CSM11" s="338"/>
      <c r="CSN11" s="338"/>
      <c r="CSO11" s="338"/>
      <c r="CSP11" s="338"/>
      <c r="CSQ11" s="338"/>
      <c r="CSR11" s="338"/>
      <c r="CSS11" s="338"/>
      <c r="CST11" s="338"/>
      <c r="CSU11" s="338"/>
      <c r="CSV11" s="338"/>
      <c r="CSW11" s="338"/>
      <c r="CSX11" s="338"/>
      <c r="CSY11" s="338"/>
      <c r="CSZ11" s="338"/>
      <c r="CTA11" s="338"/>
      <c r="CTB11" s="338"/>
      <c r="CTC11" s="338"/>
      <c r="CTD11" s="338"/>
      <c r="CTE11" s="338"/>
      <c r="CTF11" s="338"/>
      <c r="CTG11" s="338"/>
      <c r="CTH11" s="338"/>
      <c r="CTI11" s="338"/>
      <c r="CTJ11" s="338"/>
      <c r="CTK11" s="338"/>
      <c r="CTL11" s="338"/>
      <c r="CTM11" s="338"/>
      <c r="CTN11" s="338"/>
      <c r="CTO11" s="338"/>
      <c r="CTP11" s="338"/>
      <c r="CTQ11" s="338"/>
      <c r="CTR11" s="338"/>
      <c r="CTS11" s="338"/>
      <c r="CTT11" s="338"/>
      <c r="CTU11" s="338"/>
      <c r="CTV11" s="338"/>
      <c r="CTW11" s="338"/>
      <c r="CTX11" s="338"/>
      <c r="CTY11" s="338"/>
      <c r="CTZ11" s="338"/>
      <c r="CUA11" s="338"/>
      <c r="CUB11" s="338"/>
      <c r="CUC11" s="338"/>
      <c r="CUD11" s="338"/>
      <c r="CUE11" s="338"/>
      <c r="CUF11" s="338"/>
      <c r="CUG11" s="338"/>
      <c r="CUH11" s="338"/>
      <c r="CUI11" s="338"/>
      <c r="CUJ11" s="338"/>
      <c r="CUK11" s="338"/>
      <c r="CUL11" s="338"/>
      <c r="CUM11" s="338"/>
      <c r="CUN11" s="338"/>
      <c r="CUO11" s="338"/>
      <c r="CUP11" s="338"/>
      <c r="CUQ11" s="338"/>
      <c r="CUR11" s="338"/>
      <c r="CUS11" s="338"/>
      <c r="CUT11" s="338"/>
      <c r="CUU11" s="338"/>
      <c r="CUV11" s="338"/>
      <c r="CUW11" s="338"/>
      <c r="CUX11" s="338"/>
      <c r="CUY11" s="338"/>
      <c r="CUZ11" s="338"/>
      <c r="CVA11" s="338"/>
      <c r="CVB11" s="338"/>
      <c r="CVC11" s="338"/>
      <c r="CVD11" s="338"/>
      <c r="CVE11" s="338"/>
      <c r="CVF11" s="338"/>
      <c r="CVG11" s="338"/>
      <c r="CVH11" s="338"/>
      <c r="CVI11" s="338"/>
      <c r="CVJ11" s="338"/>
      <c r="CVK11" s="338"/>
      <c r="CVL11" s="338"/>
      <c r="CVM11" s="338"/>
      <c r="CVN11" s="338"/>
      <c r="CVO11" s="338"/>
      <c r="CVP11" s="338"/>
      <c r="CVQ11" s="338"/>
      <c r="CVR11" s="338"/>
      <c r="CVS11" s="338"/>
      <c r="CVT11" s="338"/>
      <c r="CVU11" s="338"/>
      <c r="CVV11" s="338"/>
      <c r="CVW11" s="338"/>
      <c r="CVX11" s="338"/>
      <c r="CVY11" s="338"/>
      <c r="CVZ11" s="338"/>
      <c r="CWA11" s="338"/>
      <c r="CWB11" s="338"/>
      <c r="CWC11" s="338"/>
      <c r="CWD11" s="338"/>
      <c r="CWE11" s="338"/>
      <c r="CWF11" s="338"/>
      <c r="CWG11" s="338"/>
      <c r="CWH11" s="338"/>
      <c r="CWI11" s="338"/>
      <c r="CWJ11" s="338"/>
      <c r="CWK11" s="338"/>
      <c r="CWL11" s="338"/>
      <c r="CWM11" s="338"/>
      <c r="CWN11" s="338"/>
      <c r="CWO11" s="338"/>
      <c r="CWP11" s="338"/>
      <c r="CWQ11" s="338"/>
      <c r="CWR11" s="338"/>
      <c r="CWS11" s="338"/>
      <c r="CWT11" s="338"/>
      <c r="CWU11" s="338"/>
      <c r="CWV11" s="338"/>
      <c r="CWW11" s="338"/>
      <c r="CWX11" s="338"/>
      <c r="CWY11" s="338"/>
      <c r="CWZ11" s="338"/>
      <c r="CXA11" s="338"/>
      <c r="CXB11" s="338"/>
      <c r="CXC11" s="338"/>
      <c r="CXD11" s="338"/>
      <c r="CXE11" s="338"/>
      <c r="CXF11" s="338"/>
      <c r="CXG11" s="338"/>
      <c r="CXH11" s="338"/>
      <c r="CXI11" s="338"/>
      <c r="CXJ11" s="338"/>
      <c r="CXK11" s="338"/>
      <c r="CXL11" s="338"/>
      <c r="CXM11" s="338"/>
      <c r="CXN11" s="338"/>
      <c r="CXO11" s="338"/>
      <c r="CXP11" s="338"/>
      <c r="CXQ11" s="338"/>
      <c r="CXR11" s="338"/>
      <c r="CXS11" s="338"/>
      <c r="CXT11" s="338"/>
      <c r="CXU11" s="338"/>
      <c r="CXV11" s="338"/>
      <c r="CXW11" s="338"/>
      <c r="CXX11" s="338"/>
      <c r="CXY11" s="338"/>
      <c r="CXZ11" s="338"/>
      <c r="CYA11" s="338"/>
      <c r="CYB11" s="338"/>
      <c r="CYC11" s="338"/>
      <c r="CYD11" s="338"/>
      <c r="CYE11" s="338"/>
      <c r="CYF11" s="338"/>
      <c r="CYG11" s="338"/>
      <c r="CYH11" s="338"/>
      <c r="CYI11" s="338"/>
      <c r="CYJ11" s="338"/>
      <c r="CYK11" s="338"/>
      <c r="CYL11" s="338"/>
      <c r="CYM11" s="338"/>
      <c r="CYN11" s="338"/>
      <c r="CYO11" s="338"/>
      <c r="CYP11" s="338"/>
      <c r="CYQ11" s="338"/>
      <c r="CYR11" s="338"/>
      <c r="CYS11" s="338"/>
      <c r="CYT11" s="338"/>
      <c r="CYU11" s="338"/>
      <c r="CYV11" s="338"/>
      <c r="CYW11" s="338"/>
      <c r="CYX11" s="338"/>
      <c r="CYY11" s="338"/>
      <c r="CYZ11" s="338"/>
      <c r="CZA11" s="338"/>
      <c r="CZB11" s="338"/>
      <c r="CZC11" s="338"/>
      <c r="CZD11" s="338"/>
      <c r="CZE11" s="338"/>
      <c r="CZF11" s="338"/>
      <c r="CZG11" s="338"/>
      <c r="CZH11" s="338"/>
      <c r="CZI11" s="338"/>
      <c r="CZJ11" s="338"/>
      <c r="CZK11" s="338"/>
      <c r="CZL11" s="338"/>
      <c r="CZM11" s="338"/>
      <c r="CZN11" s="338"/>
      <c r="CZO11" s="338"/>
      <c r="CZP11" s="338"/>
      <c r="CZQ11" s="338"/>
      <c r="CZR11" s="338"/>
      <c r="CZS11" s="338"/>
      <c r="CZT11" s="338"/>
      <c r="CZU11" s="338"/>
      <c r="CZV11" s="338"/>
      <c r="CZW11" s="338"/>
      <c r="CZX11" s="338"/>
      <c r="CZY11" s="338"/>
      <c r="CZZ11" s="338"/>
      <c r="DAA11" s="338"/>
      <c r="DAB11" s="338"/>
      <c r="DAC11" s="338"/>
      <c r="DAD11" s="338"/>
      <c r="DAE11" s="338"/>
      <c r="DAF11" s="338"/>
      <c r="DAG11" s="338"/>
      <c r="DAH11" s="338"/>
      <c r="DAI11" s="338"/>
      <c r="DAJ11" s="338"/>
      <c r="DAK11" s="338"/>
      <c r="DAL11" s="338"/>
      <c r="DAM11" s="338"/>
      <c r="DAN11" s="338"/>
      <c r="DAO11" s="338"/>
      <c r="DAP11" s="338"/>
      <c r="DAQ11" s="338"/>
      <c r="DAR11" s="338"/>
      <c r="DAS11" s="338"/>
      <c r="DAT11" s="338"/>
      <c r="DAU11" s="338"/>
      <c r="DAV11" s="338"/>
      <c r="DAW11" s="338"/>
      <c r="DAX11" s="338"/>
      <c r="DAY11" s="338"/>
      <c r="DAZ11" s="338"/>
      <c r="DBA11" s="338"/>
      <c r="DBB11" s="338"/>
      <c r="DBC11" s="338"/>
      <c r="DBD11" s="338"/>
      <c r="DBE11" s="338"/>
      <c r="DBF11" s="338"/>
      <c r="DBG11" s="338"/>
      <c r="DBH11" s="338"/>
      <c r="DBI11" s="338"/>
      <c r="DBJ11" s="338"/>
      <c r="DBK11" s="338"/>
      <c r="DBL11" s="338"/>
      <c r="DBM11" s="338"/>
      <c r="DBN11" s="338"/>
      <c r="DBO11" s="338"/>
      <c r="DBP11" s="338"/>
      <c r="DBQ11" s="338"/>
      <c r="DBR11" s="338"/>
      <c r="DBS11" s="338"/>
      <c r="DBT11" s="338"/>
      <c r="DBU11" s="338"/>
      <c r="DBV11" s="338"/>
      <c r="DBW11" s="338"/>
      <c r="DBX11" s="338"/>
      <c r="DBY11" s="338"/>
      <c r="DBZ11" s="338"/>
      <c r="DCA11" s="338"/>
      <c r="DCB11" s="338"/>
      <c r="DCC11" s="338"/>
      <c r="DCD11" s="338"/>
      <c r="DCE11" s="338"/>
      <c r="DCF11" s="338"/>
      <c r="DCG11" s="338"/>
      <c r="DCH11" s="338"/>
      <c r="DCI11" s="338"/>
      <c r="DCJ11" s="338"/>
      <c r="DCK11" s="338"/>
      <c r="DCL11" s="338"/>
      <c r="DCM11" s="338"/>
      <c r="DCN11" s="338"/>
      <c r="DCO11" s="338"/>
      <c r="DCP11" s="338"/>
      <c r="DCQ11" s="338"/>
      <c r="DCR11" s="338"/>
      <c r="DCS11" s="338"/>
      <c r="DCT11" s="338"/>
      <c r="DCU11" s="338"/>
      <c r="DCV11" s="338"/>
      <c r="DCW11" s="338"/>
      <c r="DCX11" s="338"/>
      <c r="DCY11" s="338"/>
      <c r="DCZ11" s="338"/>
      <c r="DDA11" s="338"/>
      <c r="DDB11" s="338"/>
      <c r="DDC11" s="338"/>
      <c r="DDD11" s="338"/>
      <c r="DDE11" s="338"/>
      <c r="DDF11" s="338"/>
      <c r="DDG11" s="338"/>
      <c r="DDH11" s="338"/>
      <c r="DDI11" s="338"/>
      <c r="DDJ11" s="338"/>
      <c r="DDK11" s="338"/>
      <c r="DDL11" s="338"/>
      <c r="DDM11" s="338"/>
      <c r="DDN11" s="338"/>
      <c r="DDO11" s="338"/>
      <c r="DDP11" s="338"/>
      <c r="DDQ11" s="338"/>
      <c r="DDR11" s="338"/>
      <c r="DDS11" s="338"/>
      <c r="DDT11" s="338"/>
      <c r="DDU11" s="338"/>
      <c r="DDV11" s="338"/>
      <c r="DDW11" s="338"/>
      <c r="DDX11" s="338"/>
      <c r="DDY11" s="338"/>
      <c r="DDZ11" s="338"/>
      <c r="DEA11" s="338"/>
      <c r="DEB11" s="338"/>
      <c r="DEC11" s="338"/>
      <c r="DED11" s="338"/>
      <c r="DEE11" s="338"/>
      <c r="DEF11" s="338"/>
      <c r="DEG11" s="338"/>
      <c r="DEH11" s="338"/>
      <c r="DEI11" s="338"/>
      <c r="DEJ11" s="338"/>
      <c r="DEK11" s="338"/>
      <c r="DEL11" s="338"/>
      <c r="DEM11" s="338"/>
      <c r="DEN11" s="338"/>
      <c r="DEO11" s="338"/>
      <c r="DEP11" s="338"/>
      <c r="DEQ11" s="338"/>
      <c r="DER11" s="338"/>
      <c r="DES11" s="338"/>
      <c r="DET11" s="338"/>
      <c r="DEU11" s="338"/>
      <c r="DEV11" s="338"/>
      <c r="DEW11" s="338"/>
      <c r="DEX11" s="338"/>
      <c r="DEY11" s="338"/>
      <c r="DEZ11" s="338"/>
      <c r="DFA11" s="338"/>
      <c r="DFB11" s="338"/>
      <c r="DFC11" s="338"/>
      <c r="DFD11" s="338"/>
      <c r="DFE11" s="338"/>
      <c r="DFF11" s="338"/>
      <c r="DFG11" s="338"/>
      <c r="DFH11" s="338"/>
      <c r="DFI11" s="338"/>
      <c r="DFJ11" s="338"/>
      <c r="DFK11" s="338"/>
      <c r="DFL11" s="338"/>
      <c r="DFM11" s="338"/>
      <c r="DFN11" s="338"/>
      <c r="DFO11" s="338"/>
      <c r="DFP11" s="338"/>
      <c r="DFQ11" s="338"/>
      <c r="DFR11" s="338"/>
      <c r="DFS11" s="338"/>
      <c r="DFT11" s="338"/>
      <c r="DFU11" s="338"/>
      <c r="DFV11" s="338"/>
      <c r="DFW11" s="338"/>
      <c r="DFX11" s="338"/>
      <c r="DFY11" s="338"/>
      <c r="DFZ11" s="338"/>
      <c r="DGA11" s="338"/>
      <c r="DGB11" s="338"/>
      <c r="DGC11" s="338"/>
      <c r="DGD11" s="338"/>
      <c r="DGE11" s="338"/>
      <c r="DGF11" s="338"/>
      <c r="DGG11" s="338"/>
      <c r="DGH11" s="338"/>
      <c r="DGI11" s="338"/>
      <c r="DGJ11" s="338"/>
      <c r="DGK11" s="338"/>
      <c r="DGL11" s="338"/>
      <c r="DGM11" s="338"/>
      <c r="DGN11" s="338"/>
      <c r="DGO11" s="338"/>
      <c r="DGP11" s="338"/>
      <c r="DGQ11" s="338"/>
      <c r="DGR11" s="338"/>
      <c r="DGS11" s="338"/>
      <c r="DGT11" s="338"/>
      <c r="DGU11" s="338"/>
      <c r="DGV11" s="338"/>
      <c r="DGW11" s="338"/>
      <c r="DGX11" s="338"/>
      <c r="DGY11" s="338"/>
      <c r="DGZ11" s="338"/>
      <c r="DHA11" s="338"/>
      <c r="DHB11" s="338"/>
      <c r="DHC11" s="338"/>
      <c r="DHD11" s="338"/>
      <c r="DHE11" s="338"/>
      <c r="DHF11" s="338"/>
      <c r="DHG11" s="338"/>
      <c r="DHH11" s="338"/>
      <c r="DHI11" s="338"/>
      <c r="DHJ11" s="338"/>
      <c r="DHK11" s="338"/>
      <c r="DHL11" s="338"/>
      <c r="DHM11" s="338"/>
      <c r="DHN11" s="338"/>
      <c r="DHO11" s="338"/>
      <c r="DHP11" s="338"/>
      <c r="DHQ11" s="338"/>
      <c r="DHR11" s="338"/>
      <c r="DHS11" s="338"/>
      <c r="DHT11" s="338"/>
      <c r="DHU11" s="338"/>
      <c r="DHV11" s="338"/>
      <c r="DHW11" s="338"/>
      <c r="DHX11" s="338"/>
      <c r="DHY11" s="338"/>
      <c r="DHZ11" s="338"/>
      <c r="DIA11" s="338"/>
      <c r="DIB11" s="338"/>
      <c r="DIC11" s="338"/>
      <c r="DID11" s="338"/>
      <c r="DIE11" s="338"/>
      <c r="DIF11" s="338"/>
      <c r="DIG11" s="338"/>
      <c r="DIH11" s="338"/>
      <c r="DII11" s="338"/>
      <c r="DIJ11" s="338"/>
      <c r="DIK11" s="338"/>
      <c r="DIL11" s="338"/>
      <c r="DIM11" s="338"/>
      <c r="DIN11" s="338"/>
      <c r="DIO11" s="338"/>
      <c r="DIP11" s="338"/>
      <c r="DIQ11" s="338"/>
      <c r="DIR11" s="338"/>
      <c r="DIS11" s="338"/>
      <c r="DIT11" s="338"/>
      <c r="DIU11" s="338"/>
      <c r="DIV11" s="338"/>
      <c r="DIW11" s="338"/>
      <c r="DIX11" s="338"/>
      <c r="DIY11" s="338"/>
      <c r="DIZ11" s="338"/>
      <c r="DJA11" s="338"/>
      <c r="DJB11" s="338"/>
      <c r="DJC11" s="338"/>
      <c r="DJD11" s="338"/>
      <c r="DJE11" s="338"/>
      <c r="DJF11" s="338"/>
      <c r="DJG11" s="338"/>
      <c r="DJH11" s="338"/>
      <c r="DJI11" s="338"/>
      <c r="DJJ11" s="338"/>
      <c r="DJK11" s="338"/>
      <c r="DJL11" s="338"/>
      <c r="DJM11" s="338"/>
      <c r="DJN11" s="338"/>
      <c r="DJO11" s="338"/>
      <c r="DJP11" s="338"/>
      <c r="DJQ11" s="338"/>
      <c r="DJR11" s="338"/>
      <c r="DJS11" s="338"/>
      <c r="DJT11" s="338"/>
      <c r="DJU11" s="338"/>
      <c r="DJV11" s="338"/>
      <c r="DJW11" s="338"/>
      <c r="DJX11" s="338"/>
      <c r="DJY11" s="338"/>
      <c r="DJZ11" s="338"/>
      <c r="DKA11" s="338"/>
      <c r="DKB11" s="338"/>
      <c r="DKC11" s="338"/>
      <c r="DKD11" s="338"/>
      <c r="DKE11" s="338"/>
      <c r="DKF11" s="338"/>
      <c r="DKG11" s="338"/>
      <c r="DKH11" s="338"/>
      <c r="DKI11" s="338"/>
      <c r="DKJ11" s="338"/>
      <c r="DKK11" s="338"/>
      <c r="DKL11" s="338"/>
      <c r="DKM11" s="338"/>
      <c r="DKN11" s="338"/>
      <c r="DKO11" s="338"/>
      <c r="DKP11" s="338"/>
      <c r="DKQ11" s="338"/>
      <c r="DKR11" s="338"/>
      <c r="DKS11" s="338"/>
      <c r="DKT11" s="338"/>
      <c r="DKU11" s="338"/>
      <c r="DKV11" s="338"/>
      <c r="DKW11" s="338"/>
      <c r="DKX11" s="338"/>
      <c r="DKY11" s="338"/>
      <c r="DKZ11" s="338"/>
      <c r="DLA11" s="338"/>
      <c r="DLB11" s="338"/>
      <c r="DLC11" s="338"/>
      <c r="DLD11" s="338"/>
      <c r="DLE11" s="338"/>
      <c r="DLF11" s="338"/>
      <c r="DLG11" s="338"/>
      <c r="DLH11" s="338"/>
      <c r="DLI11" s="338"/>
      <c r="DLJ11" s="338"/>
      <c r="DLK11" s="338"/>
      <c r="DLL11" s="338"/>
      <c r="DLM11" s="338"/>
      <c r="DLN11" s="338"/>
      <c r="DLO11" s="338"/>
      <c r="DLP11" s="338"/>
      <c r="DLQ11" s="338"/>
      <c r="DLR11" s="338"/>
      <c r="DLS11" s="338"/>
      <c r="DLT11" s="338"/>
      <c r="DLU11" s="338"/>
      <c r="DLV11" s="338"/>
      <c r="DLW11" s="338"/>
      <c r="DLX11" s="338"/>
      <c r="DLY11" s="338"/>
      <c r="DLZ11" s="338"/>
      <c r="DMA11" s="338"/>
      <c r="DMB11" s="338"/>
      <c r="DMC11" s="338"/>
      <c r="DMD11" s="338"/>
      <c r="DME11" s="338"/>
      <c r="DMF11" s="338"/>
      <c r="DMG11" s="338"/>
      <c r="DMH11" s="338"/>
      <c r="DMI11" s="338"/>
      <c r="DMJ11" s="338"/>
      <c r="DMK11" s="338"/>
      <c r="DML11" s="338"/>
      <c r="DMM11" s="338"/>
      <c r="DMN11" s="338"/>
      <c r="DMO11" s="338"/>
      <c r="DMP11" s="338"/>
      <c r="DMQ11" s="338"/>
      <c r="DMR11" s="338"/>
      <c r="DMS11" s="338"/>
      <c r="DMT11" s="338"/>
      <c r="DMU11" s="338"/>
      <c r="DMV11" s="338"/>
      <c r="DMW11" s="338"/>
      <c r="DMX11" s="338"/>
      <c r="DMY11" s="338"/>
      <c r="DMZ11" s="338"/>
      <c r="DNA11" s="338"/>
      <c r="DNB11" s="338"/>
      <c r="DNC11" s="338"/>
      <c r="DND11" s="338"/>
      <c r="DNE11" s="338"/>
      <c r="DNF11" s="338"/>
      <c r="DNG11" s="338"/>
      <c r="DNH11" s="338"/>
      <c r="DNI11" s="338"/>
      <c r="DNJ11" s="338"/>
      <c r="DNK11" s="338"/>
      <c r="DNL11" s="338"/>
      <c r="DNM11" s="338"/>
      <c r="DNN11" s="338"/>
      <c r="DNO11" s="338"/>
      <c r="DNP11" s="338"/>
      <c r="DNQ11" s="338"/>
      <c r="DNR11" s="338"/>
      <c r="DNS11" s="338"/>
      <c r="DNT11" s="338"/>
      <c r="DNU11" s="338"/>
      <c r="DNV11" s="338"/>
      <c r="DNW11" s="338"/>
      <c r="DNX11" s="338"/>
      <c r="DNY11" s="338"/>
      <c r="DNZ11" s="338"/>
      <c r="DOA11" s="338"/>
      <c r="DOB11" s="338"/>
      <c r="DOC11" s="338"/>
      <c r="DOD11" s="338"/>
      <c r="DOE11" s="338"/>
      <c r="DOF11" s="338"/>
      <c r="DOG11" s="338"/>
      <c r="DOH11" s="338"/>
      <c r="DOI11" s="338"/>
      <c r="DOJ11" s="338"/>
      <c r="DOK11" s="338"/>
      <c r="DOL11" s="338"/>
      <c r="DOM11" s="338"/>
      <c r="DON11" s="338"/>
      <c r="DOO11" s="338"/>
      <c r="DOP11" s="338"/>
      <c r="DOQ11" s="338"/>
      <c r="DOR11" s="338"/>
      <c r="DOS11" s="338"/>
      <c r="DOT11" s="338"/>
      <c r="DOU11" s="338"/>
      <c r="DOV11" s="338"/>
      <c r="DOW11" s="338"/>
      <c r="DOX11" s="338"/>
      <c r="DOY11" s="338"/>
      <c r="DOZ11" s="338"/>
      <c r="DPA11" s="338"/>
      <c r="DPB11" s="338"/>
      <c r="DPC11" s="338"/>
      <c r="DPD11" s="338"/>
      <c r="DPE11" s="338"/>
      <c r="DPF11" s="338"/>
      <c r="DPG11" s="338"/>
      <c r="DPH11" s="338"/>
      <c r="DPI11" s="338"/>
      <c r="DPJ11" s="338"/>
      <c r="DPK11" s="338"/>
      <c r="DPL11" s="338"/>
      <c r="DPM11" s="338"/>
      <c r="DPN11" s="338"/>
      <c r="DPO11" s="338"/>
      <c r="DPP11" s="338"/>
      <c r="DPQ11" s="338"/>
      <c r="DPR11" s="338"/>
      <c r="DPS11" s="338"/>
      <c r="DPT11" s="338"/>
      <c r="DPU11" s="338"/>
      <c r="DPV11" s="338"/>
      <c r="DPW11" s="338"/>
      <c r="DPX11" s="338"/>
      <c r="DPY11" s="338"/>
      <c r="DPZ11" s="338"/>
      <c r="DQA11" s="338"/>
      <c r="DQB11" s="338"/>
      <c r="DQC11" s="338"/>
      <c r="DQD11" s="338"/>
      <c r="DQE11" s="338"/>
      <c r="DQF11" s="338"/>
      <c r="DQG11" s="338"/>
      <c r="DQH11" s="338"/>
      <c r="DQI11" s="338"/>
      <c r="DQJ11" s="338"/>
      <c r="DQK11" s="338"/>
      <c r="DQL11" s="338"/>
      <c r="DQM11" s="338"/>
      <c r="DQN11" s="338"/>
      <c r="DQO11" s="338"/>
      <c r="DQP11" s="338"/>
      <c r="DQQ11" s="338"/>
      <c r="DQR11" s="338"/>
      <c r="DQS11" s="338"/>
      <c r="DQT11" s="338"/>
      <c r="DQU11" s="338"/>
      <c r="DQV11" s="338"/>
      <c r="DQW11" s="338"/>
      <c r="DQX11" s="338"/>
      <c r="DQY11" s="338"/>
      <c r="DQZ11" s="338"/>
      <c r="DRA11" s="338"/>
      <c r="DRB11" s="338"/>
      <c r="DRC11" s="338"/>
      <c r="DRD11" s="338"/>
      <c r="DRE11" s="338"/>
      <c r="DRF11" s="338"/>
      <c r="DRG11" s="338"/>
      <c r="DRH11" s="338"/>
      <c r="DRI11" s="338"/>
      <c r="DRJ11" s="338"/>
      <c r="DRK11" s="338"/>
      <c r="DRL11" s="338"/>
      <c r="DRM11" s="338"/>
      <c r="DRN11" s="338"/>
      <c r="DRO11" s="338"/>
      <c r="DRP11" s="338"/>
      <c r="DRQ11" s="338"/>
      <c r="DRR11" s="338"/>
      <c r="DRS11" s="338"/>
      <c r="DRT11" s="338"/>
      <c r="DRU11" s="338"/>
      <c r="DRV11" s="338"/>
      <c r="DRW11" s="338"/>
      <c r="DRX11" s="338"/>
      <c r="DRY11" s="338"/>
      <c r="DRZ11" s="338"/>
      <c r="DSA11" s="338"/>
      <c r="DSB11" s="338"/>
      <c r="DSC11" s="338"/>
      <c r="DSD11" s="338"/>
      <c r="DSE11" s="338"/>
      <c r="DSF11" s="338"/>
      <c r="DSG11" s="338"/>
      <c r="DSH11" s="338"/>
      <c r="DSI11" s="338"/>
      <c r="DSJ11" s="338"/>
      <c r="DSK11" s="338"/>
      <c r="DSL11" s="338"/>
      <c r="DSM11" s="338"/>
      <c r="DSN11" s="338"/>
      <c r="DSO11" s="338"/>
      <c r="DSP11" s="338"/>
      <c r="DSQ11" s="338"/>
      <c r="DSR11" s="338"/>
      <c r="DSS11" s="338"/>
      <c r="DST11" s="338"/>
      <c r="DSU11" s="338"/>
      <c r="DSV11" s="338"/>
      <c r="DSW11" s="338"/>
      <c r="DSX11" s="338"/>
      <c r="DSY11" s="338"/>
      <c r="DSZ11" s="338"/>
      <c r="DTA11" s="338"/>
      <c r="DTB11" s="338"/>
      <c r="DTC11" s="338"/>
      <c r="DTD11" s="338"/>
      <c r="DTE11" s="338"/>
      <c r="DTF11" s="338"/>
      <c r="DTG11" s="338"/>
      <c r="DTH11" s="338"/>
      <c r="DTI11" s="338"/>
      <c r="DTJ11" s="338"/>
      <c r="DTK11" s="338"/>
      <c r="DTL11" s="338"/>
      <c r="DTM11" s="338"/>
      <c r="DTN11" s="338"/>
      <c r="DTO11" s="338"/>
      <c r="DTP11" s="338"/>
      <c r="DTQ11" s="338"/>
      <c r="DTR11" s="338"/>
      <c r="DTS11" s="338"/>
      <c r="DTT11" s="338"/>
      <c r="DTU11" s="338"/>
      <c r="DTV11" s="338"/>
      <c r="DTW11" s="338"/>
      <c r="DTX11" s="338"/>
      <c r="DTY11" s="338"/>
      <c r="DTZ11" s="338"/>
      <c r="DUA11" s="338"/>
      <c r="DUB11" s="338"/>
      <c r="DUC11" s="338"/>
      <c r="DUD11" s="338"/>
      <c r="DUE11" s="338"/>
      <c r="DUF11" s="338"/>
      <c r="DUG11" s="338"/>
      <c r="DUH11" s="338"/>
      <c r="DUI11" s="338"/>
      <c r="DUJ11" s="338"/>
      <c r="DUK11" s="338"/>
      <c r="DUL11" s="338"/>
      <c r="DUM11" s="338"/>
      <c r="DUN11" s="338"/>
      <c r="DUO11" s="338"/>
      <c r="DUP11" s="338"/>
      <c r="DUQ11" s="338"/>
      <c r="DUR11" s="338"/>
      <c r="DUS11" s="338"/>
      <c r="DUT11" s="338"/>
      <c r="DUU11" s="338"/>
      <c r="DUV11" s="338"/>
      <c r="DUW11" s="338"/>
      <c r="DUX11" s="338"/>
      <c r="DUY11" s="338"/>
      <c r="DUZ11" s="338"/>
      <c r="DVA11" s="338"/>
      <c r="DVB11" s="338"/>
      <c r="DVC11" s="338"/>
      <c r="DVD11" s="338"/>
      <c r="DVE11" s="338"/>
      <c r="DVF11" s="338"/>
      <c r="DVG11" s="338"/>
      <c r="DVH11" s="338"/>
      <c r="DVI11" s="338"/>
      <c r="DVJ11" s="338"/>
      <c r="DVK11" s="338"/>
      <c r="DVL11" s="338"/>
      <c r="DVM11" s="338"/>
      <c r="DVN11" s="338"/>
      <c r="DVO11" s="338"/>
      <c r="DVP11" s="338"/>
      <c r="DVQ11" s="338"/>
      <c r="DVR11" s="338"/>
      <c r="DVS11" s="338"/>
      <c r="DVT11" s="338"/>
      <c r="DVU11" s="338"/>
      <c r="DVV11" s="338"/>
      <c r="DVW11" s="338"/>
      <c r="DVX11" s="338"/>
      <c r="DVY11" s="338"/>
      <c r="DVZ11" s="338"/>
      <c r="DWA11" s="338"/>
      <c r="DWB11" s="338"/>
      <c r="DWC11" s="338"/>
      <c r="DWD11" s="338"/>
      <c r="DWE11" s="338"/>
      <c r="DWF11" s="338"/>
      <c r="DWG11" s="338"/>
      <c r="DWH11" s="338"/>
      <c r="DWI11" s="338"/>
      <c r="DWJ11" s="338"/>
      <c r="DWK11" s="338"/>
      <c r="DWL11" s="338"/>
      <c r="DWM11" s="338"/>
      <c r="DWN11" s="338"/>
      <c r="DWO11" s="338"/>
      <c r="DWP11" s="338"/>
      <c r="DWQ11" s="338"/>
      <c r="DWR11" s="338"/>
      <c r="DWS11" s="338"/>
      <c r="DWT11" s="338"/>
      <c r="DWU11" s="338"/>
      <c r="DWV11" s="338"/>
      <c r="DWW11" s="338"/>
      <c r="DWX11" s="338"/>
      <c r="DWY11" s="338"/>
      <c r="DWZ11" s="338"/>
      <c r="DXA11" s="338"/>
      <c r="DXB11" s="338"/>
      <c r="DXC11" s="338"/>
      <c r="DXD11" s="338"/>
      <c r="DXE11" s="338"/>
      <c r="DXF11" s="338"/>
      <c r="DXG11" s="338"/>
      <c r="DXH11" s="338"/>
      <c r="DXI11" s="338"/>
      <c r="DXJ11" s="338"/>
      <c r="DXK11" s="338"/>
      <c r="DXL11" s="338"/>
      <c r="DXM11" s="338"/>
      <c r="DXN11" s="338"/>
      <c r="DXO11" s="338"/>
      <c r="DXP11" s="338"/>
      <c r="DXQ11" s="338"/>
      <c r="DXR11" s="338"/>
      <c r="DXS11" s="338"/>
      <c r="DXT11" s="338"/>
      <c r="DXU11" s="338"/>
      <c r="DXV11" s="338"/>
      <c r="DXW11" s="338"/>
      <c r="DXX11" s="338"/>
      <c r="DXY11" s="338"/>
      <c r="DXZ11" s="338"/>
      <c r="DYA11" s="338"/>
      <c r="DYB11" s="338"/>
      <c r="DYC11" s="338"/>
      <c r="DYD11" s="338"/>
      <c r="DYE11" s="338"/>
      <c r="DYF11" s="338"/>
      <c r="DYG11" s="338"/>
      <c r="DYH11" s="338"/>
      <c r="DYI11" s="338"/>
      <c r="DYJ11" s="338"/>
      <c r="DYK11" s="338"/>
      <c r="DYL11" s="338"/>
      <c r="DYM11" s="338"/>
      <c r="DYN11" s="338"/>
      <c r="DYO11" s="338"/>
      <c r="DYP11" s="338"/>
      <c r="DYQ11" s="338"/>
      <c r="DYR11" s="338"/>
      <c r="DYS11" s="338"/>
      <c r="DYT11" s="338"/>
      <c r="DYU11" s="338"/>
      <c r="DYV11" s="338"/>
      <c r="DYW11" s="338"/>
      <c r="DYX11" s="338"/>
      <c r="DYY11" s="338"/>
      <c r="DYZ11" s="338"/>
      <c r="DZA11" s="338"/>
      <c r="DZB11" s="338"/>
      <c r="DZC11" s="338"/>
      <c r="DZD11" s="338"/>
      <c r="DZE11" s="338"/>
      <c r="DZF11" s="338"/>
      <c r="DZG11" s="338"/>
      <c r="DZH11" s="338"/>
      <c r="DZI11" s="338"/>
      <c r="DZJ11" s="338"/>
      <c r="DZK11" s="338"/>
      <c r="DZL11" s="338"/>
      <c r="DZM11" s="338"/>
      <c r="DZN11" s="338"/>
      <c r="DZO11" s="338"/>
      <c r="DZP11" s="338"/>
      <c r="DZQ11" s="338"/>
      <c r="DZR11" s="338"/>
      <c r="DZS11" s="338"/>
      <c r="DZT11" s="338"/>
      <c r="DZU11" s="338"/>
      <c r="DZV11" s="338"/>
      <c r="DZW11" s="338"/>
      <c r="DZX11" s="338"/>
      <c r="DZY11" s="338"/>
      <c r="DZZ11" s="338"/>
      <c r="EAA11" s="338"/>
      <c r="EAB11" s="338"/>
      <c r="EAC11" s="338"/>
      <c r="EAD11" s="338"/>
      <c r="EAE11" s="338"/>
      <c r="EAF11" s="338"/>
      <c r="EAG11" s="338"/>
      <c r="EAH11" s="338"/>
      <c r="EAI11" s="338"/>
      <c r="EAJ11" s="338"/>
      <c r="EAK11" s="338"/>
      <c r="EAL11" s="338"/>
      <c r="EAM11" s="338"/>
      <c r="EAN11" s="338"/>
      <c r="EAO11" s="338"/>
      <c r="EAP11" s="338"/>
      <c r="EAQ11" s="338"/>
      <c r="EAR11" s="338"/>
      <c r="EAS11" s="338"/>
      <c r="EAT11" s="338"/>
      <c r="EAU11" s="338"/>
      <c r="EAV11" s="338"/>
      <c r="EAW11" s="338"/>
      <c r="EAX11" s="338"/>
      <c r="EAY11" s="338"/>
      <c r="EAZ11" s="338"/>
      <c r="EBA11" s="338"/>
      <c r="EBB11" s="338"/>
      <c r="EBC11" s="338"/>
      <c r="EBD11" s="338"/>
      <c r="EBE11" s="338"/>
      <c r="EBF11" s="338"/>
      <c r="EBG11" s="338"/>
      <c r="EBH11" s="338"/>
      <c r="EBI11" s="338"/>
      <c r="EBJ11" s="338"/>
      <c r="EBK11" s="338"/>
      <c r="EBL11" s="338"/>
      <c r="EBM11" s="338"/>
      <c r="EBN11" s="338"/>
      <c r="EBO11" s="338"/>
      <c r="EBP11" s="338"/>
      <c r="EBQ11" s="338"/>
      <c r="EBR11" s="338"/>
      <c r="EBS11" s="338"/>
      <c r="EBT11" s="338"/>
      <c r="EBU11" s="338"/>
      <c r="EBV11" s="338"/>
      <c r="EBW11" s="338"/>
      <c r="EBX11" s="338"/>
      <c r="EBY11" s="338"/>
      <c r="EBZ11" s="338"/>
      <c r="ECA11" s="338"/>
      <c r="ECB11" s="338"/>
      <c r="ECC11" s="338"/>
      <c r="ECD11" s="338"/>
      <c r="ECE11" s="338"/>
      <c r="ECF11" s="338"/>
      <c r="ECG11" s="338"/>
      <c r="ECH11" s="338"/>
      <c r="ECI11" s="338"/>
      <c r="ECJ11" s="338"/>
      <c r="ECK11" s="338"/>
      <c r="ECL11" s="338"/>
      <c r="ECM11" s="338"/>
      <c r="ECN11" s="338"/>
      <c r="ECO11" s="338"/>
      <c r="ECP11" s="338"/>
      <c r="ECQ11" s="338"/>
      <c r="ECR11" s="338"/>
      <c r="ECS11" s="338"/>
      <c r="ECT11" s="338"/>
      <c r="ECU11" s="338"/>
      <c r="ECV11" s="338"/>
      <c r="ECW11" s="338"/>
      <c r="ECX11" s="338"/>
      <c r="ECY11" s="338"/>
      <c r="ECZ11" s="338"/>
      <c r="EDA11" s="338"/>
      <c r="EDB11" s="338"/>
      <c r="EDC11" s="338"/>
      <c r="EDD11" s="338"/>
      <c r="EDE11" s="338"/>
      <c r="EDF11" s="338"/>
      <c r="EDG11" s="338"/>
      <c r="EDH11" s="338"/>
      <c r="EDI11" s="338"/>
      <c r="EDJ11" s="338"/>
      <c r="EDK11" s="338"/>
      <c r="EDL11" s="338"/>
      <c r="EDM11" s="338"/>
      <c r="EDN11" s="338"/>
      <c r="EDO11" s="338"/>
      <c r="EDP11" s="338"/>
      <c r="EDQ11" s="338"/>
      <c r="EDR11" s="338"/>
      <c r="EDS11" s="338"/>
      <c r="EDT11" s="338"/>
      <c r="EDU11" s="338"/>
      <c r="EDV11" s="338"/>
      <c r="EDW11" s="338"/>
      <c r="EDX11" s="338"/>
      <c r="EDY11" s="338"/>
      <c r="EDZ11" s="338"/>
      <c r="EEA11" s="338"/>
      <c r="EEB11" s="338"/>
      <c r="EEC11" s="338"/>
      <c r="EED11" s="338"/>
      <c r="EEE11" s="338"/>
      <c r="EEF11" s="338"/>
      <c r="EEG11" s="338"/>
      <c r="EEH11" s="338"/>
      <c r="EEI11" s="338"/>
      <c r="EEJ11" s="338"/>
      <c r="EEK11" s="338"/>
      <c r="EEL11" s="338"/>
      <c r="EEM11" s="338"/>
      <c r="EEN11" s="338"/>
      <c r="EEO11" s="338"/>
      <c r="EEP11" s="338"/>
      <c r="EEQ11" s="338"/>
      <c r="EER11" s="338"/>
      <c r="EES11" s="338"/>
      <c r="EET11" s="338"/>
      <c r="EEU11" s="338"/>
      <c r="EEV11" s="338"/>
      <c r="EEW11" s="338"/>
      <c r="EEX11" s="338"/>
      <c r="EEY11" s="338"/>
      <c r="EEZ11" s="338"/>
      <c r="EFA11" s="338"/>
      <c r="EFB11" s="338"/>
      <c r="EFC11" s="338"/>
      <c r="EFD11" s="338"/>
      <c r="EFE11" s="338"/>
      <c r="EFF11" s="338"/>
      <c r="EFG11" s="338"/>
      <c r="EFH11" s="338"/>
      <c r="EFI11" s="338"/>
      <c r="EFJ11" s="338"/>
      <c r="EFK11" s="338"/>
      <c r="EFL11" s="338"/>
      <c r="EFM11" s="338"/>
      <c r="EFN11" s="338"/>
      <c r="EFO11" s="338"/>
      <c r="EFP11" s="338"/>
      <c r="EFQ11" s="338"/>
      <c r="EFR11" s="338"/>
      <c r="EFS11" s="338"/>
      <c r="EFT11" s="338"/>
      <c r="EFU11" s="338"/>
      <c r="EFV11" s="338"/>
      <c r="EFW11" s="338"/>
      <c r="EFX11" s="338"/>
      <c r="EFY11" s="338"/>
      <c r="EFZ11" s="338"/>
      <c r="EGA11" s="338"/>
      <c r="EGB11" s="338"/>
      <c r="EGC11" s="338"/>
      <c r="EGD11" s="338"/>
      <c r="EGE11" s="338"/>
      <c r="EGF11" s="338"/>
      <c r="EGG11" s="338"/>
      <c r="EGH11" s="338"/>
      <c r="EGI11" s="338"/>
      <c r="EGJ11" s="338"/>
      <c r="EGK11" s="338"/>
      <c r="EGL11" s="338"/>
      <c r="EGM11" s="338"/>
      <c r="EGN11" s="338"/>
      <c r="EGO11" s="338"/>
      <c r="EGP11" s="338"/>
      <c r="EGQ11" s="338"/>
      <c r="EGR11" s="338"/>
      <c r="EGS11" s="338"/>
      <c r="EGT11" s="338"/>
      <c r="EGU11" s="338"/>
      <c r="EGV11" s="338"/>
      <c r="EGW11" s="338"/>
      <c r="EGX11" s="338"/>
      <c r="EGY11" s="338"/>
      <c r="EGZ11" s="338"/>
      <c r="EHA11" s="338"/>
      <c r="EHB11" s="338"/>
      <c r="EHC11" s="338"/>
      <c r="EHD11" s="338"/>
      <c r="EHE11" s="338"/>
      <c r="EHF11" s="338"/>
      <c r="EHG11" s="338"/>
      <c r="EHH11" s="338"/>
      <c r="EHI11" s="338"/>
      <c r="EHJ11" s="338"/>
      <c r="EHK11" s="338"/>
      <c r="EHL11" s="338"/>
      <c r="EHM11" s="338"/>
      <c r="EHN11" s="338"/>
      <c r="EHO11" s="338"/>
      <c r="EHP11" s="338"/>
      <c r="EHQ11" s="338"/>
      <c r="EHR11" s="338"/>
      <c r="EHS11" s="338"/>
      <c r="EHT11" s="338"/>
      <c r="EHU11" s="338"/>
      <c r="EHV11" s="338"/>
      <c r="EHW11" s="338"/>
      <c r="EHX11" s="338"/>
      <c r="EHY11" s="338"/>
      <c r="EHZ11" s="338"/>
      <c r="EIA11" s="338"/>
      <c r="EIB11" s="338"/>
      <c r="EIC11" s="338"/>
      <c r="EID11" s="338"/>
      <c r="EIE11" s="338"/>
      <c r="EIF11" s="338"/>
      <c r="EIG11" s="338"/>
      <c r="EIH11" s="338"/>
      <c r="EII11" s="338"/>
      <c r="EIJ11" s="338"/>
      <c r="EIK11" s="338"/>
      <c r="EIL11" s="338"/>
      <c r="EIM11" s="338"/>
      <c r="EIN11" s="338"/>
      <c r="EIO11" s="338"/>
      <c r="EIP11" s="338"/>
      <c r="EIQ11" s="338"/>
      <c r="EIR11" s="338"/>
      <c r="EIS11" s="338"/>
      <c r="EIT11" s="338"/>
      <c r="EIU11" s="338"/>
      <c r="EIV11" s="338"/>
      <c r="EIW11" s="338"/>
      <c r="EIX11" s="338"/>
      <c r="EIY11" s="338"/>
      <c r="EIZ11" s="338"/>
      <c r="EJA11" s="338"/>
      <c r="EJB11" s="338"/>
      <c r="EJC11" s="338"/>
      <c r="EJD11" s="338"/>
      <c r="EJE11" s="338"/>
      <c r="EJF11" s="338"/>
      <c r="EJG11" s="338"/>
      <c r="EJH11" s="338"/>
      <c r="EJI11" s="338"/>
      <c r="EJJ11" s="338"/>
      <c r="EJK11" s="338"/>
      <c r="EJL11" s="338"/>
      <c r="EJM11" s="338"/>
      <c r="EJN11" s="338"/>
      <c r="EJO11" s="338"/>
      <c r="EJP11" s="338"/>
      <c r="EJQ11" s="338"/>
      <c r="EJR11" s="338"/>
      <c r="EJS11" s="338"/>
      <c r="EJT11" s="338"/>
      <c r="EJU11" s="338"/>
      <c r="EJV11" s="338"/>
      <c r="EJW11" s="338"/>
      <c r="EJX11" s="338"/>
      <c r="EJY11" s="338"/>
      <c r="EJZ11" s="338"/>
      <c r="EKA11" s="338"/>
      <c r="EKB11" s="338"/>
      <c r="EKC11" s="338"/>
      <c r="EKD11" s="338"/>
      <c r="EKE11" s="338"/>
      <c r="EKF11" s="338"/>
      <c r="EKG11" s="338"/>
      <c r="EKH11" s="338"/>
      <c r="EKI11" s="338"/>
      <c r="EKJ11" s="338"/>
      <c r="EKK11" s="338"/>
      <c r="EKL11" s="338"/>
      <c r="EKM11" s="338"/>
      <c r="EKN11" s="338"/>
      <c r="EKO11" s="338"/>
      <c r="EKP11" s="338"/>
      <c r="EKQ11" s="338"/>
      <c r="EKR11" s="338"/>
      <c r="EKS11" s="338"/>
      <c r="EKT11" s="338"/>
      <c r="EKU11" s="338"/>
      <c r="EKV11" s="338"/>
      <c r="EKW11" s="338"/>
      <c r="EKX11" s="338"/>
      <c r="EKY11" s="338"/>
      <c r="EKZ11" s="338"/>
      <c r="ELA11" s="338"/>
      <c r="ELB11" s="338"/>
      <c r="ELC11" s="338"/>
      <c r="ELD11" s="338"/>
      <c r="ELE11" s="338"/>
      <c r="ELF11" s="338"/>
      <c r="ELG11" s="338"/>
      <c r="ELH11" s="338"/>
      <c r="ELI11" s="338"/>
      <c r="ELJ11" s="338"/>
      <c r="ELK11" s="338"/>
      <c r="ELL11" s="338"/>
      <c r="ELM11" s="338"/>
      <c r="ELN11" s="338"/>
      <c r="ELO11" s="338"/>
      <c r="ELP11" s="338"/>
      <c r="ELQ11" s="338"/>
      <c r="ELR11" s="338"/>
      <c r="ELS11" s="338"/>
      <c r="ELT11" s="338"/>
      <c r="ELU11" s="338"/>
      <c r="ELV11" s="338"/>
      <c r="ELW11" s="338"/>
      <c r="ELX11" s="338"/>
      <c r="ELY11" s="338"/>
      <c r="ELZ11" s="338"/>
      <c r="EMA11" s="338"/>
      <c r="EMB11" s="338"/>
      <c r="EMC11" s="338"/>
      <c r="EMD11" s="338"/>
      <c r="EME11" s="338"/>
      <c r="EMF11" s="338"/>
      <c r="EMG11" s="338"/>
      <c r="EMH11" s="338"/>
      <c r="EMI11" s="338"/>
      <c r="EMJ11" s="338"/>
      <c r="EMK11" s="338"/>
      <c r="EML11" s="338"/>
      <c r="EMM11" s="338"/>
      <c r="EMN11" s="338"/>
      <c r="EMO11" s="338"/>
      <c r="EMP11" s="338"/>
      <c r="EMQ11" s="338"/>
      <c r="EMR11" s="338"/>
      <c r="EMS11" s="338"/>
      <c r="EMT11" s="338"/>
      <c r="EMU11" s="338"/>
      <c r="EMV11" s="338"/>
      <c r="EMW11" s="338"/>
      <c r="EMX11" s="338"/>
      <c r="EMY11" s="338"/>
      <c r="EMZ11" s="338"/>
      <c r="ENA11" s="338"/>
      <c r="ENB11" s="338"/>
      <c r="ENC11" s="338"/>
      <c r="END11" s="338"/>
      <c r="ENE11" s="338"/>
      <c r="ENF11" s="338"/>
      <c r="ENG11" s="338"/>
      <c r="ENH11" s="338"/>
      <c r="ENI11" s="338"/>
      <c r="ENJ11" s="338"/>
      <c r="ENK11" s="338"/>
      <c r="ENL11" s="338"/>
      <c r="ENM11" s="338"/>
      <c r="ENN11" s="338"/>
      <c r="ENO11" s="338"/>
      <c r="ENP11" s="338"/>
      <c r="ENQ11" s="338"/>
      <c r="ENR11" s="338"/>
      <c r="ENS11" s="338"/>
      <c r="ENT11" s="338"/>
      <c r="ENU11" s="338"/>
      <c r="ENV11" s="338"/>
      <c r="ENW11" s="338"/>
      <c r="ENX11" s="338"/>
      <c r="ENY11" s="338"/>
      <c r="ENZ11" s="338"/>
      <c r="EOA11" s="338"/>
      <c r="EOB11" s="338"/>
      <c r="EOC11" s="338"/>
      <c r="EOD11" s="338"/>
      <c r="EOE11" s="338"/>
      <c r="EOF11" s="338"/>
      <c r="EOG11" s="338"/>
      <c r="EOH11" s="338"/>
      <c r="EOI11" s="338"/>
      <c r="EOJ11" s="338"/>
      <c r="EOK11" s="338"/>
      <c r="EOL11" s="338"/>
      <c r="EOM11" s="338"/>
      <c r="EON11" s="338"/>
      <c r="EOO11" s="338"/>
      <c r="EOP11" s="338"/>
      <c r="EOQ11" s="338"/>
      <c r="EOR11" s="338"/>
      <c r="EOS11" s="338"/>
      <c r="EOT11" s="338"/>
      <c r="EOU11" s="338"/>
      <c r="EOV11" s="338"/>
      <c r="EOW11" s="338"/>
      <c r="EOX11" s="338"/>
      <c r="EOY11" s="338"/>
      <c r="EOZ11" s="338"/>
      <c r="EPA11" s="338"/>
      <c r="EPB11" s="338"/>
      <c r="EPC11" s="338"/>
      <c r="EPD11" s="338"/>
      <c r="EPE11" s="338"/>
      <c r="EPF11" s="338"/>
      <c r="EPG11" s="338"/>
      <c r="EPH11" s="338"/>
      <c r="EPI11" s="338"/>
      <c r="EPJ11" s="338"/>
      <c r="EPK11" s="338"/>
      <c r="EPL11" s="338"/>
      <c r="EPM11" s="338"/>
      <c r="EPN11" s="338"/>
      <c r="EPO11" s="338"/>
      <c r="EPP11" s="338"/>
      <c r="EPQ11" s="338"/>
      <c r="EPR11" s="338"/>
      <c r="EPS11" s="338"/>
      <c r="EPT11" s="338"/>
      <c r="EPU11" s="338"/>
      <c r="EPV11" s="338"/>
      <c r="EPW11" s="338"/>
      <c r="EPX11" s="338"/>
      <c r="EPY11" s="338"/>
      <c r="EPZ11" s="338"/>
      <c r="EQA11" s="338"/>
      <c r="EQB11" s="338"/>
      <c r="EQC11" s="338"/>
      <c r="EQD11" s="338"/>
      <c r="EQE11" s="338"/>
      <c r="EQF11" s="338"/>
      <c r="EQG11" s="338"/>
      <c r="EQH11" s="338"/>
      <c r="EQI11" s="338"/>
      <c r="EQJ11" s="338"/>
      <c r="EQK11" s="338"/>
      <c r="EQL11" s="338"/>
      <c r="EQM11" s="338"/>
      <c r="EQN11" s="338"/>
      <c r="EQO11" s="338"/>
      <c r="EQP11" s="338"/>
      <c r="EQQ11" s="338"/>
      <c r="EQR11" s="338"/>
      <c r="EQS11" s="338"/>
      <c r="EQT11" s="338"/>
      <c r="EQU11" s="338"/>
      <c r="EQV11" s="338"/>
      <c r="EQW11" s="338"/>
      <c r="EQX11" s="338"/>
      <c r="EQY11" s="338"/>
      <c r="EQZ11" s="338"/>
      <c r="ERA11" s="338"/>
      <c r="ERB11" s="338"/>
      <c r="ERC11" s="338"/>
      <c r="ERD11" s="338"/>
      <c r="ERE11" s="338"/>
      <c r="ERF11" s="338"/>
      <c r="ERG11" s="338"/>
      <c r="ERH11" s="338"/>
      <c r="ERI11" s="338"/>
      <c r="ERJ11" s="338"/>
      <c r="ERK11" s="338"/>
      <c r="ERL11" s="338"/>
      <c r="ERM11" s="338"/>
      <c r="ERN11" s="338"/>
      <c r="ERO11" s="338"/>
      <c r="ERP11" s="338"/>
      <c r="ERQ11" s="338"/>
      <c r="ERR11" s="338"/>
      <c r="ERS11" s="338"/>
      <c r="ERT11" s="338"/>
      <c r="ERU11" s="338"/>
      <c r="ERV11" s="338"/>
      <c r="ERW11" s="338"/>
      <c r="ERX11" s="338"/>
      <c r="ERY11" s="338"/>
      <c r="ERZ11" s="338"/>
      <c r="ESA11" s="338"/>
      <c r="ESB11" s="338"/>
      <c r="ESC11" s="338"/>
      <c r="ESD11" s="338"/>
      <c r="ESE11" s="338"/>
      <c r="ESF11" s="338"/>
      <c r="ESG11" s="338"/>
      <c r="ESH11" s="338"/>
      <c r="ESI11" s="338"/>
      <c r="ESJ11" s="338"/>
      <c r="ESK11" s="338"/>
      <c r="ESL11" s="338"/>
      <c r="ESM11" s="338"/>
      <c r="ESN11" s="338"/>
      <c r="ESO11" s="338"/>
      <c r="ESP11" s="338"/>
      <c r="ESQ11" s="338"/>
      <c r="ESR11" s="338"/>
      <c r="ESS11" s="338"/>
      <c r="EST11" s="338"/>
      <c r="ESU11" s="338"/>
      <c r="ESV11" s="338"/>
      <c r="ESW11" s="338"/>
      <c r="ESX11" s="338"/>
      <c r="ESY11" s="338"/>
      <c r="ESZ11" s="338"/>
      <c r="ETA11" s="338"/>
      <c r="ETB11" s="338"/>
      <c r="ETC11" s="338"/>
      <c r="ETD11" s="338"/>
      <c r="ETE11" s="338"/>
      <c r="ETF11" s="338"/>
      <c r="ETG11" s="338"/>
      <c r="ETH11" s="338"/>
      <c r="ETI11" s="338"/>
      <c r="ETJ11" s="338"/>
      <c r="ETK11" s="338"/>
      <c r="ETL11" s="338"/>
      <c r="ETM11" s="338"/>
      <c r="ETN11" s="338"/>
      <c r="ETO11" s="338"/>
      <c r="ETP11" s="338"/>
      <c r="ETQ11" s="338"/>
      <c r="ETR11" s="338"/>
      <c r="ETS11" s="338"/>
      <c r="ETT11" s="338"/>
      <c r="ETU11" s="338"/>
      <c r="ETV11" s="338"/>
      <c r="ETW11" s="338"/>
      <c r="ETX11" s="338"/>
      <c r="ETY11" s="338"/>
      <c r="ETZ11" s="338"/>
      <c r="EUA11" s="338"/>
      <c r="EUB11" s="338"/>
      <c r="EUC11" s="338"/>
      <c r="EUD11" s="338"/>
      <c r="EUE11" s="338"/>
      <c r="EUF11" s="338"/>
      <c r="EUG11" s="338"/>
      <c r="EUH11" s="338"/>
      <c r="EUI11" s="338"/>
      <c r="EUJ11" s="338"/>
      <c r="EUK11" s="338"/>
      <c r="EUL11" s="338"/>
      <c r="EUM11" s="338"/>
      <c r="EUN11" s="338"/>
      <c r="EUO11" s="338"/>
      <c r="EUP11" s="338"/>
      <c r="EUQ11" s="338"/>
      <c r="EUR11" s="338"/>
      <c r="EUS11" s="338"/>
      <c r="EUT11" s="338"/>
      <c r="EUU11" s="338"/>
      <c r="EUV11" s="338"/>
      <c r="EUW11" s="338"/>
      <c r="EUX11" s="338"/>
      <c r="EUY11" s="338"/>
      <c r="EUZ11" s="338"/>
      <c r="EVA11" s="338"/>
      <c r="EVB11" s="338"/>
      <c r="EVC11" s="338"/>
      <c r="EVD11" s="338"/>
      <c r="EVE11" s="338"/>
      <c r="EVF11" s="338"/>
      <c r="EVG11" s="338"/>
      <c r="EVH11" s="338"/>
      <c r="EVI11" s="338"/>
      <c r="EVJ11" s="338"/>
      <c r="EVK11" s="338"/>
      <c r="EVL11" s="338"/>
      <c r="EVM11" s="338"/>
      <c r="EVN11" s="338"/>
      <c r="EVO11" s="338"/>
      <c r="EVP11" s="338"/>
      <c r="EVQ11" s="338"/>
      <c r="EVR11" s="338"/>
      <c r="EVS11" s="338"/>
      <c r="EVT11" s="338"/>
      <c r="EVU11" s="338"/>
      <c r="EVV11" s="338"/>
      <c r="EVW11" s="338"/>
      <c r="EVX11" s="338"/>
      <c r="EVY11" s="338"/>
      <c r="EVZ11" s="338"/>
      <c r="EWA11" s="338"/>
      <c r="EWB11" s="338"/>
      <c r="EWC11" s="338"/>
      <c r="EWD11" s="338"/>
      <c r="EWE11" s="338"/>
      <c r="EWF11" s="338"/>
      <c r="EWG11" s="338"/>
      <c r="EWH11" s="338"/>
      <c r="EWI11" s="338"/>
      <c r="EWJ11" s="338"/>
      <c r="EWK11" s="338"/>
      <c r="EWL11" s="338"/>
      <c r="EWM11" s="338"/>
      <c r="EWN11" s="338"/>
      <c r="EWO11" s="338"/>
      <c r="EWP11" s="338"/>
      <c r="EWQ11" s="338"/>
      <c r="EWR11" s="338"/>
      <c r="EWS11" s="338"/>
      <c r="EWT11" s="338"/>
      <c r="EWU11" s="338"/>
      <c r="EWV11" s="338"/>
      <c r="EWW11" s="338"/>
      <c r="EWX11" s="338"/>
      <c r="EWY11" s="338"/>
      <c r="EWZ11" s="338"/>
      <c r="EXA11" s="338"/>
      <c r="EXB11" s="338"/>
      <c r="EXC11" s="338"/>
      <c r="EXD11" s="338"/>
      <c r="EXE11" s="338"/>
      <c r="EXF11" s="338"/>
      <c r="EXG11" s="338"/>
      <c r="EXH11" s="338"/>
      <c r="EXI11" s="338"/>
      <c r="EXJ11" s="338"/>
      <c r="EXK11" s="338"/>
      <c r="EXL11" s="338"/>
      <c r="EXM11" s="338"/>
      <c r="EXN11" s="338"/>
      <c r="EXO11" s="338"/>
      <c r="EXP11" s="338"/>
      <c r="EXQ11" s="338"/>
      <c r="EXR11" s="338"/>
      <c r="EXS11" s="338"/>
      <c r="EXT11" s="338"/>
      <c r="EXU11" s="338"/>
      <c r="EXV11" s="338"/>
      <c r="EXW11" s="338"/>
      <c r="EXX11" s="338"/>
      <c r="EXY11" s="338"/>
      <c r="EXZ11" s="338"/>
      <c r="EYA11" s="338"/>
      <c r="EYB11" s="338"/>
      <c r="EYC11" s="338"/>
      <c r="EYD11" s="338"/>
      <c r="EYE11" s="338"/>
      <c r="EYF11" s="338"/>
      <c r="EYG11" s="338"/>
      <c r="EYH11" s="338"/>
      <c r="EYI11" s="338"/>
      <c r="EYJ11" s="338"/>
      <c r="EYK11" s="338"/>
      <c r="EYL11" s="338"/>
      <c r="EYM11" s="338"/>
      <c r="EYN11" s="338"/>
      <c r="EYO11" s="338"/>
      <c r="EYP11" s="338"/>
      <c r="EYQ11" s="338"/>
      <c r="EYR11" s="338"/>
      <c r="EYS11" s="338"/>
      <c r="EYT11" s="338"/>
      <c r="EYU11" s="338"/>
      <c r="EYV11" s="338"/>
      <c r="EYW11" s="338"/>
      <c r="EYX11" s="338"/>
      <c r="EYY11" s="338"/>
      <c r="EYZ11" s="338"/>
      <c r="EZA11" s="338"/>
      <c r="EZB11" s="338"/>
      <c r="EZC11" s="338"/>
      <c r="EZD11" s="338"/>
      <c r="EZE11" s="338"/>
      <c r="EZF11" s="338"/>
      <c r="EZG11" s="338"/>
      <c r="EZH11" s="338"/>
      <c r="EZI11" s="338"/>
      <c r="EZJ11" s="338"/>
      <c r="EZK11" s="338"/>
      <c r="EZL11" s="338"/>
      <c r="EZM11" s="338"/>
      <c r="EZN11" s="338"/>
      <c r="EZO11" s="338"/>
      <c r="EZP11" s="338"/>
      <c r="EZQ11" s="338"/>
      <c r="EZR11" s="338"/>
      <c r="EZS11" s="338"/>
      <c r="EZT11" s="338"/>
      <c r="EZU11" s="338"/>
      <c r="EZV11" s="338"/>
      <c r="EZW11" s="338"/>
      <c r="EZX11" s="338"/>
      <c r="EZY11" s="338"/>
      <c r="EZZ11" s="338"/>
      <c r="FAA11" s="338"/>
      <c r="FAB11" s="338"/>
      <c r="FAC11" s="338"/>
      <c r="FAD11" s="338"/>
      <c r="FAE11" s="338"/>
      <c r="FAF11" s="338"/>
      <c r="FAG11" s="338"/>
      <c r="FAH11" s="338"/>
      <c r="FAI11" s="338"/>
      <c r="FAJ11" s="338"/>
      <c r="FAK11" s="338"/>
      <c r="FAL11" s="338"/>
      <c r="FAM11" s="338"/>
      <c r="FAN11" s="338"/>
      <c r="FAO11" s="338"/>
      <c r="FAP11" s="338"/>
      <c r="FAQ11" s="338"/>
      <c r="FAR11" s="338"/>
      <c r="FAS11" s="338"/>
      <c r="FAT11" s="338"/>
      <c r="FAU11" s="338"/>
      <c r="FAV11" s="338"/>
      <c r="FAW11" s="338"/>
      <c r="FAX11" s="338"/>
      <c r="FAY11" s="338"/>
      <c r="FAZ11" s="338"/>
      <c r="FBA11" s="338"/>
      <c r="FBB11" s="338"/>
      <c r="FBC11" s="338"/>
      <c r="FBD11" s="338"/>
      <c r="FBE11" s="338"/>
      <c r="FBF11" s="338"/>
      <c r="FBG11" s="338"/>
      <c r="FBH11" s="338"/>
      <c r="FBI11" s="338"/>
      <c r="FBJ11" s="338"/>
      <c r="FBK11" s="338"/>
      <c r="FBL11" s="338"/>
      <c r="FBM11" s="338"/>
      <c r="FBN11" s="338"/>
      <c r="FBO11" s="338"/>
      <c r="FBP11" s="338"/>
      <c r="FBQ11" s="338"/>
      <c r="FBR11" s="338"/>
      <c r="FBS11" s="338"/>
      <c r="FBT11" s="338"/>
      <c r="FBU11" s="338"/>
      <c r="FBV11" s="338"/>
      <c r="FBW11" s="338"/>
      <c r="FBX11" s="338"/>
      <c r="FBY11" s="338"/>
      <c r="FBZ11" s="338"/>
      <c r="FCA11" s="338"/>
      <c r="FCB11" s="338"/>
      <c r="FCC11" s="338"/>
      <c r="FCD11" s="338"/>
      <c r="FCE11" s="338"/>
      <c r="FCF11" s="338"/>
      <c r="FCG11" s="338"/>
      <c r="FCH11" s="338"/>
      <c r="FCI11" s="338"/>
      <c r="FCJ11" s="338"/>
      <c r="FCK11" s="338"/>
      <c r="FCL11" s="338"/>
      <c r="FCM11" s="338"/>
      <c r="FCN11" s="338"/>
      <c r="FCO11" s="338"/>
      <c r="FCP11" s="338"/>
      <c r="FCQ11" s="338"/>
      <c r="FCR11" s="338"/>
      <c r="FCS11" s="338"/>
      <c r="FCT11" s="338"/>
      <c r="FCU11" s="338"/>
      <c r="FCV11" s="338"/>
      <c r="FCW11" s="338"/>
      <c r="FCX11" s="338"/>
      <c r="FCY11" s="338"/>
      <c r="FCZ11" s="338"/>
      <c r="FDA11" s="338"/>
      <c r="FDB11" s="338"/>
      <c r="FDC11" s="338"/>
      <c r="FDD11" s="338"/>
      <c r="FDE11" s="338"/>
      <c r="FDF11" s="338"/>
      <c r="FDG11" s="338"/>
      <c r="FDH11" s="338"/>
      <c r="FDI11" s="338"/>
      <c r="FDJ11" s="338"/>
      <c r="FDK11" s="338"/>
      <c r="FDL11" s="338"/>
      <c r="FDM11" s="338"/>
      <c r="FDN11" s="338"/>
      <c r="FDO11" s="338"/>
      <c r="FDP11" s="338"/>
      <c r="FDQ11" s="338"/>
      <c r="FDR11" s="338"/>
      <c r="FDS11" s="338"/>
      <c r="FDT11" s="338"/>
      <c r="FDU11" s="338"/>
      <c r="FDV11" s="338"/>
      <c r="FDW11" s="338"/>
      <c r="FDX11" s="338"/>
      <c r="FDY11" s="338"/>
      <c r="FDZ11" s="338"/>
      <c r="FEA11" s="338"/>
      <c r="FEB11" s="338"/>
      <c r="FEC11" s="338"/>
      <c r="FED11" s="338"/>
      <c r="FEE11" s="338"/>
      <c r="FEF11" s="338"/>
      <c r="FEG11" s="338"/>
      <c r="FEH11" s="338"/>
      <c r="FEI11" s="338"/>
      <c r="FEJ11" s="338"/>
      <c r="FEK11" s="338"/>
      <c r="FEL11" s="338"/>
      <c r="FEM11" s="338"/>
      <c r="FEN11" s="338"/>
      <c r="FEO11" s="338"/>
      <c r="FEP11" s="338"/>
      <c r="FEQ11" s="338"/>
      <c r="FER11" s="338"/>
      <c r="FES11" s="338"/>
      <c r="FET11" s="338"/>
      <c r="FEU11" s="338"/>
      <c r="FEV11" s="338"/>
      <c r="FEW11" s="338"/>
      <c r="FEX11" s="338"/>
      <c r="FEY11" s="338"/>
      <c r="FEZ11" s="338"/>
      <c r="FFA11" s="338"/>
      <c r="FFB11" s="338"/>
      <c r="FFC11" s="338"/>
      <c r="FFD11" s="338"/>
      <c r="FFE11" s="338"/>
      <c r="FFF11" s="338"/>
      <c r="FFG11" s="338"/>
      <c r="FFH11" s="338"/>
      <c r="FFI11" s="338"/>
      <c r="FFJ11" s="338"/>
      <c r="FFK11" s="338"/>
      <c r="FFL11" s="338"/>
      <c r="FFM11" s="338"/>
      <c r="FFN11" s="338"/>
      <c r="FFO11" s="338"/>
      <c r="FFP11" s="338"/>
      <c r="FFQ11" s="338"/>
      <c r="FFR11" s="338"/>
      <c r="FFS11" s="338"/>
      <c r="FFT11" s="338"/>
      <c r="FFU11" s="338"/>
      <c r="FFV11" s="338"/>
      <c r="FFW11" s="338"/>
      <c r="FFX11" s="338"/>
      <c r="FFY11" s="338"/>
      <c r="FFZ11" s="338"/>
      <c r="FGA11" s="338"/>
      <c r="FGB11" s="338"/>
      <c r="FGC11" s="338"/>
      <c r="FGD11" s="338"/>
      <c r="FGE11" s="338"/>
      <c r="FGF11" s="338"/>
      <c r="FGG11" s="338"/>
      <c r="FGH11" s="338"/>
      <c r="FGI11" s="338"/>
      <c r="FGJ11" s="338"/>
      <c r="FGK11" s="338"/>
      <c r="FGL11" s="338"/>
      <c r="FGM11" s="338"/>
      <c r="FGN11" s="338"/>
      <c r="FGO11" s="338"/>
      <c r="FGP11" s="338"/>
      <c r="FGQ11" s="338"/>
      <c r="FGR11" s="338"/>
      <c r="FGS11" s="338"/>
      <c r="FGT11" s="338"/>
      <c r="FGU11" s="338"/>
      <c r="FGV11" s="338"/>
      <c r="FGW11" s="338"/>
      <c r="FGX11" s="338"/>
      <c r="FGY11" s="338"/>
      <c r="FGZ11" s="338"/>
      <c r="FHA11" s="338"/>
      <c r="FHB11" s="338"/>
      <c r="FHC11" s="338"/>
      <c r="FHD11" s="338"/>
      <c r="FHE11" s="338"/>
      <c r="FHF11" s="338"/>
      <c r="FHG11" s="338"/>
      <c r="FHH11" s="338"/>
      <c r="FHI11" s="338"/>
      <c r="FHJ11" s="338"/>
      <c r="FHK11" s="338"/>
      <c r="FHL11" s="338"/>
      <c r="FHM11" s="338"/>
      <c r="FHN11" s="338"/>
      <c r="FHO11" s="338"/>
      <c r="FHP11" s="338"/>
      <c r="FHQ11" s="338"/>
      <c r="FHR11" s="338"/>
      <c r="FHS11" s="338"/>
      <c r="FHT11" s="338"/>
      <c r="FHU11" s="338"/>
      <c r="FHV11" s="338"/>
      <c r="FHW11" s="338"/>
      <c r="FHX11" s="338"/>
      <c r="FHY11" s="338"/>
      <c r="FHZ11" s="338"/>
      <c r="FIA11" s="338"/>
      <c r="FIB11" s="338"/>
      <c r="FIC11" s="338"/>
      <c r="FID11" s="338"/>
      <c r="FIE11" s="338"/>
      <c r="FIF11" s="338"/>
      <c r="FIG11" s="338"/>
      <c r="FIH11" s="338"/>
      <c r="FII11" s="338"/>
      <c r="FIJ11" s="338"/>
      <c r="FIK11" s="338"/>
      <c r="FIL11" s="338"/>
      <c r="FIM11" s="338"/>
      <c r="FIN11" s="338"/>
      <c r="FIO11" s="338"/>
      <c r="FIP11" s="338"/>
      <c r="FIQ11" s="338"/>
      <c r="FIR11" s="338"/>
      <c r="FIS11" s="338"/>
      <c r="FIT11" s="338"/>
      <c r="FIU11" s="338"/>
      <c r="FIV11" s="338"/>
      <c r="FIW11" s="338"/>
      <c r="FIX11" s="338"/>
      <c r="FIY11" s="338"/>
      <c r="FIZ11" s="338"/>
      <c r="FJA11" s="338"/>
      <c r="FJB11" s="338"/>
      <c r="FJC11" s="338"/>
      <c r="FJD11" s="338"/>
      <c r="FJE11" s="338"/>
      <c r="FJF11" s="338"/>
      <c r="FJG11" s="338"/>
      <c r="FJH11" s="338"/>
      <c r="FJI11" s="338"/>
      <c r="FJJ11" s="338"/>
      <c r="FJK11" s="338"/>
      <c r="FJL11" s="338"/>
      <c r="FJM11" s="338"/>
      <c r="FJN11" s="338"/>
      <c r="FJO11" s="338"/>
      <c r="FJP11" s="338"/>
      <c r="FJQ11" s="338"/>
      <c r="FJR11" s="338"/>
      <c r="FJS11" s="338"/>
      <c r="FJT11" s="338"/>
      <c r="FJU11" s="338"/>
      <c r="FJV11" s="338"/>
      <c r="FJW11" s="338"/>
      <c r="FJX11" s="338"/>
      <c r="FJY11" s="338"/>
      <c r="FJZ11" s="338"/>
      <c r="FKA11" s="338"/>
      <c r="FKB11" s="338"/>
      <c r="FKC11" s="338"/>
      <c r="FKD11" s="338"/>
      <c r="FKE11" s="338"/>
      <c r="FKF11" s="338"/>
      <c r="FKG11" s="338"/>
      <c r="FKH11" s="338"/>
      <c r="FKI11" s="338"/>
      <c r="FKJ11" s="338"/>
      <c r="FKK11" s="338"/>
      <c r="FKL11" s="338"/>
      <c r="FKM11" s="338"/>
      <c r="FKN11" s="338"/>
      <c r="FKO11" s="338"/>
      <c r="FKP11" s="338"/>
      <c r="FKQ11" s="338"/>
      <c r="FKR11" s="338"/>
      <c r="FKS11" s="338"/>
      <c r="FKT11" s="338"/>
      <c r="FKU11" s="338"/>
      <c r="FKV11" s="338"/>
      <c r="FKW11" s="338"/>
      <c r="FKX11" s="338"/>
      <c r="FKY11" s="338"/>
      <c r="FKZ11" s="338"/>
      <c r="FLA11" s="338"/>
      <c r="FLB11" s="338"/>
      <c r="FLC11" s="338"/>
      <c r="FLD11" s="338"/>
      <c r="FLE11" s="338"/>
      <c r="FLF11" s="338"/>
      <c r="FLG11" s="338"/>
      <c r="FLH11" s="338"/>
      <c r="FLI11" s="338"/>
      <c r="FLJ11" s="338"/>
      <c r="FLK11" s="338"/>
      <c r="FLL11" s="338"/>
      <c r="FLM11" s="338"/>
      <c r="FLN11" s="338"/>
      <c r="FLO11" s="338"/>
      <c r="FLP11" s="338"/>
      <c r="FLQ11" s="338"/>
      <c r="FLR11" s="338"/>
      <c r="FLS11" s="338"/>
      <c r="FLT11" s="338"/>
      <c r="FLU11" s="338"/>
      <c r="FLV11" s="338"/>
      <c r="FLW11" s="338"/>
      <c r="FLX11" s="338"/>
      <c r="FLY11" s="338"/>
      <c r="FLZ11" s="338"/>
      <c r="FMA11" s="338"/>
      <c r="FMB11" s="338"/>
      <c r="FMC11" s="338"/>
      <c r="FMD11" s="338"/>
      <c r="FME11" s="338"/>
      <c r="FMF11" s="338"/>
      <c r="FMG11" s="338"/>
      <c r="FMH11" s="338"/>
      <c r="FMI11" s="338"/>
      <c r="FMJ11" s="338"/>
      <c r="FMK11" s="338"/>
      <c r="FML11" s="338"/>
      <c r="FMM11" s="338"/>
      <c r="FMN11" s="338"/>
      <c r="FMO11" s="338"/>
      <c r="FMP11" s="338"/>
      <c r="FMQ11" s="338"/>
      <c r="FMR11" s="338"/>
      <c r="FMS11" s="338"/>
      <c r="FMT11" s="338"/>
      <c r="FMU11" s="338"/>
      <c r="FMV11" s="338"/>
      <c r="FMW11" s="338"/>
      <c r="FMX11" s="338"/>
      <c r="FMY11" s="338"/>
      <c r="FMZ11" s="338"/>
      <c r="FNA11" s="338"/>
      <c r="FNB11" s="338"/>
      <c r="FNC11" s="338"/>
      <c r="FND11" s="338"/>
      <c r="FNE11" s="338"/>
      <c r="FNF11" s="338"/>
      <c r="FNG11" s="338"/>
      <c r="FNH11" s="338"/>
      <c r="FNI11" s="338"/>
      <c r="FNJ11" s="338"/>
      <c r="FNK11" s="338"/>
      <c r="FNL11" s="338"/>
      <c r="FNM11" s="338"/>
      <c r="FNN11" s="338"/>
      <c r="FNO11" s="338"/>
      <c r="FNP11" s="338"/>
      <c r="FNQ11" s="338"/>
      <c r="FNR11" s="338"/>
      <c r="FNS11" s="338"/>
      <c r="FNT11" s="338"/>
      <c r="FNU11" s="338"/>
      <c r="FNV11" s="338"/>
      <c r="FNW11" s="338"/>
      <c r="FNX11" s="338"/>
      <c r="FNY11" s="338"/>
      <c r="FNZ11" s="338"/>
      <c r="FOA11" s="338"/>
      <c r="FOB11" s="338"/>
      <c r="FOC11" s="338"/>
      <c r="FOD11" s="338"/>
      <c r="FOE11" s="338"/>
      <c r="FOF11" s="338"/>
      <c r="FOG11" s="338"/>
      <c r="FOH11" s="338"/>
      <c r="FOI11" s="338"/>
      <c r="FOJ11" s="338"/>
      <c r="FOK11" s="338"/>
      <c r="FOL11" s="338"/>
      <c r="FOM11" s="338"/>
      <c r="FON11" s="338"/>
      <c r="FOO11" s="338"/>
      <c r="FOP11" s="338"/>
      <c r="FOQ11" s="338"/>
      <c r="FOR11" s="338"/>
      <c r="FOS11" s="338"/>
      <c r="FOT11" s="338"/>
      <c r="FOU11" s="338"/>
      <c r="FOV11" s="338"/>
      <c r="FOW11" s="338"/>
      <c r="FOX11" s="338"/>
      <c r="FOY11" s="338"/>
      <c r="FOZ11" s="338"/>
      <c r="FPA11" s="338"/>
      <c r="FPB11" s="338"/>
      <c r="FPC11" s="338"/>
      <c r="FPD11" s="338"/>
      <c r="FPE11" s="338"/>
      <c r="FPF11" s="338"/>
      <c r="FPG11" s="338"/>
      <c r="FPH11" s="338"/>
      <c r="FPI11" s="338"/>
      <c r="FPJ11" s="338"/>
      <c r="FPK11" s="338"/>
      <c r="FPL11" s="338"/>
      <c r="FPM11" s="338"/>
      <c r="FPN11" s="338"/>
      <c r="FPO11" s="338"/>
      <c r="FPP11" s="338"/>
      <c r="FPQ11" s="338"/>
      <c r="FPR11" s="338"/>
      <c r="FPS11" s="338"/>
      <c r="FPT11" s="338"/>
      <c r="FPU11" s="338"/>
      <c r="FPV11" s="338"/>
      <c r="FPW11" s="338"/>
      <c r="FPX11" s="338"/>
      <c r="FPY11" s="338"/>
      <c r="FPZ11" s="338"/>
      <c r="FQA11" s="338"/>
      <c r="FQB11" s="338"/>
      <c r="FQC11" s="338"/>
      <c r="FQD11" s="338"/>
      <c r="FQE11" s="338"/>
      <c r="FQF11" s="338"/>
      <c r="FQG11" s="338"/>
      <c r="FQH11" s="338"/>
      <c r="FQI11" s="338"/>
      <c r="FQJ11" s="338"/>
      <c r="FQK11" s="338"/>
      <c r="FQL11" s="338"/>
      <c r="FQM11" s="338"/>
      <c r="FQN11" s="338"/>
      <c r="FQO11" s="338"/>
      <c r="FQP11" s="338"/>
      <c r="FQQ11" s="338"/>
      <c r="FQR11" s="338"/>
      <c r="FQS11" s="338"/>
      <c r="FQT11" s="338"/>
      <c r="FQU11" s="338"/>
      <c r="FQV11" s="338"/>
      <c r="FQW11" s="338"/>
      <c r="FQX11" s="338"/>
      <c r="FQY11" s="338"/>
      <c r="FQZ11" s="338"/>
      <c r="FRA11" s="338"/>
      <c r="FRB11" s="338"/>
      <c r="FRC11" s="338"/>
      <c r="FRD11" s="338"/>
      <c r="FRE11" s="338"/>
      <c r="FRF11" s="338"/>
      <c r="FRG11" s="338"/>
      <c r="FRH11" s="338"/>
      <c r="FRI11" s="338"/>
      <c r="FRJ11" s="338"/>
      <c r="FRK11" s="338"/>
      <c r="FRL11" s="338"/>
      <c r="FRM11" s="338"/>
      <c r="FRN11" s="338"/>
      <c r="FRO11" s="338"/>
      <c r="FRP11" s="338"/>
      <c r="FRQ11" s="338"/>
      <c r="FRR11" s="338"/>
      <c r="FRS11" s="338"/>
      <c r="FRT11" s="338"/>
      <c r="FRU11" s="338"/>
      <c r="FRV11" s="338"/>
      <c r="FRW11" s="338"/>
      <c r="FRX11" s="338"/>
      <c r="FRY11" s="338"/>
      <c r="FRZ11" s="338"/>
      <c r="FSA11" s="338"/>
      <c r="FSB11" s="338"/>
      <c r="FSC11" s="338"/>
      <c r="FSD11" s="338"/>
      <c r="FSE11" s="338"/>
      <c r="FSF11" s="338"/>
      <c r="FSG11" s="338"/>
      <c r="FSH11" s="338"/>
      <c r="FSI11" s="338"/>
      <c r="FSJ11" s="338"/>
      <c r="FSK11" s="338"/>
      <c r="FSL11" s="338"/>
      <c r="FSM11" s="338"/>
      <c r="FSN11" s="338"/>
      <c r="FSO11" s="338"/>
      <c r="FSP11" s="338"/>
      <c r="FSQ11" s="338"/>
      <c r="FSR11" s="338"/>
      <c r="FSS11" s="338"/>
      <c r="FST11" s="338"/>
      <c r="FSU11" s="338"/>
      <c r="FSV11" s="338"/>
      <c r="FSW11" s="338"/>
      <c r="FSX11" s="338"/>
      <c r="FSY11" s="338"/>
      <c r="FSZ11" s="338"/>
      <c r="FTA11" s="338"/>
      <c r="FTB11" s="338"/>
      <c r="FTC11" s="338"/>
      <c r="FTD11" s="338"/>
      <c r="FTE11" s="338"/>
      <c r="FTF11" s="338"/>
      <c r="FTG11" s="338"/>
      <c r="FTH11" s="338"/>
      <c r="FTI11" s="338"/>
      <c r="FTJ11" s="338"/>
      <c r="FTK11" s="338"/>
      <c r="FTL11" s="338"/>
      <c r="FTM11" s="338"/>
      <c r="FTN11" s="338"/>
      <c r="FTO11" s="338"/>
      <c r="FTP11" s="338"/>
      <c r="FTQ11" s="338"/>
      <c r="FTR11" s="338"/>
      <c r="FTS11" s="338"/>
      <c r="FTT11" s="338"/>
      <c r="FTU11" s="338"/>
      <c r="FTV11" s="338"/>
      <c r="FTW11" s="338"/>
      <c r="FTX11" s="338"/>
      <c r="FTY11" s="338"/>
      <c r="FTZ11" s="338"/>
      <c r="FUA11" s="338"/>
      <c r="FUB11" s="338"/>
      <c r="FUC11" s="338"/>
      <c r="FUD11" s="338"/>
      <c r="FUE11" s="338"/>
      <c r="FUF11" s="338"/>
      <c r="FUG11" s="338"/>
      <c r="FUH11" s="338"/>
      <c r="FUI11" s="338"/>
      <c r="FUJ11" s="338"/>
      <c r="FUK11" s="338"/>
      <c r="FUL11" s="338"/>
      <c r="FUM11" s="338"/>
      <c r="FUN11" s="338"/>
      <c r="FUO11" s="338"/>
      <c r="FUP11" s="338"/>
      <c r="FUQ11" s="338"/>
      <c r="FUR11" s="338"/>
      <c r="FUS11" s="338"/>
      <c r="FUT11" s="338"/>
      <c r="FUU11" s="338"/>
      <c r="FUV11" s="338"/>
      <c r="FUW11" s="338"/>
      <c r="FUX11" s="338"/>
      <c r="FUY11" s="338"/>
      <c r="FUZ11" s="338"/>
      <c r="FVA11" s="338"/>
      <c r="FVB11" s="338"/>
      <c r="FVC11" s="338"/>
      <c r="FVD11" s="338"/>
      <c r="FVE11" s="338"/>
      <c r="FVF11" s="338"/>
      <c r="FVG11" s="338"/>
      <c r="FVH11" s="338"/>
      <c r="FVI11" s="338"/>
      <c r="FVJ11" s="338"/>
      <c r="FVK11" s="338"/>
      <c r="FVL11" s="338"/>
      <c r="FVM11" s="338"/>
      <c r="FVN11" s="338"/>
      <c r="FVO11" s="338"/>
      <c r="FVP11" s="338"/>
      <c r="FVQ11" s="338"/>
      <c r="FVR11" s="338"/>
      <c r="FVS11" s="338"/>
      <c r="FVT11" s="338"/>
      <c r="FVU11" s="338"/>
      <c r="FVV11" s="338"/>
      <c r="FVW11" s="338"/>
      <c r="FVX11" s="338"/>
      <c r="FVY11" s="338"/>
      <c r="FVZ11" s="338"/>
      <c r="FWA11" s="338"/>
      <c r="FWB11" s="338"/>
      <c r="FWC11" s="338"/>
      <c r="FWD11" s="338"/>
      <c r="FWE11" s="338"/>
      <c r="FWF11" s="338"/>
      <c r="FWG11" s="338"/>
      <c r="FWH11" s="338"/>
      <c r="FWI11" s="338"/>
      <c r="FWJ11" s="338"/>
      <c r="FWK11" s="338"/>
      <c r="FWL11" s="338"/>
      <c r="FWM11" s="338"/>
      <c r="FWN11" s="338"/>
      <c r="FWO11" s="338"/>
      <c r="FWP11" s="338"/>
      <c r="FWQ11" s="338"/>
      <c r="FWR11" s="338"/>
      <c r="FWS11" s="338"/>
      <c r="FWT11" s="338"/>
      <c r="FWU11" s="338"/>
      <c r="FWV11" s="338"/>
      <c r="FWW11" s="338"/>
      <c r="FWX11" s="338"/>
      <c r="FWY11" s="338"/>
      <c r="FWZ11" s="338"/>
      <c r="FXA11" s="338"/>
      <c r="FXB11" s="338"/>
      <c r="FXC11" s="338"/>
      <c r="FXD11" s="338"/>
      <c r="FXE11" s="338"/>
      <c r="FXF11" s="338"/>
      <c r="FXG11" s="338"/>
      <c r="FXH11" s="338"/>
      <c r="FXI11" s="338"/>
      <c r="FXJ11" s="338"/>
      <c r="FXK11" s="338"/>
      <c r="FXL11" s="338"/>
      <c r="FXM11" s="338"/>
      <c r="FXN11" s="338"/>
      <c r="FXO11" s="338"/>
      <c r="FXP11" s="338"/>
      <c r="FXQ11" s="338"/>
      <c r="FXR11" s="338"/>
      <c r="FXS11" s="338"/>
      <c r="FXT11" s="338"/>
      <c r="FXU11" s="338"/>
      <c r="FXV11" s="338"/>
      <c r="FXW11" s="338"/>
      <c r="FXX11" s="338"/>
      <c r="FXY11" s="338"/>
      <c r="FXZ11" s="338"/>
      <c r="FYA11" s="338"/>
      <c r="FYB11" s="338"/>
      <c r="FYC11" s="338"/>
      <c r="FYD11" s="338"/>
      <c r="FYE11" s="338"/>
      <c r="FYF11" s="338"/>
      <c r="FYG11" s="338"/>
      <c r="FYH11" s="338"/>
      <c r="FYI11" s="338"/>
      <c r="FYJ11" s="338"/>
      <c r="FYK11" s="338"/>
      <c r="FYL11" s="338"/>
      <c r="FYM11" s="338"/>
      <c r="FYN11" s="338"/>
      <c r="FYO11" s="338"/>
      <c r="FYP11" s="338"/>
      <c r="FYQ11" s="338"/>
      <c r="FYR11" s="338"/>
      <c r="FYS11" s="338"/>
      <c r="FYT11" s="338"/>
      <c r="FYU11" s="338"/>
      <c r="FYV11" s="338"/>
      <c r="FYW11" s="338"/>
      <c r="FYX11" s="338"/>
      <c r="FYY11" s="338"/>
      <c r="FYZ11" s="338"/>
      <c r="FZA11" s="338"/>
      <c r="FZB11" s="338"/>
      <c r="FZC11" s="338"/>
      <c r="FZD11" s="338"/>
      <c r="FZE11" s="338"/>
      <c r="FZF11" s="338"/>
      <c r="FZG11" s="338"/>
      <c r="FZH11" s="338"/>
      <c r="FZI11" s="338"/>
      <c r="FZJ11" s="338"/>
      <c r="FZK11" s="338"/>
      <c r="FZL11" s="338"/>
      <c r="FZM11" s="338"/>
      <c r="FZN11" s="338"/>
      <c r="FZO11" s="338"/>
      <c r="FZP11" s="338"/>
      <c r="FZQ11" s="338"/>
      <c r="FZR11" s="338"/>
      <c r="FZS11" s="338"/>
      <c r="FZT11" s="338"/>
      <c r="FZU11" s="338"/>
      <c r="FZV11" s="338"/>
      <c r="FZW11" s="338"/>
      <c r="FZX11" s="338"/>
      <c r="FZY11" s="338"/>
      <c r="FZZ11" s="338"/>
      <c r="GAA11" s="338"/>
      <c r="GAB11" s="338"/>
      <c r="GAC11" s="338"/>
      <c r="GAD11" s="338"/>
      <c r="GAE11" s="338"/>
      <c r="GAF11" s="338"/>
      <c r="GAG11" s="338"/>
      <c r="GAH11" s="338"/>
      <c r="GAI11" s="338"/>
      <c r="GAJ11" s="338"/>
      <c r="GAK11" s="338"/>
      <c r="GAL11" s="338"/>
      <c r="GAM11" s="338"/>
      <c r="GAN11" s="338"/>
      <c r="GAO11" s="338"/>
      <c r="GAP11" s="338"/>
      <c r="GAQ11" s="338"/>
      <c r="GAR11" s="338"/>
      <c r="GAS11" s="338"/>
      <c r="GAT11" s="338"/>
      <c r="GAU11" s="338"/>
      <c r="GAV11" s="338"/>
      <c r="GAW11" s="338"/>
      <c r="GAX11" s="338"/>
      <c r="GAY11" s="338"/>
      <c r="GAZ11" s="338"/>
      <c r="GBA11" s="338"/>
      <c r="GBB11" s="338"/>
      <c r="GBC11" s="338"/>
      <c r="GBD11" s="338"/>
      <c r="GBE11" s="338"/>
      <c r="GBF11" s="338"/>
      <c r="GBG11" s="338"/>
      <c r="GBH11" s="338"/>
      <c r="GBI11" s="338"/>
      <c r="GBJ11" s="338"/>
      <c r="GBK11" s="338"/>
      <c r="GBL11" s="338"/>
      <c r="GBM11" s="338"/>
      <c r="GBN11" s="338"/>
      <c r="GBO11" s="338"/>
      <c r="GBP11" s="338"/>
      <c r="GBQ11" s="338"/>
      <c r="GBR11" s="338"/>
      <c r="GBS11" s="338"/>
      <c r="GBT11" s="338"/>
      <c r="GBU11" s="338"/>
      <c r="GBV11" s="338"/>
      <c r="GBW11" s="338"/>
      <c r="GBX11" s="338"/>
      <c r="GBY11" s="338"/>
      <c r="GBZ11" s="338"/>
      <c r="GCA11" s="338"/>
      <c r="GCB11" s="338"/>
      <c r="GCC11" s="338"/>
      <c r="GCD11" s="338"/>
      <c r="GCE11" s="338"/>
      <c r="GCF11" s="338"/>
      <c r="GCG11" s="338"/>
      <c r="GCH11" s="338"/>
      <c r="GCI11" s="338"/>
      <c r="GCJ11" s="338"/>
      <c r="GCK11" s="338"/>
      <c r="GCL11" s="338"/>
      <c r="GCM11" s="338"/>
      <c r="GCN11" s="338"/>
      <c r="GCO11" s="338"/>
      <c r="GCP11" s="338"/>
      <c r="GCQ11" s="338"/>
      <c r="GCR11" s="338"/>
      <c r="GCS11" s="338"/>
      <c r="GCT11" s="338"/>
      <c r="GCU11" s="338"/>
      <c r="GCV11" s="338"/>
      <c r="GCW11" s="338"/>
      <c r="GCX11" s="338"/>
      <c r="GCY11" s="338"/>
      <c r="GCZ11" s="338"/>
      <c r="GDA11" s="338"/>
      <c r="GDB11" s="338"/>
      <c r="GDC11" s="338"/>
      <c r="GDD11" s="338"/>
      <c r="GDE11" s="338"/>
      <c r="GDF11" s="338"/>
      <c r="GDG11" s="338"/>
      <c r="GDH11" s="338"/>
      <c r="GDI11" s="338"/>
      <c r="GDJ11" s="338"/>
      <c r="GDK11" s="338"/>
      <c r="GDL11" s="338"/>
      <c r="GDM11" s="338"/>
      <c r="GDN11" s="338"/>
      <c r="GDO11" s="338"/>
      <c r="GDP11" s="338"/>
      <c r="GDQ11" s="338"/>
      <c r="GDR11" s="338"/>
      <c r="GDS11" s="338"/>
      <c r="GDT11" s="338"/>
      <c r="GDU11" s="338"/>
      <c r="GDV11" s="338"/>
      <c r="GDW11" s="338"/>
      <c r="GDX11" s="338"/>
      <c r="GDY11" s="338"/>
      <c r="GDZ11" s="338"/>
      <c r="GEA11" s="338"/>
      <c r="GEB11" s="338"/>
      <c r="GEC11" s="338"/>
      <c r="GED11" s="338"/>
      <c r="GEE11" s="338"/>
      <c r="GEF11" s="338"/>
      <c r="GEG11" s="338"/>
      <c r="GEH11" s="338"/>
      <c r="GEI11" s="338"/>
      <c r="GEJ11" s="338"/>
      <c r="GEK11" s="338"/>
      <c r="GEL11" s="338"/>
      <c r="GEM11" s="338"/>
      <c r="GEN11" s="338"/>
      <c r="GEO11" s="338"/>
      <c r="GEP11" s="338"/>
      <c r="GEQ11" s="338"/>
      <c r="GER11" s="338"/>
      <c r="GES11" s="338"/>
      <c r="GET11" s="338"/>
      <c r="GEU11" s="338"/>
      <c r="GEV11" s="338"/>
      <c r="GEW11" s="338"/>
      <c r="GEX11" s="338"/>
      <c r="GEY11" s="338"/>
      <c r="GEZ11" s="338"/>
      <c r="GFA11" s="338"/>
      <c r="GFB11" s="338"/>
      <c r="GFC11" s="338"/>
      <c r="GFD11" s="338"/>
      <c r="GFE11" s="338"/>
      <c r="GFF11" s="338"/>
      <c r="GFG11" s="338"/>
      <c r="GFH11" s="338"/>
      <c r="GFI11" s="338"/>
      <c r="GFJ11" s="338"/>
      <c r="GFK11" s="338"/>
      <c r="GFL11" s="338"/>
      <c r="GFM11" s="338"/>
      <c r="GFN11" s="338"/>
      <c r="GFO11" s="338"/>
      <c r="GFP11" s="338"/>
      <c r="GFQ11" s="338"/>
      <c r="GFR11" s="338"/>
      <c r="GFS11" s="338"/>
      <c r="GFT11" s="338"/>
      <c r="GFU11" s="338"/>
      <c r="GFV11" s="338"/>
      <c r="GFW11" s="338"/>
      <c r="GFX11" s="338"/>
      <c r="GFY11" s="338"/>
      <c r="GFZ11" s="338"/>
      <c r="GGA11" s="338"/>
      <c r="GGB11" s="338"/>
      <c r="GGC11" s="338"/>
      <c r="GGD11" s="338"/>
      <c r="GGE11" s="338"/>
      <c r="GGF11" s="338"/>
      <c r="GGG11" s="338"/>
      <c r="GGH11" s="338"/>
      <c r="GGI11" s="338"/>
      <c r="GGJ11" s="338"/>
      <c r="GGK11" s="338"/>
      <c r="GGL11" s="338"/>
      <c r="GGM11" s="338"/>
      <c r="GGN11" s="338"/>
      <c r="GGO11" s="338"/>
      <c r="GGP11" s="338"/>
      <c r="GGQ11" s="338"/>
      <c r="GGR11" s="338"/>
      <c r="GGS11" s="338"/>
      <c r="GGT11" s="338"/>
      <c r="GGU11" s="338"/>
      <c r="GGV11" s="338"/>
      <c r="GGW11" s="338"/>
      <c r="GGX11" s="338"/>
      <c r="GGY11" s="338"/>
      <c r="GGZ11" s="338"/>
      <c r="GHA11" s="338"/>
      <c r="GHB11" s="338"/>
      <c r="GHC11" s="338"/>
      <c r="GHD11" s="338"/>
      <c r="GHE11" s="338"/>
      <c r="GHF11" s="338"/>
      <c r="GHG11" s="338"/>
      <c r="GHH11" s="338"/>
      <c r="GHI11" s="338"/>
      <c r="GHJ11" s="338"/>
      <c r="GHK11" s="338"/>
      <c r="GHL11" s="338"/>
      <c r="GHM11" s="338"/>
      <c r="GHN11" s="338"/>
      <c r="GHO11" s="338"/>
      <c r="GHP11" s="338"/>
      <c r="GHQ11" s="338"/>
      <c r="GHR11" s="338"/>
      <c r="GHS11" s="338"/>
      <c r="GHT11" s="338"/>
      <c r="GHU11" s="338"/>
      <c r="GHV11" s="338"/>
      <c r="GHW11" s="338"/>
      <c r="GHX11" s="338"/>
      <c r="GHY11" s="338"/>
      <c r="GHZ11" s="338"/>
      <c r="GIA11" s="338"/>
      <c r="GIB11" s="338"/>
      <c r="GIC11" s="338"/>
      <c r="GID11" s="338"/>
      <c r="GIE11" s="338"/>
      <c r="GIF11" s="338"/>
      <c r="GIG11" s="338"/>
      <c r="GIH11" s="338"/>
      <c r="GII11" s="338"/>
      <c r="GIJ11" s="338"/>
      <c r="GIK11" s="338"/>
      <c r="GIL11" s="338"/>
      <c r="GIM11" s="338"/>
      <c r="GIN11" s="338"/>
      <c r="GIO11" s="338"/>
      <c r="GIP11" s="338"/>
      <c r="GIQ11" s="338"/>
      <c r="GIR11" s="338"/>
      <c r="GIS11" s="338"/>
      <c r="GIT11" s="338"/>
      <c r="GIU11" s="338"/>
      <c r="GIV11" s="338"/>
      <c r="GIW11" s="338"/>
      <c r="GIX11" s="338"/>
      <c r="GIY11" s="338"/>
      <c r="GIZ11" s="338"/>
      <c r="GJA11" s="338"/>
      <c r="GJB11" s="338"/>
      <c r="GJC11" s="338"/>
      <c r="GJD11" s="338"/>
      <c r="GJE11" s="338"/>
      <c r="GJF11" s="338"/>
      <c r="GJG11" s="338"/>
      <c r="GJH11" s="338"/>
      <c r="GJI11" s="338"/>
      <c r="GJJ11" s="338"/>
      <c r="GJK11" s="338"/>
      <c r="GJL11" s="338"/>
      <c r="GJM11" s="338"/>
      <c r="GJN11" s="338"/>
      <c r="GJO11" s="338"/>
      <c r="GJP11" s="338"/>
      <c r="GJQ11" s="338"/>
      <c r="GJR11" s="338"/>
      <c r="GJS11" s="338"/>
      <c r="GJT11" s="338"/>
      <c r="GJU11" s="338"/>
      <c r="GJV11" s="338"/>
      <c r="GJW11" s="338"/>
      <c r="GJX11" s="338"/>
      <c r="GJY11" s="338"/>
      <c r="GJZ11" s="338"/>
      <c r="GKA11" s="338"/>
      <c r="GKB11" s="338"/>
      <c r="GKC11" s="338"/>
      <c r="GKD11" s="338"/>
      <c r="GKE11" s="338"/>
      <c r="GKF11" s="338"/>
      <c r="GKG11" s="338"/>
      <c r="GKH11" s="338"/>
      <c r="GKI11" s="338"/>
      <c r="GKJ11" s="338"/>
      <c r="GKK11" s="338"/>
      <c r="GKL11" s="338"/>
      <c r="GKM11" s="338"/>
      <c r="GKN11" s="338"/>
      <c r="GKO11" s="338"/>
      <c r="GKP11" s="338"/>
      <c r="GKQ11" s="338"/>
      <c r="GKR11" s="338"/>
      <c r="GKS11" s="338"/>
      <c r="GKT11" s="338"/>
      <c r="GKU11" s="338"/>
      <c r="GKV11" s="338"/>
      <c r="GKW11" s="338"/>
      <c r="GKX11" s="338"/>
      <c r="GKY11" s="338"/>
      <c r="GKZ11" s="338"/>
      <c r="GLA11" s="338"/>
      <c r="GLB11" s="338"/>
      <c r="GLC11" s="338"/>
      <c r="GLD11" s="338"/>
      <c r="GLE11" s="338"/>
      <c r="GLF11" s="338"/>
      <c r="GLG11" s="338"/>
      <c r="GLH11" s="338"/>
      <c r="GLI11" s="338"/>
      <c r="GLJ11" s="338"/>
      <c r="GLK11" s="338"/>
      <c r="GLL11" s="338"/>
      <c r="GLM11" s="338"/>
      <c r="GLN11" s="338"/>
      <c r="GLO11" s="338"/>
      <c r="GLP11" s="338"/>
      <c r="GLQ11" s="338"/>
      <c r="GLR11" s="338"/>
      <c r="GLS11" s="338"/>
      <c r="GLT11" s="338"/>
      <c r="GLU11" s="338"/>
      <c r="GLV11" s="338"/>
      <c r="GLW11" s="338"/>
      <c r="GLX11" s="338"/>
      <c r="GLY11" s="338"/>
      <c r="GLZ11" s="338"/>
      <c r="GMA11" s="338"/>
      <c r="GMB11" s="338"/>
      <c r="GMC11" s="338"/>
      <c r="GMD11" s="338"/>
      <c r="GME11" s="338"/>
      <c r="GMF11" s="338"/>
      <c r="GMG11" s="338"/>
      <c r="GMH11" s="338"/>
      <c r="GMI11" s="338"/>
      <c r="GMJ11" s="338"/>
      <c r="GMK11" s="338"/>
      <c r="GML11" s="338"/>
      <c r="GMM11" s="338"/>
      <c r="GMN11" s="338"/>
      <c r="GMO11" s="338"/>
      <c r="GMP11" s="338"/>
      <c r="GMQ11" s="338"/>
      <c r="GMR11" s="338"/>
      <c r="GMS11" s="338"/>
      <c r="GMT11" s="338"/>
      <c r="GMU11" s="338"/>
      <c r="GMV11" s="338"/>
      <c r="GMW11" s="338"/>
      <c r="GMX11" s="338"/>
      <c r="GMY11" s="338"/>
      <c r="GMZ11" s="338"/>
      <c r="GNA11" s="338"/>
      <c r="GNB11" s="338"/>
      <c r="GNC11" s="338"/>
      <c r="GND11" s="338"/>
      <c r="GNE11" s="338"/>
      <c r="GNF11" s="338"/>
      <c r="GNG11" s="338"/>
      <c r="GNH11" s="338"/>
      <c r="GNI11" s="338"/>
      <c r="GNJ11" s="338"/>
      <c r="GNK11" s="338"/>
      <c r="GNL11" s="338"/>
      <c r="GNM11" s="338"/>
      <c r="GNN11" s="338"/>
      <c r="GNO11" s="338"/>
      <c r="GNP11" s="338"/>
      <c r="GNQ11" s="338"/>
      <c r="GNR11" s="338"/>
      <c r="GNS11" s="338"/>
      <c r="GNT11" s="338"/>
      <c r="GNU11" s="338"/>
      <c r="GNV11" s="338"/>
      <c r="GNW11" s="338"/>
      <c r="GNX11" s="338"/>
      <c r="GNY11" s="338"/>
      <c r="GNZ11" s="338"/>
      <c r="GOA11" s="338"/>
      <c r="GOB11" s="338"/>
      <c r="GOC11" s="338"/>
      <c r="GOD11" s="338"/>
      <c r="GOE11" s="338"/>
      <c r="GOF11" s="338"/>
      <c r="GOG11" s="338"/>
      <c r="GOH11" s="338"/>
      <c r="GOI11" s="338"/>
      <c r="GOJ11" s="338"/>
      <c r="GOK11" s="338"/>
      <c r="GOL11" s="338"/>
      <c r="GOM11" s="338"/>
      <c r="GON11" s="338"/>
      <c r="GOO11" s="338"/>
      <c r="GOP11" s="338"/>
      <c r="GOQ11" s="338"/>
      <c r="GOR11" s="338"/>
      <c r="GOS11" s="338"/>
      <c r="GOT11" s="338"/>
      <c r="GOU11" s="338"/>
      <c r="GOV11" s="338"/>
      <c r="GOW11" s="338"/>
      <c r="GOX11" s="338"/>
      <c r="GOY11" s="338"/>
      <c r="GOZ11" s="338"/>
      <c r="GPA11" s="338"/>
      <c r="GPB11" s="338"/>
      <c r="GPC11" s="338"/>
      <c r="GPD11" s="338"/>
      <c r="GPE11" s="338"/>
      <c r="GPF11" s="338"/>
      <c r="GPG11" s="338"/>
      <c r="GPH11" s="338"/>
      <c r="GPI11" s="338"/>
      <c r="GPJ11" s="338"/>
      <c r="GPK11" s="338"/>
      <c r="GPL11" s="338"/>
      <c r="GPM11" s="338"/>
      <c r="GPN11" s="338"/>
      <c r="GPO11" s="338"/>
      <c r="GPP11" s="338"/>
      <c r="GPQ11" s="338"/>
      <c r="GPR11" s="338"/>
      <c r="GPS11" s="338"/>
      <c r="GPT11" s="338"/>
      <c r="GPU11" s="338"/>
      <c r="GPV11" s="338"/>
      <c r="GPW11" s="338"/>
      <c r="GPX11" s="338"/>
      <c r="GPY11" s="338"/>
      <c r="GPZ11" s="338"/>
      <c r="GQA11" s="338"/>
      <c r="GQB11" s="338"/>
      <c r="GQC11" s="338"/>
      <c r="GQD11" s="338"/>
      <c r="GQE11" s="338"/>
      <c r="GQF11" s="338"/>
      <c r="GQG11" s="338"/>
      <c r="GQH11" s="338"/>
      <c r="GQI11" s="338"/>
      <c r="GQJ11" s="338"/>
      <c r="GQK11" s="338"/>
      <c r="GQL11" s="338"/>
      <c r="GQM11" s="338"/>
      <c r="GQN11" s="338"/>
      <c r="GQO11" s="338"/>
      <c r="GQP11" s="338"/>
      <c r="GQQ11" s="338"/>
      <c r="GQR11" s="338"/>
      <c r="GQS11" s="338"/>
      <c r="GQT11" s="338"/>
      <c r="GQU11" s="338"/>
      <c r="GQV11" s="338"/>
      <c r="GQW11" s="338"/>
      <c r="GQX11" s="338"/>
      <c r="GQY11" s="338"/>
      <c r="GQZ11" s="338"/>
      <c r="GRA11" s="338"/>
      <c r="GRB11" s="338"/>
      <c r="GRC11" s="338"/>
      <c r="GRD11" s="338"/>
      <c r="GRE11" s="338"/>
      <c r="GRF11" s="338"/>
      <c r="GRG11" s="338"/>
      <c r="GRH11" s="338"/>
      <c r="GRI11" s="338"/>
      <c r="GRJ11" s="338"/>
      <c r="GRK11" s="338"/>
      <c r="GRL11" s="338"/>
      <c r="GRM11" s="338"/>
      <c r="GRN11" s="338"/>
      <c r="GRO11" s="338"/>
      <c r="GRP11" s="338"/>
      <c r="GRQ11" s="338"/>
      <c r="GRR11" s="338"/>
      <c r="GRS11" s="338"/>
      <c r="GRT11" s="338"/>
      <c r="GRU11" s="338"/>
      <c r="GRV11" s="338"/>
      <c r="GRW11" s="338"/>
      <c r="GRX11" s="338"/>
      <c r="GRY11" s="338"/>
      <c r="GRZ11" s="338"/>
      <c r="GSA11" s="338"/>
      <c r="GSB11" s="338"/>
      <c r="GSC11" s="338"/>
      <c r="GSD11" s="338"/>
      <c r="GSE11" s="338"/>
      <c r="GSF11" s="338"/>
      <c r="GSG11" s="338"/>
      <c r="GSH11" s="338"/>
      <c r="GSI11" s="338"/>
      <c r="GSJ11" s="338"/>
      <c r="GSK11" s="338"/>
      <c r="GSL11" s="338"/>
      <c r="GSM11" s="338"/>
      <c r="GSN11" s="338"/>
      <c r="GSO11" s="338"/>
      <c r="GSP11" s="338"/>
      <c r="GSQ11" s="338"/>
      <c r="GSR11" s="338"/>
      <c r="GSS11" s="338"/>
      <c r="GST11" s="338"/>
      <c r="GSU11" s="338"/>
      <c r="GSV11" s="338"/>
      <c r="GSW11" s="338"/>
      <c r="GSX11" s="338"/>
      <c r="GSY11" s="338"/>
      <c r="GSZ11" s="338"/>
      <c r="GTA11" s="338"/>
      <c r="GTB11" s="338"/>
      <c r="GTC11" s="338"/>
      <c r="GTD11" s="338"/>
      <c r="GTE11" s="338"/>
      <c r="GTF11" s="338"/>
      <c r="GTG11" s="338"/>
      <c r="GTH11" s="338"/>
      <c r="GTI11" s="338"/>
      <c r="GTJ11" s="338"/>
      <c r="GTK11" s="338"/>
      <c r="GTL11" s="338"/>
      <c r="GTM11" s="338"/>
      <c r="GTN11" s="338"/>
      <c r="GTO11" s="338"/>
      <c r="GTP11" s="338"/>
      <c r="GTQ11" s="338"/>
      <c r="GTR11" s="338"/>
      <c r="GTS11" s="338"/>
      <c r="GTT11" s="338"/>
      <c r="GTU11" s="338"/>
      <c r="GTV11" s="338"/>
      <c r="GTW11" s="338"/>
      <c r="GTX11" s="338"/>
      <c r="GTY11" s="338"/>
      <c r="GTZ11" s="338"/>
      <c r="GUA11" s="338"/>
      <c r="GUB11" s="338"/>
      <c r="GUC11" s="338"/>
      <c r="GUD11" s="338"/>
      <c r="GUE11" s="338"/>
      <c r="GUF11" s="338"/>
      <c r="GUG11" s="338"/>
      <c r="GUH11" s="338"/>
      <c r="GUI11" s="338"/>
      <c r="GUJ11" s="338"/>
      <c r="GUK11" s="338"/>
      <c r="GUL11" s="338"/>
      <c r="GUM11" s="338"/>
      <c r="GUN11" s="338"/>
      <c r="GUO11" s="338"/>
      <c r="GUP11" s="338"/>
      <c r="GUQ11" s="338"/>
      <c r="GUR11" s="338"/>
      <c r="GUS11" s="338"/>
      <c r="GUT11" s="338"/>
      <c r="GUU11" s="338"/>
      <c r="GUV11" s="338"/>
      <c r="GUW11" s="338"/>
      <c r="GUX11" s="338"/>
      <c r="GUY11" s="338"/>
      <c r="GUZ11" s="338"/>
      <c r="GVA11" s="338"/>
      <c r="GVB11" s="338"/>
      <c r="GVC11" s="338"/>
      <c r="GVD11" s="338"/>
      <c r="GVE11" s="338"/>
      <c r="GVF11" s="338"/>
      <c r="GVG11" s="338"/>
      <c r="GVH11" s="338"/>
      <c r="GVI11" s="338"/>
      <c r="GVJ11" s="338"/>
      <c r="GVK11" s="338"/>
      <c r="GVL11" s="338"/>
      <c r="GVM11" s="338"/>
      <c r="GVN11" s="338"/>
      <c r="GVO11" s="338"/>
      <c r="GVP11" s="338"/>
      <c r="GVQ11" s="338"/>
      <c r="GVR11" s="338"/>
      <c r="GVS11" s="338"/>
      <c r="GVT11" s="338"/>
      <c r="GVU11" s="338"/>
      <c r="GVV11" s="338"/>
      <c r="GVW11" s="338"/>
      <c r="GVX11" s="338"/>
      <c r="GVY11" s="338"/>
      <c r="GVZ11" s="338"/>
      <c r="GWA11" s="338"/>
      <c r="GWB11" s="338"/>
      <c r="GWC11" s="338"/>
      <c r="GWD11" s="338"/>
      <c r="GWE11" s="338"/>
      <c r="GWF11" s="338"/>
      <c r="GWG11" s="338"/>
      <c r="GWH11" s="338"/>
      <c r="GWI11" s="338"/>
      <c r="GWJ11" s="338"/>
      <c r="GWK11" s="338"/>
      <c r="GWL11" s="338"/>
      <c r="GWM11" s="338"/>
      <c r="GWN11" s="338"/>
      <c r="GWO11" s="338"/>
      <c r="GWP11" s="338"/>
      <c r="GWQ11" s="338"/>
      <c r="GWR11" s="338"/>
      <c r="GWS11" s="338"/>
      <c r="GWT11" s="338"/>
      <c r="GWU11" s="338"/>
      <c r="GWV11" s="338"/>
      <c r="GWW11" s="338"/>
      <c r="GWX11" s="338"/>
      <c r="GWY11" s="338"/>
      <c r="GWZ11" s="338"/>
      <c r="GXA11" s="338"/>
      <c r="GXB11" s="338"/>
      <c r="GXC11" s="338"/>
      <c r="GXD11" s="338"/>
      <c r="GXE11" s="338"/>
      <c r="GXF11" s="338"/>
      <c r="GXG11" s="338"/>
      <c r="GXH11" s="338"/>
      <c r="GXI11" s="338"/>
      <c r="GXJ11" s="338"/>
      <c r="GXK11" s="338"/>
      <c r="GXL11" s="338"/>
      <c r="GXM11" s="338"/>
      <c r="GXN11" s="338"/>
      <c r="GXO11" s="338"/>
      <c r="GXP11" s="338"/>
      <c r="GXQ11" s="338"/>
      <c r="GXR11" s="338"/>
      <c r="GXS11" s="338"/>
      <c r="GXT11" s="338"/>
      <c r="GXU11" s="338"/>
      <c r="GXV11" s="338"/>
      <c r="GXW11" s="338"/>
      <c r="GXX11" s="338"/>
      <c r="GXY11" s="338"/>
      <c r="GXZ11" s="338"/>
      <c r="GYA11" s="338"/>
      <c r="GYB11" s="338"/>
      <c r="GYC11" s="338"/>
      <c r="GYD11" s="338"/>
      <c r="GYE11" s="338"/>
      <c r="GYF11" s="338"/>
      <c r="GYG11" s="338"/>
      <c r="GYH11" s="338"/>
      <c r="GYI11" s="338"/>
      <c r="GYJ11" s="338"/>
      <c r="GYK11" s="338"/>
      <c r="GYL11" s="338"/>
      <c r="GYM11" s="338"/>
      <c r="GYN11" s="338"/>
      <c r="GYO11" s="338"/>
      <c r="GYP11" s="338"/>
      <c r="GYQ11" s="338"/>
      <c r="GYR11" s="338"/>
      <c r="GYS11" s="338"/>
      <c r="GYT11" s="338"/>
      <c r="GYU11" s="338"/>
      <c r="GYV11" s="338"/>
      <c r="GYW11" s="338"/>
      <c r="GYX11" s="338"/>
      <c r="GYY11" s="338"/>
      <c r="GYZ11" s="338"/>
      <c r="GZA11" s="338"/>
      <c r="GZB11" s="338"/>
      <c r="GZC11" s="338"/>
      <c r="GZD11" s="338"/>
      <c r="GZE11" s="338"/>
      <c r="GZF11" s="338"/>
      <c r="GZG11" s="338"/>
      <c r="GZH11" s="338"/>
      <c r="GZI11" s="338"/>
      <c r="GZJ11" s="338"/>
      <c r="GZK11" s="338"/>
      <c r="GZL11" s="338"/>
      <c r="GZM11" s="338"/>
      <c r="GZN11" s="338"/>
      <c r="GZO11" s="338"/>
      <c r="GZP11" s="338"/>
      <c r="GZQ11" s="338"/>
      <c r="GZR11" s="338"/>
      <c r="GZS11" s="338"/>
      <c r="GZT11" s="338"/>
      <c r="GZU11" s="338"/>
      <c r="GZV11" s="338"/>
      <c r="GZW11" s="338"/>
      <c r="GZX11" s="338"/>
      <c r="GZY11" s="338"/>
      <c r="GZZ11" s="338"/>
      <c r="HAA11" s="338"/>
      <c r="HAB11" s="338"/>
      <c r="HAC11" s="338"/>
      <c r="HAD11" s="338"/>
      <c r="HAE11" s="338"/>
      <c r="HAF11" s="338"/>
      <c r="HAG11" s="338"/>
      <c r="HAH11" s="338"/>
      <c r="HAI11" s="338"/>
      <c r="HAJ11" s="338"/>
      <c r="HAK11" s="338"/>
      <c r="HAL11" s="338"/>
      <c r="HAM11" s="338"/>
      <c r="HAN11" s="338"/>
      <c r="HAO11" s="338"/>
      <c r="HAP11" s="338"/>
      <c r="HAQ11" s="338"/>
      <c r="HAR11" s="338"/>
      <c r="HAS11" s="338"/>
      <c r="HAT11" s="338"/>
      <c r="HAU11" s="338"/>
      <c r="HAV11" s="338"/>
      <c r="HAW11" s="338"/>
      <c r="HAX11" s="338"/>
      <c r="HAY11" s="338"/>
      <c r="HAZ11" s="338"/>
      <c r="HBA11" s="338"/>
      <c r="HBB11" s="338"/>
      <c r="HBC11" s="338"/>
      <c r="HBD11" s="338"/>
      <c r="HBE11" s="338"/>
      <c r="HBF11" s="338"/>
      <c r="HBG11" s="338"/>
      <c r="HBH11" s="338"/>
      <c r="HBI11" s="338"/>
      <c r="HBJ11" s="338"/>
      <c r="HBK11" s="338"/>
      <c r="HBL11" s="338"/>
      <c r="HBM11" s="338"/>
      <c r="HBN11" s="338"/>
      <c r="HBO11" s="338"/>
      <c r="HBP11" s="338"/>
      <c r="HBQ11" s="338"/>
      <c r="HBR11" s="338"/>
      <c r="HBS11" s="338"/>
      <c r="HBT11" s="338"/>
      <c r="HBU11" s="338"/>
      <c r="HBV11" s="338"/>
      <c r="HBW11" s="338"/>
      <c r="HBX11" s="338"/>
      <c r="HBY11" s="338"/>
      <c r="HBZ11" s="338"/>
      <c r="HCA11" s="338"/>
      <c r="HCB11" s="338"/>
      <c r="HCC11" s="338"/>
      <c r="HCD11" s="338"/>
      <c r="HCE11" s="338"/>
      <c r="HCF11" s="338"/>
      <c r="HCG11" s="338"/>
      <c r="HCH11" s="338"/>
      <c r="HCI11" s="338"/>
      <c r="HCJ11" s="338"/>
      <c r="HCK11" s="338"/>
      <c r="HCL11" s="338"/>
      <c r="HCM11" s="338"/>
      <c r="HCN11" s="338"/>
      <c r="HCO11" s="338"/>
      <c r="HCP11" s="338"/>
      <c r="HCQ11" s="338"/>
      <c r="HCR11" s="338"/>
      <c r="HCS11" s="338"/>
      <c r="HCT11" s="338"/>
      <c r="HCU11" s="338"/>
      <c r="HCV11" s="338"/>
      <c r="HCW11" s="338"/>
      <c r="HCX11" s="338"/>
      <c r="HCY11" s="338"/>
      <c r="HCZ11" s="338"/>
      <c r="HDA11" s="338"/>
      <c r="HDB11" s="338"/>
      <c r="HDC11" s="338"/>
      <c r="HDD11" s="338"/>
      <c r="HDE11" s="338"/>
      <c r="HDF11" s="338"/>
      <c r="HDG11" s="338"/>
      <c r="HDH11" s="338"/>
      <c r="HDI11" s="338"/>
      <c r="HDJ11" s="338"/>
      <c r="HDK11" s="338"/>
      <c r="HDL11" s="338"/>
      <c r="HDM11" s="338"/>
      <c r="HDN11" s="338"/>
      <c r="HDO11" s="338"/>
      <c r="HDP11" s="338"/>
      <c r="HDQ11" s="338"/>
      <c r="HDR11" s="338"/>
      <c r="HDS11" s="338"/>
      <c r="HDT11" s="338"/>
      <c r="HDU11" s="338"/>
      <c r="HDV11" s="338"/>
      <c r="HDW11" s="338"/>
      <c r="HDX11" s="338"/>
      <c r="HDY11" s="338"/>
      <c r="HDZ11" s="338"/>
      <c r="HEA11" s="338"/>
      <c r="HEB11" s="338"/>
      <c r="HEC11" s="338"/>
      <c r="HED11" s="338"/>
      <c r="HEE11" s="338"/>
      <c r="HEF11" s="338"/>
      <c r="HEG11" s="338"/>
      <c r="HEH11" s="338"/>
      <c r="HEI11" s="338"/>
      <c r="HEJ11" s="338"/>
      <c r="HEK11" s="338"/>
      <c r="HEL11" s="338"/>
      <c r="HEM11" s="338"/>
      <c r="HEN11" s="338"/>
      <c r="HEO11" s="338"/>
      <c r="HEP11" s="338"/>
      <c r="HEQ11" s="338"/>
      <c r="HER11" s="338"/>
      <c r="HES11" s="338"/>
      <c r="HET11" s="338"/>
      <c r="HEU11" s="338"/>
      <c r="HEV11" s="338"/>
      <c r="HEW11" s="338"/>
      <c r="HEX11" s="338"/>
      <c r="HEY11" s="338"/>
      <c r="HEZ11" s="338"/>
      <c r="HFA11" s="338"/>
      <c r="HFB11" s="338"/>
      <c r="HFC11" s="338"/>
      <c r="HFD11" s="338"/>
      <c r="HFE11" s="338"/>
      <c r="HFF11" s="338"/>
      <c r="HFG11" s="338"/>
      <c r="HFH11" s="338"/>
      <c r="HFI11" s="338"/>
      <c r="HFJ11" s="338"/>
      <c r="HFK11" s="338"/>
      <c r="HFL11" s="338"/>
      <c r="HFM11" s="338"/>
      <c r="HFN11" s="338"/>
      <c r="HFO11" s="338"/>
      <c r="HFP11" s="338"/>
      <c r="HFQ11" s="338"/>
      <c r="HFR11" s="338"/>
      <c r="HFS11" s="338"/>
      <c r="HFT11" s="338"/>
      <c r="HFU11" s="338"/>
      <c r="HFV11" s="338"/>
      <c r="HFW11" s="338"/>
      <c r="HFX11" s="338"/>
      <c r="HFY11" s="338"/>
      <c r="HFZ11" s="338"/>
      <c r="HGA11" s="338"/>
      <c r="HGB11" s="338"/>
      <c r="HGC11" s="338"/>
      <c r="HGD11" s="338"/>
      <c r="HGE11" s="338"/>
      <c r="HGF11" s="338"/>
      <c r="HGG11" s="338"/>
      <c r="HGH11" s="338"/>
      <c r="HGI11" s="338"/>
      <c r="HGJ11" s="338"/>
      <c r="HGK11" s="338"/>
      <c r="HGL11" s="338"/>
      <c r="HGM11" s="338"/>
      <c r="HGN11" s="338"/>
      <c r="HGO11" s="338"/>
      <c r="HGP11" s="338"/>
      <c r="HGQ11" s="338"/>
      <c r="HGR11" s="338"/>
      <c r="HGS11" s="338"/>
      <c r="HGT11" s="338"/>
      <c r="HGU11" s="338"/>
      <c r="HGV11" s="338"/>
      <c r="HGW11" s="338"/>
      <c r="HGX11" s="338"/>
      <c r="HGY11" s="338"/>
      <c r="HGZ11" s="338"/>
      <c r="HHA11" s="338"/>
      <c r="HHB11" s="338"/>
      <c r="HHC11" s="338"/>
      <c r="HHD11" s="338"/>
      <c r="HHE11" s="338"/>
      <c r="HHF11" s="338"/>
      <c r="HHG11" s="338"/>
      <c r="HHH11" s="338"/>
      <c r="HHI11" s="338"/>
      <c r="HHJ11" s="338"/>
      <c r="HHK11" s="338"/>
      <c r="HHL11" s="338"/>
      <c r="HHM11" s="338"/>
      <c r="HHN11" s="338"/>
      <c r="HHO11" s="338"/>
      <c r="HHP11" s="338"/>
      <c r="HHQ11" s="338"/>
      <c r="HHR11" s="338"/>
      <c r="HHS11" s="338"/>
      <c r="HHT11" s="338"/>
      <c r="HHU11" s="338"/>
      <c r="HHV11" s="338"/>
      <c r="HHW11" s="338"/>
      <c r="HHX11" s="338"/>
      <c r="HHY11" s="338"/>
      <c r="HHZ11" s="338"/>
      <c r="HIA11" s="338"/>
      <c r="HIB11" s="338"/>
      <c r="HIC11" s="338"/>
      <c r="HID11" s="338"/>
      <c r="HIE11" s="338"/>
      <c r="HIF11" s="338"/>
      <c r="HIG11" s="338"/>
      <c r="HIH11" s="338"/>
      <c r="HII11" s="338"/>
      <c r="HIJ11" s="338"/>
      <c r="HIK11" s="338"/>
      <c r="HIL11" s="338"/>
      <c r="HIM11" s="338"/>
      <c r="HIN11" s="338"/>
      <c r="HIO11" s="338"/>
      <c r="HIP11" s="338"/>
      <c r="HIQ11" s="338"/>
      <c r="HIR11" s="338"/>
      <c r="HIS11" s="338"/>
      <c r="HIT11" s="338"/>
      <c r="HIU11" s="338"/>
      <c r="HIV11" s="338"/>
      <c r="HIW11" s="338"/>
      <c r="HIX11" s="338"/>
      <c r="HIY11" s="338"/>
      <c r="HIZ11" s="338"/>
      <c r="HJA11" s="338"/>
      <c r="HJB11" s="338"/>
      <c r="HJC11" s="338"/>
      <c r="HJD11" s="338"/>
      <c r="HJE11" s="338"/>
      <c r="HJF11" s="338"/>
      <c r="HJG11" s="338"/>
      <c r="HJH11" s="338"/>
      <c r="HJI11" s="338"/>
      <c r="HJJ11" s="338"/>
      <c r="HJK11" s="338"/>
      <c r="HJL11" s="338"/>
      <c r="HJM11" s="338"/>
      <c r="HJN11" s="338"/>
      <c r="HJO11" s="338"/>
      <c r="HJP11" s="338"/>
      <c r="HJQ11" s="338"/>
      <c r="HJR11" s="338"/>
      <c r="HJS11" s="338"/>
      <c r="HJT11" s="338"/>
      <c r="HJU11" s="338"/>
      <c r="HJV11" s="338"/>
      <c r="HJW11" s="338"/>
      <c r="HJX11" s="338"/>
      <c r="HJY11" s="338"/>
      <c r="HJZ11" s="338"/>
      <c r="HKA11" s="338"/>
      <c r="HKB11" s="338"/>
      <c r="HKC11" s="338"/>
      <c r="HKD11" s="338"/>
      <c r="HKE11" s="338"/>
      <c r="HKF11" s="338"/>
      <c r="HKG11" s="338"/>
      <c r="HKH11" s="338"/>
      <c r="HKI11" s="338"/>
      <c r="HKJ11" s="338"/>
      <c r="HKK11" s="338"/>
      <c r="HKL11" s="338"/>
      <c r="HKM11" s="338"/>
      <c r="HKN11" s="338"/>
      <c r="HKO11" s="338"/>
      <c r="HKP11" s="338"/>
      <c r="HKQ11" s="338"/>
      <c r="HKR11" s="338"/>
      <c r="HKS11" s="338"/>
      <c r="HKT11" s="338"/>
      <c r="HKU11" s="338"/>
      <c r="HKV11" s="338"/>
      <c r="HKW11" s="338"/>
      <c r="HKX11" s="338"/>
      <c r="HKY11" s="338"/>
      <c r="HKZ11" s="338"/>
      <c r="HLA11" s="338"/>
      <c r="HLB11" s="338"/>
      <c r="HLC11" s="338"/>
      <c r="HLD11" s="338"/>
      <c r="HLE11" s="338"/>
      <c r="HLF11" s="338"/>
      <c r="HLG11" s="338"/>
      <c r="HLH11" s="338"/>
      <c r="HLI11" s="338"/>
      <c r="HLJ11" s="338"/>
      <c r="HLK11" s="338"/>
      <c r="HLL11" s="338"/>
      <c r="HLM11" s="338"/>
      <c r="HLN11" s="338"/>
      <c r="HLO11" s="338"/>
      <c r="HLP11" s="338"/>
      <c r="HLQ11" s="338"/>
      <c r="HLR11" s="338"/>
      <c r="HLS11" s="338"/>
      <c r="HLT11" s="338"/>
      <c r="HLU11" s="338"/>
      <c r="HLV11" s="338"/>
      <c r="HLW11" s="338"/>
      <c r="HLX11" s="338"/>
      <c r="HLY11" s="338"/>
      <c r="HLZ11" s="338"/>
      <c r="HMA11" s="338"/>
      <c r="HMB11" s="338"/>
      <c r="HMC11" s="338"/>
      <c r="HMD11" s="338"/>
      <c r="HME11" s="338"/>
      <c r="HMF11" s="338"/>
      <c r="HMG11" s="338"/>
      <c r="HMH11" s="338"/>
      <c r="HMI11" s="338"/>
      <c r="HMJ11" s="338"/>
      <c r="HMK11" s="338"/>
      <c r="HML11" s="338"/>
      <c r="HMM11" s="338"/>
      <c r="HMN11" s="338"/>
      <c r="HMO11" s="338"/>
      <c r="HMP11" s="338"/>
      <c r="HMQ11" s="338"/>
      <c r="HMR11" s="338"/>
      <c r="HMS11" s="338"/>
      <c r="HMT11" s="338"/>
      <c r="HMU11" s="338"/>
      <c r="HMV11" s="338"/>
      <c r="HMW11" s="338"/>
      <c r="HMX11" s="338"/>
      <c r="HMY11" s="338"/>
      <c r="HMZ11" s="338"/>
      <c r="HNA11" s="338"/>
      <c r="HNB11" s="338"/>
      <c r="HNC11" s="338"/>
      <c r="HND11" s="338"/>
      <c r="HNE11" s="338"/>
      <c r="HNF11" s="338"/>
      <c r="HNG11" s="338"/>
      <c r="HNH11" s="338"/>
      <c r="HNI11" s="338"/>
      <c r="HNJ11" s="338"/>
      <c r="HNK11" s="338"/>
      <c r="HNL11" s="338"/>
      <c r="HNM11" s="338"/>
      <c r="HNN11" s="338"/>
      <c r="HNO11" s="338"/>
      <c r="HNP11" s="338"/>
      <c r="HNQ11" s="338"/>
      <c r="HNR11" s="338"/>
      <c r="HNS11" s="338"/>
      <c r="HNT11" s="338"/>
      <c r="HNU11" s="338"/>
      <c r="HNV11" s="338"/>
      <c r="HNW11" s="338"/>
      <c r="HNX11" s="338"/>
      <c r="HNY11" s="338"/>
      <c r="HNZ11" s="338"/>
      <c r="HOA11" s="338"/>
      <c r="HOB11" s="338"/>
      <c r="HOC11" s="338"/>
      <c r="HOD11" s="338"/>
      <c r="HOE11" s="338"/>
      <c r="HOF11" s="338"/>
      <c r="HOG11" s="338"/>
      <c r="HOH11" s="338"/>
      <c r="HOI11" s="338"/>
      <c r="HOJ11" s="338"/>
      <c r="HOK11" s="338"/>
      <c r="HOL11" s="338"/>
      <c r="HOM11" s="338"/>
      <c r="HON11" s="338"/>
      <c r="HOO11" s="338"/>
      <c r="HOP11" s="338"/>
      <c r="HOQ11" s="338"/>
      <c r="HOR11" s="338"/>
      <c r="HOS11" s="338"/>
      <c r="HOT11" s="338"/>
      <c r="HOU11" s="338"/>
      <c r="HOV11" s="338"/>
      <c r="HOW11" s="338"/>
      <c r="HOX11" s="338"/>
      <c r="HOY11" s="338"/>
      <c r="HOZ11" s="338"/>
      <c r="HPA11" s="338"/>
      <c r="HPB11" s="338"/>
      <c r="HPC11" s="338"/>
      <c r="HPD11" s="338"/>
      <c r="HPE11" s="338"/>
      <c r="HPF11" s="338"/>
      <c r="HPG11" s="338"/>
      <c r="HPH11" s="338"/>
      <c r="HPI11" s="338"/>
      <c r="HPJ11" s="338"/>
      <c r="HPK11" s="338"/>
      <c r="HPL11" s="338"/>
      <c r="HPM11" s="338"/>
      <c r="HPN11" s="338"/>
      <c r="HPO11" s="338"/>
      <c r="HPP11" s="338"/>
      <c r="HPQ11" s="338"/>
      <c r="HPR11" s="338"/>
      <c r="HPS11" s="338"/>
      <c r="HPT11" s="338"/>
      <c r="HPU11" s="338"/>
      <c r="HPV11" s="338"/>
      <c r="HPW11" s="338"/>
      <c r="HPX11" s="338"/>
      <c r="HPY11" s="338"/>
      <c r="HPZ11" s="338"/>
      <c r="HQA11" s="338"/>
      <c r="HQB11" s="338"/>
      <c r="HQC11" s="338"/>
      <c r="HQD11" s="338"/>
      <c r="HQE11" s="338"/>
      <c r="HQF11" s="338"/>
      <c r="HQG11" s="338"/>
      <c r="HQH11" s="338"/>
      <c r="HQI11" s="338"/>
      <c r="HQJ11" s="338"/>
      <c r="HQK11" s="338"/>
      <c r="HQL11" s="338"/>
      <c r="HQM11" s="338"/>
      <c r="HQN11" s="338"/>
      <c r="HQO11" s="338"/>
      <c r="HQP11" s="338"/>
      <c r="HQQ11" s="338"/>
      <c r="HQR11" s="338"/>
      <c r="HQS11" s="338"/>
      <c r="HQT11" s="338"/>
      <c r="HQU11" s="338"/>
      <c r="HQV11" s="338"/>
      <c r="HQW11" s="338"/>
      <c r="HQX11" s="338"/>
      <c r="HQY11" s="338"/>
      <c r="HQZ11" s="338"/>
      <c r="HRA11" s="338"/>
      <c r="HRB11" s="338"/>
      <c r="HRC11" s="338"/>
      <c r="HRD11" s="338"/>
      <c r="HRE11" s="338"/>
      <c r="HRF11" s="338"/>
      <c r="HRG11" s="338"/>
      <c r="HRH11" s="338"/>
      <c r="HRI11" s="338"/>
      <c r="HRJ11" s="338"/>
      <c r="HRK11" s="338"/>
      <c r="HRL11" s="338"/>
      <c r="HRM11" s="338"/>
      <c r="HRN11" s="338"/>
      <c r="HRO11" s="338"/>
      <c r="HRP11" s="338"/>
      <c r="HRQ11" s="338"/>
      <c r="HRR11" s="338"/>
      <c r="HRS11" s="338"/>
      <c r="HRT11" s="338"/>
      <c r="HRU11" s="338"/>
      <c r="HRV11" s="338"/>
      <c r="HRW11" s="338"/>
      <c r="HRX11" s="338"/>
      <c r="HRY11" s="338"/>
      <c r="HRZ11" s="338"/>
      <c r="HSA11" s="338"/>
      <c r="HSB11" s="338"/>
      <c r="HSC11" s="338"/>
      <c r="HSD11" s="338"/>
      <c r="HSE11" s="338"/>
      <c r="HSF11" s="338"/>
      <c r="HSG11" s="338"/>
      <c r="HSH11" s="338"/>
      <c r="HSI11" s="338"/>
      <c r="HSJ11" s="338"/>
      <c r="HSK11" s="338"/>
      <c r="HSL11" s="338"/>
      <c r="HSM11" s="338"/>
      <c r="HSN11" s="338"/>
      <c r="HSO11" s="338"/>
      <c r="HSP11" s="338"/>
      <c r="HSQ11" s="338"/>
      <c r="HSR11" s="338"/>
      <c r="HSS11" s="338"/>
      <c r="HST11" s="338"/>
      <c r="HSU11" s="338"/>
      <c r="HSV11" s="338"/>
      <c r="HSW11" s="338"/>
      <c r="HSX11" s="338"/>
      <c r="HSY11" s="338"/>
      <c r="HSZ11" s="338"/>
      <c r="HTA11" s="338"/>
      <c r="HTB11" s="338"/>
      <c r="HTC11" s="338"/>
      <c r="HTD11" s="338"/>
      <c r="HTE11" s="338"/>
      <c r="HTF11" s="338"/>
      <c r="HTG11" s="338"/>
      <c r="HTH11" s="338"/>
      <c r="HTI11" s="338"/>
      <c r="HTJ11" s="338"/>
      <c r="HTK11" s="338"/>
      <c r="HTL11" s="338"/>
      <c r="HTM11" s="338"/>
      <c r="HTN11" s="338"/>
      <c r="HTO11" s="338"/>
      <c r="HTP11" s="338"/>
      <c r="HTQ11" s="338"/>
      <c r="HTR11" s="338"/>
      <c r="HTS11" s="338"/>
      <c r="HTT11" s="338"/>
      <c r="HTU11" s="338"/>
      <c r="HTV11" s="338"/>
      <c r="HTW11" s="338"/>
      <c r="HTX11" s="338"/>
      <c r="HTY11" s="338"/>
      <c r="HTZ11" s="338"/>
      <c r="HUA11" s="338"/>
      <c r="HUB11" s="338"/>
      <c r="HUC11" s="338"/>
      <c r="HUD11" s="338"/>
      <c r="HUE11" s="338"/>
      <c r="HUF11" s="338"/>
      <c r="HUG11" s="338"/>
      <c r="HUH11" s="338"/>
      <c r="HUI11" s="338"/>
      <c r="HUJ11" s="338"/>
      <c r="HUK11" s="338"/>
      <c r="HUL11" s="338"/>
      <c r="HUM11" s="338"/>
      <c r="HUN11" s="338"/>
      <c r="HUO11" s="338"/>
      <c r="HUP11" s="338"/>
      <c r="HUQ11" s="338"/>
      <c r="HUR11" s="338"/>
      <c r="HUS11" s="338"/>
      <c r="HUT11" s="338"/>
      <c r="HUU11" s="338"/>
      <c r="HUV11" s="338"/>
      <c r="HUW11" s="338"/>
      <c r="HUX11" s="338"/>
      <c r="HUY11" s="338"/>
      <c r="HUZ11" s="338"/>
      <c r="HVA11" s="338"/>
      <c r="HVB11" s="338"/>
      <c r="HVC11" s="338"/>
      <c r="HVD11" s="338"/>
      <c r="HVE11" s="338"/>
      <c r="HVF11" s="338"/>
      <c r="HVG11" s="338"/>
      <c r="HVH11" s="338"/>
      <c r="HVI11" s="338"/>
      <c r="HVJ11" s="338"/>
      <c r="HVK11" s="338"/>
      <c r="HVL11" s="338"/>
      <c r="HVM11" s="338"/>
      <c r="HVN11" s="338"/>
      <c r="HVO11" s="338"/>
      <c r="HVP11" s="338"/>
      <c r="HVQ11" s="338"/>
      <c r="HVR11" s="338"/>
      <c r="HVS11" s="338"/>
      <c r="HVT11" s="338"/>
      <c r="HVU11" s="338"/>
      <c r="HVV11" s="338"/>
      <c r="HVW11" s="338"/>
      <c r="HVX11" s="338"/>
      <c r="HVY11" s="338"/>
      <c r="HVZ11" s="338"/>
      <c r="HWA11" s="338"/>
      <c r="HWB11" s="338"/>
      <c r="HWC11" s="338"/>
      <c r="HWD11" s="338"/>
      <c r="HWE11" s="338"/>
      <c r="HWF11" s="338"/>
      <c r="HWG11" s="338"/>
      <c r="HWH11" s="338"/>
      <c r="HWI11" s="338"/>
      <c r="HWJ11" s="338"/>
      <c r="HWK11" s="338"/>
      <c r="HWL11" s="338"/>
      <c r="HWM11" s="338"/>
      <c r="HWN11" s="338"/>
      <c r="HWO11" s="338"/>
      <c r="HWP11" s="338"/>
      <c r="HWQ11" s="338"/>
      <c r="HWR11" s="338"/>
      <c r="HWS11" s="338"/>
      <c r="HWT11" s="338"/>
      <c r="HWU11" s="338"/>
      <c r="HWV11" s="338"/>
      <c r="HWW11" s="338"/>
      <c r="HWX11" s="338"/>
      <c r="HWY11" s="338"/>
      <c r="HWZ11" s="338"/>
      <c r="HXA11" s="338"/>
      <c r="HXB11" s="338"/>
      <c r="HXC11" s="338"/>
      <c r="HXD11" s="338"/>
      <c r="HXE11" s="338"/>
      <c r="HXF11" s="338"/>
      <c r="HXG11" s="338"/>
      <c r="HXH11" s="338"/>
      <c r="HXI11" s="338"/>
      <c r="HXJ11" s="338"/>
      <c r="HXK11" s="338"/>
      <c r="HXL11" s="338"/>
      <c r="HXM11" s="338"/>
      <c r="HXN11" s="338"/>
      <c r="HXO11" s="338"/>
      <c r="HXP11" s="338"/>
      <c r="HXQ11" s="338"/>
      <c r="HXR11" s="338"/>
      <c r="HXS11" s="338"/>
      <c r="HXT11" s="338"/>
      <c r="HXU11" s="338"/>
      <c r="HXV11" s="338"/>
      <c r="HXW11" s="338"/>
      <c r="HXX11" s="338"/>
      <c r="HXY11" s="338"/>
      <c r="HXZ11" s="338"/>
      <c r="HYA11" s="338"/>
      <c r="HYB11" s="338"/>
      <c r="HYC11" s="338"/>
      <c r="HYD11" s="338"/>
      <c r="HYE11" s="338"/>
      <c r="HYF11" s="338"/>
      <c r="HYG11" s="338"/>
      <c r="HYH11" s="338"/>
      <c r="HYI11" s="338"/>
      <c r="HYJ11" s="338"/>
      <c r="HYK11" s="338"/>
      <c r="HYL11" s="338"/>
      <c r="HYM11" s="338"/>
      <c r="HYN11" s="338"/>
      <c r="HYO11" s="338"/>
      <c r="HYP11" s="338"/>
      <c r="HYQ11" s="338"/>
      <c r="HYR11" s="338"/>
      <c r="HYS11" s="338"/>
      <c r="HYT11" s="338"/>
      <c r="HYU11" s="338"/>
      <c r="HYV11" s="338"/>
      <c r="HYW11" s="338"/>
      <c r="HYX11" s="338"/>
      <c r="HYY11" s="338"/>
      <c r="HYZ11" s="338"/>
      <c r="HZA11" s="338"/>
      <c r="HZB11" s="338"/>
      <c r="HZC11" s="338"/>
      <c r="HZD11" s="338"/>
      <c r="HZE11" s="338"/>
      <c r="HZF11" s="338"/>
      <c r="HZG11" s="338"/>
      <c r="HZH11" s="338"/>
      <c r="HZI11" s="338"/>
      <c r="HZJ11" s="338"/>
      <c r="HZK11" s="338"/>
      <c r="HZL11" s="338"/>
      <c r="HZM11" s="338"/>
      <c r="HZN11" s="338"/>
      <c r="HZO11" s="338"/>
      <c r="HZP11" s="338"/>
      <c r="HZQ11" s="338"/>
      <c r="HZR11" s="338"/>
      <c r="HZS11" s="338"/>
      <c r="HZT11" s="338"/>
      <c r="HZU11" s="338"/>
      <c r="HZV11" s="338"/>
      <c r="HZW11" s="338"/>
      <c r="HZX11" s="338"/>
      <c r="HZY11" s="338"/>
      <c r="HZZ11" s="338"/>
      <c r="IAA11" s="338"/>
      <c r="IAB11" s="338"/>
      <c r="IAC11" s="338"/>
      <c r="IAD11" s="338"/>
      <c r="IAE11" s="338"/>
      <c r="IAF11" s="338"/>
      <c r="IAG11" s="338"/>
      <c r="IAH11" s="338"/>
      <c r="IAI11" s="338"/>
      <c r="IAJ11" s="338"/>
      <c r="IAK11" s="338"/>
      <c r="IAL11" s="338"/>
      <c r="IAM11" s="338"/>
      <c r="IAN11" s="338"/>
      <c r="IAO11" s="338"/>
      <c r="IAP11" s="338"/>
      <c r="IAQ11" s="338"/>
      <c r="IAR11" s="338"/>
      <c r="IAS11" s="338"/>
      <c r="IAT11" s="338"/>
      <c r="IAU11" s="338"/>
      <c r="IAV11" s="338"/>
      <c r="IAW11" s="338"/>
      <c r="IAX11" s="338"/>
      <c r="IAY11" s="338"/>
      <c r="IAZ11" s="338"/>
      <c r="IBA11" s="338"/>
      <c r="IBB11" s="338"/>
      <c r="IBC11" s="338"/>
      <c r="IBD11" s="338"/>
      <c r="IBE11" s="338"/>
      <c r="IBF11" s="338"/>
      <c r="IBG11" s="338"/>
      <c r="IBH11" s="338"/>
      <c r="IBI11" s="338"/>
      <c r="IBJ11" s="338"/>
      <c r="IBK11" s="338"/>
      <c r="IBL11" s="338"/>
      <c r="IBM11" s="338"/>
      <c r="IBN11" s="338"/>
      <c r="IBO11" s="338"/>
      <c r="IBP11" s="338"/>
      <c r="IBQ11" s="338"/>
      <c r="IBR11" s="338"/>
      <c r="IBS11" s="338"/>
      <c r="IBT11" s="338"/>
      <c r="IBU11" s="338"/>
      <c r="IBV11" s="338"/>
      <c r="IBW11" s="338"/>
      <c r="IBX11" s="338"/>
      <c r="IBY11" s="338"/>
      <c r="IBZ11" s="338"/>
      <c r="ICA11" s="338"/>
      <c r="ICB11" s="338"/>
      <c r="ICC11" s="338"/>
      <c r="ICD11" s="338"/>
      <c r="ICE11" s="338"/>
      <c r="ICF11" s="338"/>
      <c r="ICG11" s="338"/>
      <c r="ICH11" s="338"/>
      <c r="ICI11" s="338"/>
      <c r="ICJ11" s="338"/>
      <c r="ICK11" s="338"/>
      <c r="ICL11" s="338"/>
      <c r="ICM11" s="338"/>
      <c r="ICN11" s="338"/>
      <c r="ICO11" s="338"/>
      <c r="ICP11" s="338"/>
      <c r="ICQ11" s="338"/>
      <c r="ICR11" s="338"/>
      <c r="ICS11" s="338"/>
      <c r="ICT11" s="338"/>
      <c r="ICU11" s="338"/>
      <c r="ICV11" s="338"/>
      <c r="ICW11" s="338"/>
      <c r="ICX11" s="338"/>
      <c r="ICY11" s="338"/>
      <c r="ICZ11" s="338"/>
      <c r="IDA11" s="338"/>
      <c r="IDB11" s="338"/>
      <c r="IDC11" s="338"/>
      <c r="IDD11" s="338"/>
      <c r="IDE11" s="338"/>
      <c r="IDF11" s="338"/>
      <c r="IDG11" s="338"/>
      <c r="IDH11" s="338"/>
      <c r="IDI11" s="338"/>
      <c r="IDJ11" s="338"/>
      <c r="IDK11" s="338"/>
      <c r="IDL11" s="338"/>
      <c r="IDM11" s="338"/>
      <c r="IDN11" s="338"/>
      <c r="IDO11" s="338"/>
      <c r="IDP11" s="338"/>
      <c r="IDQ11" s="338"/>
      <c r="IDR11" s="338"/>
      <c r="IDS11" s="338"/>
      <c r="IDT11" s="338"/>
      <c r="IDU11" s="338"/>
      <c r="IDV11" s="338"/>
      <c r="IDW11" s="338"/>
      <c r="IDX11" s="338"/>
      <c r="IDY11" s="338"/>
      <c r="IDZ11" s="338"/>
      <c r="IEA11" s="338"/>
      <c r="IEB11" s="338"/>
      <c r="IEC11" s="338"/>
      <c r="IED11" s="338"/>
      <c r="IEE11" s="338"/>
      <c r="IEF11" s="338"/>
      <c r="IEG11" s="338"/>
      <c r="IEH11" s="338"/>
      <c r="IEI11" s="338"/>
      <c r="IEJ11" s="338"/>
      <c r="IEK11" s="338"/>
      <c r="IEL11" s="338"/>
      <c r="IEM11" s="338"/>
      <c r="IEN11" s="338"/>
      <c r="IEO11" s="338"/>
      <c r="IEP11" s="338"/>
      <c r="IEQ11" s="338"/>
      <c r="IER11" s="338"/>
      <c r="IES11" s="338"/>
      <c r="IET11" s="338"/>
      <c r="IEU11" s="338"/>
      <c r="IEV11" s="338"/>
      <c r="IEW11" s="338"/>
      <c r="IEX11" s="338"/>
      <c r="IEY11" s="338"/>
      <c r="IEZ11" s="338"/>
      <c r="IFA11" s="338"/>
      <c r="IFB11" s="338"/>
      <c r="IFC11" s="338"/>
      <c r="IFD11" s="338"/>
      <c r="IFE11" s="338"/>
      <c r="IFF11" s="338"/>
      <c r="IFG11" s="338"/>
      <c r="IFH11" s="338"/>
      <c r="IFI11" s="338"/>
      <c r="IFJ11" s="338"/>
      <c r="IFK11" s="338"/>
      <c r="IFL11" s="338"/>
      <c r="IFM11" s="338"/>
      <c r="IFN11" s="338"/>
      <c r="IFO11" s="338"/>
      <c r="IFP11" s="338"/>
      <c r="IFQ11" s="338"/>
      <c r="IFR11" s="338"/>
      <c r="IFS11" s="338"/>
      <c r="IFT11" s="338"/>
      <c r="IFU11" s="338"/>
      <c r="IFV11" s="338"/>
      <c r="IFW11" s="338"/>
      <c r="IFX11" s="338"/>
      <c r="IFY11" s="338"/>
      <c r="IFZ11" s="338"/>
      <c r="IGA11" s="338"/>
      <c r="IGB11" s="338"/>
      <c r="IGC11" s="338"/>
      <c r="IGD11" s="338"/>
      <c r="IGE11" s="338"/>
      <c r="IGF11" s="338"/>
      <c r="IGG11" s="338"/>
      <c r="IGH11" s="338"/>
      <c r="IGI11" s="338"/>
      <c r="IGJ11" s="338"/>
      <c r="IGK11" s="338"/>
      <c r="IGL11" s="338"/>
      <c r="IGM11" s="338"/>
      <c r="IGN11" s="338"/>
      <c r="IGO11" s="338"/>
      <c r="IGP11" s="338"/>
      <c r="IGQ11" s="338"/>
      <c r="IGR11" s="338"/>
      <c r="IGS11" s="338"/>
      <c r="IGT11" s="338"/>
      <c r="IGU11" s="338"/>
      <c r="IGV11" s="338"/>
      <c r="IGW11" s="338"/>
      <c r="IGX11" s="338"/>
      <c r="IGY11" s="338"/>
      <c r="IGZ11" s="338"/>
      <c r="IHA11" s="338"/>
      <c r="IHB11" s="338"/>
      <c r="IHC11" s="338"/>
      <c r="IHD11" s="338"/>
      <c r="IHE11" s="338"/>
      <c r="IHF11" s="338"/>
      <c r="IHG11" s="338"/>
      <c r="IHH11" s="338"/>
      <c r="IHI11" s="338"/>
      <c r="IHJ11" s="338"/>
      <c r="IHK11" s="338"/>
      <c r="IHL11" s="338"/>
      <c r="IHM11" s="338"/>
      <c r="IHN11" s="338"/>
      <c r="IHO11" s="338"/>
      <c r="IHP11" s="338"/>
      <c r="IHQ11" s="338"/>
      <c r="IHR11" s="338"/>
      <c r="IHS11" s="338"/>
      <c r="IHT11" s="338"/>
      <c r="IHU11" s="338"/>
      <c r="IHV11" s="338"/>
      <c r="IHW11" s="338"/>
      <c r="IHX11" s="338"/>
      <c r="IHY11" s="338"/>
      <c r="IHZ11" s="338"/>
      <c r="IIA11" s="338"/>
      <c r="IIB11" s="338"/>
      <c r="IIC11" s="338"/>
      <c r="IID11" s="338"/>
      <c r="IIE11" s="338"/>
      <c r="IIF11" s="338"/>
      <c r="IIG11" s="338"/>
      <c r="IIH11" s="338"/>
      <c r="III11" s="338"/>
      <c r="IIJ11" s="338"/>
      <c r="IIK11" s="338"/>
      <c r="IIL11" s="338"/>
      <c r="IIM11" s="338"/>
      <c r="IIN11" s="338"/>
      <c r="IIO11" s="338"/>
      <c r="IIP11" s="338"/>
      <c r="IIQ11" s="338"/>
      <c r="IIR11" s="338"/>
      <c r="IIS11" s="338"/>
      <c r="IIT11" s="338"/>
      <c r="IIU11" s="338"/>
      <c r="IIV11" s="338"/>
      <c r="IIW11" s="338"/>
      <c r="IIX11" s="338"/>
      <c r="IIY11" s="338"/>
      <c r="IIZ11" s="338"/>
      <c r="IJA11" s="338"/>
      <c r="IJB11" s="338"/>
      <c r="IJC11" s="338"/>
      <c r="IJD11" s="338"/>
      <c r="IJE11" s="338"/>
      <c r="IJF11" s="338"/>
      <c r="IJG11" s="338"/>
      <c r="IJH11" s="338"/>
      <c r="IJI11" s="338"/>
      <c r="IJJ11" s="338"/>
      <c r="IJK11" s="338"/>
      <c r="IJL11" s="338"/>
      <c r="IJM11" s="338"/>
      <c r="IJN11" s="338"/>
      <c r="IJO11" s="338"/>
      <c r="IJP11" s="338"/>
      <c r="IJQ11" s="338"/>
      <c r="IJR11" s="338"/>
      <c r="IJS11" s="338"/>
      <c r="IJT11" s="338"/>
      <c r="IJU11" s="338"/>
      <c r="IJV11" s="338"/>
      <c r="IJW11" s="338"/>
      <c r="IJX11" s="338"/>
      <c r="IJY11" s="338"/>
      <c r="IJZ11" s="338"/>
      <c r="IKA11" s="338"/>
      <c r="IKB11" s="338"/>
      <c r="IKC11" s="338"/>
      <c r="IKD11" s="338"/>
      <c r="IKE11" s="338"/>
      <c r="IKF11" s="338"/>
      <c r="IKG11" s="338"/>
      <c r="IKH11" s="338"/>
      <c r="IKI11" s="338"/>
      <c r="IKJ11" s="338"/>
      <c r="IKK11" s="338"/>
      <c r="IKL11" s="338"/>
      <c r="IKM11" s="338"/>
      <c r="IKN11" s="338"/>
      <c r="IKO11" s="338"/>
      <c r="IKP11" s="338"/>
      <c r="IKQ11" s="338"/>
      <c r="IKR11" s="338"/>
      <c r="IKS11" s="338"/>
      <c r="IKT11" s="338"/>
      <c r="IKU11" s="338"/>
      <c r="IKV11" s="338"/>
      <c r="IKW11" s="338"/>
      <c r="IKX11" s="338"/>
      <c r="IKY11" s="338"/>
      <c r="IKZ11" s="338"/>
      <c r="ILA11" s="338"/>
      <c r="ILB11" s="338"/>
      <c r="ILC11" s="338"/>
      <c r="ILD11" s="338"/>
      <c r="ILE11" s="338"/>
      <c r="ILF11" s="338"/>
      <c r="ILG11" s="338"/>
      <c r="ILH11" s="338"/>
      <c r="ILI11" s="338"/>
      <c r="ILJ11" s="338"/>
      <c r="ILK11" s="338"/>
      <c r="ILL11" s="338"/>
      <c r="ILM11" s="338"/>
      <c r="ILN11" s="338"/>
      <c r="ILO11" s="338"/>
      <c r="ILP11" s="338"/>
      <c r="ILQ11" s="338"/>
      <c r="ILR11" s="338"/>
      <c r="ILS11" s="338"/>
      <c r="ILT11" s="338"/>
      <c r="ILU11" s="338"/>
      <c r="ILV11" s="338"/>
      <c r="ILW11" s="338"/>
      <c r="ILX11" s="338"/>
      <c r="ILY11" s="338"/>
      <c r="ILZ11" s="338"/>
      <c r="IMA11" s="338"/>
      <c r="IMB11" s="338"/>
      <c r="IMC11" s="338"/>
      <c r="IMD11" s="338"/>
      <c r="IME11" s="338"/>
      <c r="IMF11" s="338"/>
      <c r="IMG11" s="338"/>
      <c r="IMH11" s="338"/>
      <c r="IMI11" s="338"/>
      <c r="IMJ11" s="338"/>
      <c r="IMK11" s="338"/>
      <c r="IML11" s="338"/>
      <c r="IMM11" s="338"/>
      <c r="IMN11" s="338"/>
      <c r="IMO11" s="338"/>
      <c r="IMP11" s="338"/>
      <c r="IMQ11" s="338"/>
      <c r="IMR11" s="338"/>
      <c r="IMS11" s="338"/>
      <c r="IMT11" s="338"/>
      <c r="IMU11" s="338"/>
      <c r="IMV11" s="338"/>
      <c r="IMW11" s="338"/>
      <c r="IMX11" s="338"/>
      <c r="IMY11" s="338"/>
      <c r="IMZ11" s="338"/>
      <c r="INA11" s="338"/>
      <c r="INB11" s="338"/>
      <c r="INC11" s="338"/>
      <c r="IND11" s="338"/>
      <c r="INE11" s="338"/>
      <c r="INF11" s="338"/>
      <c r="ING11" s="338"/>
      <c r="INH11" s="338"/>
      <c r="INI11" s="338"/>
      <c r="INJ11" s="338"/>
      <c r="INK11" s="338"/>
      <c r="INL11" s="338"/>
      <c r="INM11" s="338"/>
      <c r="INN11" s="338"/>
      <c r="INO11" s="338"/>
      <c r="INP11" s="338"/>
      <c r="INQ11" s="338"/>
      <c r="INR11" s="338"/>
      <c r="INS11" s="338"/>
      <c r="INT11" s="338"/>
      <c r="INU11" s="338"/>
      <c r="INV11" s="338"/>
      <c r="INW11" s="338"/>
      <c r="INX11" s="338"/>
      <c r="INY11" s="338"/>
      <c r="INZ11" s="338"/>
      <c r="IOA11" s="338"/>
      <c r="IOB11" s="338"/>
      <c r="IOC11" s="338"/>
      <c r="IOD11" s="338"/>
      <c r="IOE11" s="338"/>
      <c r="IOF11" s="338"/>
      <c r="IOG11" s="338"/>
      <c r="IOH11" s="338"/>
      <c r="IOI11" s="338"/>
      <c r="IOJ11" s="338"/>
      <c r="IOK11" s="338"/>
      <c r="IOL11" s="338"/>
      <c r="IOM11" s="338"/>
      <c r="ION11" s="338"/>
      <c r="IOO11" s="338"/>
      <c r="IOP11" s="338"/>
      <c r="IOQ11" s="338"/>
      <c r="IOR11" s="338"/>
      <c r="IOS11" s="338"/>
      <c r="IOT11" s="338"/>
      <c r="IOU11" s="338"/>
      <c r="IOV11" s="338"/>
      <c r="IOW11" s="338"/>
      <c r="IOX11" s="338"/>
      <c r="IOY11" s="338"/>
      <c r="IOZ11" s="338"/>
      <c r="IPA11" s="338"/>
      <c r="IPB11" s="338"/>
      <c r="IPC11" s="338"/>
      <c r="IPD11" s="338"/>
      <c r="IPE11" s="338"/>
      <c r="IPF11" s="338"/>
      <c r="IPG11" s="338"/>
      <c r="IPH11" s="338"/>
      <c r="IPI11" s="338"/>
      <c r="IPJ11" s="338"/>
      <c r="IPK11" s="338"/>
      <c r="IPL11" s="338"/>
      <c r="IPM11" s="338"/>
      <c r="IPN11" s="338"/>
      <c r="IPO11" s="338"/>
      <c r="IPP11" s="338"/>
      <c r="IPQ11" s="338"/>
      <c r="IPR11" s="338"/>
      <c r="IPS11" s="338"/>
      <c r="IPT11" s="338"/>
      <c r="IPU11" s="338"/>
      <c r="IPV11" s="338"/>
      <c r="IPW11" s="338"/>
      <c r="IPX11" s="338"/>
      <c r="IPY11" s="338"/>
      <c r="IPZ11" s="338"/>
      <c r="IQA11" s="338"/>
      <c r="IQB11" s="338"/>
      <c r="IQC11" s="338"/>
      <c r="IQD11" s="338"/>
      <c r="IQE11" s="338"/>
      <c r="IQF11" s="338"/>
      <c r="IQG11" s="338"/>
      <c r="IQH11" s="338"/>
      <c r="IQI11" s="338"/>
      <c r="IQJ11" s="338"/>
      <c r="IQK11" s="338"/>
      <c r="IQL11" s="338"/>
      <c r="IQM11" s="338"/>
      <c r="IQN11" s="338"/>
      <c r="IQO11" s="338"/>
      <c r="IQP11" s="338"/>
      <c r="IQQ11" s="338"/>
      <c r="IQR11" s="338"/>
      <c r="IQS11" s="338"/>
      <c r="IQT11" s="338"/>
      <c r="IQU11" s="338"/>
      <c r="IQV11" s="338"/>
      <c r="IQW11" s="338"/>
      <c r="IQX11" s="338"/>
      <c r="IQY11" s="338"/>
      <c r="IQZ11" s="338"/>
      <c r="IRA11" s="338"/>
      <c r="IRB11" s="338"/>
      <c r="IRC11" s="338"/>
      <c r="IRD11" s="338"/>
      <c r="IRE11" s="338"/>
      <c r="IRF11" s="338"/>
      <c r="IRG11" s="338"/>
      <c r="IRH11" s="338"/>
      <c r="IRI11" s="338"/>
      <c r="IRJ11" s="338"/>
      <c r="IRK11" s="338"/>
      <c r="IRL11" s="338"/>
      <c r="IRM11" s="338"/>
      <c r="IRN11" s="338"/>
      <c r="IRO11" s="338"/>
      <c r="IRP11" s="338"/>
      <c r="IRQ11" s="338"/>
      <c r="IRR11" s="338"/>
      <c r="IRS11" s="338"/>
      <c r="IRT11" s="338"/>
      <c r="IRU11" s="338"/>
      <c r="IRV11" s="338"/>
      <c r="IRW11" s="338"/>
      <c r="IRX11" s="338"/>
      <c r="IRY11" s="338"/>
      <c r="IRZ11" s="338"/>
      <c r="ISA11" s="338"/>
      <c r="ISB11" s="338"/>
      <c r="ISC11" s="338"/>
      <c r="ISD11" s="338"/>
      <c r="ISE11" s="338"/>
      <c r="ISF11" s="338"/>
      <c r="ISG11" s="338"/>
      <c r="ISH11" s="338"/>
      <c r="ISI11" s="338"/>
      <c r="ISJ11" s="338"/>
      <c r="ISK11" s="338"/>
      <c r="ISL11" s="338"/>
      <c r="ISM11" s="338"/>
      <c r="ISN11" s="338"/>
      <c r="ISO11" s="338"/>
      <c r="ISP11" s="338"/>
      <c r="ISQ11" s="338"/>
      <c r="ISR11" s="338"/>
      <c r="ISS11" s="338"/>
      <c r="IST11" s="338"/>
      <c r="ISU11" s="338"/>
      <c r="ISV11" s="338"/>
      <c r="ISW11" s="338"/>
      <c r="ISX11" s="338"/>
      <c r="ISY11" s="338"/>
      <c r="ISZ11" s="338"/>
      <c r="ITA11" s="338"/>
      <c r="ITB11" s="338"/>
      <c r="ITC11" s="338"/>
      <c r="ITD11" s="338"/>
      <c r="ITE11" s="338"/>
      <c r="ITF11" s="338"/>
      <c r="ITG11" s="338"/>
      <c r="ITH11" s="338"/>
      <c r="ITI11" s="338"/>
      <c r="ITJ11" s="338"/>
      <c r="ITK11" s="338"/>
      <c r="ITL11" s="338"/>
      <c r="ITM11" s="338"/>
      <c r="ITN11" s="338"/>
      <c r="ITO11" s="338"/>
      <c r="ITP11" s="338"/>
      <c r="ITQ11" s="338"/>
      <c r="ITR11" s="338"/>
      <c r="ITS11" s="338"/>
      <c r="ITT11" s="338"/>
      <c r="ITU11" s="338"/>
      <c r="ITV11" s="338"/>
      <c r="ITW11" s="338"/>
      <c r="ITX11" s="338"/>
      <c r="ITY11" s="338"/>
      <c r="ITZ11" s="338"/>
      <c r="IUA11" s="338"/>
      <c r="IUB11" s="338"/>
      <c r="IUC11" s="338"/>
      <c r="IUD11" s="338"/>
      <c r="IUE11" s="338"/>
      <c r="IUF11" s="338"/>
      <c r="IUG11" s="338"/>
      <c r="IUH11" s="338"/>
      <c r="IUI11" s="338"/>
      <c r="IUJ11" s="338"/>
      <c r="IUK11" s="338"/>
      <c r="IUL11" s="338"/>
      <c r="IUM11" s="338"/>
      <c r="IUN11" s="338"/>
      <c r="IUO11" s="338"/>
      <c r="IUP11" s="338"/>
      <c r="IUQ11" s="338"/>
      <c r="IUR11" s="338"/>
      <c r="IUS11" s="338"/>
      <c r="IUT11" s="338"/>
      <c r="IUU11" s="338"/>
      <c r="IUV11" s="338"/>
      <c r="IUW11" s="338"/>
      <c r="IUX11" s="338"/>
      <c r="IUY11" s="338"/>
      <c r="IUZ11" s="338"/>
      <c r="IVA11" s="338"/>
      <c r="IVB11" s="338"/>
      <c r="IVC11" s="338"/>
      <c r="IVD11" s="338"/>
      <c r="IVE11" s="338"/>
      <c r="IVF11" s="338"/>
      <c r="IVG11" s="338"/>
      <c r="IVH11" s="338"/>
      <c r="IVI11" s="338"/>
      <c r="IVJ11" s="338"/>
      <c r="IVK11" s="338"/>
      <c r="IVL11" s="338"/>
      <c r="IVM11" s="338"/>
      <c r="IVN11" s="338"/>
      <c r="IVO11" s="338"/>
      <c r="IVP11" s="338"/>
      <c r="IVQ11" s="338"/>
      <c r="IVR11" s="338"/>
      <c r="IVS11" s="338"/>
      <c r="IVT11" s="338"/>
      <c r="IVU11" s="338"/>
      <c r="IVV11" s="338"/>
      <c r="IVW11" s="338"/>
      <c r="IVX11" s="338"/>
      <c r="IVY11" s="338"/>
      <c r="IVZ11" s="338"/>
      <c r="IWA11" s="338"/>
      <c r="IWB11" s="338"/>
      <c r="IWC11" s="338"/>
      <c r="IWD11" s="338"/>
      <c r="IWE11" s="338"/>
      <c r="IWF11" s="338"/>
      <c r="IWG11" s="338"/>
      <c r="IWH11" s="338"/>
      <c r="IWI11" s="338"/>
      <c r="IWJ11" s="338"/>
      <c r="IWK11" s="338"/>
      <c r="IWL11" s="338"/>
      <c r="IWM11" s="338"/>
      <c r="IWN11" s="338"/>
      <c r="IWO11" s="338"/>
      <c r="IWP11" s="338"/>
      <c r="IWQ11" s="338"/>
      <c r="IWR11" s="338"/>
      <c r="IWS11" s="338"/>
      <c r="IWT11" s="338"/>
      <c r="IWU11" s="338"/>
      <c r="IWV11" s="338"/>
      <c r="IWW11" s="338"/>
      <c r="IWX11" s="338"/>
      <c r="IWY11" s="338"/>
      <c r="IWZ11" s="338"/>
      <c r="IXA11" s="338"/>
      <c r="IXB11" s="338"/>
      <c r="IXC11" s="338"/>
      <c r="IXD11" s="338"/>
      <c r="IXE11" s="338"/>
      <c r="IXF11" s="338"/>
      <c r="IXG11" s="338"/>
      <c r="IXH11" s="338"/>
      <c r="IXI11" s="338"/>
      <c r="IXJ11" s="338"/>
      <c r="IXK11" s="338"/>
      <c r="IXL11" s="338"/>
      <c r="IXM11" s="338"/>
      <c r="IXN11" s="338"/>
      <c r="IXO11" s="338"/>
      <c r="IXP11" s="338"/>
      <c r="IXQ11" s="338"/>
      <c r="IXR11" s="338"/>
      <c r="IXS11" s="338"/>
      <c r="IXT11" s="338"/>
      <c r="IXU11" s="338"/>
      <c r="IXV11" s="338"/>
      <c r="IXW11" s="338"/>
      <c r="IXX11" s="338"/>
      <c r="IXY11" s="338"/>
      <c r="IXZ11" s="338"/>
      <c r="IYA11" s="338"/>
      <c r="IYB11" s="338"/>
      <c r="IYC11" s="338"/>
      <c r="IYD11" s="338"/>
      <c r="IYE11" s="338"/>
      <c r="IYF11" s="338"/>
      <c r="IYG11" s="338"/>
      <c r="IYH11" s="338"/>
      <c r="IYI11" s="338"/>
      <c r="IYJ11" s="338"/>
      <c r="IYK11" s="338"/>
      <c r="IYL11" s="338"/>
      <c r="IYM11" s="338"/>
      <c r="IYN11" s="338"/>
      <c r="IYO11" s="338"/>
      <c r="IYP11" s="338"/>
      <c r="IYQ11" s="338"/>
      <c r="IYR11" s="338"/>
      <c r="IYS11" s="338"/>
      <c r="IYT11" s="338"/>
      <c r="IYU11" s="338"/>
      <c r="IYV11" s="338"/>
      <c r="IYW11" s="338"/>
      <c r="IYX11" s="338"/>
      <c r="IYY11" s="338"/>
      <c r="IYZ11" s="338"/>
      <c r="IZA11" s="338"/>
      <c r="IZB11" s="338"/>
      <c r="IZC11" s="338"/>
      <c r="IZD11" s="338"/>
      <c r="IZE11" s="338"/>
      <c r="IZF11" s="338"/>
      <c r="IZG11" s="338"/>
      <c r="IZH11" s="338"/>
      <c r="IZI11" s="338"/>
      <c r="IZJ11" s="338"/>
      <c r="IZK11" s="338"/>
      <c r="IZL11" s="338"/>
      <c r="IZM11" s="338"/>
      <c r="IZN11" s="338"/>
      <c r="IZO11" s="338"/>
      <c r="IZP11" s="338"/>
      <c r="IZQ11" s="338"/>
      <c r="IZR11" s="338"/>
      <c r="IZS11" s="338"/>
      <c r="IZT11" s="338"/>
      <c r="IZU11" s="338"/>
      <c r="IZV11" s="338"/>
      <c r="IZW11" s="338"/>
      <c r="IZX11" s="338"/>
      <c r="IZY11" s="338"/>
      <c r="IZZ11" s="338"/>
      <c r="JAA11" s="338"/>
      <c r="JAB11" s="338"/>
      <c r="JAC11" s="338"/>
      <c r="JAD11" s="338"/>
      <c r="JAE11" s="338"/>
      <c r="JAF11" s="338"/>
      <c r="JAG11" s="338"/>
      <c r="JAH11" s="338"/>
      <c r="JAI11" s="338"/>
      <c r="JAJ11" s="338"/>
      <c r="JAK11" s="338"/>
      <c r="JAL11" s="338"/>
      <c r="JAM11" s="338"/>
      <c r="JAN11" s="338"/>
      <c r="JAO11" s="338"/>
      <c r="JAP11" s="338"/>
      <c r="JAQ11" s="338"/>
      <c r="JAR11" s="338"/>
      <c r="JAS11" s="338"/>
      <c r="JAT11" s="338"/>
      <c r="JAU11" s="338"/>
      <c r="JAV11" s="338"/>
      <c r="JAW11" s="338"/>
      <c r="JAX11" s="338"/>
      <c r="JAY11" s="338"/>
      <c r="JAZ11" s="338"/>
      <c r="JBA11" s="338"/>
      <c r="JBB11" s="338"/>
      <c r="JBC11" s="338"/>
      <c r="JBD11" s="338"/>
      <c r="JBE11" s="338"/>
      <c r="JBF11" s="338"/>
      <c r="JBG11" s="338"/>
      <c r="JBH11" s="338"/>
      <c r="JBI11" s="338"/>
      <c r="JBJ11" s="338"/>
      <c r="JBK11" s="338"/>
      <c r="JBL11" s="338"/>
      <c r="JBM11" s="338"/>
      <c r="JBN11" s="338"/>
      <c r="JBO11" s="338"/>
      <c r="JBP11" s="338"/>
      <c r="JBQ11" s="338"/>
      <c r="JBR11" s="338"/>
      <c r="JBS11" s="338"/>
      <c r="JBT11" s="338"/>
      <c r="JBU11" s="338"/>
      <c r="JBV11" s="338"/>
      <c r="JBW11" s="338"/>
      <c r="JBX11" s="338"/>
      <c r="JBY11" s="338"/>
      <c r="JBZ11" s="338"/>
      <c r="JCA11" s="338"/>
      <c r="JCB11" s="338"/>
      <c r="JCC11" s="338"/>
      <c r="JCD11" s="338"/>
      <c r="JCE11" s="338"/>
      <c r="JCF11" s="338"/>
      <c r="JCG11" s="338"/>
      <c r="JCH11" s="338"/>
      <c r="JCI11" s="338"/>
      <c r="JCJ11" s="338"/>
      <c r="JCK11" s="338"/>
      <c r="JCL11" s="338"/>
      <c r="JCM11" s="338"/>
      <c r="JCN11" s="338"/>
      <c r="JCO11" s="338"/>
      <c r="JCP11" s="338"/>
      <c r="JCQ11" s="338"/>
      <c r="JCR11" s="338"/>
      <c r="JCS11" s="338"/>
      <c r="JCT11" s="338"/>
      <c r="JCU11" s="338"/>
      <c r="JCV11" s="338"/>
      <c r="JCW11" s="338"/>
      <c r="JCX11" s="338"/>
      <c r="JCY11" s="338"/>
      <c r="JCZ11" s="338"/>
      <c r="JDA11" s="338"/>
      <c r="JDB11" s="338"/>
      <c r="JDC11" s="338"/>
      <c r="JDD11" s="338"/>
      <c r="JDE11" s="338"/>
      <c r="JDF11" s="338"/>
      <c r="JDG11" s="338"/>
      <c r="JDH11" s="338"/>
      <c r="JDI11" s="338"/>
      <c r="JDJ11" s="338"/>
      <c r="JDK11" s="338"/>
      <c r="JDL11" s="338"/>
      <c r="JDM11" s="338"/>
      <c r="JDN11" s="338"/>
      <c r="JDO11" s="338"/>
      <c r="JDP11" s="338"/>
      <c r="JDQ11" s="338"/>
      <c r="JDR11" s="338"/>
      <c r="JDS11" s="338"/>
      <c r="JDT11" s="338"/>
      <c r="JDU11" s="338"/>
      <c r="JDV11" s="338"/>
      <c r="JDW11" s="338"/>
      <c r="JDX11" s="338"/>
      <c r="JDY11" s="338"/>
      <c r="JDZ11" s="338"/>
      <c r="JEA11" s="338"/>
      <c r="JEB11" s="338"/>
      <c r="JEC11" s="338"/>
      <c r="JED11" s="338"/>
      <c r="JEE11" s="338"/>
      <c r="JEF11" s="338"/>
      <c r="JEG11" s="338"/>
      <c r="JEH11" s="338"/>
      <c r="JEI11" s="338"/>
      <c r="JEJ11" s="338"/>
      <c r="JEK11" s="338"/>
      <c r="JEL11" s="338"/>
      <c r="JEM11" s="338"/>
      <c r="JEN11" s="338"/>
      <c r="JEO11" s="338"/>
      <c r="JEP11" s="338"/>
      <c r="JEQ11" s="338"/>
      <c r="JER11" s="338"/>
      <c r="JES11" s="338"/>
      <c r="JET11" s="338"/>
      <c r="JEU11" s="338"/>
      <c r="JEV11" s="338"/>
      <c r="JEW11" s="338"/>
      <c r="JEX11" s="338"/>
      <c r="JEY11" s="338"/>
      <c r="JEZ11" s="338"/>
      <c r="JFA11" s="338"/>
      <c r="JFB11" s="338"/>
      <c r="JFC11" s="338"/>
      <c r="JFD11" s="338"/>
      <c r="JFE11" s="338"/>
      <c r="JFF11" s="338"/>
      <c r="JFG11" s="338"/>
      <c r="JFH11" s="338"/>
      <c r="JFI11" s="338"/>
      <c r="JFJ11" s="338"/>
      <c r="JFK11" s="338"/>
      <c r="JFL11" s="338"/>
      <c r="JFM11" s="338"/>
      <c r="JFN11" s="338"/>
      <c r="JFO11" s="338"/>
      <c r="JFP11" s="338"/>
      <c r="JFQ11" s="338"/>
      <c r="JFR11" s="338"/>
      <c r="JFS11" s="338"/>
      <c r="JFT11" s="338"/>
      <c r="JFU11" s="338"/>
      <c r="JFV11" s="338"/>
      <c r="JFW11" s="338"/>
      <c r="JFX11" s="338"/>
      <c r="JFY11" s="338"/>
      <c r="JFZ11" s="338"/>
      <c r="JGA11" s="338"/>
      <c r="JGB11" s="338"/>
      <c r="JGC11" s="338"/>
      <c r="JGD11" s="338"/>
      <c r="JGE11" s="338"/>
      <c r="JGF11" s="338"/>
      <c r="JGG11" s="338"/>
      <c r="JGH11" s="338"/>
      <c r="JGI11" s="338"/>
      <c r="JGJ11" s="338"/>
      <c r="JGK11" s="338"/>
      <c r="JGL11" s="338"/>
      <c r="JGM11" s="338"/>
      <c r="JGN11" s="338"/>
      <c r="JGO11" s="338"/>
      <c r="JGP11" s="338"/>
      <c r="JGQ11" s="338"/>
      <c r="JGR11" s="338"/>
      <c r="JGS11" s="338"/>
      <c r="JGT11" s="338"/>
      <c r="JGU11" s="338"/>
      <c r="JGV11" s="338"/>
      <c r="JGW11" s="338"/>
      <c r="JGX11" s="338"/>
      <c r="JGY11" s="338"/>
      <c r="JGZ11" s="338"/>
      <c r="JHA11" s="338"/>
      <c r="JHB11" s="338"/>
      <c r="JHC11" s="338"/>
      <c r="JHD11" s="338"/>
      <c r="JHE11" s="338"/>
      <c r="JHF11" s="338"/>
      <c r="JHG11" s="338"/>
      <c r="JHH11" s="338"/>
      <c r="JHI11" s="338"/>
      <c r="JHJ11" s="338"/>
      <c r="JHK11" s="338"/>
      <c r="JHL11" s="338"/>
      <c r="JHM11" s="338"/>
      <c r="JHN11" s="338"/>
      <c r="JHO11" s="338"/>
      <c r="JHP11" s="338"/>
      <c r="JHQ11" s="338"/>
      <c r="JHR11" s="338"/>
      <c r="JHS11" s="338"/>
      <c r="JHT11" s="338"/>
      <c r="JHU11" s="338"/>
      <c r="JHV11" s="338"/>
      <c r="JHW11" s="338"/>
      <c r="JHX11" s="338"/>
      <c r="JHY11" s="338"/>
      <c r="JHZ11" s="338"/>
      <c r="JIA11" s="338"/>
      <c r="JIB11" s="338"/>
      <c r="JIC11" s="338"/>
      <c r="JID11" s="338"/>
      <c r="JIE11" s="338"/>
      <c r="JIF11" s="338"/>
      <c r="JIG11" s="338"/>
      <c r="JIH11" s="338"/>
      <c r="JII11" s="338"/>
      <c r="JIJ11" s="338"/>
      <c r="JIK11" s="338"/>
      <c r="JIL11" s="338"/>
      <c r="JIM11" s="338"/>
      <c r="JIN11" s="338"/>
      <c r="JIO11" s="338"/>
      <c r="JIP11" s="338"/>
      <c r="JIQ11" s="338"/>
      <c r="JIR11" s="338"/>
      <c r="JIS11" s="338"/>
      <c r="JIT11" s="338"/>
      <c r="JIU11" s="338"/>
      <c r="JIV11" s="338"/>
      <c r="JIW11" s="338"/>
      <c r="JIX11" s="338"/>
      <c r="JIY11" s="338"/>
      <c r="JIZ11" s="338"/>
      <c r="JJA11" s="338"/>
      <c r="JJB11" s="338"/>
      <c r="JJC11" s="338"/>
      <c r="JJD11" s="338"/>
      <c r="JJE11" s="338"/>
      <c r="JJF11" s="338"/>
      <c r="JJG11" s="338"/>
      <c r="JJH11" s="338"/>
      <c r="JJI11" s="338"/>
      <c r="JJJ11" s="338"/>
      <c r="JJK11" s="338"/>
      <c r="JJL11" s="338"/>
      <c r="JJM11" s="338"/>
      <c r="JJN11" s="338"/>
      <c r="JJO11" s="338"/>
      <c r="JJP11" s="338"/>
      <c r="JJQ11" s="338"/>
      <c r="JJR11" s="338"/>
      <c r="JJS11" s="338"/>
      <c r="JJT11" s="338"/>
      <c r="JJU11" s="338"/>
      <c r="JJV11" s="338"/>
      <c r="JJW11" s="338"/>
      <c r="JJX11" s="338"/>
      <c r="JJY11" s="338"/>
      <c r="JJZ11" s="338"/>
      <c r="JKA11" s="338"/>
      <c r="JKB11" s="338"/>
      <c r="JKC11" s="338"/>
      <c r="JKD11" s="338"/>
      <c r="JKE11" s="338"/>
      <c r="JKF11" s="338"/>
      <c r="JKG11" s="338"/>
      <c r="JKH11" s="338"/>
      <c r="JKI11" s="338"/>
      <c r="JKJ11" s="338"/>
      <c r="JKK11" s="338"/>
      <c r="JKL11" s="338"/>
      <c r="JKM11" s="338"/>
      <c r="JKN11" s="338"/>
      <c r="JKO11" s="338"/>
      <c r="JKP11" s="338"/>
      <c r="JKQ11" s="338"/>
      <c r="JKR11" s="338"/>
      <c r="JKS11" s="338"/>
      <c r="JKT11" s="338"/>
      <c r="JKU11" s="338"/>
      <c r="JKV11" s="338"/>
      <c r="JKW11" s="338"/>
      <c r="JKX11" s="338"/>
      <c r="JKY11" s="338"/>
      <c r="JKZ11" s="338"/>
      <c r="JLA11" s="338"/>
      <c r="JLB11" s="338"/>
      <c r="JLC11" s="338"/>
      <c r="JLD11" s="338"/>
      <c r="JLE11" s="338"/>
      <c r="JLF11" s="338"/>
      <c r="JLG11" s="338"/>
      <c r="JLH11" s="338"/>
      <c r="JLI11" s="338"/>
      <c r="JLJ11" s="338"/>
      <c r="JLK11" s="338"/>
      <c r="JLL11" s="338"/>
      <c r="JLM11" s="338"/>
      <c r="JLN11" s="338"/>
      <c r="JLO11" s="338"/>
      <c r="JLP11" s="338"/>
      <c r="JLQ11" s="338"/>
      <c r="JLR11" s="338"/>
      <c r="JLS11" s="338"/>
      <c r="JLT11" s="338"/>
      <c r="JLU11" s="338"/>
      <c r="JLV11" s="338"/>
      <c r="JLW11" s="338"/>
      <c r="JLX11" s="338"/>
      <c r="JLY11" s="338"/>
      <c r="JLZ11" s="338"/>
      <c r="JMA11" s="338"/>
      <c r="JMB11" s="338"/>
      <c r="JMC11" s="338"/>
      <c r="JMD11" s="338"/>
      <c r="JME11" s="338"/>
      <c r="JMF11" s="338"/>
      <c r="JMG11" s="338"/>
      <c r="JMH11" s="338"/>
      <c r="JMI11" s="338"/>
      <c r="JMJ11" s="338"/>
      <c r="JMK11" s="338"/>
      <c r="JML11" s="338"/>
      <c r="JMM11" s="338"/>
      <c r="JMN11" s="338"/>
      <c r="JMO11" s="338"/>
      <c r="JMP11" s="338"/>
      <c r="JMQ11" s="338"/>
      <c r="JMR11" s="338"/>
      <c r="JMS11" s="338"/>
      <c r="JMT11" s="338"/>
      <c r="JMU11" s="338"/>
      <c r="JMV11" s="338"/>
      <c r="JMW11" s="338"/>
      <c r="JMX11" s="338"/>
      <c r="JMY11" s="338"/>
      <c r="JMZ11" s="338"/>
      <c r="JNA11" s="338"/>
      <c r="JNB11" s="338"/>
      <c r="JNC11" s="338"/>
      <c r="JND11" s="338"/>
      <c r="JNE11" s="338"/>
      <c r="JNF11" s="338"/>
      <c r="JNG11" s="338"/>
      <c r="JNH11" s="338"/>
      <c r="JNI11" s="338"/>
      <c r="JNJ11" s="338"/>
      <c r="JNK11" s="338"/>
      <c r="JNL11" s="338"/>
      <c r="JNM11" s="338"/>
      <c r="JNN11" s="338"/>
      <c r="JNO11" s="338"/>
      <c r="JNP11" s="338"/>
      <c r="JNQ11" s="338"/>
      <c r="JNR11" s="338"/>
      <c r="JNS11" s="338"/>
      <c r="JNT11" s="338"/>
      <c r="JNU11" s="338"/>
      <c r="JNV11" s="338"/>
      <c r="JNW11" s="338"/>
      <c r="JNX11" s="338"/>
      <c r="JNY11" s="338"/>
      <c r="JNZ11" s="338"/>
      <c r="JOA11" s="338"/>
      <c r="JOB11" s="338"/>
      <c r="JOC11" s="338"/>
      <c r="JOD11" s="338"/>
      <c r="JOE11" s="338"/>
      <c r="JOF11" s="338"/>
      <c r="JOG11" s="338"/>
      <c r="JOH11" s="338"/>
      <c r="JOI11" s="338"/>
      <c r="JOJ11" s="338"/>
      <c r="JOK11" s="338"/>
      <c r="JOL11" s="338"/>
      <c r="JOM11" s="338"/>
      <c r="JON11" s="338"/>
      <c r="JOO11" s="338"/>
      <c r="JOP11" s="338"/>
      <c r="JOQ11" s="338"/>
      <c r="JOR11" s="338"/>
      <c r="JOS11" s="338"/>
      <c r="JOT11" s="338"/>
      <c r="JOU11" s="338"/>
      <c r="JOV11" s="338"/>
      <c r="JOW11" s="338"/>
      <c r="JOX11" s="338"/>
      <c r="JOY11" s="338"/>
      <c r="JOZ11" s="338"/>
      <c r="JPA11" s="338"/>
      <c r="JPB11" s="338"/>
      <c r="JPC11" s="338"/>
      <c r="JPD11" s="338"/>
      <c r="JPE11" s="338"/>
      <c r="JPF11" s="338"/>
      <c r="JPG11" s="338"/>
      <c r="JPH11" s="338"/>
      <c r="JPI11" s="338"/>
      <c r="JPJ11" s="338"/>
      <c r="JPK11" s="338"/>
      <c r="JPL11" s="338"/>
      <c r="JPM11" s="338"/>
      <c r="JPN11" s="338"/>
      <c r="JPO11" s="338"/>
      <c r="JPP11" s="338"/>
      <c r="JPQ11" s="338"/>
      <c r="JPR11" s="338"/>
      <c r="JPS11" s="338"/>
      <c r="JPT11" s="338"/>
      <c r="JPU11" s="338"/>
      <c r="JPV11" s="338"/>
      <c r="JPW11" s="338"/>
      <c r="JPX11" s="338"/>
      <c r="JPY11" s="338"/>
      <c r="JPZ11" s="338"/>
      <c r="JQA11" s="338"/>
      <c r="JQB11" s="338"/>
      <c r="JQC11" s="338"/>
      <c r="JQD11" s="338"/>
      <c r="JQE11" s="338"/>
      <c r="JQF11" s="338"/>
      <c r="JQG11" s="338"/>
      <c r="JQH11" s="338"/>
      <c r="JQI11" s="338"/>
      <c r="JQJ11" s="338"/>
      <c r="JQK11" s="338"/>
      <c r="JQL11" s="338"/>
      <c r="JQM11" s="338"/>
      <c r="JQN11" s="338"/>
      <c r="JQO11" s="338"/>
      <c r="JQP11" s="338"/>
      <c r="JQQ11" s="338"/>
      <c r="JQR11" s="338"/>
      <c r="JQS11" s="338"/>
      <c r="JQT11" s="338"/>
      <c r="JQU11" s="338"/>
      <c r="JQV11" s="338"/>
      <c r="JQW11" s="338"/>
      <c r="JQX11" s="338"/>
      <c r="JQY11" s="338"/>
      <c r="JQZ11" s="338"/>
      <c r="JRA11" s="338"/>
      <c r="JRB11" s="338"/>
      <c r="JRC11" s="338"/>
      <c r="JRD11" s="338"/>
      <c r="JRE11" s="338"/>
      <c r="JRF11" s="338"/>
      <c r="JRG11" s="338"/>
      <c r="JRH11" s="338"/>
      <c r="JRI11" s="338"/>
      <c r="JRJ11" s="338"/>
      <c r="JRK11" s="338"/>
      <c r="JRL11" s="338"/>
      <c r="JRM11" s="338"/>
      <c r="JRN11" s="338"/>
      <c r="JRO11" s="338"/>
      <c r="JRP11" s="338"/>
      <c r="JRQ11" s="338"/>
      <c r="JRR11" s="338"/>
      <c r="JRS11" s="338"/>
      <c r="JRT11" s="338"/>
      <c r="JRU11" s="338"/>
      <c r="JRV11" s="338"/>
      <c r="JRW11" s="338"/>
      <c r="JRX11" s="338"/>
      <c r="JRY11" s="338"/>
      <c r="JRZ11" s="338"/>
      <c r="JSA11" s="338"/>
      <c r="JSB11" s="338"/>
      <c r="JSC11" s="338"/>
      <c r="JSD11" s="338"/>
      <c r="JSE11" s="338"/>
      <c r="JSF11" s="338"/>
      <c r="JSG11" s="338"/>
      <c r="JSH11" s="338"/>
      <c r="JSI11" s="338"/>
      <c r="JSJ11" s="338"/>
      <c r="JSK11" s="338"/>
      <c r="JSL11" s="338"/>
      <c r="JSM11" s="338"/>
      <c r="JSN11" s="338"/>
      <c r="JSO11" s="338"/>
      <c r="JSP11" s="338"/>
      <c r="JSQ11" s="338"/>
      <c r="JSR11" s="338"/>
      <c r="JSS11" s="338"/>
      <c r="JST11" s="338"/>
      <c r="JSU11" s="338"/>
      <c r="JSV11" s="338"/>
      <c r="JSW11" s="338"/>
      <c r="JSX11" s="338"/>
      <c r="JSY11" s="338"/>
      <c r="JSZ11" s="338"/>
      <c r="JTA11" s="338"/>
      <c r="JTB11" s="338"/>
      <c r="JTC11" s="338"/>
      <c r="JTD11" s="338"/>
      <c r="JTE11" s="338"/>
      <c r="JTF11" s="338"/>
      <c r="JTG11" s="338"/>
      <c r="JTH11" s="338"/>
      <c r="JTI11" s="338"/>
      <c r="JTJ11" s="338"/>
      <c r="JTK11" s="338"/>
      <c r="JTL11" s="338"/>
      <c r="JTM11" s="338"/>
      <c r="JTN11" s="338"/>
      <c r="JTO11" s="338"/>
      <c r="JTP11" s="338"/>
      <c r="JTQ11" s="338"/>
      <c r="JTR11" s="338"/>
      <c r="JTS11" s="338"/>
      <c r="JTT11" s="338"/>
      <c r="JTU11" s="338"/>
      <c r="JTV11" s="338"/>
      <c r="JTW11" s="338"/>
      <c r="JTX11" s="338"/>
      <c r="JTY11" s="338"/>
      <c r="JTZ11" s="338"/>
      <c r="JUA11" s="338"/>
      <c r="JUB11" s="338"/>
      <c r="JUC11" s="338"/>
      <c r="JUD11" s="338"/>
      <c r="JUE11" s="338"/>
      <c r="JUF11" s="338"/>
      <c r="JUG11" s="338"/>
      <c r="JUH11" s="338"/>
      <c r="JUI11" s="338"/>
      <c r="JUJ11" s="338"/>
      <c r="JUK11" s="338"/>
      <c r="JUL11" s="338"/>
      <c r="JUM11" s="338"/>
      <c r="JUN11" s="338"/>
      <c r="JUO11" s="338"/>
      <c r="JUP11" s="338"/>
      <c r="JUQ11" s="338"/>
      <c r="JUR11" s="338"/>
      <c r="JUS11" s="338"/>
      <c r="JUT11" s="338"/>
      <c r="JUU11" s="338"/>
      <c r="JUV11" s="338"/>
      <c r="JUW11" s="338"/>
      <c r="JUX11" s="338"/>
      <c r="JUY11" s="338"/>
      <c r="JUZ11" s="338"/>
      <c r="JVA11" s="338"/>
      <c r="JVB11" s="338"/>
      <c r="JVC11" s="338"/>
      <c r="JVD11" s="338"/>
      <c r="JVE11" s="338"/>
      <c r="JVF11" s="338"/>
      <c r="JVG11" s="338"/>
      <c r="JVH11" s="338"/>
      <c r="JVI11" s="338"/>
      <c r="JVJ11" s="338"/>
      <c r="JVK11" s="338"/>
      <c r="JVL11" s="338"/>
      <c r="JVM11" s="338"/>
      <c r="JVN11" s="338"/>
      <c r="JVO11" s="338"/>
      <c r="JVP11" s="338"/>
      <c r="JVQ11" s="338"/>
      <c r="JVR11" s="338"/>
      <c r="JVS11" s="338"/>
      <c r="JVT11" s="338"/>
      <c r="JVU11" s="338"/>
      <c r="JVV11" s="338"/>
      <c r="JVW11" s="338"/>
      <c r="JVX11" s="338"/>
      <c r="JVY11" s="338"/>
      <c r="JVZ11" s="338"/>
      <c r="JWA11" s="338"/>
      <c r="JWB11" s="338"/>
      <c r="JWC11" s="338"/>
      <c r="JWD11" s="338"/>
      <c r="JWE11" s="338"/>
      <c r="JWF11" s="338"/>
      <c r="JWG11" s="338"/>
      <c r="JWH11" s="338"/>
      <c r="JWI11" s="338"/>
      <c r="JWJ11" s="338"/>
      <c r="JWK11" s="338"/>
      <c r="JWL11" s="338"/>
      <c r="JWM11" s="338"/>
      <c r="JWN11" s="338"/>
      <c r="JWO11" s="338"/>
      <c r="JWP11" s="338"/>
      <c r="JWQ11" s="338"/>
      <c r="JWR11" s="338"/>
      <c r="JWS11" s="338"/>
      <c r="JWT11" s="338"/>
      <c r="JWU11" s="338"/>
      <c r="JWV11" s="338"/>
      <c r="JWW11" s="338"/>
      <c r="JWX11" s="338"/>
      <c r="JWY11" s="338"/>
      <c r="JWZ11" s="338"/>
      <c r="JXA11" s="338"/>
      <c r="JXB11" s="338"/>
      <c r="JXC11" s="338"/>
      <c r="JXD11" s="338"/>
      <c r="JXE11" s="338"/>
      <c r="JXF11" s="338"/>
      <c r="JXG11" s="338"/>
      <c r="JXH11" s="338"/>
      <c r="JXI11" s="338"/>
      <c r="JXJ11" s="338"/>
      <c r="JXK11" s="338"/>
      <c r="JXL11" s="338"/>
      <c r="JXM11" s="338"/>
      <c r="JXN11" s="338"/>
      <c r="JXO11" s="338"/>
      <c r="JXP11" s="338"/>
      <c r="JXQ11" s="338"/>
      <c r="JXR11" s="338"/>
      <c r="JXS11" s="338"/>
      <c r="JXT11" s="338"/>
      <c r="JXU11" s="338"/>
      <c r="JXV11" s="338"/>
      <c r="JXW11" s="338"/>
      <c r="JXX11" s="338"/>
      <c r="JXY11" s="338"/>
      <c r="JXZ11" s="338"/>
      <c r="JYA11" s="338"/>
      <c r="JYB11" s="338"/>
      <c r="JYC11" s="338"/>
      <c r="JYD11" s="338"/>
      <c r="JYE11" s="338"/>
      <c r="JYF11" s="338"/>
      <c r="JYG11" s="338"/>
      <c r="JYH11" s="338"/>
      <c r="JYI11" s="338"/>
      <c r="JYJ11" s="338"/>
      <c r="JYK11" s="338"/>
      <c r="JYL11" s="338"/>
      <c r="JYM11" s="338"/>
      <c r="JYN11" s="338"/>
      <c r="JYO11" s="338"/>
      <c r="JYP11" s="338"/>
      <c r="JYQ11" s="338"/>
      <c r="JYR11" s="338"/>
      <c r="JYS11" s="338"/>
      <c r="JYT11" s="338"/>
      <c r="JYU11" s="338"/>
      <c r="JYV11" s="338"/>
      <c r="JYW11" s="338"/>
      <c r="JYX11" s="338"/>
      <c r="JYY11" s="338"/>
      <c r="JYZ11" s="338"/>
      <c r="JZA11" s="338"/>
      <c r="JZB11" s="338"/>
      <c r="JZC11" s="338"/>
      <c r="JZD11" s="338"/>
      <c r="JZE11" s="338"/>
      <c r="JZF11" s="338"/>
      <c r="JZG11" s="338"/>
      <c r="JZH11" s="338"/>
      <c r="JZI11" s="338"/>
      <c r="JZJ11" s="338"/>
      <c r="JZK11" s="338"/>
      <c r="JZL11" s="338"/>
      <c r="JZM11" s="338"/>
      <c r="JZN11" s="338"/>
      <c r="JZO11" s="338"/>
      <c r="JZP11" s="338"/>
      <c r="JZQ11" s="338"/>
      <c r="JZR11" s="338"/>
      <c r="JZS11" s="338"/>
      <c r="JZT11" s="338"/>
      <c r="JZU11" s="338"/>
      <c r="JZV11" s="338"/>
      <c r="JZW11" s="338"/>
      <c r="JZX11" s="338"/>
      <c r="JZY11" s="338"/>
      <c r="JZZ11" s="338"/>
      <c r="KAA11" s="338"/>
      <c r="KAB11" s="338"/>
      <c r="KAC11" s="338"/>
      <c r="KAD11" s="338"/>
      <c r="KAE11" s="338"/>
      <c r="KAF11" s="338"/>
      <c r="KAG11" s="338"/>
      <c r="KAH11" s="338"/>
      <c r="KAI11" s="338"/>
      <c r="KAJ11" s="338"/>
      <c r="KAK11" s="338"/>
      <c r="KAL11" s="338"/>
      <c r="KAM11" s="338"/>
      <c r="KAN11" s="338"/>
      <c r="KAO11" s="338"/>
      <c r="KAP11" s="338"/>
      <c r="KAQ11" s="338"/>
      <c r="KAR11" s="338"/>
      <c r="KAS11" s="338"/>
      <c r="KAT11" s="338"/>
      <c r="KAU11" s="338"/>
      <c r="KAV11" s="338"/>
      <c r="KAW11" s="338"/>
      <c r="KAX11" s="338"/>
      <c r="KAY11" s="338"/>
      <c r="KAZ11" s="338"/>
      <c r="KBA11" s="338"/>
      <c r="KBB11" s="338"/>
      <c r="KBC11" s="338"/>
      <c r="KBD11" s="338"/>
      <c r="KBE11" s="338"/>
      <c r="KBF11" s="338"/>
      <c r="KBG11" s="338"/>
      <c r="KBH11" s="338"/>
      <c r="KBI11" s="338"/>
      <c r="KBJ11" s="338"/>
      <c r="KBK11" s="338"/>
      <c r="KBL11" s="338"/>
      <c r="KBM11" s="338"/>
      <c r="KBN11" s="338"/>
      <c r="KBO11" s="338"/>
      <c r="KBP11" s="338"/>
      <c r="KBQ11" s="338"/>
      <c r="KBR11" s="338"/>
      <c r="KBS11" s="338"/>
      <c r="KBT11" s="338"/>
      <c r="KBU11" s="338"/>
      <c r="KBV11" s="338"/>
      <c r="KBW11" s="338"/>
      <c r="KBX11" s="338"/>
      <c r="KBY11" s="338"/>
      <c r="KBZ11" s="338"/>
      <c r="KCA11" s="338"/>
      <c r="KCB11" s="338"/>
      <c r="KCC11" s="338"/>
      <c r="KCD11" s="338"/>
      <c r="KCE11" s="338"/>
      <c r="KCF11" s="338"/>
      <c r="KCG11" s="338"/>
      <c r="KCH11" s="338"/>
      <c r="KCI11" s="338"/>
      <c r="KCJ11" s="338"/>
      <c r="KCK11" s="338"/>
      <c r="KCL11" s="338"/>
      <c r="KCM11" s="338"/>
      <c r="KCN11" s="338"/>
      <c r="KCO11" s="338"/>
      <c r="KCP11" s="338"/>
      <c r="KCQ11" s="338"/>
      <c r="KCR11" s="338"/>
      <c r="KCS11" s="338"/>
      <c r="KCT11" s="338"/>
      <c r="KCU11" s="338"/>
      <c r="KCV11" s="338"/>
      <c r="KCW11" s="338"/>
      <c r="KCX11" s="338"/>
      <c r="KCY11" s="338"/>
      <c r="KCZ11" s="338"/>
      <c r="KDA11" s="338"/>
      <c r="KDB11" s="338"/>
      <c r="KDC11" s="338"/>
      <c r="KDD11" s="338"/>
      <c r="KDE11" s="338"/>
      <c r="KDF11" s="338"/>
      <c r="KDG11" s="338"/>
      <c r="KDH11" s="338"/>
      <c r="KDI11" s="338"/>
      <c r="KDJ11" s="338"/>
      <c r="KDK11" s="338"/>
      <c r="KDL11" s="338"/>
      <c r="KDM11" s="338"/>
      <c r="KDN11" s="338"/>
      <c r="KDO11" s="338"/>
      <c r="KDP11" s="338"/>
      <c r="KDQ11" s="338"/>
      <c r="KDR11" s="338"/>
      <c r="KDS11" s="338"/>
      <c r="KDT11" s="338"/>
      <c r="KDU11" s="338"/>
      <c r="KDV11" s="338"/>
      <c r="KDW11" s="338"/>
      <c r="KDX11" s="338"/>
      <c r="KDY11" s="338"/>
      <c r="KDZ11" s="338"/>
      <c r="KEA11" s="338"/>
      <c r="KEB11" s="338"/>
      <c r="KEC11" s="338"/>
      <c r="KED11" s="338"/>
      <c r="KEE11" s="338"/>
      <c r="KEF11" s="338"/>
      <c r="KEG11" s="338"/>
      <c r="KEH11" s="338"/>
      <c r="KEI11" s="338"/>
      <c r="KEJ11" s="338"/>
      <c r="KEK11" s="338"/>
      <c r="KEL11" s="338"/>
      <c r="KEM11" s="338"/>
      <c r="KEN11" s="338"/>
      <c r="KEO11" s="338"/>
      <c r="KEP11" s="338"/>
      <c r="KEQ11" s="338"/>
      <c r="KER11" s="338"/>
      <c r="KES11" s="338"/>
      <c r="KET11" s="338"/>
      <c r="KEU11" s="338"/>
      <c r="KEV11" s="338"/>
      <c r="KEW11" s="338"/>
      <c r="KEX11" s="338"/>
      <c r="KEY11" s="338"/>
      <c r="KEZ11" s="338"/>
      <c r="KFA11" s="338"/>
      <c r="KFB11" s="338"/>
      <c r="KFC11" s="338"/>
      <c r="KFD11" s="338"/>
      <c r="KFE11" s="338"/>
      <c r="KFF11" s="338"/>
      <c r="KFG11" s="338"/>
      <c r="KFH11" s="338"/>
      <c r="KFI11" s="338"/>
      <c r="KFJ11" s="338"/>
      <c r="KFK11" s="338"/>
      <c r="KFL11" s="338"/>
      <c r="KFM11" s="338"/>
      <c r="KFN11" s="338"/>
      <c r="KFO11" s="338"/>
      <c r="KFP11" s="338"/>
      <c r="KFQ11" s="338"/>
      <c r="KFR11" s="338"/>
      <c r="KFS11" s="338"/>
      <c r="KFT11" s="338"/>
      <c r="KFU11" s="338"/>
      <c r="KFV11" s="338"/>
      <c r="KFW11" s="338"/>
      <c r="KFX11" s="338"/>
      <c r="KFY11" s="338"/>
      <c r="KFZ11" s="338"/>
      <c r="KGA11" s="338"/>
      <c r="KGB11" s="338"/>
      <c r="KGC11" s="338"/>
      <c r="KGD11" s="338"/>
      <c r="KGE11" s="338"/>
      <c r="KGF11" s="338"/>
      <c r="KGG11" s="338"/>
      <c r="KGH11" s="338"/>
      <c r="KGI11" s="338"/>
      <c r="KGJ11" s="338"/>
      <c r="KGK11" s="338"/>
      <c r="KGL11" s="338"/>
      <c r="KGM11" s="338"/>
      <c r="KGN11" s="338"/>
      <c r="KGO11" s="338"/>
      <c r="KGP11" s="338"/>
      <c r="KGQ11" s="338"/>
      <c r="KGR11" s="338"/>
      <c r="KGS11" s="338"/>
      <c r="KGT11" s="338"/>
      <c r="KGU11" s="338"/>
      <c r="KGV11" s="338"/>
      <c r="KGW11" s="338"/>
      <c r="KGX11" s="338"/>
      <c r="KGY11" s="338"/>
      <c r="KGZ11" s="338"/>
      <c r="KHA11" s="338"/>
      <c r="KHB11" s="338"/>
      <c r="KHC11" s="338"/>
      <c r="KHD11" s="338"/>
      <c r="KHE11" s="338"/>
      <c r="KHF11" s="338"/>
      <c r="KHG11" s="338"/>
      <c r="KHH11" s="338"/>
      <c r="KHI11" s="338"/>
      <c r="KHJ11" s="338"/>
      <c r="KHK11" s="338"/>
      <c r="KHL11" s="338"/>
      <c r="KHM11" s="338"/>
      <c r="KHN11" s="338"/>
      <c r="KHO11" s="338"/>
      <c r="KHP11" s="338"/>
      <c r="KHQ11" s="338"/>
      <c r="KHR11" s="338"/>
      <c r="KHS11" s="338"/>
      <c r="KHT11" s="338"/>
      <c r="KHU11" s="338"/>
      <c r="KHV11" s="338"/>
      <c r="KHW11" s="338"/>
      <c r="KHX11" s="338"/>
      <c r="KHY11" s="338"/>
      <c r="KHZ11" s="338"/>
      <c r="KIA11" s="338"/>
      <c r="KIB11" s="338"/>
      <c r="KIC11" s="338"/>
      <c r="KID11" s="338"/>
      <c r="KIE11" s="338"/>
      <c r="KIF11" s="338"/>
      <c r="KIG11" s="338"/>
      <c r="KIH11" s="338"/>
      <c r="KII11" s="338"/>
      <c r="KIJ11" s="338"/>
      <c r="KIK11" s="338"/>
      <c r="KIL11" s="338"/>
      <c r="KIM11" s="338"/>
      <c r="KIN11" s="338"/>
      <c r="KIO11" s="338"/>
      <c r="KIP11" s="338"/>
      <c r="KIQ11" s="338"/>
      <c r="KIR11" s="338"/>
      <c r="KIS11" s="338"/>
      <c r="KIT11" s="338"/>
      <c r="KIU11" s="338"/>
      <c r="KIV11" s="338"/>
      <c r="KIW11" s="338"/>
      <c r="KIX11" s="338"/>
      <c r="KIY11" s="338"/>
      <c r="KIZ11" s="338"/>
      <c r="KJA11" s="338"/>
      <c r="KJB11" s="338"/>
      <c r="KJC11" s="338"/>
      <c r="KJD11" s="338"/>
      <c r="KJE11" s="338"/>
      <c r="KJF11" s="338"/>
      <c r="KJG11" s="338"/>
      <c r="KJH11" s="338"/>
      <c r="KJI11" s="338"/>
      <c r="KJJ11" s="338"/>
      <c r="KJK11" s="338"/>
      <c r="KJL11" s="338"/>
      <c r="KJM11" s="338"/>
      <c r="KJN11" s="338"/>
      <c r="KJO11" s="338"/>
      <c r="KJP11" s="338"/>
      <c r="KJQ11" s="338"/>
      <c r="KJR11" s="338"/>
      <c r="KJS11" s="338"/>
      <c r="KJT11" s="338"/>
      <c r="KJU11" s="338"/>
      <c r="KJV11" s="338"/>
      <c r="KJW11" s="338"/>
      <c r="KJX11" s="338"/>
      <c r="KJY11" s="338"/>
      <c r="KJZ11" s="338"/>
      <c r="KKA11" s="338"/>
      <c r="KKB11" s="338"/>
      <c r="KKC11" s="338"/>
      <c r="KKD11" s="338"/>
      <c r="KKE11" s="338"/>
      <c r="KKF11" s="338"/>
      <c r="KKG11" s="338"/>
      <c r="KKH11" s="338"/>
      <c r="KKI11" s="338"/>
      <c r="KKJ11" s="338"/>
      <c r="KKK11" s="338"/>
      <c r="KKL11" s="338"/>
      <c r="KKM11" s="338"/>
      <c r="KKN11" s="338"/>
      <c r="KKO11" s="338"/>
      <c r="KKP11" s="338"/>
      <c r="KKQ11" s="338"/>
      <c r="KKR11" s="338"/>
      <c r="KKS11" s="338"/>
      <c r="KKT11" s="338"/>
      <c r="KKU11" s="338"/>
      <c r="KKV11" s="338"/>
      <c r="KKW11" s="338"/>
      <c r="KKX11" s="338"/>
      <c r="KKY11" s="338"/>
      <c r="KKZ11" s="338"/>
      <c r="KLA11" s="338"/>
      <c r="KLB11" s="338"/>
      <c r="KLC11" s="338"/>
      <c r="KLD11" s="338"/>
      <c r="KLE11" s="338"/>
      <c r="KLF11" s="338"/>
      <c r="KLG11" s="338"/>
      <c r="KLH11" s="338"/>
      <c r="KLI11" s="338"/>
      <c r="KLJ11" s="338"/>
      <c r="KLK11" s="338"/>
      <c r="KLL11" s="338"/>
      <c r="KLM11" s="338"/>
      <c r="KLN11" s="338"/>
      <c r="KLO11" s="338"/>
      <c r="KLP11" s="338"/>
      <c r="KLQ11" s="338"/>
      <c r="KLR11" s="338"/>
      <c r="KLS11" s="338"/>
      <c r="KLT11" s="338"/>
      <c r="KLU11" s="338"/>
      <c r="KLV11" s="338"/>
      <c r="KLW11" s="338"/>
      <c r="KLX11" s="338"/>
      <c r="KLY11" s="338"/>
      <c r="KLZ11" s="338"/>
      <c r="KMA11" s="338"/>
      <c r="KMB11" s="338"/>
      <c r="KMC11" s="338"/>
      <c r="KMD11" s="338"/>
      <c r="KME11" s="338"/>
      <c r="KMF11" s="338"/>
      <c r="KMG11" s="338"/>
      <c r="KMH11" s="338"/>
      <c r="KMI11" s="338"/>
      <c r="KMJ11" s="338"/>
      <c r="KMK11" s="338"/>
      <c r="KML11" s="338"/>
      <c r="KMM11" s="338"/>
      <c r="KMN11" s="338"/>
      <c r="KMO11" s="338"/>
      <c r="KMP11" s="338"/>
      <c r="KMQ11" s="338"/>
      <c r="KMR11" s="338"/>
      <c r="KMS11" s="338"/>
      <c r="KMT11" s="338"/>
      <c r="KMU11" s="338"/>
      <c r="KMV11" s="338"/>
      <c r="KMW11" s="338"/>
      <c r="KMX11" s="338"/>
      <c r="KMY11" s="338"/>
      <c r="KMZ11" s="338"/>
      <c r="KNA11" s="338"/>
      <c r="KNB11" s="338"/>
      <c r="KNC11" s="338"/>
      <c r="KND11" s="338"/>
      <c r="KNE11" s="338"/>
      <c r="KNF11" s="338"/>
      <c r="KNG11" s="338"/>
      <c r="KNH11" s="338"/>
      <c r="KNI11" s="338"/>
      <c r="KNJ11" s="338"/>
      <c r="KNK11" s="338"/>
      <c r="KNL11" s="338"/>
      <c r="KNM11" s="338"/>
      <c r="KNN11" s="338"/>
      <c r="KNO11" s="338"/>
      <c r="KNP11" s="338"/>
      <c r="KNQ11" s="338"/>
      <c r="KNR11" s="338"/>
      <c r="KNS11" s="338"/>
      <c r="KNT11" s="338"/>
      <c r="KNU11" s="338"/>
      <c r="KNV11" s="338"/>
      <c r="KNW11" s="338"/>
      <c r="KNX11" s="338"/>
      <c r="KNY11" s="338"/>
      <c r="KNZ11" s="338"/>
      <c r="KOA11" s="338"/>
      <c r="KOB11" s="338"/>
      <c r="KOC11" s="338"/>
      <c r="KOD11" s="338"/>
      <c r="KOE11" s="338"/>
      <c r="KOF11" s="338"/>
      <c r="KOG11" s="338"/>
      <c r="KOH11" s="338"/>
      <c r="KOI11" s="338"/>
      <c r="KOJ11" s="338"/>
      <c r="KOK11" s="338"/>
      <c r="KOL11" s="338"/>
      <c r="KOM11" s="338"/>
      <c r="KON11" s="338"/>
      <c r="KOO11" s="338"/>
      <c r="KOP11" s="338"/>
      <c r="KOQ11" s="338"/>
      <c r="KOR11" s="338"/>
      <c r="KOS11" s="338"/>
      <c r="KOT11" s="338"/>
      <c r="KOU11" s="338"/>
      <c r="KOV11" s="338"/>
      <c r="KOW11" s="338"/>
      <c r="KOX11" s="338"/>
      <c r="KOY11" s="338"/>
      <c r="KOZ11" s="338"/>
      <c r="KPA11" s="338"/>
      <c r="KPB11" s="338"/>
      <c r="KPC11" s="338"/>
      <c r="KPD11" s="338"/>
      <c r="KPE11" s="338"/>
      <c r="KPF11" s="338"/>
      <c r="KPG11" s="338"/>
      <c r="KPH11" s="338"/>
      <c r="KPI11" s="338"/>
      <c r="KPJ11" s="338"/>
      <c r="KPK11" s="338"/>
      <c r="KPL11" s="338"/>
      <c r="KPM11" s="338"/>
      <c r="KPN11" s="338"/>
      <c r="KPO11" s="338"/>
      <c r="KPP11" s="338"/>
      <c r="KPQ11" s="338"/>
      <c r="KPR11" s="338"/>
      <c r="KPS11" s="338"/>
      <c r="KPT11" s="338"/>
      <c r="KPU11" s="338"/>
      <c r="KPV11" s="338"/>
      <c r="KPW11" s="338"/>
      <c r="KPX11" s="338"/>
      <c r="KPY11" s="338"/>
      <c r="KPZ11" s="338"/>
      <c r="KQA11" s="338"/>
      <c r="KQB11" s="338"/>
      <c r="KQC11" s="338"/>
      <c r="KQD11" s="338"/>
      <c r="KQE11" s="338"/>
      <c r="KQF11" s="338"/>
      <c r="KQG11" s="338"/>
      <c r="KQH11" s="338"/>
      <c r="KQI11" s="338"/>
      <c r="KQJ11" s="338"/>
      <c r="KQK11" s="338"/>
      <c r="KQL11" s="338"/>
      <c r="KQM11" s="338"/>
      <c r="KQN11" s="338"/>
      <c r="KQO11" s="338"/>
      <c r="KQP11" s="338"/>
      <c r="KQQ11" s="338"/>
      <c r="KQR11" s="338"/>
      <c r="KQS11" s="338"/>
      <c r="KQT11" s="338"/>
      <c r="KQU11" s="338"/>
      <c r="KQV11" s="338"/>
      <c r="KQW11" s="338"/>
      <c r="KQX11" s="338"/>
      <c r="KQY11" s="338"/>
      <c r="KQZ11" s="338"/>
      <c r="KRA11" s="338"/>
      <c r="KRB11" s="338"/>
      <c r="KRC11" s="338"/>
      <c r="KRD11" s="338"/>
      <c r="KRE11" s="338"/>
      <c r="KRF11" s="338"/>
      <c r="KRG11" s="338"/>
      <c r="KRH11" s="338"/>
      <c r="KRI11" s="338"/>
      <c r="KRJ11" s="338"/>
      <c r="KRK11" s="338"/>
      <c r="KRL11" s="338"/>
      <c r="KRM11" s="338"/>
      <c r="KRN11" s="338"/>
      <c r="KRO11" s="338"/>
      <c r="KRP11" s="338"/>
      <c r="KRQ11" s="338"/>
      <c r="KRR11" s="338"/>
      <c r="KRS11" s="338"/>
      <c r="KRT11" s="338"/>
      <c r="KRU11" s="338"/>
      <c r="KRV11" s="338"/>
      <c r="KRW11" s="338"/>
      <c r="KRX11" s="338"/>
      <c r="KRY11" s="338"/>
      <c r="KRZ11" s="338"/>
      <c r="KSA11" s="338"/>
      <c r="KSB11" s="338"/>
      <c r="KSC11" s="338"/>
      <c r="KSD11" s="338"/>
      <c r="KSE11" s="338"/>
      <c r="KSF11" s="338"/>
      <c r="KSG11" s="338"/>
      <c r="KSH11" s="338"/>
      <c r="KSI11" s="338"/>
      <c r="KSJ11" s="338"/>
      <c r="KSK11" s="338"/>
      <c r="KSL11" s="338"/>
      <c r="KSM11" s="338"/>
      <c r="KSN11" s="338"/>
      <c r="KSO11" s="338"/>
      <c r="KSP11" s="338"/>
      <c r="KSQ11" s="338"/>
      <c r="KSR11" s="338"/>
      <c r="KSS11" s="338"/>
      <c r="KST11" s="338"/>
      <c r="KSU11" s="338"/>
      <c r="KSV11" s="338"/>
      <c r="KSW11" s="338"/>
      <c r="KSX11" s="338"/>
      <c r="KSY11" s="338"/>
      <c r="KSZ11" s="338"/>
      <c r="KTA11" s="338"/>
      <c r="KTB11" s="338"/>
      <c r="KTC11" s="338"/>
      <c r="KTD11" s="338"/>
      <c r="KTE11" s="338"/>
      <c r="KTF11" s="338"/>
      <c r="KTG11" s="338"/>
      <c r="KTH11" s="338"/>
      <c r="KTI11" s="338"/>
      <c r="KTJ11" s="338"/>
      <c r="KTK11" s="338"/>
      <c r="KTL11" s="338"/>
      <c r="KTM11" s="338"/>
      <c r="KTN11" s="338"/>
      <c r="KTO11" s="338"/>
      <c r="KTP11" s="338"/>
      <c r="KTQ11" s="338"/>
      <c r="KTR11" s="338"/>
      <c r="KTS11" s="338"/>
      <c r="KTT11" s="338"/>
      <c r="KTU11" s="338"/>
      <c r="KTV11" s="338"/>
      <c r="KTW11" s="338"/>
      <c r="KTX11" s="338"/>
      <c r="KTY11" s="338"/>
      <c r="KTZ11" s="338"/>
      <c r="KUA11" s="338"/>
      <c r="KUB11" s="338"/>
      <c r="KUC11" s="338"/>
      <c r="KUD11" s="338"/>
      <c r="KUE11" s="338"/>
      <c r="KUF11" s="338"/>
      <c r="KUG11" s="338"/>
      <c r="KUH11" s="338"/>
      <c r="KUI11" s="338"/>
      <c r="KUJ11" s="338"/>
      <c r="KUK11" s="338"/>
      <c r="KUL11" s="338"/>
      <c r="KUM11" s="338"/>
      <c r="KUN11" s="338"/>
      <c r="KUO11" s="338"/>
      <c r="KUP11" s="338"/>
      <c r="KUQ11" s="338"/>
      <c r="KUR11" s="338"/>
      <c r="KUS11" s="338"/>
      <c r="KUT11" s="338"/>
      <c r="KUU11" s="338"/>
      <c r="KUV11" s="338"/>
      <c r="KUW11" s="338"/>
      <c r="KUX11" s="338"/>
      <c r="KUY11" s="338"/>
      <c r="KUZ11" s="338"/>
      <c r="KVA11" s="338"/>
      <c r="KVB11" s="338"/>
      <c r="KVC11" s="338"/>
      <c r="KVD11" s="338"/>
      <c r="KVE11" s="338"/>
      <c r="KVF11" s="338"/>
      <c r="KVG11" s="338"/>
      <c r="KVH11" s="338"/>
      <c r="KVI11" s="338"/>
      <c r="KVJ11" s="338"/>
      <c r="KVK11" s="338"/>
      <c r="KVL11" s="338"/>
      <c r="KVM11" s="338"/>
      <c r="KVN11" s="338"/>
      <c r="KVO11" s="338"/>
      <c r="KVP11" s="338"/>
      <c r="KVQ11" s="338"/>
      <c r="KVR11" s="338"/>
      <c r="KVS11" s="338"/>
      <c r="KVT11" s="338"/>
      <c r="KVU11" s="338"/>
      <c r="KVV11" s="338"/>
      <c r="KVW11" s="338"/>
      <c r="KVX11" s="338"/>
      <c r="KVY11" s="338"/>
      <c r="KVZ11" s="338"/>
      <c r="KWA11" s="338"/>
      <c r="KWB11" s="338"/>
      <c r="KWC11" s="338"/>
      <c r="KWD11" s="338"/>
      <c r="KWE11" s="338"/>
      <c r="KWF11" s="338"/>
      <c r="KWG11" s="338"/>
      <c r="KWH11" s="338"/>
      <c r="KWI11" s="338"/>
      <c r="KWJ11" s="338"/>
      <c r="KWK11" s="338"/>
      <c r="KWL11" s="338"/>
      <c r="KWM11" s="338"/>
      <c r="KWN11" s="338"/>
      <c r="KWO11" s="338"/>
      <c r="KWP11" s="338"/>
      <c r="KWQ11" s="338"/>
      <c r="KWR11" s="338"/>
      <c r="KWS11" s="338"/>
      <c r="KWT11" s="338"/>
      <c r="KWU11" s="338"/>
      <c r="KWV11" s="338"/>
      <c r="KWW11" s="338"/>
      <c r="KWX11" s="338"/>
      <c r="KWY11" s="338"/>
      <c r="KWZ11" s="338"/>
      <c r="KXA11" s="338"/>
      <c r="KXB11" s="338"/>
      <c r="KXC11" s="338"/>
      <c r="KXD11" s="338"/>
      <c r="KXE11" s="338"/>
      <c r="KXF11" s="338"/>
      <c r="KXG11" s="338"/>
      <c r="KXH11" s="338"/>
      <c r="KXI11" s="338"/>
      <c r="KXJ11" s="338"/>
      <c r="KXK11" s="338"/>
      <c r="KXL11" s="338"/>
      <c r="KXM11" s="338"/>
      <c r="KXN11" s="338"/>
      <c r="KXO11" s="338"/>
      <c r="KXP11" s="338"/>
      <c r="KXQ11" s="338"/>
      <c r="KXR11" s="338"/>
      <c r="KXS11" s="338"/>
      <c r="KXT11" s="338"/>
      <c r="KXU11" s="338"/>
      <c r="KXV11" s="338"/>
      <c r="KXW11" s="338"/>
      <c r="KXX11" s="338"/>
      <c r="KXY11" s="338"/>
      <c r="KXZ11" s="338"/>
      <c r="KYA11" s="338"/>
      <c r="KYB11" s="338"/>
      <c r="KYC11" s="338"/>
      <c r="KYD11" s="338"/>
      <c r="KYE11" s="338"/>
      <c r="KYF11" s="338"/>
      <c r="KYG11" s="338"/>
      <c r="KYH11" s="338"/>
      <c r="KYI11" s="338"/>
      <c r="KYJ11" s="338"/>
      <c r="KYK11" s="338"/>
      <c r="KYL11" s="338"/>
      <c r="KYM11" s="338"/>
      <c r="KYN11" s="338"/>
      <c r="KYO11" s="338"/>
      <c r="KYP11" s="338"/>
      <c r="KYQ11" s="338"/>
      <c r="KYR11" s="338"/>
      <c r="KYS11" s="338"/>
      <c r="KYT11" s="338"/>
      <c r="KYU11" s="338"/>
      <c r="KYV11" s="338"/>
      <c r="KYW11" s="338"/>
      <c r="KYX11" s="338"/>
      <c r="KYY11" s="338"/>
      <c r="KYZ11" s="338"/>
      <c r="KZA11" s="338"/>
      <c r="KZB11" s="338"/>
      <c r="KZC11" s="338"/>
      <c r="KZD11" s="338"/>
      <c r="KZE11" s="338"/>
      <c r="KZF11" s="338"/>
      <c r="KZG11" s="338"/>
      <c r="KZH11" s="338"/>
      <c r="KZI11" s="338"/>
      <c r="KZJ11" s="338"/>
      <c r="KZK11" s="338"/>
      <c r="KZL11" s="338"/>
      <c r="KZM11" s="338"/>
      <c r="KZN11" s="338"/>
      <c r="KZO11" s="338"/>
      <c r="KZP11" s="338"/>
      <c r="KZQ11" s="338"/>
      <c r="KZR11" s="338"/>
      <c r="KZS11" s="338"/>
      <c r="KZT11" s="338"/>
      <c r="KZU11" s="338"/>
      <c r="KZV11" s="338"/>
      <c r="KZW11" s="338"/>
      <c r="KZX11" s="338"/>
      <c r="KZY11" s="338"/>
      <c r="KZZ11" s="338"/>
      <c r="LAA11" s="338"/>
      <c r="LAB11" s="338"/>
      <c r="LAC11" s="338"/>
      <c r="LAD11" s="338"/>
      <c r="LAE11" s="338"/>
      <c r="LAF11" s="338"/>
      <c r="LAG11" s="338"/>
      <c r="LAH11" s="338"/>
      <c r="LAI11" s="338"/>
      <c r="LAJ11" s="338"/>
      <c r="LAK11" s="338"/>
      <c r="LAL11" s="338"/>
      <c r="LAM11" s="338"/>
      <c r="LAN11" s="338"/>
      <c r="LAO11" s="338"/>
      <c r="LAP11" s="338"/>
      <c r="LAQ11" s="338"/>
      <c r="LAR11" s="338"/>
      <c r="LAS11" s="338"/>
      <c r="LAT11" s="338"/>
      <c r="LAU11" s="338"/>
      <c r="LAV11" s="338"/>
      <c r="LAW11" s="338"/>
      <c r="LAX11" s="338"/>
      <c r="LAY11" s="338"/>
      <c r="LAZ11" s="338"/>
      <c r="LBA11" s="338"/>
      <c r="LBB11" s="338"/>
      <c r="LBC11" s="338"/>
      <c r="LBD11" s="338"/>
      <c r="LBE11" s="338"/>
      <c r="LBF11" s="338"/>
      <c r="LBG11" s="338"/>
      <c r="LBH11" s="338"/>
      <c r="LBI11" s="338"/>
      <c r="LBJ11" s="338"/>
      <c r="LBK11" s="338"/>
      <c r="LBL11" s="338"/>
      <c r="LBM11" s="338"/>
      <c r="LBN11" s="338"/>
      <c r="LBO11" s="338"/>
      <c r="LBP11" s="338"/>
      <c r="LBQ11" s="338"/>
      <c r="LBR11" s="338"/>
      <c r="LBS11" s="338"/>
      <c r="LBT11" s="338"/>
      <c r="LBU11" s="338"/>
      <c r="LBV11" s="338"/>
      <c r="LBW11" s="338"/>
      <c r="LBX11" s="338"/>
      <c r="LBY11" s="338"/>
      <c r="LBZ11" s="338"/>
      <c r="LCA11" s="338"/>
      <c r="LCB11" s="338"/>
      <c r="LCC11" s="338"/>
      <c r="LCD11" s="338"/>
      <c r="LCE11" s="338"/>
      <c r="LCF11" s="338"/>
      <c r="LCG11" s="338"/>
      <c r="LCH11" s="338"/>
      <c r="LCI11" s="338"/>
      <c r="LCJ11" s="338"/>
      <c r="LCK11" s="338"/>
      <c r="LCL11" s="338"/>
      <c r="LCM11" s="338"/>
      <c r="LCN11" s="338"/>
      <c r="LCO11" s="338"/>
      <c r="LCP11" s="338"/>
      <c r="LCQ11" s="338"/>
      <c r="LCR11" s="338"/>
      <c r="LCS11" s="338"/>
      <c r="LCT11" s="338"/>
      <c r="LCU11" s="338"/>
      <c r="LCV11" s="338"/>
      <c r="LCW11" s="338"/>
      <c r="LCX11" s="338"/>
      <c r="LCY11" s="338"/>
      <c r="LCZ11" s="338"/>
      <c r="LDA11" s="338"/>
      <c r="LDB11" s="338"/>
      <c r="LDC11" s="338"/>
      <c r="LDD11" s="338"/>
      <c r="LDE11" s="338"/>
      <c r="LDF11" s="338"/>
      <c r="LDG11" s="338"/>
      <c r="LDH11" s="338"/>
      <c r="LDI11" s="338"/>
      <c r="LDJ11" s="338"/>
      <c r="LDK11" s="338"/>
      <c r="LDL11" s="338"/>
      <c r="LDM11" s="338"/>
      <c r="LDN11" s="338"/>
      <c r="LDO11" s="338"/>
      <c r="LDP11" s="338"/>
      <c r="LDQ11" s="338"/>
      <c r="LDR11" s="338"/>
      <c r="LDS11" s="338"/>
      <c r="LDT11" s="338"/>
      <c r="LDU11" s="338"/>
      <c r="LDV11" s="338"/>
      <c r="LDW11" s="338"/>
      <c r="LDX11" s="338"/>
      <c r="LDY11" s="338"/>
      <c r="LDZ11" s="338"/>
      <c r="LEA11" s="338"/>
      <c r="LEB11" s="338"/>
      <c r="LEC11" s="338"/>
      <c r="LED11" s="338"/>
      <c r="LEE11" s="338"/>
      <c r="LEF11" s="338"/>
      <c r="LEG11" s="338"/>
      <c r="LEH11" s="338"/>
      <c r="LEI11" s="338"/>
      <c r="LEJ11" s="338"/>
      <c r="LEK11" s="338"/>
      <c r="LEL11" s="338"/>
      <c r="LEM11" s="338"/>
      <c r="LEN11" s="338"/>
      <c r="LEO11" s="338"/>
      <c r="LEP11" s="338"/>
      <c r="LEQ11" s="338"/>
      <c r="LER11" s="338"/>
      <c r="LES11" s="338"/>
      <c r="LET11" s="338"/>
      <c r="LEU11" s="338"/>
      <c r="LEV11" s="338"/>
      <c r="LEW11" s="338"/>
      <c r="LEX11" s="338"/>
      <c r="LEY11" s="338"/>
      <c r="LEZ11" s="338"/>
      <c r="LFA11" s="338"/>
      <c r="LFB11" s="338"/>
      <c r="LFC11" s="338"/>
      <c r="LFD11" s="338"/>
      <c r="LFE11" s="338"/>
      <c r="LFF11" s="338"/>
      <c r="LFG11" s="338"/>
      <c r="LFH11" s="338"/>
      <c r="LFI11" s="338"/>
      <c r="LFJ11" s="338"/>
      <c r="LFK11" s="338"/>
      <c r="LFL11" s="338"/>
      <c r="LFM11" s="338"/>
      <c r="LFN11" s="338"/>
      <c r="LFO11" s="338"/>
      <c r="LFP11" s="338"/>
      <c r="LFQ11" s="338"/>
      <c r="LFR11" s="338"/>
      <c r="LFS11" s="338"/>
      <c r="LFT11" s="338"/>
      <c r="LFU11" s="338"/>
      <c r="LFV11" s="338"/>
      <c r="LFW11" s="338"/>
      <c r="LFX11" s="338"/>
      <c r="LFY11" s="338"/>
      <c r="LFZ11" s="338"/>
      <c r="LGA11" s="338"/>
      <c r="LGB11" s="338"/>
      <c r="LGC11" s="338"/>
      <c r="LGD11" s="338"/>
      <c r="LGE11" s="338"/>
      <c r="LGF11" s="338"/>
      <c r="LGG11" s="338"/>
      <c r="LGH11" s="338"/>
      <c r="LGI11" s="338"/>
      <c r="LGJ11" s="338"/>
      <c r="LGK11" s="338"/>
      <c r="LGL11" s="338"/>
      <c r="LGM11" s="338"/>
      <c r="LGN11" s="338"/>
      <c r="LGO11" s="338"/>
      <c r="LGP11" s="338"/>
      <c r="LGQ11" s="338"/>
      <c r="LGR11" s="338"/>
      <c r="LGS11" s="338"/>
      <c r="LGT11" s="338"/>
      <c r="LGU11" s="338"/>
      <c r="LGV11" s="338"/>
      <c r="LGW11" s="338"/>
      <c r="LGX11" s="338"/>
      <c r="LGY11" s="338"/>
      <c r="LGZ11" s="338"/>
      <c r="LHA11" s="338"/>
      <c r="LHB11" s="338"/>
      <c r="LHC11" s="338"/>
      <c r="LHD11" s="338"/>
      <c r="LHE11" s="338"/>
      <c r="LHF11" s="338"/>
      <c r="LHG11" s="338"/>
      <c r="LHH11" s="338"/>
      <c r="LHI11" s="338"/>
      <c r="LHJ11" s="338"/>
      <c r="LHK11" s="338"/>
      <c r="LHL11" s="338"/>
      <c r="LHM11" s="338"/>
      <c r="LHN11" s="338"/>
      <c r="LHO11" s="338"/>
      <c r="LHP11" s="338"/>
      <c r="LHQ11" s="338"/>
      <c r="LHR11" s="338"/>
      <c r="LHS11" s="338"/>
      <c r="LHT11" s="338"/>
      <c r="LHU11" s="338"/>
      <c r="LHV11" s="338"/>
      <c r="LHW11" s="338"/>
      <c r="LHX11" s="338"/>
      <c r="LHY11" s="338"/>
      <c r="LHZ11" s="338"/>
      <c r="LIA11" s="338"/>
      <c r="LIB11" s="338"/>
      <c r="LIC11" s="338"/>
      <c r="LID11" s="338"/>
      <c r="LIE11" s="338"/>
      <c r="LIF11" s="338"/>
      <c r="LIG11" s="338"/>
      <c r="LIH11" s="338"/>
      <c r="LII11" s="338"/>
      <c r="LIJ11" s="338"/>
      <c r="LIK11" s="338"/>
      <c r="LIL11" s="338"/>
      <c r="LIM11" s="338"/>
      <c r="LIN11" s="338"/>
      <c r="LIO11" s="338"/>
      <c r="LIP11" s="338"/>
      <c r="LIQ11" s="338"/>
      <c r="LIR11" s="338"/>
      <c r="LIS11" s="338"/>
      <c r="LIT11" s="338"/>
      <c r="LIU11" s="338"/>
      <c r="LIV11" s="338"/>
      <c r="LIW11" s="338"/>
      <c r="LIX11" s="338"/>
      <c r="LIY11" s="338"/>
      <c r="LIZ11" s="338"/>
      <c r="LJA11" s="338"/>
      <c r="LJB11" s="338"/>
      <c r="LJC11" s="338"/>
      <c r="LJD11" s="338"/>
      <c r="LJE11" s="338"/>
      <c r="LJF11" s="338"/>
      <c r="LJG11" s="338"/>
      <c r="LJH11" s="338"/>
      <c r="LJI11" s="338"/>
      <c r="LJJ11" s="338"/>
      <c r="LJK11" s="338"/>
      <c r="LJL11" s="338"/>
      <c r="LJM11" s="338"/>
      <c r="LJN11" s="338"/>
      <c r="LJO11" s="338"/>
      <c r="LJP11" s="338"/>
      <c r="LJQ11" s="338"/>
      <c r="LJR11" s="338"/>
      <c r="LJS11" s="338"/>
      <c r="LJT11" s="338"/>
      <c r="LJU11" s="338"/>
      <c r="LJV11" s="338"/>
      <c r="LJW11" s="338"/>
      <c r="LJX11" s="338"/>
      <c r="LJY11" s="338"/>
      <c r="LJZ11" s="338"/>
      <c r="LKA11" s="338"/>
      <c r="LKB11" s="338"/>
      <c r="LKC11" s="338"/>
      <c r="LKD11" s="338"/>
      <c r="LKE11" s="338"/>
      <c r="LKF11" s="338"/>
      <c r="LKG11" s="338"/>
      <c r="LKH11" s="338"/>
      <c r="LKI11" s="338"/>
      <c r="LKJ11" s="338"/>
      <c r="LKK11" s="338"/>
      <c r="LKL11" s="338"/>
      <c r="LKM11" s="338"/>
      <c r="LKN11" s="338"/>
      <c r="LKO11" s="338"/>
      <c r="LKP11" s="338"/>
      <c r="LKQ11" s="338"/>
      <c r="LKR11" s="338"/>
      <c r="LKS11" s="338"/>
      <c r="LKT11" s="338"/>
      <c r="LKU11" s="338"/>
      <c r="LKV11" s="338"/>
      <c r="LKW11" s="338"/>
      <c r="LKX11" s="338"/>
      <c r="LKY11" s="338"/>
      <c r="LKZ11" s="338"/>
      <c r="LLA11" s="338"/>
      <c r="LLB11" s="338"/>
      <c r="LLC11" s="338"/>
      <c r="LLD11" s="338"/>
      <c r="LLE11" s="338"/>
      <c r="LLF11" s="338"/>
      <c r="LLG11" s="338"/>
      <c r="LLH11" s="338"/>
      <c r="LLI11" s="338"/>
      <c r="LLJ11" s="338"/>
      <c r="LLK11" s="338"/>
      <c r="LLL11" s="338"/>
      <c r="LLM11" s="338"/>
      <c r="LLN11" s="338"/>
      <c r="LLO11" s="338"/>
      <c r="LLP11" s="338"/>
      <c r="LLQ11" s="338"/>
      <c r="LLR11" s="338"/>
      <c r="LLS11" s="338"/>
      <c r="LLT11" s="338"/>
      <c r="LLU11" s="338"/>
      <c r="LLV11" s="338"/>
      <c r="LLW11" s="338"/>
      <c r="LLX11" s="338"/>
      <c r="LLY11" s="338"/>
      <c r="LLZ11" s="338"/>
      <c r="LMA11" s="338"/>
      <c r="LMB11" s="338"/>
      <c r="LMC11" s="338"/>
      <c r="LMD11" s="338"/>
      <c r="LME11" s="338"/>
      <c r="LMF11" s="338"/>
      <c r="LMG11" s="338"/>
      <c r="LMH11" s="338"/>
      <c r="LMI11" s="338"/>
      <c r="LMJ11" s="338"/>
      <c r="LMK11" s="338"/>
      <c r="LML11" s="338"/>
      <c r="LMM11" s="338"/>
      <c r="LMN11" s="338"/>
      <c r="LMO11" s="338"/>
      <c r="LMP11" s="338"/>
      <c r="LMQ11" s="338"/>
      <c r="LMR11" s="338"/>
      <c r="LMS11" s="338"/>
      <c r="LMT11" s="338"/>
      <c r="LMU11" s="338"/>
      <c r="LMV11" s="338"/>
      <c r="LMW11" s="338"/>
      <c r="LMX11" s="338"/>
      <c r="LMY11" s="338"/>
      <c r="LMZ11" s="338"/>
      <c r="LNA11" s="338"/>
      <c r="LNB11" s="338"/>
      <c r="LNC11" s="338"/>
      <c r="LND11" s="338"/>
      <c r="LNE11" s="338"/>
      <c r="LNF11" s="338"/>
      <c r="LNG11" s="338"/>
      <c r="LNH11" s="338"/>
      <c r="LNI11" s="338"/>
      <c r="LNJ11" s="338"/>
      <c r="LNK11" s="338"/>
      <c r="LNL11" s="338"/>
      <c r="LNM11" s="338"/>
      <c r="LNN11" s="338"/>
      <c r="LNO11" s="338"/>
      <c r="LNP11" s="338"/>
      <c r="LNQ11" s="338"/>
      <c r="LNR11" s="338"/>
      <c r="LNS11" s="338"/>
      <c r="LNT11" s="338"/>
      <c r="LNU11" s="338"/>
      <c r="LNV11" s="338"/>
      <c r="LNW11" s="338"/>
      <c r="LNX11" s="338"/>
      <c r="LNY11" s="338"/>
      <c r="LNZ11" s="338"/>
      <c r="LOA11" s="338"/>
      <c r="LOB11" s="338"/>
      <c r="LOC11" s="338"/>
      <c r="LOD11" s="338"/>
      <c r="LOE11" s="338"/>
      <c r="LOF11" s="338"/>
      <c r="LOG11" s="338"/>
      <c r="LOH11" s="338"/>
      <c r="LOI11" s="338"/>
      <c r="LOJ11" s="338"/>
      <c r="LOK11" s="338"/>
      <c r="LOL11" s="338"/>
      <c r="LOM11" s="338"/>
      <c r="LON11" s="338"/>
      <c r="LOO11" s="338"/>
      <c r="LOP11" s="338"/>
      <c r="LOQ11" s="338"/>
      <c r="LOR11" s="338"/>
      <c r="LOS11" s="338"/>
      <c r="LOT11" s="338"/>
      <c r="LOU11" s="338"/>
      <c r="LOV11" s="338"/>
      <c r="LOW11" s="338"/>
      <c r="LOX11" s="338"/>
      <c r="LOY11" s="338"/>
      <c r="LOZ11" s="338"/>
      <c r="LPA11" s="338"/>
      <c r="LPB11" s="338"/>
      <c r="LPC11" s="338"/>
      <c r="LPD11" s="338"/>
      <c r="LPE11" s="338"/>
      <c r="LPF11" s="338"/>
      <c r="LPG11" s="338"/>
      <c r="LPH11" s="338"/>
      <c r="LPI11" s="338"/>
      <c r="LPJ11" s="338"/>
      <c r="LPK11" s="338"/>
      <c r="LPL11" s="338"/>
      <c r="LPM11" s="338"/>
      <c r="LPN11" s="338"/>
      <c r="LPO11" s="338"/>
      <c r="LPP11" s="338"/>
      <c r="LPQ11" s="338"/>
      <c r="LPR11" s="338"/>
      <c r="LPS11" s="338"/>
      <c r="LPT11" s="338"/>
      <c r="LPU11" s="338"/>
      <c r="LPV11" s="338"/>
      <c r="LPW11" s="338"/>
      <c r="LPX11" s="338"/>
      <c r="LPY11" s="338"/>
      <c r="LPZ11" s="338"/>
      <c r="LQA11" s="338"/>
      <c r="LQB11" s="338"/>
      <c r="LQC11" s="338"/>
      <c r="LQD11" s="338"/>
      <c r="LQE11" s="338"/>
      <c r="LQF11" s="338"/>
      <c r="LQG11" s="338"/>
      <c r="LQH11" s="338"/>
      <c r="LQI11" s="338"/>
      <c r="LQJ11" s="338"/>
      <c r="LQK11" s="338"/>
      <c r="LQL11" s="338"/>
      <c r="LQM11" s="338"/>
      <c r="LQN11" s="338"/>
      <c r="LQO11" s="338"/>
      <c r="LQP11" s="338"/>
      <c r="LQQ11" s="338"/>
      <c r="LQR11" s="338"/>
      <c r="LQS11" s="338"/>
      <c r="LQT11" s="338"/>
      <c r="LQU11" s="338"/>
      <c r="LQV11" s="338"/>
      <c r="LQW11" s="338"/>
      <c r="LQX11" s="338"/>
      <c r="LQY11" s="338"/>
      <c r="LQZ11" s="338"/>
      <c r="LRA11" s="338"/>
      <c r="LRB11" s="338"/>
      <c r="LRC11" s="338"/>
      <c r="LRD11" s="338"/>
      <c r="LRE11" s="338"/>
      <c r="LRF11" s="338"/>
      <c r="LRG11" s="338"/>
      <c r="LRH11" s="338"/>
      <c r="LRI11" s="338"/>
      <c r="LRJ11" s="338"/>
      <c r="LRK11" s="338"/>
      <c r="LRL11" s="338"/>
      <c r="LRM11" s="338"/>
      <c r="LRN11" s="338"/>
      <c r="LRO11" s="338"/>
      <c r="LRP11" s="338"/>
      <c r="LRQ11" s="338"/>
      <c r="LRR11" s="338"/>
      <c r="LRS11" s="338"/>
      <c r="LRT11" s="338"/>
      <c r="LRU11" s="338"/>
      <c r="LRV11" s="338"/>
      <c r="LRW11" s="338"/>
      <c r="LRX11" s="338"/>
      <c r="LRY11" s="338"/>
      <c r="LRZ11" s="338"/>
      <c r="LSA11" s="338"/>
      <c r="LSB11" s="338"/>
      <c r="LSC11" s="338"/>
      <c r="LSD11" s="338"/>
      <c r="LSE11" s="338"/>
      <c r="LSF11" s="338"/>
      <c r="LSG11" s="338"/>
      <c r="LSH11" s="338"/>
      <c r="LSI11" s="338"/>
      <c r="LSJ11" s="338"/>
      <c r="LSK11" s="338"/>
      <c r="LSL11" s="338"/>
      <c r="LSM11" s="338"/>
      <c r="LSN11" s="338"/>
      <c r="LSO11" s="338"/>
      <c r="LSP11" s="338"/>
      <c r="LSQ11" s="338"/>
      <c r="LSR11" s="338"/>
      <c r="LSS11" s="338"/>
      <c r="LST11" s="338"/>
      <c r="LSU11" s="338"/>
      <c r="LSV11" s="338"/>
      <c r="LSW11" s="338"/>
      <c r="LSX11" s="338"/>
      <c r="LSY11" s="338"/>
      <c r="LSZ11" s="338"/>
      <c r="LTA11" s="338"/>
      <c r="LTB11" s="338"/>
      <c r="LTC11" s="338"/>
      <c r="LTD11" s="338"/>
      <c r="LTE11" s="338"/>
      <c r="LTF11" s="338"/>
      <c r="LTG11" s="338"/>
      <c r="LTH11" s="338"/>
      <c r="LTI11" s="338"/>
      <c r="LTJ11" s="338"/>
      <c r="LTK11" s="338"/>
      <c r="LTL11" s="338"/>
      <c r="LTM11" s="338"/>
      <c r="LTN11" s="338"/>
      <c r="LTO11" s="338"/>
      <c r="LTP11" s="338"/>
      <c r="LTQ11" s="338"/>
      <c r="LTR11" s="338"/>
      <c r="LTS11" s="338"/>
      <c r="LTT11" s="338"/>
      <c r="LTU11" s="338"/>
      <c r="LTV11" s="338"/>
      <c r="LTW11" s="338"/>
      <c r="LTX11" s="338"/>
      <c r="LTY11" s="338"/>
      <c r="LTZ11" s="338"/>
      <c r="LUA11" s="338"/>
      <c r="LUB11" s="338"/>
      <c r="LUC11" s="338"/>
      <c r="LUD11" s="338"/>
      <c r="LUE11" s="338"/>
      <c r="LUF11" s="338"/>
      <c r="LUG11" s="338"/>
      <c r="LUH11" s="338"/>
      <c r="LUI11" s="338"/>
      <c r="LUJ11" s="338"/>
      <c r="LUK11" s="338"/>
      <c r="LUL11" s="338"/>
      <c r="LUM11" s="338"/>
      <c r="LUN11" s="338"/>
      <c r="LUO11" s="338"/>
      <c r="LUP11" s="338"/>
      <c r="LUQ11" s="338"/>
      <c r="LUR11" s="338"/>
      <c r="LUS11" s="338"/>
      <c r="LUT11" s="338"/>
      <c r="LUU11" s="338"/>
      <c r="LUV11" s="338"/>
      <c r="LUW11" s="338"/>
      <c r="LUX11" s="338"/>
      <c r="LUY11" s="338"/>
      <c r="LUZ11" s="338"/>
      <c r="LVA11" s="338"/>
      <c r="LVB11" s="338"/>
      <c r="LVC11" s="338"/>
      <c r="LVD11" s="338"/>
      <c r="LVE11" s="338"/>
      <c r="LVF11" s="338"/>
      <c r="LVG11" s="338"/>
      <c r="LVH11" s="338"/>
      <c r="LVI11" s="338"/>
      <c r="LVJ11" s="338"/>
      <c r="LVK11" s="338"/>
      <c r="LVL11" s="338"/>
      <c r="LVM11" s="338"/>
      <c r="LVN11" s="338"/>
      <c r="LVO11" s="338"/>
      <c r="LVP11" s="338"/>
      <c r="LVQ11" s="338"/>
      <c r="LVR11" s="338"/>
      <c r="LVS11" s="338"/>
      <c r="LVT11" s="338"/>
      <c r="LVU11" s="338"/>
      <c r="LVV11" s="338"/>
      <c r="LVW11" s="338"/>
      <c r="LVX11" s="338"/>
      <c r="LVY11" s="338"/>
      <c r="LVZ11" s="338"/>
      <c r="LWA11" s="338"/>
      <c r="LWB11" s="338"/>
      <c r="LWC11" s="338"/>
      <c r="LWD11" s="338"/>
      <c r="LWE11" s="338"/>
      <c r="LWF11" s="338"/>
      <c r="LWG11" s="338"/>
      <c r="LWH11" s="338"/>
      <c r="LWI11" s="338"/>
      <c r="LWJ11" s="338"/>
      <c r="LWK11" s="338"/>
      <c r="LWL11" s="338"/>
      <c r="LWM11" s="338"/>
      <c r="LWN11" s="338"/>
      <c r="LWO11" s="338"/>
      <c r="LWP11" s="338"/>
      <c r="LWQ11" s="338"/>
      <c r="LWR11" s="338"/>
      <c r="LWS11" s="338"/>
      <c r="LWT11" s="338"/>
      <c r="LWU11" s="338"/>
      <c r="LWV11" s="338"/>
      <c r="LWW11" s="338"/>
      <c r="LWX11" s="338"/>
      <c r="LWY11" s="338"/>
      <c r="LWZ11" s="338"/>
      <c r="LXA11" s="338"/>
      <c r="LXB11" s="338"/>
      <c r="LXC11" s="338"/>
      <c r="LXD11" s="338"/>
      <c r="LXE11" s="338"/>
      <c r="LXF11" s="338"/>
      <c r="LXG11" s="338"/>
      <c r="LXH11" s="338"/>
      <c r="LXI11" s="338"/>
      <c r="LXJ11" s="338"/>
      <c r="LXK11" s="338"/>
      <c r="LXL11" s="338"/>
      <c r="LXM11" s="338"/>
      <c r="LXN11" s="338"/>
      <c r="LXO11" s="338"/>
      <c r="LXP11" s="338"/>
      <c r="LXQ11" s="338"/>
      <c r="LXR11" s="338"/>
      <c r="LXS11" s="338"/>
      <c r="LXT11" s="338"/>
      <c r="LXU11" s="338"/>
      <c r="LXV11" s="338"/>
      <c r="LXW11" s="338"/>
      <c r="LXX11" s="338"/>
      <c r="LXY11" s="338"/>
      <c r="LXZ11" s="338"/>
      <c r="LYA11" s="338"/>
      <c r="LYB11" s="338"/>
      <c r="LYC11" s="338"/>
      <c r="LYD11" s="338"/>
      <c r="LYE11" s="338"/>
      <c r="LYF11" s="338"/>
      <c r="LYG11" s="338"/>
      <c r="LYH11" s="338"/>
      <c r="LYI11" s="338"/>
      <c r="LYJ11" s="338"/>
      <c r="LYK11" s="338"/>
      <c r="LYL11" s="338"/>
      <c r="LYM11" s="338"/>
      <c r="LYN11" s="338"/>
      <c r="LYO11" s="338"/>
      <c r="LYP11" s="338"/>
      <c r="LYQ11" s="338"/>
      <c r="LYR11" s="338"/>
      <c r="LYS11" s="338"/>
      <c r="LYT11" s="338"/>
      <c r="LYU11" s="338"/>
      <c r="LYV11" s="338"/>
      <c r="LYW11" s="338"/>
      <c r="LYX11" s="338"/>
      <c r="LYY11" s="338"/>
      <c r="LYZ11" s="338"/>
      <c r="LZA11" s="338"/>
      <c r="LZB11" s="338"/>
      <c r="LZC11" s="338"/>
      <c r="LZD11" s="338"/>
      <c r="LZE11" s="338"/>
      <c r="LZF11" s="338"/>
      <c r="LZG11" s="338"/>
      <c r="LZH11" s="338"/>
      <c r="LZI11" s="338"/>
      <c r="LZJ11" s="338"/>
      <c r="LZK11" s="338"/>
      <c r="LZL11" s="338"/>
      <c r="LZM11" s="338"/>
      <c r="LZN11" s="338"/>
      <c r="LZO11" s="338"/>
      <c r="LZP11" s="338"/>
      <c r="LZQ11" s="338"/>
      <c r="LZR11" s="338"/>
      <c r="LZS11" s="338"/>
      <c r="LZT11" s="338"/>
      <c r="LZU11" s="338"/>
      <c r="LZV11" s="338"/>
      <c r="LZW11" s="338"/>
      <c r="LZX11" s="338"/>
      <c r="LZY11" s="338"/>
      <c r="LZZ11" s="338"/>
      <c r="MAA11" s="338"/>
      <c r="MAB11" s="338"/>
      <c r="MAC11" s="338"/>
      <c r="MAD11" s="338"/>
      <c r="MAE11" s="338"/>
      <c r="MAF11" s="338"/>
      <c r="MAG11" s="338"/>
      <c r="MAH11" s="338"/>
      <c r="MAI11" s="338"/>
      <c r="MAJ11" s="338"/>
      <c r="MAK11" s="338"/>
      <c r="MAL11" s="338"/>
      <c r="MAM11" s="338"/>
      <c r="MAN11" s="338"/>
      <c r="MAO11" s="338"/>
      <c r="MAP11" s="338"/>
      <c r="MAQ11" s="338"/>
      <c r="MAR11" s="338"/>
      <c r="MAS11" s="338"/>
      <c r="MAT11" s="338"/>
      <c r="MAU11" s="338"/>
      <c r="MAV11" s="338"/>
      <c r="MAW11" s="338"/>
      <c r="MAX11" s="338"/>
      <c r="MAY11" s="338"/>
      <c r="MAZ11" s="338"/>
      <c r="MBA11" s="338"/>
      <c r="MBB11" s="338"/>
      <c r="MBC11" s="338"/>
      <c r="MBD11" s="338"/>
      <c r="MBE11" s="338"/>
      <c r="MBF11" s="338"/>
      <c r="MBG11" s="338"/>
      <c r="MBH11" s="338"/>
      <c r="MBI11" s="338"/>
      <c r="MBJ11" s="338"/>
      <c r="MBK11" s="338"/>
      <c r="MBL11" s="338"/>
      <c r="MBM11" s="338"/>
      <c r="MBN11" s="338"/>
      <c r="MBO11" s="338"/>
      <c r="MBP11" s="338"/>
      <c r="MBQ11" s="338"/>
      <c r="MBR11" s="338"/>
      <c r="MBS11" s="338"/>
      <c r="MBT11" s="338"/>
      <c r="MBU11" s="338"/>
      <c r="MBV11" s="338"/>
      <c r="MBW11" s="338"/>
      <c r="MBX11" s="338"/>
      <c r="MBY11" s="338"/>
      <c r="MBZ11" s="338"/>
      <c r="MCA11" s="338"/>
      <c r="MCB11" s="338"/>
      <c r="MCC11" s="338"/>
      <c r="MCD11" s="338"/>
      <c r="MCE11" s="338"/>
      <c r="MCF11" s="338"/>
      <c r="MCG11" s="338"/>
      <c r="MCH11" s="338"/>
      <c r="MCI11" s="338"/>
      <c r="MCJ11" s="338"/>
      <c r="MCK11" s="338"/>
      <c r="MCL11" s="338"/>
      <c r="MCM11" s="338"/>
      <c r="MCN11" s="338"/>
      <c r="MCO11" s="338"/>
      <c r="MCP11" s="338"/>
      <c r="MCQ11" s="338"/>
      <c r="MCR11" s="338"/>
      <c r="MCS11" s="338"/>
      <c r="MCT11" s="338"/>
      <c r="MCU11" s="338"/>
      <c r="MCV11" s="338"/>
      <c r="MCW11" s="338"/>
      <c r="MCX11" s="338"/>
      <c r="MCY11" s="338"/>
      <c r="MCZ11" s="338"/>
      <c r="MDA11" s="338"/>
      <c r="MDB11" s="338"/>
      <c r="MDC11" s="338"/>
      <c r="MDD11" s="338"/>
      <c r="MDE11" s="338"/>
      <c r="MDF11" s="338"/>
      <c r="MDG11" s="338"/>
      <c r="MDH11" s="338"/>
      <c r="MDI11" s="338"/>
      <c r="MDJ11" s="338"/>
      <c r="MDK11" s="338"/>
      <c r="MDL11" s="338"/>
      <c r="MDM11" s="338"/>
      <c r="MDN11" s="338"/>
      <c r="MDO11" s="338"/>
      <c r="MDP11" s="338"/>
      <c r="MDQ11" s="338"/>
      <c r="MDR11" s="338"/>
      <c r="MDS11" s="338"/>
      <c r="MDT11" s="338"/>
      <c r="MDU11" s="338"/>
      <c r="MDV11" s="338"/>
      <c r="MDW11" s="338"/>
      <c r="MDX11" s="338"/>
      <c r="MDY11" s="338"/>
      <c r="MDZ11" s="338"/>
      <c r="MEA11" s="338"/>
      <c r="MEB11" s="338"/>
      <c r="MEC11" s="338"/>
      <c r="MED11" s="338"/>
      <c r="MEE11" s="338"/>
      <c r="MEF11" s="338"/>
      <c r="MEG11" s="338"/>
      <c r="MEH11" s="338"/>
      <c r="MEI11" s="338"/>
      <c r="MEJ11" s="338"/>
      <c r="MEK11" s="338"/>
      <c r="MEL11" s="338"/>
      <c r="MEM11" s="338"/>
      <c r="MEN11" s="338"/>
      <c r="MEO11" s="338"/>
      <c r="MEP11" s="338"/>
      <c r="MEQ11" s="338"/>
      <c r="MER11" s="338"/>
      <c r="MES11" s="338"/>
      <c r="MET11" s="338"/>
      <c r="MEU11" s="338"/>
      <c r="MEV11" s="338"/>
      <c r="MEW11" s="338"/>
      <c r="MEX11" s="338"/>
      <c r="MEY11" s="338"/>
      <c r="MEZ11" s="338"/>
      <c r="MFA11" s="338"/>
      <c r="MFB11" s="338"/>
      <c r="MFC11" s="338"/>
      <c r="MFD11" s="338"/>
      <c r="MFE11" s="338"/>
      <c r="MFF11" s="338"/>
      <c r="MFG11" s="338"/>
      <c r="MFH11" s="338"/>
      <c r="MFI11" s="338"/>
      <c r="MFJ11" s="338"/>
      <c r="MFK11" s="338"/>
      <c r="MFL11" s="338"/>
      <c r="MFM11" s="338"/>
      <c r="MFN11" s="338"/>
      <c r="MFO11" s="338"/>
      <c r="MFP11" s="338"/>
      <c r="MFQ11" s="338"/>
      <c r="MFR11" s="338"/>
      <c r="MFS11" s="338"/>
      <c r="MFT11" s="338"/>
      <c r="MFU11" s="338"/>
      <c r="MFV11" s="338"/>
      <c r="MFW11" s="338"/>
      <c r="MFX11" s="338"/>
      <c r="MFY11" s="338"/>
      <c r="MFZ11" s="338"/>
      <c r="MGA11" s="338"/>
      <c r="MGB11" s="338"/>
      <c r="MGC11" s="338"/>
      <c r="MGD11" s="338"/>
      <c r="MGE11" s="338"/>
      <c r="MGF11" s="338"/>
      <c r="MGG11" s="338"/>
      <c r="MGH11" s="338"/>
      <c r="MGI11" s="338"/>
      <c r="MGJ11" s="338"/>
      <c r="MGK11" s="338"/>
      <c r="MGL11" s="338"/>
      <c r="MGM11" s="338"/>
      <c r="MGN11" s="338"/>
      <c r="MGO11" s="338"/>
      <c r="MGP11" s="338"/>
      <c r="MGQ11" s="338"/>
      <c r="MGR11" s="338"/>
      <c r="MGS11" s="338"/>
      <c r="MGT11" s="338"/>
      <c r="MGU11" s="338"/>
      <c r="MGV11" s="338"/>
      <c r="MGW11" s="338"/>
      <c r="MGX11" s="338"/>
      <c r="MGY11" s="338"/>
      <c r="MGZ11" s="338"/>
      <c r="MHA11" s="338"/>
      <c r="MHB11" s="338"/>
      <c r="MHC11" s="338"/>
      <c r="MHD11" s="338"/>
      <c r="MHE11" s="338"/>
      <c r="MHF11" s="338"/>
      <c r="MHG11" s="338"/>
      <c r="MHH11" s="338"/>
      <c r="MHI11" s="338"/>
      <c r="MHJ11" s="338"/>
      <c r="MHK11" s="338"/>
      <c r="MHL11" s="338"/>
      <c r="MHM11" s="338"/>
      <c r="MHN11" s="338"/>
      <c r="MHO11" s="338"/>
      <c r="MHP11" s="338"/>
      <c r="MHQ11" s="338"/>
      <c r="MHR11" s="338"/>
      <c r="MHS11" s="338"/>
      <c r="MHT11" s="338"/>
      <c r="MHU11" s="338"/>
      <c r="MHV11" s="338"/>
      <c r="MHW11" s="338"/>
      <c r="MHX11" s="338"/>
      <c r="MHY11" s="338"/>
      <c r="MHZ11" s="338"/>
      <c r="MIA11" s="338"/>
      <c r="MIB11" s="338"/>
      <c r="MIC11" s="338"/>
      <c r="MID11" s="338"/>
      <c r="MIE11" s="338"/>
      <c r="MIF11" s="338"/>
      <c r="MIG11" s="338"/>
      <c r="MIH11" s="338"/>
      <c r="MII11" s="338"/>
      <c r="MIJ11" s="338"/>
      <c r="MIK11" s="338"/>
      <c r="MIL11" s="338"/>
      <c r="MIM11" s="338"/>
      <c r="MIN11" s="338"/>
      <c r="MIO11" s="338"/>
      <c r="MIP11" s="338"/>
      <c r="MIQ11" s="338"/>
      <c r="MIR11" s="338"/>
      <c r="MIS11" s="338"/>
      <c r="MIT11" s="338"/>
      <c r="MIU11" s="338"/>
      <c r="MIV11" s="338"/>
      <c r="MIW11" s="338"/>
      <c r="MIX11" s="338"/>
      <c r="MIY11" s="338"/>
      <c r="MIZ11" s="338"/>
      <c r="MJA11" s="338"/>
      <c r="MJB11" s="338"/>
      <c r="MJC11" s="338"/>
      <c r="MJD11" s="338"/>
      <c r="MJE11" s="338"/>
      <c r="MJF11" s="338"/>
      <c r="MJG11" s="338"/>
      <c r="MJH11" s="338"/>
      <c r="MJI11" s="338"/>
      <c r="MJJ11" s="338"/>
      <c r="MJK11" s="338"/>
      <c r="MJL11" s="338"/>
      <c r="MJM11" s="338"/>
      <c r="MJN11" s="338"/>
      <c r="MJO11" s="338"/>
      <c r="MJP11" s="338"/>
      <c r="MJQ11" s="338"/>
      <c r="MJR11" s="338"/>
      <c r="MJS11" s="338"/>
      <c r="MJT11" s="338"/>
      <c r="MJU11" s="338"/>
      <c r="MJV11" s="338"/>
      <c r="MJW11" s="338"/>
      <c r="MJX11" s="338"/>
      <c r="MJY11" s="338"/>
      <c r="MJZ11" s="338"/>
      <c r="MKA11" s="338"/>
      <c r="MKB11" s="338"/>
      <c r="MKC11" s="338"/>
      <c r="MKD11" s="338"/>
      <c r="MKE11" s="338"/>
      <c r="MKF11" s="338"/>
      <c r="MKG11" s="338"/>
      <c r="MKH11" s="338"/>
      <c r="MKI11" s="338"/>
      <c r="MKJ11" s="338"/>
      <c r="MKK11" s="338"/>
      <c r="MKL11" s="338"/>
      <c r="MKM11" s="338"/>
      <c r="MKN11" s="338"/>
      <c r="MKO11" s="338"/>
      <c r="MKP11" s="338"/>
      <c r="MKQ11" s="338"/>
      <c r="MKR11" s="338"/>
      <c r="MKS11" s="338"/>
      <c r="MKT11" s="338"/>
      <c r="MKU11" s="338"/>
      <c r="MKV11" s="338"/>
      <c r="MKW11" s="338"/>
      <c r="MKX11" s="338"/>
      <c r="MKY11" s="338"/>
      <c r="MKZ11" s="338"/>
      <c r="MLA11" s="338"/>
      <c r="MLB11" s="338"/>
      <c r="MLC11" s="338"/>
      <c r="MLD11" s="338"/>
      <c r="MLE11" s="338"/>
      <c r="MLF11" s="338"/>
      <c r="MLG11" s="338"/>
      <c r="MLH11" s="338"/>
      <c r="MLI11" s="338"/>
      <c r="MLJ11" s="338"/>
      <c r="MLK11" s="338"/>
      <c r="MLL11" s="338"/>
      <c r="MLM11" s="338"/>
      <c r="MLN11" s="338"/>
      <c r="MLO11" s="338"/>
      <c r="MLP11" s="338"/>
      <c r="MLQ11" s="338"/>
      <c r="MLR11" s="338"/>
      <c r="MLS11" s="338"/>
      <c r="MLT11" s="338"/>
      <c r="MLU11" s="338"/>
      <c r="MLV11" s="338"/>
      <c r="MLW11" s="338"/>
      <c r="MLX11" s="338"/>
      <c r="MLY11" s="338"/>
      <c r="MLZ11" s="338"/>
      <c r="MMA11" s="338"/>
      <c r="MMB11" s="338"/>
      <c r="MMC11" s="338"/>
      <c r="MMD11" s="338"/>
      <c r="MME11" s="338"/>
      <c r="MMF11" s="338"/>
      <c r="MMG11" s="338"/>
      <c r="MMH11" s="338"/>
      <c r="MMI11" s="338"/>
      <c r="MMJ11" s="338"/>
      <c r="MMK11" s="338"/>
      <c r="MML11" s="338"/>
      <c r="MMM11" s="338"/>
      <c r="MMN11" s="338"/>
      <c r="MMO11" s="338"/>
      <c r="MMP11" s="338"/>
      <c r="MMQ11" s="338"/>
      <c r="MMR11" s="338"/>
      <c r="MMS11" s="338"/>
      <c r="MMT11" s="338"/>
      <c r="MMU11" s="338"/>
      <c r="MMV11" s="338"/>
      <c r="MMW11" s="338"/>
      <c r="MMX11" s="338"/>
      <c r="MMY11" s="338"/>
      <c r="MMZ11" s="338"/>
      <c r="MNA11" s="338"/>
      <c r="MNB11" s="338"/>
      <c r="MNC11" s="338"/>
      <c r="MND11" s="338"/>
      <c r="MNE11" s="338"/>
      <c r="MNF11" s="338"/>
      <c r="MNG11" s="338"/>
      <c r="MNH11" s="338"/>
      <c r="MNI11" s="338"/>
      <c r="MNJ11" s="338"/>
      <c r="MNK11" s="338"/>
      <c r="MNL11" s="338"/>
      <c r="MNM11" s="338"/>
      <c r="MNN11" s="338"/>
      <c r="MNO11" s="338"/>
      <c r="MNP11" s="338"/>
      <c r="MNQ11" s="338"/>
      <c r="MNR11" s="338"/>
      <c r="MNS11" s="338"/>
      <c r="MNT11" s="338"/>
      <c r="MNU11" s="338"/>
      <c r="MNV11" s="338"/>
      <c r="MNW11" s="338"/>
      <c r="MNX11" s="338"/>
      <c r="MNY11" s="338"/>
      <c r="MNZ11" s="338"/>
      <c r="MOA11" s="338"/>
      <c r="MOB11" s="338"/>
      <c r="MOC11" s="338"/>
      <c r="MOD11" s="338"/>
      <c r="MOE11" s="338"/>
      <c r="MOF11" s="338"/>
      <c r="MOG11" s="338"/>
      <c r="MOH11" s="338"/>
      <c r="MOI11" s="338"/>
      <c r="MOJ11" s="338"/>
      <c r="MOK11" s="338"/>
      <c r="MOL11" s="338"/>
      <c r="MOM11" s="338"/>
      <c r="MON11" s="338"/>
      <c r="MOO11" s="338"/>
      <c r="MOP11" s="338"/>
      <c r="MOQ11" s="338"/>
      <c r="MOR11" s="338"/>
      <c r="MOS11" s="338"/>
      <c r="MOT11" s="338"/>
      <c r="MOU11" s="338"/>
      <c r="MOV11" s="338"/>
      <c r="MOW11" s="338"/>
      <c r="MOX11" s="338"/>
      <c r="MOY11" s="338"/>
      <c r="MOZ11" s="338"/>
      <c r="MPA11" s="338"/>
      <c r="MPB11" s="338"/>
      <c r="MPC11" s="338"/>
      <c r="MPD11" s="338"/>
      <c r="MPE11" s="338"/>
      <c r="MPF11" s="338"/>
      <c r="MPG11" s="338"/>
      <c r="MPH11" s="338"/>
      <c r="MPI11" s="338"/>
      <c r="MPJ11" s="338"/>
      <c r="MPK11" s="338"/>
      <c r="MPL11" s="338"/>
      <c r="MPM11" s="338"/>
      <c r="MPN11" s="338"/>
      <c r="MPO11" s="338"/>
      <c r="MPP11" s="338"/>
      <c r="MPQ11" s="338"/>
      <c r="MPR11" s="338"/>
      <c r="MPS11" s="338"/>
      <c r="MPT11" s="338"/>
      <c r="MPU11" s="338"/>
      <c r="MPV11" s="338"/>
      <c r="MPW11" s="338"/>
      <c r="MPX11" s="338"/>
      <c r="MPY11" s="338"/>
      <c r="MPZ11" s="338"/>
      <c r="MQA11" s="338"/>
      <c r="MQB11" s="338"/>
      <c r="MQC11" s="338"/>
      <c r="MQD11" s="338"/>
      <c r="MQE11" s="338"/>
      <c r="MQF11" s="338"/>
      <c r="MQG11" s="338"/>
      <c r="MQH11" s="338"/>
      <c r="MQI11" s="338"/>
      <c r="MQJ11" s="338"/>
      <c r="MQK11" s="338"/>
      <c r="MQL11" s="338"/>
      <c r="MQM11" s="338"/>
      <c r="MQN11" s="338"/>
      <c r="MQO11" s="338"/>
      <c r="MQP11" s="338"/>
      <c r="MQQ11" s="338"/>
      <c r="MQR11" s="338"/>
      <c r="MQS11" s="338"/>
      <c r="MQT11" s="338"/>
      <c r="MQU11" s="338"/>
      <c r="MQV11" s="338"/>
      <c r="MQW11" s="338"/>
      <c r="MQX11" s="338"/>
      <c r="MQY11" s="338"/>
      <c r="MQZ11" s="338"/>
      <c r="MRA11" s="338"/>
      <c r="MRB11" s="338"/>
      <c r="MRC11" s="338"/>
      <c r="MRD11" s="338"/>
      <c r="MRE11" s="338"/>
      <c r="MRF11" s="338"/>
      <c r="MRG11" s="338"/>
      <c r="MRH11" s="338"/>
      <c r="MRI11" s="338"/>
      <c r="MRJ11" s="338"/>
      <c r="MRK11" s="338"/>
      <c r="MRL11" s="338"/>
      <c r="MRM11" s="338"/>
      <c r="MRN11" s="338"/>
      <c r="MRO11" s="338"/>
      <c r="MRP11" s="338"/>
      <c r="MRQ11" s="338"/>
      <c r="MRR11" s="338"/>
      <c r="MRS11" s="338"/>
      <c r="MRT11" s="338"/>
      <c r="MRU11" s="338"/>
      <c r="MRV11" s="338"/>
      <c r="MRW11" s="338"/>
      <c r="MRX11" s="338"/>
      <c r="MRY11" s="338"/>
      <c r="MRZ11" s="338"/>
      <c r="MSA11" s="338"/>
      <c r="MSB11" s="338"/>
      <c r="MSC11" s="338"/>
      <c r="MSD11" s="338"/>
      <c r="MSE11" s="338"/>
      <c r="MSF11" s="338"/>
      <c r="MSG11" s="338"/>
      <c r="MSH11" s="338"/>
      <c r="MSI11" s="338"/>
      <c r="MSJ11" s="338"/>
      <c r="MSK11" s="338"/>
      <c r="MSL11" s="338"/>
      <c r="MSM11" s="338"/>
      <c r="MSN11" s="338"/>
      <c r="MSO11" s="338"/>
      <c r="MSP11" s="338"/>
      <c r="MSQ11" s="338"/>
      <c r="MSR11" s="338"/>
      <c r="MSS11" s="338"/>
      <c r="MST11" s="338"/>
      <c r="MSU11" s="338"/>
      <c r="MSV11" s="338"/>
      <c r="MSW11" s="338"/>
      <c r="MSX11" s="338"/>
      <c r="MSY11" s="338"/>
      <c r="MSZ11" s="338"/>
      <c r="MTA11" s="338"/>
      <c r="MTB11" s="338"/>
      <c r="MTC11" s="338"/>
      <c r="MTD11" s="338"/>
      <c r="MTE11" s="338"/>
      <c r="MTF11" s="338"/>
      <c r="MTG11" s="338"/>
      <c r="MTH11" s="338"/>
      <c r="MTI11" s="338"/>
      <c r="MTJ11" s="338"/>
      <c r="MTK11" s="338"/>
      <c r="MTL11" s="338"/>
      <c r="MTM11" s="338"/>
      <c r="MTN11" s="338"/>
      <c r="MTO11" s="338"/>
      <c r="MTP11" s="338"/>
      <c r="MTQ11" s="338"/>
      <c r="MTR11" s="338"/>
      <c r="MTS11" s="338"/>
      <c r="MTT11" s="338"/>
      <c r="MTU11" s="338"/>
      <c r="MTV11" s="338"/>
      <c r="MTW11" s="338"/>
      <c r="MTX11" s="338"/>
      <c r="MTY11" s="338"/>
      <c r="MTZ11" s="338"/>
      <c r="MUA11" s="338"/>
      <c r="MUB11" s="338"/>
      <c r="MUC11" s="338"/>
      <c r="MUD11" s="338"/>
      <c r="MUE11" s="338"/>
      <c r="MUF11" s="338"/>
      <c r="MUG11" s="338"/>
      <c r="MUH11" s="338"/>
      <c r="MUI11" s="338"/>
      <c r="MUJ11" s="338"/>
      <c r="MUK11" s="338"/>
      <c r="MUL11" s="338"/>
      <c r="MUM11" s="338"/>
      <c r="MUN11" s="338"/>
      <c r="MUO11" s="338"/>
      <c r="MUP11" s="338"/>
      <c r="MUQ11" s="338"/>
      <c r="MUR11" s="338"/>
      <c r="MUS11" s="338"/>
      <c r="MUT11" s="338"/>
      <c r="MUU11" s="338"/>
      <c r="MUV11" s="338"/>
      <c r="MUW11" s="338"/>
      <c r="MUX11" s="338"/>
      <c r="MUY11" s="338"/>
      <c r="MUZ11" s="338"/>
      <c r="MVA11" s="338"/>
      <c r="MVB11" s="338"/>
      <c r="MVC11" s="338"/>
      <c r="MVD11" s="338"/>
      <c r="MVE11" s="338"/>
      <c r="MVF11" s="338"/>
      <c r="MVG11" s="338"/>
      <c r="MVH11" s="338"/>
      <c r="MVI11" s="338"/>
      <c r="MVJ11" s="338"/>
      <c r="MVK11" s="338"/>
      <c r="MVL11" s="338"/>
      <c r="MVM11" s="338"/>
      <c r="MVN11" s="338"/>
      <c r="MVO11" s="338"/>
      <c r="MVP11" s="338"/>
      <c r="MVQ11" s="338"/>
      <c r="MVR11" s="338"/>
      <c r="MVS11" s="338"/>
      <c r="MVT11" s="338"/>
      <c r="MVU11" s="338"/>
      <c r="MVV11" s="338"/>
      <c r="MVW11" s="338"/>
      <c r="MVX11" s="338"/>
      <c r="MVY11" s="338"/>
      <c r="MVZ11" s="338"/>
      <c r="MWA11" s="338"/>
      <c r="MWB11" s="338"/>
      <c r="MWC11" s="338"/>
      <c r="MWD11" s="338"/>
      <c r="MWE11" s="338"/>
      <c r="MWF11" s="338"/>
      <c r="MWG11" s="338"/>
      <c r="MWH11" s="338"/>
      <c r="MWI11" s="338"/>
      <c r="MWJ11" s="338"/>
      <c r="MWK11" s="338"/>
      <c r="MWL11" s="338"/>
      <c r="MWM11" s="338"/>
      <c r="MWN11" s="338"/>
      <c r="MWO11" s="338"/>
      <c r="MWP11" s="338"/>
      <c r="MWQ11" s="338"/>
      <c r="MWR11" s="338"/>
      <c r="MWS11" s="338"/>
      <c r="MWT11" s="338"/>
      <c r="MWU11" s="338"/>
      <c r="MWV11" s="338"/>
      <c r="MWW11" s="338"/>
      <c r="MWX11" s="338"/>
      <c r="MWY11" s="338"/>
      <c r="MWZ11" s="338"/>
      <c r="MXA11" s="338"/>
      <c r="MXB11" s="338"/>
      <c r="MXC11" s="338"/>
      <c r="MXD11" s="338"/>
      <c r="MXE11" s="338"/>
      <c r="MXF11" s="338"/>
      <c r="MXG11" s="338"/>
      <c r="MXH11" s="338"/>
      <c r="MXI11" s="338"/>
      <c r="MXJ11" s="338"/>
      <c r="MXK11" s="338"/>
      <c r="MXL11" s="338"/>
      <c r="MXM11" s="338"/>
      <c r="MXN11" s="338"/>
      <c r="MXO11" s="338"/>
      <c r="MXP11" s="338"/>
      <c r="MXQ11" s="338"/>
      <c r="MXR11" s="338"/>
      <c r="MXS11" s="338"/>
      <c r="MXT11" s="338"/>
      <c r="MXU11" s="338"/>
      <c r="MXV11" s="338"/>
      <c r="MXW11" s="338"/>
      <c r="MXX11" s="338"/>
      <c r="MXY11" s="338"/>
      <c r="MXZ11" s="338"/>
      <c r="MYA11" s="338"/>
      <c r="MYB11" s="338"/>
      <c r="MYC11" s="338"/>
      <c r="MYD11" s="338"/>
      <c r="MYE11" s="338"/>
      <c r="MYF11" s="338"/>
      <c r="MYG11" s="338"/>
      <c r="MYH11" s="338"/>
      <c r="MYI11" s="338"/>
      <c r="MYJ11" s="338"/>
      <c r="MYK11" s="338"/>
      <c r="MYL11" s="338"/>
      <c r="MYM11" s="338"/>
      <c r="MYN11" s="338"/>
      <c r="MYO11" s="338"/>
      <c r="MYP11" s="338"/>
      <c r="MYQ11" s="338"/>
      <c r="MYR11" s="338"/>
      <c r="MYS11" s="338"/>
      <c r="MYT11" s="338"/>
      <c r="MYU11" s="338"/>
      <c r="MYV11" s="338"/>
      <c r="MYW11" s="338"/>
      <c r="MYX11" s="338"/>
      <c r="MYY11" s="338"/>
      <c r="MYZ11" s="338"/>
      <c r="MZA11" s="338"/>
      <c r="MZB11" s="338"/>
      <c r="MZC11" s="338"/>
      <c r="MZD11" s="338"/>
      <c r="MZE11" s="338"/>
      <c r="MZF11" s="338"/>
      <c r="MZG11" s="338"/>
      <c r="MZH11" s="338"/>
      <c r="MZI11" s="338"/>
      <c r="MZJ11" s="338"/>
      <c r="MZK11" s="338"/>
      <c r="MZL11" s="338"/>
      <c r="MZM11" s="338"/>
      <c r="MZN11" s="338"/>
      <c r="MZO11" s="338"/>
      <c r="MZP11" s="338"/>
      <c r="MZQ11" s="338"/>
      <c r="MZR11" s="338"/>
      <c r="MZS11" s="338"/>
      <c r="MZT11" s="338"/>
      <c r="MZU11" s="338"/>
      <c r="MZV11" s="338"/>
      <c r="MZW11" s="338"/>
      <c r="MZX11" s="338"/>
      <c r="MZY11" s="338"/>
      <c r="MZZ11" s="338"/>
      <c r="NAA11" s="338"/>
      <c r="NAB11" s="338"/>
      <c r="NAC11" s="338"/>
      <c r="NAD11" s="338"/>
      <c r="NAE11" s="338"/>
      <c r="NAF11" s="338"/>
      <c r="NAG11" s="338"/>
      <c r="NAH11" s="338"/>
      <c r="NAI11" s="338"/>
      <c r="NAJ11" s="338"/>
      <c r="NAK11" s="338"/>
      <c r="NAL11" s="338"/>
      <c r="NAM11" s="338"/>
      <c r="NAN11" s="338"/>
      <c r="NAO11" s="338"/>
      <c r="NAP11" s="338"/>
      <c r="NAQ11" s="338"/>
      <c r="NAR11" s="338"/>
      <c r="NAS11" s="338"/>
      <c r="NAT11" s="338"/>
      <c r="NAU11" s="338"/>
      <c r="NAV11" s="338"/>
      <c r="NAW11" s="338"/>
      <c r="NAX11" s="338"/>
      <c r="NAY11" s="338"/>
      <c r="NAZ11" s="338"/>
      <c r="NBA11" s="338"/>
      <c r="NBB11" s="338"/>
      <c r="NBC11" s="338"/>
      <c r="NBD11" s="338"/>
      <c r="NBE11" s="338"/>
      <c r="NBF11" s="338"/>
      <c r="NBG11" s="338"/>
      <c r="NBH11" s="338"/>
      <c r="NBI11" s="338"/>
      <c r="NBJ11" s="338"/>
      <c r="NBK11" s="338"/>
      <c r="NBL11" s="338"/>
      <c r="NBM11" s="338"/>
      <c r="NBN11" s="338"/>
      <c r="NBO11" s="338"/>
      <c r="NBP11" s="338"/>
      <c r="NBQ11" s="338"/>
      <c r="NBR11" s="338"/>
      <c r="NBS11" s="338"/>
      <c r="NBT11" s="338"/>
      <c r="NBU11" s="338"/>
      <c r="NBV11" s="338"/>
      <c r="NBW11" s="338"/>
      <c r="NBX11" s="338"/>
      <c r="NBY11" s="338"/>
      <c r="NBZ11" s="338"/>
      <c r="NCA11" s="338"/>
      <c r="NCB11" s="338"/>
      <c r="NCC11" s="338"/>
      <c r="NCD11" s="338"/>
      <c r="NCE11" s="338"/>
      <c r="NCF11" s="338"/>
      <c r="NCG11" s="338"/>
      <c r="NCH11" s="338"/>
      <c r="NCI11" s="338"/>
      <c r="NCJ11" s="338"/>
      <c r="NCK11" s="338"/>
      <c r="NCL11" s="338"/>
      <c r="NCM11" s="338"/>
      <c r="NCN11" s="338"/>
      <c r="NCO11" s="338"/>
      <c r="NCP11" s="338"/>
      <c r="NCQ11" s="338"/>
      <c r="NCR11" s="338"/>
      <c r="NCS11" s="338"/>
      <c r="NCT11" s="338"/>
      <c r="NCU11" s="338"/>
      <c r="NCV11" s="338"/>
      <c r="NCW11" s="338"/>
      <c r="NCX11" s="338"/>
      <c r="NCY11" s="338"/>
      <c r="NCZ11" s="338"/>
      <c r="NDA11" s="338"/>
      <c r="NDB11" s="338"/>
      <c r="NDC11" s="338"/>
      <c r="NDD11" s="338"/>
      <c r="NDE11" s="338"/>
      <c r="NDF11" s="338"/>
      <c r="NDG11" s="338"/>
      <c r="NDH11" s="338"/>
      <c r="NDI11" s="338"/>
      <c r="NDJ11" s="338"/>
      <c r="NDK11" s="338"/>
      <c r="NDL11" s="338"/>
      <c r="NDM11" s="338"/>
      <c r="NDN11" s="338"/>
      <c r="NDO11" s="338"/>
      <c r="NDP11" s="338"/>
      <c r="NDQ11" s="338"/>
      <c r="NDR11" s="338"/>
      <c r="NDS11" s="338"/>
      <c r="NDT11" s="338"/>
      <c r="NDU11" s="338"/>
      <c r="NDV11" s="338"/>
      <c r="NDW11" s="338"/>
      <c r="NDX11" s="338"/>
      <c r="NDY11" s="338"/>
      <c r="NDZ11" s="338"/>
      <c r="NEA11" s="338"/>
      <c r="NEB11" s="338"/>
      <c r="NEC11" s="338"/>
      <c r="NED11" s="338"/>
      <c r="NEE11" s="338"/>
      <c r="NEF11" s="338"/>
      <c r="NEG11" s="338"/>
      <c r="NEH11" s="338"/>
      <c r="NEI11" s="338"/>
      <c r="NEJ11" s="338"/>
      <c r="NEK11" s="338"/>
      <c r="NEL11" s="338"/>
      <c r="NEM11" s="338"/>
      <c r="NEN11" s="338"/>
      <c r="NEO11" s="338"/>
      <c r="NEP11" s="338"/>
      <c r="NEQ11" s="338"/>
      <c r="NER11" s="338"/>
      <c r="NES11" s="338"/>
      <c r="NET11" s="338"/>
      <c r="NEU11" s="338"/>
      <c r="NEV11" s="338"/>
      <c r="NEW11" s="338"/>
      <c r="NEX11" s="338"/>
      <c r="NEY11" s="338"/>
      <c r="NEZ11" s="338"/>
      <c r="NFA11" s="338"/>
      <c r="NFB11" s="338"/>
      <c r="NFC11" s="338"/>
      <c r="NFD11" s="338"/>
      <c r="NFE11" s="338"/>
      <c r="NFF11" s="338"/>
      <c r="NFG11" s="338"/>
      <c r="NFH11" s="338"/>
      <c r="NFI11" s="338"/>
      <c r="NFJ11" s="338"/>
      <c r="NFK11" s="338"/>
      <c r="NFL11" s="338"/>
      <c r="NFM11" s="338"/>
      <c r="NFN11" s="338"/>
      <c r="NFO11" s="338"/>
      <c r="NFP11" s="338"/>
      <c r="NFQ11" s="338"/>
      <c r="NFR11" s="338"/>
      <c r="NFS11" s="338"/>
      <c r="NFT11" s="338"/>
      <c r="NFU11" s="338"/>
      <c r="NFV11" s="338"/>
      <c r="NFW11" s="338"/>
      <c r="NFX11" s="338"/>
      <c r="NFY11" s="338"/>
      <c r="NFZ11" s="338"/>
      <c r="NGA11" s="338"/>
      <c r="NGB11" s="338"/>
      <c r="NGC11" s="338"/>
      <c r="NGD11" s="338"/>
      <c r="NGE11" s="338"/>
      <c r="NGF11" s="338"/>
      <c r="NGG11" s="338"/>
      <c r="NGH11" s="338"/>
      <c r="NGI11" s="338"/>
      <c r="NGJ11" s="338"/>
      <c r="NGK11" s="338"/>
      <c r="NGL11" s="338"/>
      <c r="NGM11" s="338"/>
      <c r="NGN11" s="338"/>
      <c r="NGO11" s="338"/>
      <c r="NGP11" s="338"/>
      <c r="NGQ11" s="338"/>
      <c r="NGR11" s="338"/>
      <c r="NGS11" s="338"/>
      <c r="NGT11" s="338"/>
      <c r="NGU11" s="338"/>
      <c r="NGV11" s="338"/>
      <c r="NGW11" s="338"/>
      <c r="NGX11" s="338"/>
      <c r="NGY11" s="338"/>
      <c r="NGZ11" s="338"/>
      <c r="NHA11" s="338"/>
      <c r="NHB11" s="338"/>
      <c r="NHC11" s="338"/>
      <c r="NHD11" s="338"/>
      <c r="NHE11" s="338"/>
      <c r="NHF11" s="338"/>
      <c r="NHG11" s="338"/>
      <c r="NHH11" s="338"/>
      <c r="NHI11" s="338"/>
      <c r="NHJ11" s="338"/>
      <c r="NHK11" s="338"/>
      <c r="NHL11" s="338"/>
      <c r="NHM11" s="338"/>
      <c r="NHN11" s="338"/>
      <c r="NHO11" s="338"/>
      <c r="NHP11" s="338"/>
      <c r="NHQ11" s="338"/>
      <c r="NHR11" s="338"/>
      <c r="NHS11" s="338"/>
      <c r="NHT11" s="338"/>
      <c r="NHU11" s="338"/>
      <c r="NHV11" s="338"/>
      <c r="NHW11" s="338"/>
      <c r="NHX11" s="338"/>
      <c r="NHY11" s="338"/>
      <c r="NHZ11" s="338"/>
      <c r="NIA11" s="338"/>
      <c r="NIB11" s="338"/>
      <c r="NIC11" s="338"/>
      <c r="NID11" s="338"/>
      <c r="NIE11" s="338"/>
      <c r="NIF11" s="338"/>
      <c r="NIG11" s="338"/>
      <c r="NIH11" s="338"/>
      <c r="NII11" s="338"/>
      <c r="NIJ11" s="338"/>
      <c r="NIK11" s="338"/>
      <c r="NIL11" s="338"/>
      <c r="NIM11" s="338"/>
      <c r="NIN11" s="338"/>
      <c r="NIO11" s="338"/>
      <c r="NIP11" s="338"/>
      <c r="NIQ11" s="338"/>
      <c r="NIR11" s="338"/>
      <c r="NIS11" s="338"/>
      <c r="NIT11" s="338"/>
      <c r="NIU11" s="338"/>
      <c r="NIV11" s="338"/>
      <c r="NIW11" s="338"/>
      <c r="NIX11" s="338"/>
      <c r="NIY11" s="338"/>
      <c r="NIZ11" s="338"/>
      <c r="NJA11" s="338"/>
      <c r="NJB11" s="338"/>
      <c r="NJC11" s="338"/>
      <c r="NJD11" s="338"/>
      <c r="NJE11" s="338"/>
      <c r="NJF11" s="338"/>
      <c r="NJG11" s="338"/>
      <c r="NJH11" s="338"/>
      <c r="NJI11" s="338"/>
      <c r="NJJ11" s="338"/>
      <c r="NJK11" s="338"/>
      <c r="NJL11" s="338"/>
      <c r="NJM11" s="338"/>
      <c r="NJN11" s="338"/>
      <c r="NJO11" s="338"/>
      <c r="NJP11" s="338"/>
      <c r="NJQ11" s="338"/>
      <c r="NJR11" s="338"/>
      <c r="NJS11" s="338"/>
      <c r="NJT11" s="338"/>
      <c r="NJU11" s="338"/>
      <c r="NJV11" s="338"/>
      <c r="NJW11" s="338"/>
      <c r="NJX11" s="338"/>
      <c r="NJY11" s="338"/>
      <c r="NJZ11" s="338"/>
      <c r="NKA11" s="338"/>
      <c r="NKB11" s="338"/>
      <c r="NKC11" s="338"/>
      <c r="NKD11" s="338"/>
      <c r="NKE11" s="338"/>
      <c r="NKF11" s="338"/>
      <c r="NKG11" s="338"/>
      <c r="NKH11" s="338"/>
      <c r="NKI11" s="338"/>
      <c r="NKJ11" s="338"/>
      <c r="NKK11" s="338"/>
      <c r="NKL11" s="338"/>
      <c r="NKM11" s="338"/>
      <c r="NKN11" s="338"/>
      <c r="NKO11" s="338"/>
      <c r="NKP11" s="338"/>
      <c r="NKQ11" s="338"/>
      <c r="NKR11" s="338"/>
      <c r="NKS11" s="338"/>
      <c r="NKT11" s="338"/>
      <c r="NKU11" s="338"/>
      <c r="NKV11" s="338"/>
      <c r="NKW11" s="338"/>
      <c r="NKX11" s="338"/>
      <c r="NKY11" s="338"/>
      <c r="NKZ11" s="338"/>
      <c r="NLA11" s="338"/>
      <c r="NLB11" s="338"/>
      <c r="NLC11" s="338"/>
      <c r="NLD11" s="338"/>
      <c r="NLE11" s="338"/>
      <c r="NLF11" s="338"/>
      <c r="NLG11" s="338"/>
      <c r="NLH11" s="338"/>
      <c r="NLI11" s="338"/>
      <c r="NLJ11" s="338"/>
      <c r="NLK11" s="338"/>
      <c r="NLL11" s="338"/>
      <c r="NLM11" s="338"/>
      <c r="NLN11" s="338"/>
      <c r="NLO11" s="338"/>
      <c r="NLP11" s="338"/>
      <c r="NLQ11" s="338"/>
      <c r="NLR11" s="338"/>
      <c r="NLS11" s="338"/>
      <c r="NLT11" s="338"/>
      <c r="NLU11" s="338"/>
      <c r="NLV11" s="338"/>
      <c r="NLW11" s="338"/>
      <c r="NLX11" s="338"/>
      <c r="NLY11" s="338"/>
      <c r="NLZ11" s="338"/>
      <c r="NMA11" s="338"/>
      <c r="NMB11" s="338"/>
      <c r="NMC11" s="338"/>
      <c r="NMD11" s="338"/>
      <c r="NME11" s="338"/>
      <c r="NMF11" s="338"/>
      <c r="NMG11" s="338"/>
      <c r="NMH11" s="338"/>
      <c r="NMI11" s="338"/>
      <c r="NMJ11" s="338"/>
      <c r="NMK11" s="338"/>
      <c r="NML11" s="338"/>
      <c r="NMM11" s="338"/>
      <c r="NMN11" s="338"/>
      <c r="NMO11" s="338"/>
      <c r="NMP11" s="338"/>
      <c r="NMQ11" s="338"/>
      <c r="NMR11" s="338"/>
      <c r="NMS11" s="338"/>
      <c r="NMT11" s="338"/>
      <c r="NMU11" s="338"/>
      <c r="NMV11" s="338"/>
      <c r="NMW11" s="338"/>
      <c r="NMX11" s="338"/>
      <c r="NMY11" s="338"/>
      <c r="NMZ11" s="338"/>
      <c r="NNA11" s="338"/>
      <c r="NNB11" s="338"/>
      <c r="NNC11" s="338"/>
      <c r="NND11" s="338"/>
      <c r="NNE11" s="338"/>
      <c r="NNF11" s="338"/>
      <c r="NNG11" s="338"/>
      <c r="NNH11" s="338"/>
      <c r="NNI11" s="338"/>
      <c r="NNJ11" s="338"/>
      <c r="NNK11" s="338"/>
      <c r="NNL11" s="338"/>
      <c r="NNM11" s="338"/>
      <c r="NNN11" s="338"/>
      <c r="NNO11" s="338"/>
      <c r="NNP11" s="338"/>
      <c r="NNQ11" s="338"/>
      <c r="NNR11" s="338"/>
      <c r="NNS11" s="338"/>
      <c r="NNT11" s="338"/>
      <c r="NNU11" s="338"/>
      <c r="NNV11" s="338"/>
      <c r="NNW11" s="338"/>
      <c r="NNX11" s="338"/>
      <c r="NNY11" s="338"/>
      <c r="NNZ11" s="338"/>
      <c r="NOA11" s="338"/>
      <c r="NOB11" s="338"/>
      <c r="NOC11" s="338"/>
      <c r="NOD11" s="338"/>
      <c r="NOE11" s="338"/>
      <c r="NOF11" s="338"/>
      <c r="NOG11" s="338"/>
      <c r="NOH11" s="338"/>
      <c r="NOI11" s="338"/>
      <c r="NOJ11" s="338"/>
      <c r="NOK11" s="338"/>
      <c r="NOL11" s="338"/>
      <c r="NOM11" s="338"/>
      <c r="NON11" s="338"/>
      <c r="NOO11" s="338"/>
      <c r="NOP11" s="338"/>
      <c r="NOQ11" s="338"/>
      <c r="NOR11" s="338"/>
      <c r="NOS11" s="338"/>
      <c r="NOT11" s="338"/>
      <c r="NOU11" s="338"/>
      <c r="NOV11" s="338"/>
      <c r="NOW11" s="338"/>
      <c r="NOX11" s="338"/>
      <c r="NOY11" s="338"/>
      <c r="NOZ11" s="338"/>
      <c r="NPA11" s="338"/>
      <c r="NPB11" s="338"/>
      <c r="NPC11" s="338"/>
      <c r="NPD11" s="338"/>
      <c r="NPE11" s="338"/>
      <c r="NPF11" s="338"/>
      <c r="NPG11" s="338"/>
      <c r="NPH11" s="338"/>
      <c r="NPI11" s="338"/>
      <c r="NPJ11" s="338"/>
      <c r="NPK11" s="338"/>
      <c r="NPL11" s="338"/>
      <c r="NPM11" s="338"/>
      <c r="NPN11" s="338"/>
      <c r="NPO11" s="338"/>
      <c r="NPP11" s="338"/>
      <c r="NPQ11" s="338"/>
      <c r="NPR11" s="338"/>
      <c r="NPS11" s="338"/>
      <c r="NPT11" s="338"/>
      <c r="NPU11" s="338"/>
      <c r="NPV11" s="338"/>
      <c r="NPW11" s="338"/>
      <c r="NPX11" s="338"/>
      <c r="NPY11" s="338"/>
      <c r="NPZ11" s="338"/>
      <c r="NQA11" s="338"/>
      <c r="NQB11" s="338"/>
      <c r="NQC11" s="338"/>
      <c r="NQD11" s="338"/>
      <c r="NQE11" s="338"/>
      <c r="NQF11" s="338"/>
      <c r="NQG11" s="338"/>
      <c r="NQH11" s="338"/>
      <c r="NQI11" s="338"/>
      <c r="NQJ11" s="338"/>
      <c r="NQK11" s="338"/>
      <c r="NQL11" s="338"/>
      <c r="NQM11" s="338"/>
      <c r="NQN11" s="338"/>
      <c r="NQO11" s="338"/>
      <c r="NQP11" s="338"/>
      <c r="NQQ11" s="338"/>
      <c r="NQR11" s="338"/>
      <c r="NQS11" s="338"/>
      <c r="NQT11" s="338"/>
      <c r="NQU11" s="338"/>
      <c r="NQV11" s="338"/>
      <c r="NQW11" s="338"/>
      <c r="NQX11" s="338"/>
      <c r="NQY11" s="338"/>
      <c r="NQZ11" s="338"/>
      <c r="NRA11" s="338"/>
      <c r="NRB11" s="338"/>
      <c r="NRC11" s="338"/>
      <c r="NRD11" s="338"/>
      <c r="NRE11" s="338"/>
      <c r="NRF11" s="338"/>
      <c r="NRG11" s="338"/>
      <c r="NRH11" s="338"/>
      <c r="NRI11" s="338"/>
      <c r="NRJ11" s="338"/>
      <c r="NRK11" s="338"/>
      <c r="NRL11" s="338"/>
      <c r="NRM11" s="338"/>
      <c r="NRN11" s="338"/>
      <c r="NRO11" s="338"/>
      <c r="NRP11" s="338"/>
      <c r="NRQ11" s="338"/>
      <c r="NRR11" s="338"/>
      <c r="NRS11" s="338"/>
      <c r="NRT11" s="338"/>
      <c r="NRU11" s="338"/>
      <c r="NRV11" s="338"/>
      <c r="NRW11" s="338"/>
      <c r="NRX11" s="338"/>
      <c r="NRY11" s="338"/>
      <c r="NRZ11" s="338"/>
      <c r="NSA11" s="338"/>
      <c r="NSB11" s="338"/>
      <c r="NSC11" s="338"/>
      <c r="NSD11" s="338"/>
      <c r="NSE11" s="338"/>
      <c r="NSF11" s="338"/>
      <c r="NSG11" s="338"/>
      <c r="NSH11" s="338"/>
      <c r="NSI11" s="338"/>
      <c r="NSJ11" s="338"/>
      <c r="NSK11" s="338"/>
      <c r="NSL11" s="338"/>
      <c r="NSM11" s="338"/>
      <c r="NSN11" s="338"/>
      <c r="NSO11" s="338"/>
      <c r="NSP11" s="338"/>
      <c r="NSQ11" s="338"/>
      <c r="NSR11" s="338"/>
      <c r="NSS11" s="338"/>
      <c r="NST11" s="338"/>
      <c r="NSU11" s="338"/>
      <c r="NSV11" s="338"/>
      <c r="NSW11" s="338"/>
      <c r="NSX11" s="338"/>
      <c r="NSY11" s="338"/>
      <c r="NSZ11" s="338"/>
      <c r="NTA11" s="338"/>
      <c r="NTB11" s="338"/>
      <c r="NTC11" s="338"/>
      <c r="NTD11" s="338"/>
      <c r="NTE11" s="338"/>
      <c r="NTF11" s="338"/>
      <c r="NTG11" s="338"/>
      <c r="NTH11" s="338"/>
      <c r="NTI11" s="338"/>
      <c r="NTJ11" s="338"/>
      <c r="NTK11" s="338"/>
      <c r="NTL11" s="338"/>
      <c r="NTM11" s="338"/>
      <c r="NTN11" s="338"/>
      <c r="NTO11" s="338"/>
      <c r="NTP11" s="338"/>
      <c r="NTQ11" s="338"/>
      <c r="NTR11" s="338"/>
      <c r="NTS11" s="338"/>
      <c r="NTT11" s="338"/>
      <c r="NTU11" s="338"/>
      <c r="NTV11" s="338"/>
      <c r="NTW11" s="338"/>
      <c r="NTX11" s="338"/>
      <c r="NTY11" s="338"/>
      <c r="NTZ11" s="338"/>
      <c r="NUA11" s="338"/>
      <c r="NUB11" s="338"/>
      <c r="NUC11" s="338"/>
      <c r="NUD11" s="338"/>
      <c r="NUE11" s="338"/>
      <c r="NUF11" s="338"/>
      <c r="NUG11" s="338"/>
      <c r="NUH11" s="338"/>
      <c r="NUI11" s="338"/>
      <c r="NUJ11" s="338"/>
      <c r="NUK11" s="338"/>
      <c r="NUL11" s="338"/>
      <c r="NUM11" s="338"/>
      <c r="NUN11" s="338"/>
      <c r="NUO11" s="338"/>
      <c r="NUP11" s="338"/>
      <c r="NUQ11" s="338"/>
      <c r="NUR11" s="338"/>
      <c r="NUS11" s="338"/>
      <c r="NUT11" s="338"/>
      <c r="NUU11" s="338"/>
      <c r="NUV11" s="338"/>
      <c r="NUW11" s="338"/>
      <c r="NUX11" s="338"/>
      <c r="NUY11" s="338"/>
      <c r="NUZ11" s="338"/>
      <c r="NVA11" s="338"/>
      <c r="NVB11" s="338"/>
      <c r="NVC11" s="338"/>
      <c r="NVD11" s="338"/>
      <c r="NVE11" s="338"/>
      <c r="NVF11" s="338"/>
      <c r="NVG11" s="338"/>
      <c r="NVH11" s="338"/>
      <c r="NVI11" s="338"/>
      <c r="NVJ11" s="338"/>
      <c r="NVK11" s="338"/>
      <c r="NVL11" s="338"/>
      <c r="NVM11" s="338"/>
      <c r="NVN11" s="338"/>
      <c r="NVO11" s="338"/>
      <c r="NVP11" s="338"/>
      <c r="NVQ11" s="338"/>
      <c r="NVR11" s="338"/>
      <c r="NVS11" s="338"/>
      <c r="NVT11" s="338"/>
      <c r="NVU11" s="338"/>
      <c r="NVV11" s="338"/>
      <c r="NVW11" s="338"/>
      <c r="NVX11" s="338"/>
      <c r="NVY11" s="338"/>
      <c r="NVZ11" s="338"/>
      <c r="NWA11" s="338"/>
      <c r="NWB11" s="338"/>
      <c r="NWC11" s="338"/>
      <c r="NWD11" s="338"/>
      <c r="NWE11" s="338"/>
      <c r="NWF11" s="338"/>
      <c r="NWG11" s="338"/>
      <c r="NWH11" s="338"/>
      <c r="NWI11" s="338"/>
      <c r="NWJ11" s="338"/>
      <c r="NWK11" s="338"/>
      <c r="NWL11" s="338"/>
      <c r="NWM11" s="338"/>
      <c r="NWN11" s="338"/>
      <c r="NWO11" s="338"/>
      <c r="NWP11" s="338"/>
      <c r="NWQ11" s="338"/>
      <c r="NWR11" s="338"/>
      <c r="NWS11" s="338"/>
      <c r="NWT11" s="338"/>
      <c r="NWU11" s="338"/>
      <c r="NWV11" s="338"/>
      <c r="NWW11" s="338"/>
      <c r="NWX11" s="338"/>
      <c r="NWY11" s="338"/>
      <c r="NWZ11" s="338"/>
      <c r="NXA11" s="338"/>
      <c r="NXB11" s="338"/>
      <c r="NXC11" s="338"/>
      <c r="NXD11" s="338"/>
      <c r="NXE11" s="338"/>
      <c r="NXF11" s="338"/>
      <c r="NXG11" s="338"/>
      <c r="NXH11" s="338"/>
      <c r="NXI11" s="338"/>
      <c r="NXJ11" s="338"/>
      <c r="NXK11" s="338"/>
      <c r="NXL11" s="338"/>
      <c r="NXM11" s="338"/>
      <c r="NXN11" s="338"/>
      <c r="NXO11" s="338"/>
      <c r="NXP11" s="338"/>
      <c r="NXQ11" s="338"/>
      <c r="NXR11" s="338"/>
      <c r="NXS11" s="338"/>
      <c r="NXT11" s="338"/>
      <c r="NXU11" s="338"/>
      <c r="NXV11" s="338"/>
      <c r="NXW11" s="338"/>
      <c r="NXX11" s="338"/>
      <c r="NXY11" s="338"/>
      <c r="NXZ11" s="338"/>
      <c r="NYA11" s="338"/>
      <c r="NYB11" s="338"/>
      <c r="NYC11" s="338"/>
      <c r="NYD11" s="338"/>
      <c r="NYE11" s="338"/>
      <c r="NYF11" s="338"/>
      <c r="NYG11" s="338"/>
      <c r="NYH11" s="338"/>
      <c r="NYI11" s="338"/>
      <c r="NYJ11" s="338"/>
      <c r="NYK11" s="338"/>
      <c r="NYL11" s="338"/>
      <c r="NYM11" s="338"/>
      <c r="NYN11" s="338"/>
      <c r="NYO11" s="338"/>
      <c r="NYP11" s="338"/>
      <c r="NYQ11" s="338"/>
      <c r="NYR11" s="338"/>
      <c r="NYS11" s="338"/>
      <c r="NYT11" s="338"/>
      <c r="NYU11" s="338"/>
      <c r="NYV11" s="338"/>
      <c r="NYW11" s="338"/>
      <c r="NYX11" s="338"/>
      <c r="NYY11" s="338"/>
      <c r="NYZ11" s="338"/>
      <c r="NZA11" s="338"/>
      <c r="NZB11" s="338"/>
      <c r="NZC11" s="338"/>
      <c r="NZD11" s="338"/>
      <c r="NZE11" s="338"/>
      <c r="NZF11" s="338"/>
      <c r="NZG11" s="338"/>
      <c r="NZH11" s="338"/>
      <c r="NZI11" s="338"/>
      <c r="NZJ11" s="338"/>
      <c r="NZK11" s="338"/>
      <c r="NZL11" s="338"/>
      <c r="NZM11" s="338"/>
      <c r="NZN11" s="338"/>
      <c r="NZO11" s="338"/>
      <c r="NZP11" s="338"/>
      <c r="NZQ11" s="338"/>
      <c r="NZR11" s="338"/>
      <c r="NZS11" s="338"/>
      <c r="NZT11" s="338"/>
      <c r="NZU11" s="338"/>
      <c r="NZV11" s="338"/>
      <c r="NZW11" s="338"/>
      <c r="NZX11" s="338"/>
      <c r="NZY11" s="338"/>
      <c r="NZZ11" s="338"/>
      <c r="OAA11" s="338"/>
      <c r="OAB11" s="338"/>
      <c r="OAC11" s="338"/>
      <c r="OAD11" s="338"/>
      <c r="OAE11" s="338"/>
      <c r="OAF11" s="338"/>
      <c r="OAG11" s="338"/>
      <c r="OAH11" s="338"/>
      <c r="OAI11" s="338"/>
      <c r="OAJ11" s="338"/>
      <c r="OAK11" s="338"/>
      <c r="OAL11" s="338"/>
      <c r="OAM11" s="338"/>
      <c r="OAN11" s="338"/>
      <c r="OAO11" s="338"/>
      <c r="OAP11" s="338"/>
      <c r="OAQ11" s="338"/>
      <c r="OAR11" s="338"/>
      <c r="OAS11" s="338"/>
      <c r="OAT11" s="338"/>
      <c r="OAU11" s="338"/>
      <c r="OAV11" s="338"/>
      <c r="OAW11" s="338"/>
      <c r="OAX11" s="338"/>
      <c r="OAY11" s="338"/>
      <c r="OAZ11" s="338"/>
      <c r="OBA11" s="338"/>
      <c r="OBB11" s="338"/>
      <c r="OBC11" s="338"/>
      <c r="OBD11" s="338"/>
      <c r="OBE11" s="338"/>
      <c r="OBF11" s="338"/>
      <c r="OBG11" s="338"/>
      <c r="OBH11" s="338"/>
      <c r="OBI11" s="338"/>
      <c r="OBJ11" s="338"/>
      <c r="OBK11" s="338"/>
      <c r="OBL11" s="338"/>
      <c r="OBM11" s="338"/>
      <c r="OBN11" s="338"/>
      <c r="OBO11" s="338"/>
      <c r="OBP11" s="338"/>
      <c r="OBQ11" s="338"/>
      <c r="OBR11" s="338"/>
      <c r="OBS11" s="338"/>
      <c r="OBT11" s="338"/>
      <c r="OBU11" s="338"/>
      <c r="OBV11" s="338"/>
      <c r="OBW11" s="338"/>
      <c r="OBX11" s="338"/>
      <c r="OBY11" s="338"/>
      <c r="OBZ11" s="338"/>
      <c r="OCA11" s="338"/>
      <c r="OCB11" s="338"/>
      <c r="OCC11" s="338"/>
      <c r="OCD11" s="338"/>
      <c r="OCE11" s="338"/>
      <c r="OCF11" s="338"/>
      <c r="OCG11" s="338"/>
      <c r="OCH11" s="338"/>
      <c r="OCI11" s="338"/>
      <c r="OCJ11" s="338"/>
      <c r="OCK11" s="338"/>
      <c r="OCL11" s="338"/>
      <c r="OCM11" s="338"/>
      <c r="OCN11" s="338"/>
      <c r="OCO11" s="338"/>
      <c r="OCP11" s="338"/>
      <c r="OCQ11" s="338"/>
      <c r="OCR11" s="338"/>
      <c r="OCS11" s="338"/>
      <c r="OCT11" s="338"/>
      <c r="OCU11" s="338"/>
      <c r="OCV11" s="338"/>
      <c r="OCW11" s="338"/>
      <c r="OCX11" s="338"/>
      <c r="OCY11" s="338"/>
      <c r="OCZ11" s="338"/>
      <c r="ODA11" s="338"/>
      <c r="ODB11" s="338"/>
      <c r="ODC11" s="338"/>
      <c r="ODD11" s="338"/>
      <c r="ODE11" s="338"/>
      <c r="ODF11" s="338"/>
      <c r="ODG11" s="338"/>
      <c r="ODH11" s="338"/>
      <c r="ODI11" s="338"/>
      <c r="ODJ11" s="338"/>
      <c r="ODK11" s="338"/>
      <c r="ODL11" s="338"/>
      <c r="ODM11" s="338"/>
      <c r="ODN11" s="338"/>
      <c r="ODO11" s="338"/>
      <c r="ODP11" s="338"/>
      <c r="ODQ11" s="338"/>
      <c r="ODR11" s="338"/>
      <c r="ODS11" s="338"/>
      <c r="ODT11" s="338"/>
      <c r="ODU11" s="338"/>
      <c r="ODV11" s="338"/>
      <c r="ODW11" s="338"/>
      <c r="ODX11" s="338"/>
      <c r="ODY11" s="338"/>
      <c r="ODZ11" s="338"/>
      <c r="OEA11" s="338"/>
      <c r="OEB11" s="338"/>
      <c r="OEC11" s="338"/>
      <c r="OED11" s="338"/>
      <c r="OEE11" s="338"/>
      <c r="OEF11" s="338"/>
      <c r="OEG11" s="338"/>
      <c r="OEH11" s="338"/>
      <c r="OEI11" s="338"/>
      <c r="OEJ11" s="338"/>
      <c r="OEK11" s="338"/>
      <c r="OEL11" s="338"/>
      <c r="OEM11" s="338"/>
      <c r="OEN11" s="338"/>
      <c r="OEO11" s="338"/>
      <c r="OEP11" s="338"/>
      <c r="OEQ11" s="338"/>
      <c r="OER11" s="338"/>
      <c r="OES11" s="338"/>
      <c r="OET11" s="338"/>
      <c r="OEU11" s="338"/>
      <c r="OEV11" s="338"/>
      <c r="OEW11" s="338"/>
      <c r="OEX11" s="338"/>
      <c r="OEY11" s="338"/>
      <c r="OEZ11" s="338"/>
      <c r="OFA11" s="338"/>
      <c r="OFB11" s="338"/>
      <c r="OFC11" s="338"/>
      <c r="OFD11" s="338"/>
      <c r="OFE11" s="338"/>
      <c r="OFF11" s="338"/>
      <c r="OFG11" s="338"/>
      <c r="OFH11" s="338"/>
      <c r="OFI11" s="338"/>
      <c r="OFJ11" s="338"/>
      <c r="OFK11" s="338"/>
      <c r="OFL11" s="338"/>
      <c r="OFM11" s="338"/>
      <c r="OFN11" s="338"/>
      <c r="OFO11" s="338"/>
      <c r="OFP11" s="338"/>
      <c r="OFQ11" s="338"/>
      <c r="OFR11" s="338"/>
      <c r="OFS11" s="338"/>
      <c r="OFT11" s="338"/>
      <c r="OFU11" s="338"/>
      <c r="OFV11" s="338"/>
      <c r="OFW11" s="338"/>
      <c r="OFX11" s="338"/>
      <c r="OFY11" s="338"/>
      <c r="OFZ11" s="338"/>
      <c r="OGA11" s="338"/>
      <c r="OGB11" s="338"/>
      <c r="OGC11" s="338"/>
      <c r="OGD11" s="338"/>
      <c r="OGE11" s="338"/>
      <c r="OGF11" s="338"/>
      <c r="OGG11" s="338"/>
      <c r="OGH11" s="338"/>
      <c r="OGI11" s="338"/>
      <c r="OGJ11" s="338"/>
      <c r="OGK11" s="338"/>
      <c r="OGL11" s="338"/>
      <c r="OGM11" s="338"/>
      <c r="OGN11" s="338"/>
      <c r="OGO11" s="338"/>
      <c r="OGP11" s="338"/>
      <c r="OGQ11" s="338"/>
      <c r="OGR11" s="338"/>
      <c r="OGS11" s="338"/>
      <c r="OGT11" s="338"/>
      <c r="OGU11" s="338"/>
      <c r="OGV11" s="338"/>
      <c r="OGW11" s="338"/>
      <c r="OGX11" s="338"/>
      <c r="OGY11" s="338"/>
      <c r="OGZ11" s="338"/>
      <c r="OHA11" s="338"/>
      <c r="OHB11" s="338"/>
      <c r="OHC11" s="338"/>
      <c r="OHD11" s="338"/>
      <c r="OHE11" s="338"/>
      <c r="OHF11" s="338"/>
      <c r="OHG11" s="338"/>
      <c r="OHH11" s="338"/>
      <c r="OHI11" s="338"/>
      <c r="OHJ11" s="338"/>
      <c r="OHK11" s="338"/>
      <c r="OHL11" s="338"/>
      <c r="OHM11" s="338"/>
      <c r="OHN11" s="338"/>
      <c r="OHO11" s="338"/>
      <c r="OHP11" s="338"/>
      <c r="OHQ11" s="338"/>
      <c r="OHR11" s="338"/>
      <c r="OHS11" s="338"/>
      <c r="OHT11" s="338"/>
      <c r="OHU11" s="338"/>
      <c r="OHV11" s="338"/>
      <c r="OHW11" s="338"/>
      <c r="OHX11" s="338"/>
      <c r="OHY11" s="338"/>
      <c r="OHZ11" s="338"/>
      <c r="OIA11" s="338"/>
      <c r="OIB11" s="338"/>
      <c r="OIC11" s="338"/>
      <c r="OID11" s="338"/>
      <c r="OIE11" s="338"/>
      <c r="OIF11" s="338"/>
      <c r="OIG11" s="338"/>
      <c r="OIH11" s="338"/>
      <c r="OII11" s="338"/>
      <c r="OIJ11" s="338"/>
      <c r="OIK11" s="338"/>
      <c r="OIL11" s="338"/>
      <c r="OIM11" s="338"/>
      <c r="OIN11" s="338"/>
      <c r="OIO11" s="338"/>
      <c r="OIP11" s="338"/>
      <c r="OIQ11" s="338"/>
      <c r="OIR11" s="338"/>
      <c r="OIS11" s="338"/>
      <c r="OIT11" s="338"/>
      <c r="OIU11" s="338"/>
      <c r="OIV11" s="338"/>
      <c r="OIW11" s="338"/>
      <c r="OIX11" s="338"/>
      <c r="OIY11" s="338"/>
      <c r="OIZ11" s="338"/>
      <c r="OJA11" s="338"/>
      <c r="OJB11" s="338"/>
      <c r="OJC11" s="338"/>
      <c r="OJD11" s="338"/>
      <c r="OJE11" s="338"/>
      <c r="OJF11" s="338"/>
      <c r="OJG11" s="338"/>
      <c r="OJH11" s="338"/>
      <c r="OJI11" s="338"/>
      <c r="OJJ11" s="338"/>
      <c r="OJK11" s="338"/>
      <c r="OJL11" s="338"/>
      <c r="OJM11" s="338"/>
      <c r="OJN11" s="338"/>
      <c r="OJO11" s="338"/>
      <c r="OJP11" s="338"/>
      <c r="OJQ11" s="338"/>
      <c r="OJR11" s="338"/>
      <c r="OJS11" s="338"/>
      <c r="OJT11" s="338"/>
      <c r="OJU11" s="338"/>
      <c r="OJV11" s="338"/>
      <c r="OJW11" s="338"/>
      <c r="OJX11" s="338"/>
      <c r="OJY11" s="338"/>
      <c r="OJZ11" s="338"/>
      <c r="OKA11" s="338"/>
      <c r="OKB11" s="338"/>
      <c r="OKC11" s="338"/>
      <c r="OKD11" s="338"/>
      <c r="OKE11" s="338"/>
      <c r="OKF11" s="338"/>
      <c r="OKG11" s="338"/>
      <c r="OKH11" s="338"/>
      <c r="OKI11" s="338"/>
      <c r="OKJ11" s="338"/>
      <c r="OKK11" s="338"/>
      <c r="OKL11" s="338"/>
      <c r="OKM11" s="338"/>
      <c r="OKN11" s="338"/>
      <c r="OKO11" s="338"/>
      <c r="OKP11" s="338"/>
      <c r="OKQ11" s="338"/>
      <c r="OKR11" s="338"/>
      <c r="OKS11" s="338"/>
      <c r="OKT11" s="338"/>
      <c r="OKU11" s="338"/>
      <c r="OKV11" s="338"/>
      <c r="OKW11" s="338"/>
      <c r="OKX11" s="338"/>
      <c r="OKY11" s="338"/>
      <c r="OKZ11" s="338"/>
      <c r="OLA11" s="338"/>
      <c r="OLB11" s="338"/>
      <c r="OLC11" s="338"/>
      <c r="OLD11" s="338"/>
      <c r="OLE11" s="338"/>
      <c r="OLF11" s="338"/>
      <c r="OLG11" s="338"/>
      <c r="OLH11" s="338"/>
      <c r="OLI11" s="338"/>
      <c r="OLJ11" s="338"/>
      <c r="OLK11" s="338"/>
      <c r="OLL11" s="338"/>
      <c r="OLM11" s="338"/>
      <c r="OLN11" s="338"/>
      <c r="OLO11" s="338"/>
      <c r="OLP11" s="338"/>
      <c r="OLQ11" s="338"/>
      <c r="OLR11" s="338"/>
      <c r="OLS11" s="338"/>
      <c r="OLT11" s="338"/>
      <c r="OLU11" s="338"/>
      <c r="OLV11" s="338"/>
      <c r="OLW11" s="338"/>
      <c r="OLX11" s="338"/>
      <c r="OLY11" s="338"/>
      <c r="OLZ11" s="338"/>
      <c r="OMA11" s="338"/>
      <c r="OMB11" s="338"/>
      <c r="OMC11" s="338"/>
      <c r="OMD11" s="338"/>
      <c r="OME11" s="338"/>
      <c r="OMF11" s="338"/>
      <c r="OMG11" s="338"/>
      <c r="OMH11" s="338"/>
      <c r="OMI11" s="338"/>
      <c r="OMJ11" s="338"/>
      <c r="OMK11" s="338"/>
      <c r="OML11" s="338"/>
      <c r="OMM11" s="338"/>
      <c r="OMN11" s="338"/>
      <c r="OMO11" s="338"/>
      <c r="OMP11" s="338"/>
      <c r="OMQ11" s="338"/>
      <c r="OMR11" s="338"/>
      <c r="OMS11" s="338"/>
      <c r="OMT11" s="338"/>
      <c r="OMU11" s="338"/>
      <c r="OMV11" s="338"/>
      <c r="OMW11" s="338"/>
      <c r="OMX11" s="338"/>
      <c r="OMY11" s="338"/>
      <c r="OMZ11" s="338"/>
      <c r="ONA11" s="338"/>
      <c r="ONB11" s="338"/>
      <c r="ONC11" s="338"/>
      <c r="OND11" s="338"/>
      <c r="ONE11" s="338"/>
      <c r="ONF11" s="338"/>
      <c r="ONG11" s="338"/>
      <c r="ONH11" s="338"/>
      <c r="ONI11" s="338"/>
      <c r="ONJ11" s="338"/>
      <c r="ONK11" s="338"/>
      <c r="ONL11" s="338"/>
      <c r="ONM11" s="338"/>
      <c r="ONN11" s="338"/>
      <c r="ONO11" s="338"/>
      <c r="ONP11" s="338"/>
      <c r="ONQ11" s="338"/>
      <c r="ONR11" s="338"/>
      <c r="ONS11" s="338"/>
      <c r="ONT11" s="338"/>
      <c r="ONU11" s="338"/>
      <c r="ONV11" s="338"/>
      <c r="ONW11" s="338"/>
      <c r="ONX11" s="338"/>
      <c r="ONY11" s="338"/>
      <c r="ONZ11" s="338"/>
      <c r="OOA11" s="338"/>
      <c r="OOB11" s="338"/>
      <c r="OOC11" s="338"/>
      <c r="OOD11" s="338"/>
      <c r="OOE11" s="338"/>
      <c r="OOF11" s="338"/>
      <c r="OOG11" s="338"/>
      <c r="OOH11" s="338"/>
      <c r="OOI11" s="338"/>
      <c r="OOJ11" s="338"/>
      <c r="OOK11" s="338"/>
      <c r="OOL11" s="338"/>
      <c r="OOM11" s="338"/>
      <c r="OON11" s="338"/>
      <c r="OOO11" s="338"/>
      <c r="OOP11" s="338"/>
      <c r="OOQ11" s="338"/>
      <c r="OOR11" s="338"/>
      <c r="OOS11" s="338"/>
      <c r="OOT11" s="338"/>
      <c r="OOU11" s="338"/>
      <c r="OOV11" s="338"/>
      <c r="OOW11" s="338"/>
      <c r="OOX11" s="338"/>
      <c r="OOY11" s="338"/>
      <c r="OOZ11" s="338"/>
      <c r="OPA11" s="338"/>
      <c r="OPB11" s="338"/>
      <c r="OPC11" s="338"/>
      <c r="OPD11" s="338"/>
      <c r="OPE11" s="338"/>
      <c r="OPF11" s="338"/>
      <c r="OPG11" s="338"/>
      <c r="OPH11" s="338"/>
      <c r="OPI11" s="338"/>
      <c r="OPJ11" s="338"/>
      <c r="OPK11" s="338"/>
      <c r="OPL11" s="338"/>
      <c r="OPM11" s="338"/>
      <c r="OPN11" s="338"/>
      <c r="OPO11" s="338"/>
      <c r="OPP11" s="338"/>
      <c r="OPQ11" s="338"/>
      <c r="OPR11" s="338"/>
      <c r="OPS11" s="338"/>
      <c r="OPT11" s="338"/>
      <c r="OPU11" s="338"/>
      <c r="OPV11" s="338"/>
      <c r="OPW11" s="338"/>
      <c r="OPX11" s="338"/>
      <c r="OPY11" s="338"/>
      <c r="OPZ11" s="338"/>
      <c r="OQA11" s="338"/>
      <c r="OQB11" s="338"/>
      <c r="OQC11" s="338"/>
      <c r="OQD11" s="338"/>
      <c r="OQE11" s="338"/>
      <c r="OQF11" s="338"/>
      <c r="OQG11" s="338"/>
      <c r="OQH11" s="338"/>
      <c r="OQI11" s="338"/>
      <c r="OQJ11" s="338"/>
      <c r="OQK11" s="338"/>
      <c r="OQL11" s="338"/>
      <c r="OQM11" s="338"/>
      <c r="OQN11" s="338"/>
      <c r="OQO11" s="338"/>
      <c r="OQP11" s="338"/>
      <c r="OQQ11" s="338"/>
      <c r="OQR11" s="338"/>
      <c r="OQS11" s="338"/>
      <c r="OQT11" s="338"/>
      <c r="OQU11" s="338"/>
      <c r="OQV11" s="338"/>
      <c r="OQW11" s="338"/>
      <c r="OQX11" s="338"/>
      <c r="OQY11" s="338"/>
      <c r="OQZ11" s="338"/>
      <c r="ORA11" s="338"/>
      <c r="ORB11" s="338"/>
      <c r="ORC11" s="338"/>
      <c r="ORD11" s="338"/>
      <c r="ORE11" s="338"/>
      <c r="ORF11" s="338"/>
      <c r="ORG11" s="338"/>
      <c r="ORH11" s="338"/>
      <c r="ORI11" s="338"/>
      <c r="ORJ11" s="338"/>
      <c r="ORK11" s="338"/>
      <c r="ORL11" s="338"/>
      <c r="ORM11" s="338"/>
      <c r="ORN11" s="338"/>
      <c r="ORO11" s="338"/>
      <c r="ORP11" s="338"/>
      <c r="ORQ11" s="338"/>
      <c r="ORR11" s="338"/>
      <c r="ORS11" s="338"/>
      <c r="ORT11" s="338"/>
      <c r="ORU11" s="338"/>
      <c r="ORV11" s="338"/>
      <c r="ORW11" s="338"/>
      <c r="ORX11" s="338"/>
      <c r="ORY11" s="338"/>
      <c r="ORZ11" s="338"/>
      <c r="OSA11" s="338"/>
      <c r="OSB11" s="338"/>
      <c r="OSC11" s="338"/>
      <c r="OSD11" s="338"/>
      <c r="OSE11" s="338"/>
      <c r="OSF11" s="338"/>
      <c r="OSG11" s="338"/>
      <c r="OSH11" s="338"/>
      <c r="OSI11" s="338"/>
      <c r="OSJ11" s="338"/>
      <c r="OSK11" s="338"/>
      <c r="OSL11" s="338"/>
      <c r="OSM11" s="338"/>
      <c r="OSN11" s="338"/>
      <c r="OSO11" s="338"/>
      <c r="OSP11" s="338"/>
      <c r="OSQ11" s="338"/>
      <c r="OSR11" s="338"/>
      <c r="OSS11" s="338"/>
      <c r="OST11" s="338"/>
      <c r="OSU11" s="338"/>
      <c r="OSV11" s="338"/>
      <c r="OSW11" s="338"/>
      <c r="OSX11" s="338"/>
      <c r="OSY11" s="338"/>
      <c r="OSZ11" s="338"/>
      <c r="OTA11" s="338"/>
      <c r="OTB11" s="338"/>
      <c r="OTC11" s="338"/>
      <c r="OTD11" s="338"/>
      <c r="OTE11" s="338"/>
      <c r="OTF11" s="338"/>
      <c r="OTG11" s="338"/>
      <c r="OTH11" s="338"/>
      <c r="OTI11" s="338"/>
      <c r="OTJ11" s="338"/>
      <c r="OTK11" s="338"/>
      <c r="OTL11" s="338"/>
      <c r="OTM11" s="338"/>
      <c r="OTN11" s="338"/>
      <c r="OTO11" s="338"/>
      <c r="OTP11" s="338"/>
      <c r="OTQ11" s="338"/>
      <c r="OTR11" s="338"/>
      <c r="OTS11" s="338"/>
      <c r="OTT11" s="338"/>
      <c r="OTU11" s="338"/>
      <c r="OTV11" s="338"/>
      <c r="OTW11" s="338"/>
      <c r="OTX11" s="338"/>
      <c r="OTY11" s="338"/>
      <c r="OTZ11" s="338"/>
      <c r="OUA11" s="338"/>
      <c r="OUB11" s="338"/>
      <c r="OUC11" s="338"/>
      <c r="OUD11" s="338"/>
      <c r="OUE11" s="338"/>
      <c r="OUF11" s="338"/>
      <c r="OUG11" s="338"/>
      <c r="OUH11" s="338"/>
      <c r="OUI11" s="338"/>
      <c r="OUJ11" s="338"/>
      <c r="OUK11" s="338"/>
      <c r="OUL11" s="338"/>
      <c r="OUM11" s="338"/>
      <c r="OUN11" s="338"/>
      <c r="OUO11" s="338"/>
      <c r="OUP11" s="338"/>
      <c r="OUQ11" s="338"/>
      <c r="OUR11" s="338"/>
      <c r="OUS11" s="338"/>
      <c r="OUT11" s="338"/>
      <c r="OUU11" s="338"/>
      <c r="OUV11" s="338"/>
      <c r="OUW11" s="338"/>
      <c r="OUX11" s="338"/>
      <c r="OUY11" s="338"/>
      <c r="OUZ11" s="338"/>
      <c r="OVA11" s="338"/>
      <c r="OVB11" s="338"/>
      <c r="OVC11" s="338"/>
      <c r="OVD11" s="338"/>
      <c r="OVE11" s="338"/>
      <c r="OVF11" s="338"/>
      <c r="OVG11" s="338"/>
      <c r="OVH11" s="338"/>
      <c r="OVI11" s="338"/>
      <c r="OVJ11" s="338"/>
      <c r="OVK11" s="338"/>
      <c r="OVL11" s="338"/>
      <c r="OVM11" s="338"/>
      <c r="OVN11" s="338"/>
      <c r="OVO11" s="338"/>
      <c r="OVP11" s="338"/>
      <c r="OVQ11" s="338"/>
      <c r="OVR11" s="338"/>
      <c r="OVS11" s="338"/>
      <c r="OVT11" s="338"/>
      <c r="OVU11" s="338"/>
      <c r="OVV11" s="338"/>
      <c r="OVW11" s="338"/>
      <c r="OVX11" s="338"/>
      <c r="OVY11" s="338"/>
      <c r="OVZ11" s="338"/>
      <c r="OWA11" s="338"/>
      <c r="OWB11" s="338"/>
      <c r="OWC11" s="338"/>
      <c r="OWD11" s="338"/>
      <c r="OWE11" s="338"/>
      <c r="OWF11" s="338"/>
      <c r="OWG11" s="338"/>
      <c r="OWH11" s="338"/>
      <c r="OWI11" s="338"/>
      <c r="OWJ11" s="338"/>
      <c r="OWK11" s="338"/>
      <c r="OWL11" s="338"/>
      <c r="OWM11" s="338"/>
      <c r="OWN11" s="338"/>
      <c r="OWO11" s="338"/>
      <c r="OWP11" s="338"/>
      <c r="OWQ11" s="338"/>
      <c r="OWR11" s="338"/>
      <c r="OWS11" s="338"/>
      <c r="OWT11" s="338"/>
      <c r="OWU11" s="338"/>
      <c r="OWV11" s="338"/>
      <c r="OWW11" s="338"/>
      <c r="OWX11" s="338"/>
      <c r="OWY11" s="338"/>
      <c r="OWZ11" s="338"/>
      <c r="OXA11" s="338"/>
      <c r="OXB11" s="338"/>
      <c r="OXC11" s="338"/>
      <c r="OXD11" s="338"/>
      <c r="OXE11" s="338"/>
      <c r="OXF11" s="338"/>
      <c r="OXG11" s="338"/>
      <c r="OXH11" s="338"/>
      <c r="OXI11" s="338"/>
      <c r="OXJ11" s="338"/>
      <c r="OXK11" s="338"/>
      <c r="OXL11" s="338"/>
      <c r="OXM11" s="338"/>
      <c r="OXN11" s="338"/>
      <c r="OXO11" s="338"/>
      <c r="OXP11" s="338"/>
      <c r="OXQ11" s="338"/>
      <c r="OXR11" s="338"/>
      <c r="OXS11" s="338"/>
      <c r="OXT11" s="338"/>
      <c r="OXU11" s="338"/>
      <c r="OXV11" s="338"/>
      <c r="OXW11" s="338"/>
      <c r="OXX11" s="338"/>
      <c r="OXY11" s="338"/>
      <c r="OXZ11" s="338"/>
      <c r="OYA11" s="338"/>
      <c r="OYB11" s="338"/>
      <c r="OYC11" s="338"/>
      <c r="OYD11" s="338"/>
      <c r="OYE11" s="338"/>
      <c r="OYF11" s="338"/>
      <c r="OYG11" s="338"/>
      <c r="OYH11" s="338"/>
      <c r="OYI11" s="338"/>
      <c r="OYJ11" s="338"/>
      <c r="OYK11" s="338"/>
      <c r="OYL11" s="338"/>
      <c r="OYM11" s="338"/>
      <c r="OYN11" s="338"/>
      <c r="OYO11" s="338"/>
      <c r="OYP11" s="338"/>
      <c r="OYQ11" s="338"/>
      <c r="OYR11" s="338"/>
      <c r="OYS11" s="338"/>
      <c r="OYT11" s="338"/>
      <c r="OYU11" s="338"/>
      <c r="OYV11" s="338"/>
      <c r="OYW11" s="338"/>
      <c r="OYX11" s="338"/>
      <c r="OYY11" s="338"/>
      <c r="OYZ11" s="338"/>
      <c r="OZA11" s="338"/>
      <c r="OZB11" s="338"/>
      <c r="OZC11" s="338"/>
      <c r="OZD11" s="338"/>
      <c r="OZE11" s="338"/>
      <c r="OZF11" s="338"/>
      <c r="OZG11" s="338"/>
      <c r="OZH11" s="338"/>
      <c r="OZI11" s="338"/>
      <c r="OZJ11" s="338"/>
      <c r="OZK11" s="338"/>
      <c r="OZL11" s="338"/>
      <c r="OZM11" s="338"/>
      <c r="OZN11" s="338"/>
      <c r="OZO11" s="338"/>
      <c r="OZP11" s="338"/>
      <c r="OZQ11" s="338"/>
      <c r="OZR11" s="338"/>
      <c r="OZS11" s="338"/>
      <c r="OZT11" s="338"/>
      <c r="OZU11" s="338"/>
      <c r="OZV11" s="338"/>
      <c r="OZW11" s="338"/>
      <c r="OZX11" s="338"/>
      <c r="OZY11" s="338"/>
      <c r="OZZ11" s="338"/>
      <c r="PAA11" s="338"/>
      <c r="PAB11" s="338"/>
      <c r="PAC11" s="338"/>
      <c r="PAD11" s="338"/>
      <c r="PAE11" s="338"/>
      <c r="PAF11" s="338"/>
      <c r="PAG11" s="338"/>
      <c r="PAH11" s="338"/>
      <c r="PAI11" s="338"/>
      <c r="PAJ11" s="338"/>
      <c r="PAK11" s="338"/>
      <c r="PAL11" s="338"/>
      <c r="PAM11" s="338"/>
      <c r="PAN11" s="338"/>
      <c r="PAO11" s="338"/>
      <c r="PAP11" s="338"/>
      <c r="PAQ11" s="338"/>
      <c r="PAR11" s="338"/>
      <c r="PAS11" s="338"/>
      <c r="PAT11" s="338"/>
      <c r="PAU11" s="338"/>
      <c r="PAV11" s="338"/>
      <c r="PAW11" s="338"/>
      <c r="PAX11" s="338"/>
      <c r="PAY11" s="338"/>
      <c r="PAZ11" s="338"/>
      <c r="PBA11" s="338"/>
      <c r="PBB11" s="338"/>
      <c r="PBC11" s="338"/>
      <c r="PBD11" s="338"/>
      <c r="PBE11" s="338"/>
      <c r="PBF11" s="338"/>
      <c r="PBG11" s="338"/>
      <c r="PBH11" s="338"/>
      <c r="PBI11" s="338"/>
      <c r="PBJ11" s="338"/>
      <c r="PBK11" s="338"/>
      <c r="PBL11" s="338"/>
      <c r="PBM11" s="338"/>
      <c r="PBN11" s="338"/>
      <c r="PBO11" s="338"/>
      <c r="PBP11" s="338"/>
      <c r="PBQ11" s="338"/>
      <c r="PBR11" s="338"/>
      <c r="PBS11" s="338"/>
      <c r="PBT11" s="338"/>
      <c r="PBU11" s="338"/>
      <c r="PBV11" s="338"/>
      <c r="PBW11" s="338"/>
      <c r="PBX11" s="338"/>
      <c r="PBY11" s="338"/>
      <c r="PBZ11" s="338"/>
      <c r="PCA11" s="338"/>
      <c r="PCB11" s="338"/>
      <c r="PCC11" s="338"/>
      <c r="PCD11" s="338"/>
      <c r="PCE11" s="338"/>
      <c r="PCF11" s="338"/>
      <c r="PCG11" s="338"/>
      <c r="PCH11" s="338"/>
      <c r="PCI11" s="338"/>
      <c r="PCJ11" s="338"/>
      <c r="PCK11" s="338"/>
      <c r="PCL11" s="338"/>
      <c r="PCM11" s="338"/>
      <c r="PCN11" s="338"/>
      <c r="PCO11" s="338"/>
      <c r="PCP11" s="338"/>
      <c r="PCQ11" s="338"/>
      <c r="PCR11" s="338"/>
      <c r="PCS11" s="338"/>
      <c r="PCT11" s="338"/>
      <c r="PCU11" s="338"/>
      <c r="PCV11" s="338"/>
      <c r="PCW11" s="338"/>
      <c r="PCX11" s="338"/>
      <c r="PCY11" s="338"/>
      <c r="PCZ11" s="338"/>
      <c r="PDA11" s="338"/>
      <c r="PDB11" s="338"/>
      <c r="PDC11" s="338"/>
      <c r="PDD11" s="338"/>
      <c r="PDE11" s="338"/>
      <c r="PDF11" s="338"/>
      <c r="PDG11" s="338"/>
      <c r="PDH11" s="338"/>
      <c r="PDI11" s="338"/>
      <c r="PDJ11" s="338"/>
      <c r="PDK11" s="338"/>
      <c r="PDL11" s="338"/>
      <c r="PDM11" s="338"/>
      <c r="PDN11" s="338"/>
      <c r="PDO11" s="338"/>
      <c r="PDP11" s="338"/>
      <c r="PDQ11" s="338"/>
      <c r="PDR11" s="338"/>
      <c r="PDS11" s="338"/>
      <c r="PDT11" s="338"/>
      <c r="PDU11" s="338"/>
      <c r="PDV11" s="338"/>
      <c r="PDW11" s="338"/>
      <c r="PDX11" s="338"/>
      <c r="PDY11" s="338"/>
      <c r="PDZ11" s="338"/>
      <c r="PEA11" s="338"/>
      <c r="PEB11" s="338"/>
      <c r="PEC11" s="338"/>
      <c r="PED11" s="338"/>
      <c r="PEE11" s="338"/>
      <c r="PEF11" s="338"/>
      <c r="PEG11" s="338"/>
      <c r="PEH11" s="338"/>
      <c r="PEI11" s="338"/>
      <c r="PEJ11" s="338"/>
      <c r="PEK11" s="338"/>
      <c r="PEL11" s="338"/>
      <c r="PEM11" s="338"/>
      <c r="PEN11" s="338"/>
      <c r="PEO11" s="338"/>
      <c r="PEP11" s="338"/>
      <c r="PEQ11" s="338"/>
      <c r="PER11" s="338"/>
      <c r="PES11" s="338"/>
      <c r="PET11" s="338"/>
      <c r="PEU11" s="338"/>
      <c r="PEV11" s="338"/>
      <c r="PEW11" s="338"/>
      <c r="PEX11" s="338"/>
      <c r="PEY11" s="338"/>
      <c r="PEZ11" s="338"/>
      <c r="PFA11" s="338"/>
      <c r="PFB11" s="338"/>
      <c r="PFC11" s="338"/>
      <c r="PFD11" s="338"/>
      <c r="PFE11" s="338"/>
      <c r="PFF11" s="338"/>
      <c r="PFG11" s="338"/>
      <c r="PFH11" s="338"/>
      <c r="PFI11" s="338"/>
      <c r="PFJ11" s="338"/>
      <c r="PFK11" s="338"/>
      <c r="PFL11" s="338"/>
      <c r="PFM11" s="338"/>
      <c r="PFN11" s="338"/>
      <c r="PFO11" s="338"/>
      <c r="PFP11" s="338"/>
      <c r="PFQ11" s="338"/>
      <c r="PFR11" s="338"/>
      <c r="PFS11" s="338"/>
      <c r="PFT11" s="338"/>
      <c r="PFU11" s="338"/>
      <c r="PFV11" s="338"/>
      <c r="PFW11" s="338"/>
      <c r="PFX11" s="338"/>
      <c r="PFY11" s="338"/>
      <c r="PFZ11" s="338"/>
      <c r="PGA11" s="338"/>
      <c r="PGB11" s="338"/>
      <c r="PGC11" s="338"/>
      <c r="PGD11" s="338"/>
      <c r="PGE11" s="338"/>
      <c r="PGF11" s="338"/>
      <c r="PGG11" s="338"/>
      <c r="PGH11" s="338"/>
      <c r="PGI11" s="338"/>
      <c r="PGJ11" s="338"/>
      <c r="PGK11" s="338"/>
      <c r="PGL11" s="338"/>
      <c r="PGM11" s="338"/>
      <c r="PGN11" s="338"/>
      <c r="PGO11" s="338"/>
      <c r="PGP11" s="338"/>
      <c r="PGQ11" s="338"/>
      <c r="PGR11" s="338"/>
      <c r="PGS11" s="338"/>
      <c r="PGT11" s="338"/>
      <c r="PGU11" s="338"/>
      <c r="PGV11" s="338"/>
      <c r="PGW11" s="338"/>
      <c r="PGX11" s="338"/>
      <c r="PGY11" s="338"/>
      <c r="PGZ11" s="338"/>
      <c r="PHA11" s="338"/>
      <c r="PHB11" s="338"/>
      <c r="PHC11" s="338"/>
      <c r="PHD11" s="338"/>
      <c r="PHE11" s="338"/>
      <c r="PHF11" s="338"/>
      <c r="PHG11" s="338"/>
      <c r="PHH11" s="338"/>
      <c r="PHI11" s="338"/>
      <c r="PHJ11" s="338"/>
      <c r="PHK11" s="338"/>
      <c r="PHL11" s="338"/>
      <c r="PHM11" s="338"/>
      <c r="PHN11" s="338"/>
      <c r="PHO11" s="338"/>
      <c r="PHP11" s="338"/>
      <c r="PHQ11" s="338"/>
      <c r="PHR11" s="338"/>
      <c r="PHS11" s="338"/>
      <c r="PHT11" s="338"/>
      <c r="PHU11" s="338"/>
      <c r="PHV11" s="338"/>
      <c r="PHW11" s="338"/>
      <c r="PHX11" s="338"/>
      <c r="PHY11" s="338"/>
      <c r="PHZ11" s="338"/>
      <c r="PIA11" s="338"/>
      <c r="PIB11" s="338"/>
      <c r="PIC11" s="338"/>
      <c r="PID11" s="338"/>
      <c r="PIE11" s="338"/>
      <c r="PIF11" s="338"/>
      <c r="PIG11" s="338"/>
      <c r="PIH11" s="338"/>
      <c r="PII11" s="338"/>
      <c r="PIJ11" s="338"/>
      <c r="PIK11" s="338"/>
      <c r="PIL11" s="338"/>
      <c r="PIM11" s="338"/>
      <c r="PIN11" s="338"/>
      <c r="PIO11" s="338"/>
      <c r="PIP11" s="338"/>
      <c r="PIQ11" s="338"/>
      <c r="PIR11" s="338"/>
      <c r="PIS11" s="338"/>
      <c r="PIT11" s="338"/>
      <c r="PIU11" s="338"/>
      <c r="PIV11" s="338"/>
      <c r="PIW11" s="338"/>
      <c r="PIX11" s="338"/>
      <c r="PIY11" s="338"/>
      <c r="PIZ11" s="338"/>
      <c r="PJA11" s="338"/>
      <c r="PJB11" s="338"/>
      <c r="PJC11" s="338"/>
      <c r="PJD11" s="338"/>
      <c r="PJE11" s="338"/>
      <c r="PJF11" s="338"/>
      <c r="PJG11" s="338"/>
      <c r="PJH11" s="338"/>
      <c r="PJI11" s="338"/>
      <c r="PJJ11" s="338"/>
      <c r="PJK11" s="338"/>
      <c r="PJL11" s="338"/>
      <c r="PJM11" s="338"/>
      <c r="PJN11" s="338"/>
      <c r="PJO11" s="338"/>
      <c r="PJP11" s="338"/>
      <c r="PJQ11" s="338"/>
      <c r="PJR11" s="338"/>
      <c r="PJS11" s="338"/>
      <c r="PJT11" s="338"/>
      <c r="PJU11" s="338"/>
      <c r="PJV11" s="338"/>
      <c r="PJW11" s="338"/>
      <c r="PJX11" s="338"/>
      <c r="PJY11" s="338"/>
      <c r="PJZ11" s="338"/>
      <c r="PKA11" s="338"/>
      <c r="PKB11" s="338"/>
      <c r="PKC11" s="338"/>
      <c r="PKD11" s="338"/>
      <c r="PKE11" s="338"/>
      <c r="PKF11" s="338"/>
      <c r="PKG11" s="338"/>
      <c r="PKH11" s="338"/>
      <c r="PKI11" s="338"/>
      <c r="PKJ11" s="338"/>
      <c r="PKK11" s="338"/>
      <c r="PKL11" s="338"/>
      <c r="PKM11" s="338"/>
      <c r="PKN11" s="338"/>
      <c r="PKO11" s="338"/>
      <c r="PKP11" s="338"/>
      <c r="PKQ11" s="338"/>
      <c r="PKR11" s="338"/>
      <c r="PKS11" s="338"/>
      <c r="PKT11" s="338"/>
      <c r="PKU11" s="338"/>
      <c r="PKV11" s="338"/>
      <c r="PKW11" s="338"/>
      <c r="PKX11" s="338"/>
      <c r="PKY11" s="338"/>
      <c r="PKZ11" s="338"/>
      <c r="PLA11" s="338"/>
      <c r="PLB11" s="338"/>
      <c r="PLC11" s="338"/>
      <c r="PLD11" s="338"/>
      <c r="PLE11" s="338"/>
      <c r="PLF11" s="338"/>
      <c r="PLG11" s="338"/>
      <c r="PLH11" s="338"/>
      <c r="PLI11" s="338"/>
      <c r="PLJ11" s="338"/>
      <c r="PLK11" s="338"/>
      <c r="PLL11" s="338"/>
      <c r="PLM11" s="338"/>
      <c r="PLN11" s="338"/>
      <c r="PLO11" s="338"/>
      <c r="PLP11" s="338"/>
      <c r="PLQ11" s="338"/>
      <c r="PLR11" s="338"/>
      <c r="PLS11" s="338"/>
      <c r="PLT11" s="338"/>
      <c r="PLU11" s="338"/>
      <c r="PLV11" s="338"/>
      <c r="PLW11" s="338"/>
      <c r="PLX11" s="338"/>
      <c r="PLY11" s="338"/>
      <c r="PLZ11" s="338"/>
      <c r="PMA11" s="338"/>
      <c r="PMB11" s="338"/>
      <c r="PMC11" s="338"/>
      <c r="PMD11" s="338"/>
      <c r="PME11" s="338"/>
      <c r="PMF11" s="338"/>
      <c r="PMG11" s="338"/>
      <c r="PMH11" s="338"/>
      <c r="PMI11" s="338"/>
      <c r="PMJ11" s="338"/>
      <c r="PMK11" s="338"/>
      <c r="PML11" s="338"/>
      <c r="PMM11" s="338"/>
      <c r="PMN11" s="338"/>
      <c r="PMO11" s="338"/>
      <c r="PMP11" s="338"/>
      <c r="PMQ11" s="338"/>
      <c r="PMR11" s="338"/>
      <c r="PMS11" s="338"/>
      <c r="PMT11" s="338"/>
      <c r="PMU11" s="338"/>
      <c r="PMV11" s="338"/>
      <c r="PMW11" s="338"/>
      <c r="PMX11" s="338"/>
      <c r="PMY11" s="338"/>
      <c r="PMZ11" s="338"/>
      <c r="PNA11" s="338"/>
      <c r="PNB11" s="338"/>
      <c r="PNC11" s="338"/>
      <c r="PND11" s="338"/>
      <c r="PNE11" s="338"/>
      <c r="PNF11" s="338"/>
      <c r="PNG11" s="338"/>
      <c r="PNH11" s="338"/>
      <c r="PNI11" s="338"/>
      <c r="PNJ11" s="338"/>
      <c r="PNK11" s="338"/>
      <c r="PNL11" s="338"/>
      <c r="PNM11" s="338"/>
      <c r="PNN11" s="338"/>
      <c r="PNO11" s="338"/>
      <c r="PNP11" s="338"/>
      <c r="PNQ11" s="338"/>
      <c r="PNR11" s="338"/>
      <c r="PNS11" s="338"/>
      <c r="PNT11" s="338"/>
      <c r="PNU11" s="338"/>
      <c r="PNV11" s="338"/>
      <c r="PNW11" s="338"/>
      <c r="PNX11" s="338"/>
      <c r="PNY11" s="338"/>
      <c r="PNZ11" s="338"/>
      <c r="POA11" s="338"/>
      <c r="POB11" s="338"/>
      <c r="POC11" s="338"/>
      <c r="POD11" s="338"/>
      <c r="POE11" s="338"/>
      <c r="POF11" s="338"/>
      <c r="POG11" s="338"/>
      <c r="POH11" s="338"/>
      <c r="POI11" s="338"/>
      <c r="POJ11" s="338"/>
      <c r="POK11" s="338"/>
      <c r="POL11" s="338"/>
      <c r="POM11" s="338"/>
      <c r="PON11" s="338"/>
      <c r="POO11" s="338"/>
      <c r="POP11" s="338"/>
      <c r="POQ11" s="338"/>
      <c r="POR11" s="338"/>
      <c r="POS11" s="338"/>
      <c r="POT11" s="338"/>
      <c r="POU11" s="338"/>
      <c r="POV11" s="338"/>
      <c r="POW11" s="338"/>
      <c r="POX11" s="338"/>
      <c r="POY11" s="338"/>
      <c r="POZ11" s="338"/>
      <c r="PPA11" s="338"/>
      <c r="PPB11" s="338"/>
      <c r="PPC11" s="338"/>
      <c r="PPD11" s="338"/>
      <c r="PPE11" s="338"/>
      <c r="PPF11" s="338"/>
      <c r="PPG11" s="338"/>
      <c r="PPH11" s="338"/>
      <c r="PPI11" s="338"/>
      <c r="PPJ11" s="338"/>
      <c r="PPK11" s="338"/>
      <c r="PPL11" s="338"/>
      <c r="PPM11" s="338"/>
      <c r="PPN11" s="338"/>
      <c r="PPO11" s="338"/>
      <c r="PPP11" s="338"/>
      <c r="PPQ11" s="338"/>
      <c r="PPR11" s="338"/>
      <c r="PPS11" s="338"/>
      <c r="PPT11" s="338"/>
      <c r="PPU11" s="338"/>
      <c r="PPV11" s="338"/>
      <c r="PPW11" s="338"/>
      <c r="PPX11" s="338"/>
      <c r="PPY11" s="338"/>
      <c r="PPZ11" s="338"/>
      <c r="PQA11" s="338"/>
      <c r="PQB11" s="338"/>
      <c r="PQC11" s="338"/>
      <c r="PQD11" s="338"/>
      <c r="PQE11" s="338"/>
      <c r="PQF11" s="338"/>
      <c r="PQG11" s="338"/>
      <c r="PQH11" s="338"/>
      <c r="PQI11" s="338"/>
      <c r="PQJ11" s="338"/>
      <c r="PQK11" s="338"/>
      <c r="PQL11" s="338"/>
      <c r="PQM11" s="338"/>
      <c r="PQN11" s="338"/>
      <c r="PQO11" s="338"/>
      <c r="PQP11" s="338"/>
      <c r="PQQ11" s="338"/>
      <c r="PQR11" s="338"/>
      <c r="PQS11" s="338"/>
      <c r="PQT11" s="338"/>
      <c r="PQU11" s="338"/>
      <c r="PQV11" s="338"/>
      <c r="PQW11" s="338"/>
      <c r="PQX11" s="338"/>
      <c r="PQY11" s="338"/>
      <c r="PQZ11" s="338"/>
      <c r="PRA11" s="338"/>
      <c r="PRB11" s="338"/>
      <c r="PRC11" s="338"/>
      <c r="PRD11" s="338"/>
      <c r="PRE11" s="338"/>
      <c r="PRF11" s="338"/>
      <c r="PRG11" s="338"/>
      <c r="PRH11" s="338"/>
      <c r="PRI11" s="338"/>
      <c r="PRJ11" s="338"/>
      <c r="PRK11" s="338"/>
      <c r="PRL11" s="338"/>
      <c r="PRM11" s="338"/>
      <c r="PRN11" s="338"/>
      <c r="PRO11" s="338"/>
      <c r="PRP11" s="338"/>
      <c r="PRQ11" s="338"/>
      <c r="PRR11" s="338"/>
      <c r="PRS11" s="338"/>
      <c r="PRT11" s="338"/>
      <c r="PRU11" s="338"/>
      <c r="PRV11" s="338"/>
      <c r="PRW11" s="338"/>
      <c r="PRX11" s="338"/>
      <c r="PRY11" s="338"/>
      <c r="PRZ11" s="338"/>
      <c r="PSA11" s="338"/>
      <c r="PSB11" s="338"/>
      <c r="PSC11" s="338"/>
      <c r="PSD11" s="338"/>
      <c r="PSE11" s="338"/>
      <c r="PSF11" s="338"/>
      <c r="PSG11" s="338"/>
      <c r="PSH11" s="338"/>
      <c r="PSI11" s="338"/>
      <c r="PSJ11" s="338"/>
      <c r="PSK11" s="338"/>
      <c r="PSL11" s="338"/>
      <c r="PSM11" s="338"/>
      <c r="PSN11" s="338"/>
      <c r="PSO11" s="338"/>
      <c r="PSP11" s="338"/>
      <c r="PSQ11" s="338"/>
      <c r="PSR11" s="338"/>
      <c r="PSS11" s="338"/>
      <c r="PST11" s="338"/>
      <c r="PSU11" s="338"/>
      <c r="PSV11" s="338"/>
      <c r="PSW11" s="338"/>
      <c r="PSX11" s="338"/>
      <c r="PSY11" s="338"/>
      <c r="PSZ11" s="338"/>
      <c r="PTA11" s="338"/>
      <c r="PTB11" s="338"/>
      <c r="PTC11" s="338"/>
      <c r="PTD11" s="338"/>
      <c r="PTE11" s="338"/>
      <c r="PTF11" s="338"/>
      <c r="PTG11" s="338"/>
      <c r="PTH11" s="338"/>
      <c r="PTI11" s="338"/>
      <c r="PTJ11" s="338"/>
      <c r="PTK11" s="338"/>
      <c r="PTL11" s="338"/>
      <c r="PTM11" s="338"/>
      <c r="PTN11" s="338"/>
      <c r="PTO11" s="338"/>
      <c r="PTP11" s="338"/>
      <c r="PTQ11" s="338"/>
      <c r="PTR11" s="338"/>
      <c r="PTS11" s="338"/>
      <c r="PTT11" s="338"/>
      <c r="PTU11" s="338"/>
      <c r="PTV11" s="338"/>
      <c r="PTW11" s="338"/>
      <c r="PTX11" s="338"/>
      <c r="PTY11" s="338"/>
      <c r="PTZ11" s="338"/>
      <c r="PUA11" s="338"/>
      <c r="PUB11" s="338"/>
      <c r="PUC11" s="338"/>
      <c r="PUD11" s="338"/>
      <c r="PUE11" s="338"/>
      <c r="PUF11" s="338"/>
      <c r="PUG11" s="338"/>
      <c r="PUH11" s="338"/>
      <c r="PUI11" s="338"/>
      <c r="PUJ11" s="338"/>
      <c r="PUK11" s="338"/>
      <c r="PUL11" s="338"/>
      <c r="PUM11" s="338"/>
      <c r="PUN11" s="338"/>
      <c r="PUO11" s="338"/>
      <c r="PUP11" s="338"/>
      <c r="PUQ11" s="338"/>
      <c r="PUR11" s="338"/>
      <c r="PUS11" s="338"/>
      <c r="PUT11" s="338"/>
      <c r="PUU11" s="338"/>
      <c r="PUV11" s="338"/>
      <c r="PUW11" s="338"/>
      <c r="PUX11" s="338"/>
      <c r="PUY11" s="338"/>
      <c r="PUZ11" s="338"/>
      <c r="PVA11" s="338"/>
      <c r="PVB11" s="338"/>
      <c r="PVC11" s="338"/>
      <c r="PVD11" s="338"/>
      <c r="PVE11" s="338"/>
      <c r="PVF11" s="338"/>
      <c r="PVG11" s="338"/>
      <c r="PVH11" s="338"/>
      <c r="PVI11" s="338"/>
      <c r="PVJ11" s="338"/>
      <c r="PVK11" s="338"/>
      <c r="PVL11" s="338"/>
      <c r="PVM11" s="338"/>
      <c r="PVN11" s="338"/>
      <c r="PVO11" s="338"/>
      <c r="PVP11" s="338"/>
      <c r="PVQ11" s="338"/>
      <c r="PVR11" s="338"/>
      <c r="PVS11" s="338"/>
      <c r="PVT11" s="338"/>
      <c r="PVU11" s="338"/>
      <c r="PVV11" s="338"/>
      <c r="PVW11" s="338"/>
      <c r="PVX11" s="338"/>
      <c r="PVY11" s="338"/>
      <c r="PVZ11" s="338"/>
      <c r="PWA11" s="338"/>
      <c r="PWB11" s="338"/>
      <c r="PWC11" s="338"/>
      <c r="PWD11" s="338"/>
      <c r="PWE11" s="338"/>
      <c r="PWF11" s="338"/>
      <c r="PWG11" s="338"/>
      <c r="PWH11" s="338"/>
      <c r="PWI11" s="338"/>
      <c r="PWJ11" s="338"/>
      <c r="PWK11" s="338"/>
      <c r="PWL11" s="338"/>
      <c r="PWM11" s="338"/>
      <c r="PWN11" s="338"/>
      <c r="PWO11" s="338"/>
      <c r="PWP11" s="338"/>
      <c r="PWQ11" s="338"/>
      <c r="PWR11" s="338"/>
      <c r="PWS11" s="338"/>
      <c r="PWT11" s="338"/>
      <c r="PWU11" s="338"/>
      <c r="PWV11" s="338"/>
      <c r="PWW11" s="338"/>
      <c r="PWX11" s="338"/>
      <c r="PWY11" s="338"/>
      <c r="PWZ11" s="338"/>
      <c r="PXA11" s="338"/>
      <c r="PXB11" s="338"/>
      <c r="PXC11" s="338"/>
      <c r="PXD11" s="338"/>
      <c r="PXE11" s="338"/>
      <c r="PXF11" s="338"/>
      <c r="PXG11" s="338"/>
      <c r="PXH11" s="338"/>
      <c r="PXI11" s="338"/>
      <c r="PXJ11" s="338"/>
      <c r="PXK11" s="338"/>
      <c r="PXL11" s="338"/>
      <c r="PXM11" s="338"/>
      <c r="PXN11" s="338"/>
      <c r="PXO11" s="338"/>
      <c r="PXP11" s="338"/>
      <c r="PXQ11" s="338"/>
      <c r="PXR11" s="338"/>
      <c r="PXS11" s="338"/>
      <c r="PXT11" s="338"/>
      <c r="PXU11" s="338"/>
      <c r="PXV11" s="338"/>
      <c r="PXW11" s="338"/>
      <c r="PXX11" s="338"/>
      <c r="PXY11" s="338"/>
      <c r="PXZ11" s="338"/>
      <c r="PYA11" s="338"/>
      <c r="PYB11" s="338"/>
      <c r="PYC11" s="338"/>
      <c r="PYD11" s="338"/>
      <c r="PYE11" s="338"/>
      <c r="PYF11" s="338"/>
      <c r="PYG11" s="338"/>
      <c r="PYH11" s="338"/>
      <c r="PYI11" s="338"/>
      <c r="PYJ11" s="338"/>
      <c r="PYK11" s="338"/>
      <c r="PYL11" s="338"/>
      <c r="PYM11" s="338"/>
      <c r="PYN11" s="338"/>
      <c r="PYO11" s="338"/>
      <c r="PYP11" s="338"/>
      <c r="PYQ11" s="338"/>
      <c r="PYR11" s="338"/>
      <c r="PYS11" s="338"/>
      <c r="PYT11" s="338"/>
      <c r="PYU11" s="338"/>
      <c r="PYV11" s="338"/>
      <c r="PYW11" s="338"/>
      <c r="PYX11" s="338"/>
      <c r="PYY11" s="338"/>
      <c r="PYZ11" s="338"/>
      <c r="PZA11" s="338"/>
      <c r="PZB11" s="338"/>
      <c r="PZC11" s="338"/>
      <c r="PZD11" s="338"/>
      <c r="PZE11" s="338"/>
      <c r="PZF11" s="338"/>
      <c r="PZG11" s="338"/>
      <c r="PZH11" s="338"/>
      <c r="PZI11" s="338"/>
      <c r="PZJ11" s="338"/>
      <c r="PZK11" s="338"/>
      <c r="PZL11" s="338"/>
      <c r="PZM11" s="338"/>
      <c r="PZN11" s="338"/>
      <c r="PZO11" s="338"/>
      <c r="PZP11" s="338"/>
      <c r="PZQ11" s="338"/>
      <c r="PZR11" s="338"/>
      <c r="PZS11" s="338"/>
      <c r="PZT11" s="338"/>
      <c r="PZU11" s="338"/>
      <c r="PZV11" s="338"/>
      <c r="PZW11" s="338"/>
      <c r="PZX11" s="338"/>
      <c r="PZY11" s="338"/>
      <c r="PZZ11" s="338"/>
      <c r="QAA11" s="338"/>
      <c r="QAB11" s="338"/>
      <c r="QAC11" s="338"/>
      <c r="QAD11" s="338"/>
      <c r="QAE11" s="338"/>
      <c r="QAF11" s="338"/>
      <c r="QAG11" s="338"/>
      <c r="QAH11" s="338"/>
      <c r="QAI11" s="338"/>
      <c r="QAJ11" s="338"/>
      <c r="QAK11" s="338"/>
      <c r="QAL11" s="338"/>
      <c r="QAM11" s="338"/>
      <c r="QAN11" s="338"/>
      <c r="QAO11" s="338"/>
      <c r="QAP11" s="338"/>
      <c r="QAQ11" s="338"/>
      <c r="QAR11" s="338"/>
      <c r="QAS11" s="338"/>
      <c r="QAT11" s="338"/>
      <c r="QAU11" s="338"/>
      <c r="QAV11" s="338"/>
      <c r="QAW11" s="338"/>
      <c r="QAX11" s="338"/>
      <c r="QAY11" s="338"/>
      <c r="QAZ11" s="338"/>
      <c r="QBA11" s="338"/>
      <c r="QBB11" s="338"/>
      <c r="QBC11" s="338"/>
      <c r="QBD11" s="338"/>
      <c r="QBE11" s="338"/>
      <c r="QBF11" s="338"/>
      <c r="QBG11" s="338"/>
      <c r="QBH11" s="338"/>
      <c r="QBI11" s="338"/>
      <c r="QBJ11" s="338"/>
      <c r="QBK11" s="338"/>
      <c r="QBL11" s="338"/>
      <c r="QBM11" s="338"/>
      <c r="QBN11" s="338"/>
      <c r="QBO11" s="338"/>
      <c r="QBP11" s="338"/>
      <c r="QBQ11" s="338"/>
      <c r="QBR11" s="338"/>
      <c r="QBS11" s="338"/>
      <c r="QBT11" s="338"/>
      <c r="QBU11" s="338"/>
      <c r="QBV11" s="338"/>
      <c r="QBW11" s="338"/>
      <c r="QBX11" s="338"/>
      <c r="QBY11" s="338"/>
      <c r="QBZ11" s="338"/>
      <c r="QCA11" s="338"/>
      <c r="QCB11" s="338"/>
      <c r="QCC11" s="338"/>
      <c r="QCD11" s="338"/>
      <c r="QCE11" s="338"/>
      <c r="QCF11" s="338"/>
      <c r="QCG11" s="338"/>
      <c r="QCH11" s="338"/>
      <c r="QCI11" s="338"/>
      <c r="QCJ11" s="338"/>
      <c r="QCK11" s="338"/>
      <c r="QCL11" s="338"/>
      <c r="QCM11" s="338"/>
      <c r="QCN11" s="338"/>
      <c r="QCO11" s="338"/>
      <c r="QCP11" s="338"/>
      <c r="QCQ11" s="338"/>
      <c r="QCR11" s="338"/>
      <c r="QCS11" s="338"/>
      <c r="QCT11" s="338"/>
      <c r="QCU11" s="338"/>
      <c r="QCV11" s="338"/>
      <c r="QCW11" s="338"/>
      <c r="QCX11" s="338"/>
      <c r="QCY11" s="338"/>
      <c r="QCZ11" s="338"/>
      <c r="QDA11" s="338"/>
      <c r="QDB11" s="338"/>
      <c r="QDC11" s="338"/>
      <c r="QDD11" s="338"/>
      <c r="QDE11" s="338"/>
      <c r="QDF11" s="338"/>
      <c r="QDG11" s="338"/>
      <c r="QDH11" s="338"/>
      <c r="QDI11" s="338"/>
      <c r="QDJ11" s="338"/>
      <c r="QDK11" s="338"/>
      <c r="QDL11" s="338"/>
      <c r="QDM11" s="338"/>
      <c r="QDN11" s="338"/>
      <c r="QDO11" s="338"/>
      <c r="QDP11" s="338"/>
      <c r="QDQ11" s="338"/>
      <c r="QDR11" s="338"/>
      <c r="QDS11" s="338"/>
      <c r="QDT11" s="338"/>
      <c r="QDU11" s="338"/>
      <c r="QDV11" s="338"/>
      <c r="QDW11" s="338"/>
      <c r="QDX11" s="338"/>
      <c r="QDY11" s="338"/>
      <c r="QDZ11" s="338"/>
      <c r="QEA11" s="338"/>
      <c r="QEB11" s="338"/>
      <c r="QEC11" s="338"/>
      <c r="QED11" s="338"/>
      <c r="QEE11" s="338"/>
      <c r="QEF11" s="338"/>
      <c r="QEG11" s="338"/>
      <c r="QEH11" s="338"/>
      <c r="QEI11" s="338"/>
      <c r="QEJ11" s="338"/>
      <c r="QEK11" s="338"/>
      <c r="QEL11" s="338"/>
      <c r="QEM11" s="338"/>
      <c r="QEN11" s="338"/>
      <c r="QEO11" s="338"/>
      <c r="QEP11" s="338"/>
      <c r="QEQ11" s="338"/>
      <c r="QER11" s="338"/>
      <c r="QES11" s="338"/>
      <c r="QET11" s="338"/>
      <c r="QEU11" s="338"/>
      <c r="QEV11" s="338"/>
      <c r="QEW11" s="338"/>
      <c r="QEX11" s="338"/>
      <c r="QEY11" s="338"/>
      <c r="QEZ11" s="338"/>
      <c r="QFA11" s="338"/>
      <c r="QFB11" s="338"/>
      <c r="QFC11" s="338"/>
      <c r="QFD11" s="338"/>
      <c r="QFE11" s="338"/>
      <c r="QFF11" s="338"/>
      <c r="QFG11" s="338"/>
      <c r="QFH11" s="338"/>
      <c r="QFI11" s="338"/>
      <c r="QFJ11" s="338"/>
      <c r="QFK11" s="338"/>
      <c r="QFL11" s="338"/>
      <c r="QFM11" s="338"/>
      <c r="QFN11" s="338"/>
      <c r="QFO11" s="338"/>
      <c r="QFP11" s="338"/>
      <c r="QFQ11" s="338"/>
      <c r="QFR11" s="338"/>
      <c r="QFS11" s="338"/>
      <c r="QFT11" s="338"/>
      <c r="QFU11" s="338"/>
      <c r="QFV11" s="338"/>
      <c r="QFW11" s="338"/>
      <c r="QFX11" s="338"/>
      <c r="QFY11" s="338"/>
      <c r="QFZ11" s="338"/>
      <c r="QGA11" s="338"/>
      <c r="QGB11" s="338"/>
      <c r="QGC11" s="338"/>
      <c r="QGD11" s="338"/>
      <c r="QGE11" s="338"/>
      <c r="QGF11" s="338"/>
      <c r="QGG11" s="338"/>
      <c r="QGH11" s="338"/>
      <c r="QGI11" s="338"/>
      <c r="QGJ11" s="338"/>
      <c r="QGK11" s="338"/>
      <c r="QGL11" s="338"/>
      <c r="QGM11" s="338"/>
      <c r="QGN11" s="338"/>
      <c r="QGO11" s="338"/>
      <c r="QGP11" s="338"/>
      <c r="QGQ11" s="338"/>
      <c r="QGR11" s="338"/>
      <c r="QGS11" s="338"/>
      <c r="QGT11" s="338"/>
      <c r="QGU11" s="338"/>
      <c r="QGV11" s="338"/>
      <c r="QGW11" s="338"/>
      <c r="QGX11" s="338"/>
      <c r="QGY11" s="338"/>
      <c r="QGZ11" s="338"/>
      <c r="QHA11" s="338"/>
      <c r="QHB11" s="338"/>
      <c r="QHC11" s="338"/>
      <c r="QHD11" s="338"/>
      <c r="QHE11" s="338"/>
      <c r="QHF11" s="338"/>
      <c r="QHG11" s="338"/>
      <c r="QHH11" s="338"/>
      <c r="QHI11" s="338"/>
      <c r="QHJ11" s="338"/>
      <c r="QHK11" s="338"/>
      <c r="QHL11" s="338"/>
      <c r="QHM11" s="338"/>
      <c r="QHN11" s="338"/>
      <c r="QHO11" s="338"/>
      <c r="QHP11" s="338"/>
      <c r="QHQ11" s="338"/>
      <c r="QHR11" s="338"/>
      <c r="QHS11" s="338"/>
      <c r="QHT11" s="338"/>
      <c r="QHU11" s="338"/>
      <c r="QHV11" s="338"/>
      <c r="QHW11" s="338"/>
      <c r="QHX11" s="338"/>
      <c r="QHY11" s="338"/>
      <c r="QHZ11" s="338"/>
      <c r="QIA11" s="338"/>
      <c r="QIB11" s="338"/>
      <c r="QIC11" s="338"/>
      <c r="QID11" s="338"/>
      <c r="QIE11" s="338"/>
      <c r="QIF11" s="338"/>
      <c r="QIG11" s="338"/>
      <c r="QIH11" s="338"/>
      <c r="QII11" s="338"/>
      <c r="QIJ11" s="338"/>
      <c r="QIK11" s="338"/>
      <c r="QIL11" s="338"/>
      <c r="QIM11" s="338"/>
      <c r="QIN11" s="338"/>
      <c r="QIO11" s="338"/>
      <c r="QIP11" s="338"/>
      <c r="QIQ11" s="338"/>
      <c r="QIR11" s="338"/>
      <c r="QIS11" s="338"/>
      <c r="QIT11" s="338"/>
      <c r="QIU11" s="338"/>
      <c r="QIV11" s="338"/>
      <c r="QIW11" s="338"/>
      <c r="QIX11" s="338"/>
      <c r="QIY11" s="338"/>
      <c r="QIZ11" s="338"/>
      <c r="QJA11" s="338"/>
      <c r="QJB11" s="338"/>
      <c r="QJC11" s="338"/>
      <c r="QJD11" s="338"/>
      <c r="QJE11" s="338"/>
      <c r="QJF11" s="338"/>
      <c r="QJG11" s="338"/>
      <c r="QJH11" s="338"/>
      <c r="QJI11" s="338"/>
      <c r="QJJ11" s="338"/>
      <c r="QJK11" s="338"/>
      <c r="QJL11" s="338"/>
      <c r="QJM11" s="338"/>
      <c r="QJN11" s="338"/>
      <c r="QJO11" s="338"/>
      <c r="QJP11" s="338"/>
      <c r="QJQ11" s="338"/>
      <c r="QJR11" s="338"/>
      <c r="QJS11" s="338"/>
      <c r="QJT11" s="338"/>
      <c r="QJU11" s="338"/>
      <c r="QJV11" s="338"/>
      <c r="QJW11" s="338"/>
      <c r="QJX11" s="338"/>
      <c r="QJY11" s="338"/>
      <c r="QJZ11" s="338"/>
      <c r="QKA11" s="338"/>
      <c r="QKB11" s="338"/>
      <c r="QKC11" s="338"/>
      <c r="QKD11" s="338"/>
      <c r="QKE11" s="338"/>
      <c r="QKF11" s="338"/>
      <c r="QKG11" s="338"/>
      <c r="QKH11" s="338"/>
      <c r="QKI11" s="338"/>
      <c r="QKJ11" s="338"/>
      <c r="QKK11" s="338"/>
      <c r="QKL11" s="338"/>
      <c r="QKM11" s="338"/>
      <c r="QKN11" s="338"/>
      <c r="QKO11" s="338"/>
      <c r="QKP11" s="338"/>
      <c r="QKQ11" s="338"/>
      <c r="QKR11" s="338"/>
      <c r="QKS11" s="338"/>
      <c r="QKT11" s="338"/>
      <c r="QKU11" s="338"/>
      <c r="QKV11" s="338"/>
      <c r="QKW11" s="338"/>
      <c r="QKX11" s="338"/>
      <c r="QKY11" s="338"/>
      <c r="QKZ11" s="338"/>
      <c r="QLA11" s="338"/>
      <c r="QLB11" s="338"/>
      <c r="QLC11" s="338"/>
      <c r="QLD11" s="338"/>
      <c r="QLE11" s="338"/>
      <c r="QLF11" s="338"/>
      <c r="QLG11" s="338"/>
      <c r="QLH11" s="338"/>
      <c r="QLI11" s="338"/>
      <c r="QLJ11" s="338"/>
      <c r="QLK11" s="338"/>
      <c r="QLL11" s="338"/>
      <c r="QLM11" s="338"/>
      <c r="QLN11" s="338"/>
      <c r="QLO11" s="338"/>
      <c r="QLP11" s="338"/>
      <c r="QLQ11" s="338"/>
      <c r="QLR11" s="338"/>
      <c r="QLS11" s="338"/>
      <c r="QLT11" s="338"/>
      <c r="QLU11" s="338"/>
      <c r="QLV11" s="338"/>
      <c r="QLW11" s="338"/>
      <c r="QLX11" s="338"/>
      <c r="QLY11" s="338"/>
      <c r="QLZ11" s="338"/>
      <c r="QMA11" s="338"/>
      <c r="QMB11" s="338"/>
      <c r="QMC11" s="338"/>
      <c r="QMD11" s="338"/>
      <c r="QME11" s="338"/>
      <c r="QMF11" s="338"/>
      <c r="QMG11" s="338"/>
      <c r="QMH11" s="338"/>
      <c r="QMI11" s="338"/>
      <c r="QMJ11" s="338"/>
      <c r="QMK11" s="338"/>
      <c r="QML11" s="338"/>
      <c r="QMM11" s="338"/>
      <c r="QMN11" s="338"/>
      <c r="QMO11" s="338"/>
      <c r="QMP11" s="338"/>
      <c r="QMQ11" s="338"/>
      <c r="QMR11" s="338"/>
      <c r="QMS11" s="338"/>
      <c r="QMT11" s="338"/>
      <c r="QMU11" s="338"/>
      <c r="QMV11" s="338"/>
      <c r="QMW11" s="338"/>
      <c r="QMX11" s="338"/>
      <c r="QMY11" s="338"/>
      <c r="QMZ11" s="338"/>
      <c r="QNA11" s="338"/>
      <c r="QNB11" s="338"/>
      <c r="QNC11" s="338"/>
      <c r="QND11" s="338"/>
      <c r="QNE11" s="338"/>
      <c r="QNF11" s="338"/>
      <c r="QNG11" s="338"/>
      <c r="QNH11" s="338"/>
      <c r="QNI11" s="338"/>
      <c r="QNJ11" s="338"/>
      <c r="QNK11" s="338"/>
      <c r="QNL11" s="338"/>
      <c r="QNM11" s="338"/>
      <c r="QNN11" s="338"/>
      <c r="QNO11" s="338"/>
      <c r="QNP11" s="338"/>
      <c r="QNQ11" s="338"/>
      <c r="QNR11" s="338"/>
      <c r="QNS11" s="338"/>
      <c r="QNT11" s="338"/>
      <c r="QNU11" s="338"/>
      <c r="QNV11" s="338"/>
      <c r="QNW11" s="338"/>
      <c r="QNX11" s="338"/>
      <c r="QNY11" s="338"/>
      <c r="QNZ11" s="338"/>
      <c r="QOA11" s="338"/>
      <c r="QOB11" s="338"/>
      <c r="QOC11" s="338"/>
      <c r="QOD11" s="338"/>
      <c r="QOE11" s="338"/>
      <c r="QOF11" s="338"/>
      <c r="QOG11" s="338"/>
      <c r="QOH11" s="338"/>
      <c r="QOI11" s="338"/>
      <c r="QOJ11" s="338"/>
      <c r="QOK11" s="338"/>
      <c r="QOL11" s="338"/>
      <c r="QOM11" s="338"/>
      <c r="QON11" s="338"/>
      <c r="QOO11" s="338"/>
      <c r="QOP11" s="338"/>
      <c r="QOQ11" s="338"/>
      <c r="QOR11" s="338"/>
      <c r="QOS11" s="338"/>
      <c r="QOT11" s="338"/>
      <c r="QOU11" s="338"/>
      <c r="QOV11" s="338"/>
      <c r="QOW11" s="338"/>
      <c r="QOX11" s="338"/>
      <c r="QOY11" s="338"/>
      <c r="QOZ11" s="338"/>
      <c r="QPA11" s="338"/>
      <c r="QPB11" s="338"/>
      <c r="QPC11" s="338"/>
      <c r="QPD11" s="338"/>
      <c r="QPE11" s="338"/>
      <c r="QPF11" s="338"/>
      <c r="QPG11" s="338"/>
      <c r="QPH11" s="338"/>
      <c r="QPI11" s="338"/>
      <c r="QPJ11" s="338"/>
      <c r="QPK11" s="338"/>
      <c r="QPL11" s="338"/>
      <c r="QPM11" s="338"/>
      <c r="QPN11" s="338"/>
      <c r="QPO11" s="338"/>
      <c r="QPP11" s="338"/>
      <c r="QPQ11" s="338"/>
      <c r="QPR11" s="338"/>
      <c r="QPS11" s="338"/>
      <c r="QPT11" s="338"/>
      <c r="QPU11" s="338"/>
      <c r="QPV11" s="338"/>
      <c r="QPW11" s="338"/>
      <c r="QPX11" s="338"/>
      <c r="QPY11" s="338"/>
      <c r="QPZ11" s="338"/>
      <c r="QQA11" s="338"/>
      <c r="QQB11" s="338"/>
      <c r="QQC11" s="338"/>
      <c r="QQD11" s="338"/>
      <c r="QQE11" s="338"/>
      <c r="QQF11" s="338"/>
      <c r="QQG11" s="338"/>
      <c r="QQH11" s="338"/>
      <c r="QQI11" s="338"/>
      <c r="QQJ11" s="338"/>
      <c r="QQK11" s="338"/>
      <c r="QQL11" s="338"/>
      <c r="QQM11" s="338"/>
      <c r="QQN11" s="338"/>
      <c r="QQO11" s="338"/>
      <c r="QQP11" s="338"/>
      <c r="QQQ11" s="338"/>
      <c r="QQR11" s="338"/>
      <c r="QQS11" s="338"/>
      <c r="QQT11" s="338"/>
      <c r="QQU11" s="338"/>
      <c r="QQV11" s="338"/>
      <c r="QQW11" s="338"/>
      <c r="QQX11" s="338"/>
      <c r="QQY11" s="338"/>
      <c r="QQZ11" s="338"/>
      <c r="QRA11" s="338"/>
      <c r="QRB11" s="338"/>
      <c r="QRC11" s="338"/>
      <c r="QRD11" s="338"/>
      <c r="QRE11" s="338"/>
      <c r="QRF11" s="338"/>
      <c r="QRG11" s="338"/>
      <c r="QRH11" s="338"/>
      <c r="QRI11" s="338"/>
      <c r="QRJ11" s="338"/>
      <c r="QRK11" s="338"/>
      <c r="QRL11" s="338"/>
      <c r="QRM11" s="338"/>
      <c r="QRN11" s="338"/>
      <c r="QRO11" s="338"/>
      <c r="QRP11" s="338"/>
      <c r="QRQ11" s="338"/>
      <c r="QRR11" s="338"/>
      <c r="QRS11" s="338"/>
      <c r="QRT11" s="338"/>
      <c r="QRU11" s="338"/>
      <c r="QRV11" s="338"/>
      <c r="QRW11" s="338"/>
      <c r="QRX11" s="338"/>
      <c r="QRY11" s="338"/>
      <c r="QRZ11" s="338"/>
      <c r="QSA11" s="338"/>
      <c r="QSB11" s="338"/>
      <c r="QSC11" s="338"/>
      <c r="QSD11" s="338"/>
      <c r="QSE11" s="338"/>
      <c r="QSF11" s="338"/>
      <c r="QSG11" s="338"/>
      <c r="QSH11" s="338"/>
      <c r="QSI11" s="338"/>
      <c r="QSJ11" s="338"/>
      <c r="QSK11" s="338"/>
      <c r="QSL11" s="338"/>
      <c r="QSM11" s="338"/>
      <c r="QSN11" s="338"/>
      <c r="QSO11" s="338"/>
      <c r="QSP11" s="338"/>
      <c r="QSQ11" s="338"/>
      <c r="QSR11" s="338"/>
      <c r="QSS11" s="338"/>
      <c r="QST11" s="338"/>
      <c r="QSU11" s="338"/>
      <c r="QSV11" s="338"/>
      <c r="QSW11" s="338"/>
      <c r="QSX11" s="338"/>
      <c r="QSY11" s="338"/>
      <c r="QSZ11" s="338"/>
      <c r="QTA11" s="338"/>
      <c r="QTB11" s="338"/>
      <c r="QTC11" s="338"/>
      <c r="QTD11" s="338"/>
      <c r="QTE11" s="338"/>
      <c r="QTF11" s="338"/>
      <c r="QTG11" s="338"/>
      <c r="QTH11" s="338"/>
      <c r="QTI11" s="338"/>
      <c r="QTJ11" s="338"/>
      <c r="QTK11" s="338"/>
      <c r="QTL11" s="338"/>
      <c r="QTM11" s="338"/>
      <c r="QTN11" s="338"/>
      <c r="QTO11" s="338"/>
      <c r="QTP11" s="338"/>
      <c r="QTQ11" s="338"/>
      <c r="QTR11" s="338"/>
      <c r="QTS11" s="338"/>
      <c r="QTT11" s="338"/>
      <c r="QTU11" s="338"/>
      <c r="QTV11" s="338"/>
      <c r="QTW11" s="338"/>
      <c r="QTX11" s="338"/>
      <c r="QTY11" s="338"/>
      <c r="QTZ11" s="338"/>
      <c r="QUA11" s="338"/>
      <c r="QUB11" s="338"/>
      <c r="QUC11" s="338"/>
      <c r="QUD11" s="338"/>
      <c r="QUE11" s="338"/>
      <c r="QUF11" s="338"/>
      <c r="QUG11" s="338"/>
      <c r="QUH11" s="338"/>
      <c r="QUI11" s="338"/>
      <c r="QUJ11" s="338"/>
      <c r="QUK11" s="338"/>
      <c r="QUL11" s="338"/>
      <c r="QUM11" s="338"/>
      <c r="QUN11" s="338"/>
      <c r="QUO11" s="338"/>
      <c r="QUP11" s="338"/>
      <c r="QUQ11" s="338"/>
      <c r="QUR11" s="338"/>
      <c r="QUS11" s="338"/>
      <c r="QUT11" s="338"/>
      <c r="QUU11" s="338"/>
      <c r="QUV11" s="338"/>
      <c r="QUW11" s="338"/>
      <c r="QUX11" s="338"/>
      <c r="QUY11" s="338"/>
      <c r="QUZ11" s="338"/>
      <c r="QVA11" s="338"/>
      <c r="QVB11" s="338"/>
      <c r="QVC11" s="338"/>
      <c r="QVD11" s="338"/>
      <c r="QVE11" s="338"/>
      <c r="QVF11" s="338"/>
      <c r="QVG11" s="338"/>
      <c r="QVH11" s="338"/>
      <c r="QVI11" s="338"/>
      <c r="QVJ11" s="338"/>
      <c r="QVK11" s="338"/>
      <c r="QVL11" s="338"/>
      <c r="QVM11" s="338"/>
      <c r="QVN11" s="338"/>
      <c r="QVO11" s="338"/>
      <c r="QVP11" s="338"/>
      <c r="QVQ11" s="338"/>
      <c r="QVR11" s="338"/>
      <c r="QVS11" s="338"/>
      <c r="QVT11" s="338"/>
      <c r="QVU11" s="338"/>
      <c r="QVV11" s="338"/>
      <c r="QVW11" s="338"/>
      <c r="QVX11" s="338"/>
      <c r="QVY11" s="338"/>
      <c r="QVZ11" s="338"/>
      <c r="QWA11" s="338"/>
      <c r="QWB11" s="338"/>
      <c r="QWC11" s="338"/>
      <c r="QWD11" s="338"/>
      <c r="QWE11" s="338"/>
      <c r="QWF11" s="338"/>
      <c r="QWG11" s="338"/>
      <c r="QWH11" s="338"/>
      <c r="QWI11" s="338"/>
      <c r="QWJ11" s="338"/>
      <c r="QWK11" s="338"/>
      <c r="QWL11" s="338"/>
      <c r="QWM11" s="338"/>
      <c r="QWN11" s="338"/>
      <c r="QWO11" s="338"/>
      <c r="QWP11" s="338"/>
      <c r="QWQ11" s="338"/>
      <c r="QWR11" s="338"/>
      <c r="QWS11" s="338"/>
      <c r="QWT11" s="338"/>
      <c r="QWU11" s="338"/>
      <c r="QWV11" s="338"/>
      <c r="QWW11" s="338"/>
      <c r="QWX11" s="338"/>
      <c r="QWY11" s="338"/>
      <c r="QWZ11" s="338"/>
      <c r="QXA11" s="338"/>
      <c r="QXB11" s="338"/>
      <c r="QXC11" s="338"/>
      <c r="QXD11" s="338"/>
      <c r="QXE11" s="338"/>
      <c r="QXF11" s="338"/>
      <c r="QXG11" s="338"/>
      <c r="QXH11" s="338"/>
      <c r="QXI11" s="338"/>
      <c r="QXJ11" s="338"/>
      <c r="QXK11" s="338"/>
      <c r="QXL11" s="338"/>
      <c r="QXM11" s="338"/>
      <c r="QXN11" s="338"/>
      <c r="QXO11" s="338"/>
      <c r="QXP11" s="338"/>
      <c r="QXQ11" s="338"/>
      <c r="QXR11" s="338"/>
      <c r="QXS11" s="338"/>
      <c r="QXT11" s="338"/>
      <c r="QXU11" s="338"/>
      <c r="QXV11" s="338"/>
      <c r="QXW11" s="338"/>
      <c r="QXX11" s="338"/>
      <c r="QXY11" s="338"/>
      <c r="QXZ11" s="338"/>
      <c r="QYA11" s="338"/>
      <c r="QYB11" s="338"/>
      <c r="QYC11" s="338"/>
      <c r="QYD11" s="338"/>
      <c r="QYE11" s="338"/>
      <c r="QYF11" s="338"/>
      <c r="QYG11" s="338"/>
      <c r="QYH11" s="338"/>
      <c r="QYI11" s="338"/>
      <c r="QYJ11" s="338"/>
      <c r="QYK11" s="338"/>
      <c r="QYL11" s="338"/>
      <c r="QYM11" s="338"/>
      <c r="QYN11" s="338"/>
      <c r="QYO11" s="338"/>
      <c r="QYP11" s="338"/>
      <c r="QYQ11" s="338"/>
      <c r="QYR11" s="338"/>
      <c r="QYS11" s="338"/>
      <c r="QYT11" s="338"/>
      <c r="QYU11" s="338"/>
      <c r="QYV11" s="338"/>
      <c r="QYW11" s="338"/>
      <c r="QYX11" s="338"/>
      <c r="QYY11" s="338"/>
      <c r="QYZ11" s="338"/>
      <c r="QZA11" s="338"/>
      <c r="QZB11" s="338"/>
      <c r="QZC11" s="338"/>
      <c r="QZD11" s="338"/>
      <c r="QZE11" s="338"/>
      <c r="QZF11" s="338"/>
      <c r="QZG11" s="338"/>
      <c r="QZH11" s="338"/>
      <c r="QZI11" s="338"/>
      <c r="QZJ11" s="338"/>
      <c r="QZK11" s="338"/>
      <c r="QZL11" s="338"/>
      <c r="QZM11" s="338"/>
      <c r="QZN11" s="338"/>
      <c r="QZO11" s="338"/>
      <c r="QZP11" s="338"/>
      <c r="QZQ11" s="338"/>
      <c r="QZR11" s="338"/>
      <c r="QZS11" s="338"/>
      <c r="QZT11" s="338"/>
      <c r="QZU11" s="338"/>
      <c r="QZV11" s="338"/>
      <c r="QZW11" s="338"/>
      <c r="QZX11" s="338"/>
      <c r="QZY11" s="338"/>
      <c r="QZZ11" s="338"/>
      <c r="RAA11" s="338"/>
      <c r="RAB11" s="338"/>
      <c r="RAC11" s="338"/>
      <c r="RAD11" s="338"/>
      <c r="RAE11" s="338"/>
      <c r="RAF11" s="338"/>
      <c r="RAG11" s="338"/>
      <c r="RAH11" s="338"/>
      <c r="RAI11" s="338"/>
      <c r="RAJ11" s="338"/>
      <c r="RAK11" s="338"/>
      <c r="RAL11" s="338"/>
      <c r="RAM11" s="338"/>
      <c r="RAN11" s="338"/>
      <c r="RAO11" s="338"/>
      <c r="RAP11" s="338"/>
      <c r="RAQ11" s="338"/>
      <c r="RAR11" s="338"/>
      <c r="RAS11" s="338"/>
      <c r="RAT11" s="338"/>
      <c r="RAU11" s="338"/>
      <c r="RAV11" s="338"/>
      <c r="RAW11" s="338"/>
      <c r="RAX11" s="338"/>
      <c r="RAY11" s="338"/>
      <c r="RAZ11" s="338"/>
      <c r="RBA11" s="338"/>
      <c r="RBB11" s="338"/>
      <c r="RBC11" s="338"/>
      <c r="RBD11" s="338"/>
      <c r="RBE11" s="338"/>
      <c r="RBF11" s="338"/>
      <c r="RBG11" s="338"/>
      <c r="RBH11" s="338"/>
      <c r="RBI11" s="338"/>
      <c r="RBJ11" s="338"/>
      <c r="RBK11" s="338"/>
      <c r="RBL11" s="338"/>
      <c r="RBM11" s="338"/>
      <c r="RBN11" s="338"/>
      <c r="RBO11" s="338"/>
      <c r="RBP11" s="338"/>
      <c r="RBQ11" s="338"/>
      <c r="RBR11" s="338"/>
      <c r="RBS11" s="338"/>
      <c r="RBT11" s="338"/>
      <c r="RBU11" s="338"/>
      <c r="RBV11" s="338"/>
      <c r="RBW11" s="338"/>
      <c r="RBX11" s="338"/>
      <c r="RBY11" s="338"/>
      <c r="RBZ11" s="338"/>
      <c r="RCA11" s="338"/>
      <c r="RCB11" s="338"/>
      <c r="RCC11" s="338"/>
      <c r="RCD11" s="338"/>
      <c r="RCE11" s="338"/>
      <c r="RCF11" s="338"/>
      <c r="RCG11" s="338"/>
      <c r="RCH11" s="338"/>
      <c r="RCI11" s="338"/>
      <c r="RCJ11" s="338"/>
      <c r="RCK11" s="338"/>
      <c r="RCL11" s="338"/>
      <c r="RCM11" s="338"/>
      <c r="RCN11" s="338"/>
      <c r="RCO11" s="338"/>
      <c r="RCP11" s="338"/>
      <c r="RCQ11" s="338"/>
      <c r="RCR11" s="338"/>
      <c r="RCS11" s="338"/>
      <c r="RCT11" s="338"/>
      <c r="RCU11" s="338"/>
      <c r="RCV11" s="338"/>
      <c r="RCW11" s="338"/>
      <c r="RCX11" s="338"/>
      <c r="RCY11" s="338"/>
      <c r="RCZ11" s="338"/>
      <c r="RDA11" s="338"/>
      <c r="RDB11" s="338"/>
      <c r="RDC11" s="338"/>
      <c r="RDD11" s="338"/>
      <c r="RDE11" s="338"/>
      <c r="RDF11" s="338"/>
      <c r="RDG11" s="338"/>
      <c r="RDH11" s="338"/>
      <c r="RDI11" s="338"/>
      <c r="RDJ11" s="338"/>
      <c r="RDK11" s="338"/>
      <c r="RDL11" s="338"/>
      <c r="RDM11" s="338"/>
      <c r="RDN11" s="338"/>
      <c r="RDO11" s="338"/>
      <c r="RDP11" s="338"/>
      <c r="RDQ11" s="338"/>
      <c r="RDR11" s="338"/>
      <c r="RDS11" s="338"/>
      <c r="RDT11" s="338"/>
      <c r="RDU11" s="338"/>
      <c r="RDV11" s="338"/>
      <c r="RDW11" s="338"/>
      <c r="RDX11" s="338"/>
      <c r="RDY11" s="338"/>
      <c r="RDZ11" s="338"/>
      <c r="REA11" s="338"/>
      <c r="REB11" s="338"/>
      <c r="REC11" s="338"/>
      <c r="RED11" s="338"/>
      <c r="REE11" s="338"/>
      <c r="REF11" s="338"/>
      <c r="REG11" s="338"/>
      <c r="REH11" s="338"/>
      <c r="REI11" s="338"/>
      <c r="REJ11" s="338"/>
      <c r="REK11" s="338"/>
      <c r="REL11" s="338"/>
      <c r="REM11" s="338"/>
      <c r="REN11" s="338"/>
      <c r="REO11" s="338"/>
      <c r="REP11" s="338"/>
      <c r="REQ11" s="338"/>
      <c r="RER11" s="338"/>
      <c r="RES11" s="338"/>
      <c r="RET11" s="338"/>
      <c r="REU11" s="338"/>
      <c r="REV11" s="338"/>
      <c r="REW11" s="338"/>
      <c r="REX11" s="338"/>
      <c r="REY11" s="338"/>
      <c r="REZ11" s="338"/>
      <c r="RFA11" s="338"/>
      <c r="RFB11" s="338"/>
      <c r="RFC11" s="338"/>
      <c r="RFD11" s="338"/>
      <c r="RFE11" s="338"/>
      <c r="RFF11" s="338"/>
      <c r="RFG11" s="338"/>
      <c r="RFH11" s="338"/>
      <c r="RFI11" s="338"/>
      <c r="RFJ11" s="338"/>
      <c r="RFK11" s="338"/>
      <c r="RFL11" s="338"/>
      <c r="RFM11" s="338"/>
      <c r="RFN11" s="338"/>
      <c r="RFO11" s="338"/>
      <c r="RFP11" s="338"/>
      <c r="RFQ11" s="338"/>
      <c r="RFR11" s="338"/>
      <c r="RFS11" s="338"/>
      <c r="RFT11" s="338"/>
      <c r="RFU11" s="338"/>
      <c r="RFV11" s="338"/>
      <c r="RFW11" s="338"/>
      <c r="RFX11" s="338"/>
      <c r="RFY11" s="338"/>
      <c r="RFZ11" s="338"/>
      <c r="RGA11" s="338"/>
      <c r="RGB11" s="338"/>
      <c r="RGC11" s="338"/>
      <c r="RGD11" s="338"/>
      <c r="RGE11" s="338"/>
      <c r="RGF11" s="338"/>
      <c r="RGG11" s="338"/>
      <c r="RGH11" s="338"/>
      <c r="RGI11" s="338"/>
      <c r="RGJ11" s="338"/>
      <c r="RGK11" s="338"/>
      <c r="RGL11" s="338"/>
      <c r="RGM11" s="338"/>
      <c r="RGN11" s="338"/>
      <c r="RGO11" s="338"/>
      <c r="RGP11" s="338"/>
      <c r="RGQ11" s="338"/>
      <c r="RGR11" s="338"/>
      <c r="RGS11" s="338"/>
      <c r="RGT11" s="338"/>
      <c r="RGU11" s="338"/>
      <c r="RGV11" s="338"/>
      <c r="RGW11" s="338"/>
      <c r="RGX11" s="338"/>
      <c r="RGY11" s="338"/>
      <c r="RGZ11" s="338"/>
      <c r="RHA11" s="338"/>
      <c r="RHB11" s="338"/>
      <c r="RHC11" s="338"/>
      <c r="RHD11" s="338"/>
      <c r="RHE11" s="338"/>
      <c r="RHF11" s="338"/>
      <c r="RHG11" s="338"/>
      <c r="RHH11" s="338"/>
      <c r="RHI11" s="338"/>
      <c r="RHJ11" s="338"/>
      <c r="RHK11" s="338"/>
      <c r="RHL11" s="338"/>
      <c r="RHM11" s="338"/>
      <c r="RHN11" s="338"/>
      <c r="RHO11" s="338"/>
      <c r="RHP11" s="338"/>
      <c r="RHQ11" s="338"/>
      <c r="RHR11" s="338"/>
      <c r="RHS11" s="338"/>
      <c r="RHT11" s="338"/>
      <c r="RHU11" s="338"/>
      <c r="RHV11" s="338"/>
      <c r="RHW11" s="338"/>
      <c r="RHX11" s="338"/>
      <c r="RHY11" s="338"/>
      <c r="RHZ11" s="338"/>
      <c r="RIA11" s="338"/>
      <c r="RIB11" s="338"/>
      <c r="RIC11" s="338"/>
      <c r="RID11" s="338"/>
      <c r="RIE11" s="338"/>
      <c r="RIF11" s="338"/>
      <c r="RIG11" s="338"/>
      <c r="RIH11" s="338"/>
      <c r="RII11" s="338"/>
      <c r="RIJ11" s="338"/>
      <c r="RIK11" s="338"/>
      <c r="RIL11" s="338"/>
      <c r="RIM11" s="338"/>
      <c r="RIN11" s="338"/>
      <c r="RIO11" s="338"/>
      <c r="RIP11" s="338"/>
      <c r="RIQ11" s="338"/>
      <c r="RIR11" s="338"/>
      <c r="RIS11" s="338"/>
      <c r="RIT11" s="338"/>
      <c r="RIU11" s="338"/>
      <c r="RIV11" s="338"/>
      <c r="RIW11" s="338"/>
      <c r="RIX11" s="338"/>
      <c r="RIY11" s="338"/>
      <c r="RIZ11" s="338"/>
      <c r="RJA11" s="338"/>
      <c r="RJB11" s="338"/>
      <c r="RJC11" s="338"/>
      <c r="RJD11" s="338"/>
      <c r="RJE11" s="338"/>
      <c r="RJF11" s="338"/>
      <c r="RJG11" s="338"/>
      <c r="RJH11" s="338"/>
      <c r="RJI11" s="338"/>
      <c r="RJJ11" s="338"/>
      <c r="RJK11" s="338"/>
      <c r="RJL11" s="338"/>
      <c r="RJM11" s="338"/>
      <c r="RJN11" s="338"/>
      <c r="RJO11" s="338"/>
      <c r="RJP11" s="338"/>
      <c r="RJQ11" s="338"/>
      <c r="RJR11" s="338"/>
      <c r="RJS11" s="338"/>
      <c r="RJT11" s="338"/>
      <c r="RJU11" s="338"/>
      <c r="RJV11" s="338"/>
      <c r="RJW11" s="338"/>
      <c r="RJX11" s="338"/>
      <c r="RJY11" s="338"/>
      <c r="RJZ11" s="338"/>
      <c r="RKA11" s="338"/>
      <c r="RKB11" s="338"/>
      <c r="RKC11" s="338"/>
      <c r="RKD11" s="338"/>
      <c r="RKE11" s="338"/>
      <c r="RKF11" s="338"/>
      <c r="RKG11" s="338"/>
      <c r="RKH11" s="338"/>
      <c r="RKI11" s="338"/>
      <c r="RKJ11" s="338"/>
      <c r="RKK11" s="338"/>
      <c r="RKL11" s="338"/>
      <c r="RKM11" s="338"/>
      <c r="RKN11" s="338"/>
      <c r="RKO11" s="338"/>
      <c r="RKP11" s="338"/>
      <c r="RKQ11" s="338"/>
      <c r="RKR11" s="338"/>
      <c r="RKS11" s="338"/>
      <c r="RKT11" s="338"/>
      <c r="RKU11" s="338"/>
      <c r="RKV11" s="338"/>
      <c r="RKW11" s="338"/>
      <c r="RKX11" s="338"/>
      <c r="RKY11" s="338"/>
      <c r="RKZ11" s="338"/>
      <c r="RLA11" s="338"/>
      <c r="RLB11" s="338"/>
      <c r="RLC11" s="338"/>
      <c r="RLD11" s="338"/>
      <c r="RLE11" s="338"/>
      <c r="RLF11" s="338"/>
      <c r="RLG11" s="338"/>
      <c r="RLH11" s="338"/>
      <c r="RLI11" s="338"/>
      <c r="RLJ11" s="338"/>
      <c r="RLK11" s="338"/>
      <c r="RLL11" s="338"/>
      <c r="RLM11" s="338"/>
      <c r="RLN11" s="338"/>
      <c r="RLO11" s="338"/>
      <c r="RLP11" s="338"/>
      <c r="RLQ11" s="338"/>
      <c r="RLR11" s="338"/>
      <c r="RLS11" s="338"/>
      <c r="RLT11" s="338"/>
      <c r="RLU11" s="338"/>
      <c r="RLV11" s="338"/>
      <c r="RLW11" s="338"/>
      <c r="RLX11" s="338"/>
      <c r="RLY11" s="338"/>
      <c r="RLZ11" s="338"/>
      <c r="RMA11" s="338"/>
      <c r="RMB11" s="338"/>
      <c r="RMC11" s="338"/>
      <c r="RMD11" s="338"/>
      <c r="RME11" s="338"/>
      <c r="RMF11" s="338"/>
      <c r="RMG11" s="338"/>
      <c r="RMH11" s="338"/>
      <c r="RMI11" s="338"/>
      <c r="RMJ11" s="338"/>
      <c r="RMK11" s="338"/>
      <c r="RML11" s="338"/>
      <c r="RMM11" s="338"/>
      <c r="RMN11" s="338"/>
      <c r="RMO11" s="338"/>
      <c r="RMP11" s="338"/>
      <c r="RMQ11" s="338"/>
      <c r="RMR11" s="338"/>
      <c r="RMS11" s="338"/>
      <c r="RMT11" s="338"/>
      <c r="RMU11" s="338"/>
      <c r="RMV11" s="338"/>
      <c r="RMW11" s="338"/>
      <c r="RMX11" s="338"/>
      <c r="RMY11" s="338"/>
      <c r="RMZ11" s="338"/>
      <c r="RNA11" s="338"/>
      <c r="RNB11" s="338"/>
      <c r="RNC11" s="338"/>
      <c r="RND11" s="338"/>
      <c r="RNE11" s="338"/>
      <c r="RNF11" s="338"/>
      <c r="RNG11" s="338"/>
      <c r="RNH11" s="338"/>
      <c r="RNI11" s="338"/>
      <c r="RNJ11" s="338"/>
      <c r="RNK11" s="338"/>
      <c r="RNL11" s="338"/>
      <c r="RNM11" s="338"/>
      <c r="RNN11" s="338"/>
      <c r="RNO11" s="338"/>
      <c r="RNP11" s="338"/>
      <c r="RNQ11" s="338"/>
      <c r="RNR11" s="338"/>
      <c r="RNS11" s="338"/>
      <c r="RNT11" s="338"/>
      <c r="RNU11" s="338"/>
      <c r="RNV11" s="338"/>
      <c r="RNW11" s="338"/>
      <c r="RNX11" s="338"/>
      <c r="RNY11" s="338"/>
      <c r="RNZ11" s="338"/>
      <c r="ROA11" s="338"/>
      <c r="ROB11" s="338"/>
      <c r="ROC11" s="338"/>
      <c r="ROD11" s="338"/>
      <c r="ROE11" s="338"/>
      <c r="ROF11" s="338"/>
      <c r="ROG11" s="338"/>
      <c r="ROH11" s="338"/>
      <c r="ROI11" s="338"/>
      <c r="ROJ11" s="338"/>
      <c r="ROK11" s="338"/>
      <c r="ROL11" s="338"/>
      <c r="ROM11" s="338"/>
      <c r="RON11" s="338"/>
      <c r="ROO11" s="338"/>
      <c r="ROP11" s="338"/>
      <c r="ROQ11" s="338"/>
      <c r="ROR11" s="338"/>
      <c r="ROS11" s="338"/>
      <c r="ROT11" s="338"/>
      <c r="ROU11" s="338"/>
      <c r="ROV11" s="338"/>
      <c r="ROW11" s="338"/>
      <c r="ROX11" s="338"/>
      <c r="ROY11" s="338"/>
      <c r="ROZ11" s="338"/>
      <c r="RPA11" s="338"/>
      <c r="RPB11" s="338"/>
      <c r="RPC11" s="338"/>
      <c r="RPD11" s="338"/>
      <c r="RPE11" s="338"/>
      <c r="RPF11" s="338"/>
      <c r="RPG11" s="338"/>
      <c r="RPH11" s="338"/>
      <c r="RPI11" s="338"/>
      <c r="RPJ11" s="338"/>
      <c r="RPK11" s="338"/>
      <c r="RPL11" s="338"/>
      <c r="RPM11" s="338"/>
      <c r="RPN11" s="338"/>
      <c r="RPO11" s="338"/>
      <c r="RPP11" s="338"/>
      <c r="RPQ11" s="338"/>
      <c r="RPR11" s="338"/>
      <c r="RPS11" s="338"/>
      <c r="RPT11" s="338"/>
      <c r="RPU11" s="338"/>
      <c r="RPV11" s="338"/>
      <c r="RPW11" s="338"/>
      <c r="RPX11" s="338"/>
      <c r="RPY11" s="338"/>
      <c r="RPZ11" s="338"/>
      <c r="RQA11" s="338"/>
      <c r="RQB11" s="338"/>
      <c r="RQC11" s="338"/>
      <c r="RQD11" s="338"/>
      <c r="RQE11" s="338"/>
      <c r="RQF11" s="338"/>
      <c r="RQG11" s="338"/>
      <c r="RQH11" s="338"/>
      <c r="RQI11" s="338"/>
      <c r="RQJ11" s="338"/>
      <c r="RQK11" s="338"/>
      <c r="RQL11" s="338"/>
      <c r="RQM11" s="338"/>
      <c r="RQN11" s="338"/>
      <c r="RQO11" s="338"/>
      <c r="RQP11" s="338"/>
      <c r="RQQ11" s="338"/>
      <c r="RQR11" s="338"/>
      <c r="RQS11" s="338"/>
      <c r="RQT11" s="338"/>
      <c r="RQU11" s="338"/>
      <c r="RQV11" s="338"/>
      <c r="RQW11" s="338"/>
      <c r="RQX11" s="338"/>
      <c r="RQY11" s="338"/>
      <c r="RQZ11" s="338"/>
      <c r="RRA11" s="338"/>
      <c r="RRB11" s="338"/>
      <c r="RRC11" s="338"/>
      <c r="RRD11" s="338"/>
      <c r="RRE11" s="338"/>
      <c r="RRF11" s="338"/>
      <c r="RRG11" s="338"/>
      <c r="RRH11" s="338"/>
      <c r="RRI11" s="338"/>
      <c r="RRJ11" s="338"/>
      <c r="RRK11" s="338"/>
      <c r="RRL11" s="338"/>
      <c r="RRM11" s="338"/>
      <c r="RRN11" s="338"/>
      <c r="RRO11" s="338"/>
      <c r="RRP11" s="338"/>
      <c r="RRQ11" s="338"/>
      <c r="RRR11" s="338"/>
      <c r="RRS11" s="338"/>
      <c r="RRT11" s="338"/>
      <c r="RRU11" s="338"/>
      <c r="RRV11" s="338"/>
      <c r="RRW11" s="338"/>
      <c r="RRX11" s="338"/>
      <c r="RRY11" s="338"/>
      <c r="RRZ11" s="338"/>
      <c r="RSA11" s="338"/>
      <c r="RSB11" s="338"/>
      <c r="RSC11" s="338"/>
      <c r="RSD11" s="338"/>
      <c r="RSE11" s="338"/>
      <c r="RSF11" s="338"/>
      <c r="RSG11" s="338"/>
      <c r="RSH11" s="338"/>
      <c r="RSI11" s="338"/>
      <c r="RSJ11" s="338"/>
      <c r="RSK11" s="338"/>
      <c r="RSL11" s="338"/>
      <c r="RSM11" s="338"/>
      <c r="RSN11" s="338"/>
      <c r="RSO11" s="338"/>
      <c r="RSP11" s="338"/>
      <c r="RSQ11" s="338"/>
      <c r="RSR11" s="338"/>
      <c r="RSS11" s="338"/>
      <c r="RST11" s="338"/>
      <c r="RSU11" s="338"/>
      <c r="RSV11" s="338"/>
      <c r="RSW11" s="338"/>
      <c r="RSX11" s="338"/>
      <c r="RSY11" s="338"/>
      <c r="RSZ11" s="338"/>
      <c r="RTA11" s="338"/>
      <c r="RTB11" s="338"/>
      <c r="RTC11" s="338"/>
      <c r="RTD11" s="338"/>
      <c r="RTE11" s="338"/>
      <c r="RTF11" s="338"/>
      <c r="RTG11" s="338"/>
      <c r="RTH11" s="338"/>
      <c r="RTI11" s="338"/>
      <c r="RTJ11" s="338"/>
      <c r="RTK11" s="338"/>
      <c r="RTL11" s="338"/>
      <c r="RTM11" s="338"/>
      <c r="RTN11" s="338"/>
      <c r="RTO11" s="338"/>
      <c r="RTP11" s="338"/>
      <c r="RTQ11" s="338"/>
      <c r="RTR11" s="338"/>
      <c r="RTS11" s="338"/>
      <c r="RTT11" s="338"/>
      <c r="RTU11" s="338"/>
      <c r="RTV11" s="338"/>
      <c r="RTW11" s="338"/>
      <c r="RTX11" s="338"/>
      <c r="RTY11" s="338"/>
      <c r="RTZ11" s="338"/>
      <c r="RUA11" s="338"/>
      <c r="RUB11" s="338"/>
      <c r="RUC11" s="338"/>
      <c r="RUD11" s="338"/>
      <c r="RUE11" s="338"/>
      <c r="RUF11" s="338"/>
      <c r="RUG11" s="338"/>
      <c r="RUH11" s="338"/>
      <c r="RUI11" s="338"/>
      <c r="RUJ11" s="338"/>
      <c r="RUK11" s="338"/>
      <c r="RUL11" s="338"/>
      <c r="RUM11" s="338"/>
      <c r="RUN11" s="338"/>
      <c r="RUO11" s="338"/>
      <c r="RUP11" s="338"/>
      <c r="RUQ11" s="338"/>
      <c r="RUR11" s="338"/>
      <c r="RUS11" s="338"/>
      <c r="RUT11" s="338"/>
      <c r="RUU11" s="338"/>
      <c r="RUV11" s="338"/>
      <c r="RUW11" s="338"/>
      <c r="RUX11" s="338"/>
      <c r="RUY11" s="338"/>
      <c r="RUZ11" s="338"/>
      <c r="RVA11" s="338"/>
      <c r="RVB11" s="338"/>
      <c r="RVC11" s="338"/>
      <c r="RVD11" s="338"/>
      <c r="RVE11" s="338"/>
      <c r="RVF11" s="338"/>
      <c r="RVG11" s="338"/>
      <c r="RVH11" s="338"/>
      <c r="RVI11" s="338"/>
      <c r="RVJ11" s="338"/>
      <c r="RVK11" s="338"/>
      <c r="RVL11" s="338"/>
      <c r="RVM11" s="338"/>
      <c r="RVN11" s="338"/>
      <c r="RVO11" s="338"/>
      <c r="RVP11" s="338"/>
      <c r="RVQ11" s="338"/>
      <c r="RVR11" s="338"/>
      <c r="RVS11" s="338"/>
      <c r="RVT11" s="338"/>
      <c r="RVU11" s="338"/>
      <c r="RVV11" s="338"/>
      <c r="RVW11" s="338"/>
      <c r="RVX11" s="338"/>
      <c r="RVY11" s="338"/>
      <c r="RVZ11" s="338"/>
      <c r="RWA11" s="338"/>
      <c r="RWB11" s="338"/>
      <c r="RWC11" s="338"/>
      <c r="RWD11" s="338"/>
      <c r="RWE11" s="338"/>
      <c r="RWF11" s="338"/>
      <c r="RWG11" s="338"/>
      <c r="RWH11" s="338"/>
      <c r="RWI11" s="338"/>
      <c r="RWJ11" s="338"/>
      <c r="RWK11" s="338"/>
      <c r="RWL11" s="338"/>
      <c r="RWM11" s="338"/>
      <c r="RWN11" s="338"/>
      <c r="RWO11" s="338"/>
      <c r="RWP11" s="338"/>
      <c r="RWQ11" s="338"/>
      <c r="RWR11" s="338"/>
      <c r="RWS11" s="338"/>
      <c r="RWT11" s="338"/>
      <c r="RWU11" s="338"/>
      <c r="RWV11" s="338"/>
      <c r="RWW11" s="338"/>
      <c r="RWX11" s="338"/>
      <c r="RWY11" s="338"/>
      <c r="RWZ11" s="338"/>
      <c r="RXA11" s="338"/>
      <c r="RXB11" s="338"/>
      <c r="RXC11" s="338"/>
      <c r="RXD11" s="338"/>
      <c r="RXE11" s="338"/>
      <c r="RXF11" s="338"/>
      <c r="RXG11" s="338"/>
      <c r="RXH11" s="338"/>
      <c r="RXI11" s="338"/>
      <c r="RXJ11" s="338"/>
      <c r="RXK11" s="338"/>
      <c r="RXL11" s="338"/>
      <c r="RXM11" s="338"/>
      <c r="RXN11" s="338"/>
      <c r="RXO11" s="338"/>
      <c r="RXP11" s="338"/>
      <c r="RXQ11" s="338"/>
      <c r="RXR11" s="338"/>
      <c r="RXS11" s="338"/>
      <c r="RXT11" s="338"/>
      <c r="RXU11" s="338"/>
      <c r="RXV11" s="338"/>
      <c r="RXW11" s="338"/>
      <c r="RXX11" s="338"/>
      <c r="RXY11" s="338"/>
      <c r="RXZ11" s="338"/>
      <c r="RYA11" s="338"/>
      <c r="RYB11" s="338"/>
      <c r="RYC11" s="338"/>
      <c r="RYD11" s="338"/>
      <c r="RYE11" s="338"/>
      <c r="RYF11" s="338"/>
      <c r="RYG11" s="338"/>
      <c r="RYH11" s="338"/>
      <c r="RYI11" s="338"/>
      <c r="RYJ11" s="338"/>
      <c r="RYK11" s="338"/>
      <c r="RYL11" s="338"/>
      <c r="RYM11" s="338"/>
      <c r="RYN11" s="338"/>
      <c r="RYO11" s="338"/>
      <c r="RYP11" s="338"/>
      <c r="RYQ11" s="338"/>
      <c r="RYR11" s="338"/>
      <c r="RYS11" s="338"/>
      <c r="RYT11" s="338"/>
      <c r="RYU11" s="338"/>
      <c r="RYV11" s="338"/>
      <c r="RYW11" s="338"/>
      <c r="RYX11" s="338"/>
      <c r="RYY11" s="338"/>
      <c r="RYZ11" s="338"/>
      <c r="RZA11" s="338"/>
      <c r="RZB11" s="338"/>
      <c r="RZC11" s="338"/>
      <c r="RZD11" s="338"/>
      <c r="RZE11" s="338"/>
      <c r="RZF11" s="338"/>
      <c r="RZG11" s="338"/>
      <c r="RZH11" s="338"/>
      <c r="RZI11" s="338"/>
      <c r="RZJ11" s="338"/>
      <c r="RZK11" s="338"/>
      <c r="RZL11" s="338"/>
      <c r="RZM11" s="338"/>
      <c r="RZN11" s="338"/>
      <c r="RZO11" s="338"/>
      <c r="RZP11" s="338"/>
      <c r="RZQ11" s="338"/>
      <c r="RZR11" s="338"/>
      <c r="RZS11" s="338"/>
      <c r="RZT11" s="338"/>
      <c r="RZU11" s="338"/>
      <c r="RZV11" s="338"/>
      <c r="RZW11" s="338"/>
      <c r="RZX11" s="338"/>
      <c r="RZY11" s="338"/>
      <c r="RZZ11" s="338"/>
      <c r="SAA11" s="338"/>
      <c r="SAB11" s="338"/>
      <c r="SAC11" s="338"/>
      <c r="SAD11" s="338"/>
      <c r="SAE11" s="338"/>
      <c r="SAF11" s="338"/>
      <c r="SAG11" s="338"/>
      <c r="SAH11" s="338"/>
      <c r="SAI11" s="338"/>
      <c r="SAJ11" s="338"/>
      <c r="SAK11" s="338"/>
      <c r="SAL11" s="338"/>
      <c r="SAM11" s="338"/>
      <c r="SAN11" s="338"/>
      <c r="SAO11" s="338"/>
      <c r="SAP11" s="338"/>
      <c r="SAQ11" s="338"/>
      <c r="SAR11" s="338"/>
      <c r="SAS11" s="338"/>
      <c r="SAT11" s="338"/>
      <c r="SAU11" s="338"/>
      <c r="SAV11" s="338"/>
      <c r="SAW11" s="338"/>
      <c r="SAX11" s="338"/>
      <c r="SAY11" s="338"/>
      <c r="SAZ11" s="338"/>
      <c r="SBA11" s="338"/>
      <c r="SBB11" s="338"/>
      <c r="SBC11" s="338"/>
      <c r="SBD11" s="338"/>
      <c r="SBE11" s="338"/>
      <c r="SBF11" s="338"/>
      <c r="SBG11" s="338"/>
      <c r="SBH11" s="338"/>
      <c r="SBI11" s="338"/>
      <c r="SBJ11" s="338"/>
      <c r="SBK11" s="338"/>
      <c r="SBL11" s="338"/>
      <c r="SBM11" s="338"/>
      <c r="SBN11" s="338"/>
      <c r="SBO11" s="338"/>
      <c r="SBP11" s="338"/>
      <c r="SBQ11" s="338"/>
      <c r="SBR11" s="338"/>
      <c r="SBS11" s="338"/>
      <c r="SBT11" s="338"/>
      <c r="SBU11" s="338"/>
      <c r="SBV11" s="338"/>
      <c r="SBW11" s="338"/>
      <c r="SBX11" s="338"/>
      <c r="SBY11" s="338"/>
      <c r="SBZ11" s="338"/>
      <c r="SCA11" s="338"/>
      <c r="SCB11" s="338"/>
      <c r="SCC11" s="338"/>
      <c r="SCD11" s="338"/>
      <c r="SCE11" s="338"/>
      <c r="SCF11" s="338"/>
      <c r="SCG11" s="338"/>
      <c r="SCH11" s="338"/>
      <c r="SCI11" s="338"/>
      <c r="SCJ11" s="338"/>
      <c r="SCK11" s="338"/>
      <c r="SCL11" s="338"/>
      <c r="SCM11" s="338"/>
      <c r="SCN11" s="338"/>
      <c r="SCO11" s="338"/>
      <c r="SCP11" s="338"/>
      <c r="SCQ11" s="338"/>
      <c r="SCR11" s="338"/>
      <c r="SCS11" s="338"/>
      <c r="SCT11" s="338"/>
      <c r="SCU11" s="338"/>
      <c r="SCV11" s="338"/>
      <c r="SCW11" s="338"/>
      <c r="SCX11" s="338"/>
      <c r="SCY11" s="338"/>
      <c r="SCZ11" s="338"/>
      <c r="SDA11" s="338"/>
      <c r="SDB11" s="338"/>
      <c r="SDC11" s="338"/>
      <c r="SDD11" s="338"/>
      <c r="SDE11" s="338"/>
      <c r="SDF11" s="338"/>
      <c r="SDG11" s="338"/>
      <c r="SDH11" s="338"/>
      <c r="SDI11" s="338"/>
      <c r="SDJ11" s="338"/>
      <c r="SDK11" s="338"/>
      <c r="SDL11" s="338"/>
      <c r="SDM11" s="338"/>
      <c r="SDN11" s="338"/>
      <c r="SDO11" s="338"/>
      <c r="SDP11" s="338"/>
      <c r="SDQ11" s="338"/>
      <c r="SDR11" s="338"/>
      <c r="SDS11" s="338"/>
      <c r="SDT11" s="338"/>
      <c r="SDU11" s="338"/>
      <c r="SDV11" s="338"/>
      <c r="SDW11" s="338"/>
      <c r="SDX11" s="338"/>
      <c r="SDY11" s="338"/>
      <c r="SDZ11" s="338"/>
      <c r="SEA11" s="338"/>
      <c r="SEB11" s="338"/>
      <c r="SEC11" s="338"/>
      <c r="SED11" s="338"/>
      <c r="SEE11" s="338"/>
      <c r="SEF11" s="338"/>
      <c r="SEG11" s="338"/>
      <c r="SEH11" s="338"/>
      <c r="SEI11" s="338"/>
      <c r="SEJ11" s="338"/>
      <c r="SEK11" s="338"/>
      <c r="SEL11" s="338"/>
      <c r="SEM11" s="338"/>
      <c r="SEN11" s="338"/>
      <c r="SEO11" s="338"/>
      <c r="SEP11" s="338"/>
      <c r="SEQ11" s="338"/>
      <c r="SER11" s="338"/>
      <c r="SES11" s="338"/>
      <c r="SET11" s="338"/>
      <c r="SEU11" s="338"/>
      <c r="SEV11" s="338"/>
      <c r="SEW11" s="338"/>
      <c r="SEX11" s="338"/>
      <c r="SEY11" s="338"/>
      <c r="SEZ11" s="338"/>
      <c r="SFA11" s="338"/>
      <c r="SFB11" s="338"/>
      <c r="SFC11" s="338"/>
      <c r="SFD11" s="338"/>
      <c r="SFE11" s="338"/>
      <c r="SFF11" s="338"/>
      <c r="SFG11" s="338"/>
      <c r="SFH11" s="338"/>
      <c r="SFI11" s="338"/>
      <c r="SFJ11" s="338"/>
      <c r="SFK11" s="338"/>
      <c r="SFL11" s="338"/>
      <c r="SFM11" s="338"/>
      <c r="SFN11" s="338"/>
      <c r="SFO11" s="338"/>
      <c r="SFP11" s="338"/>
      <c r="SFQ11" s="338"/>
      <c r="SFR11" s="338"/>
      <c r="SFS11" s="338"/>
      <c r="SFT11" s="338"/>
      <c r="SFU11" s="338"/>
      <c r="SFV11" s="338"/>
      <c r="SFW11" s="338"/>
      <c r="SFX11" s="338"/>
      <c r="SFY11" s="338"/>
      <c r="SFZ11" s="338"/>
      <c r="SGA11" s="338"/>
      <c r="SGB11" s="338"/>
      <c r="SGC11" s="338"/>
      <c r="SGD11" s="338"/>
      <c r="SGE11" s="338"/>
      <c r="SGF11" s="338"/>
      <c r="SGG11" s="338"/>
      <c r="SGH11" s="338"/>
      <c r="SGI11" s="338"/>
      <c r="SGJ11" s="338"/>
      <c r="SGK11" s="338"/>
      <c r="SGL11" s="338"/>
      <c r="SGM11" s="338"/>
      <c r="SGN11" s="338"/>
      <c r="SGO11" s="338"/>
      <c r="SGP11" s="338"/>
      <c r="SGQ11" s="338"/>
      <c r="SGR11" s="338"/>
      <c r="SGS11" s="338"/>
      <c r="SGT11" s="338"/>
      <c r="SGU11" s="338"/>
      <c r="SGV11" s="338"/>
      <c r="SGW11" s="338"/>
      <c r="SGX11" s="338"/>
      <c r="SGY11" s="338"/>
      <c r="SGZ11" s="338"/>
      <c r="SHA11" s="338"/>
      <c r="SHB11" s="338"/>
      <c r="SHC11" s="338"/>
      <c r="SHD11" s="338"/>
      <c r="SHE11" s="338"/>
      <c r="SHF11" s="338"/>
      <c r="SHG11" s="338"/>
      <c r="SHH11" s="338"/>
      <c r="SHI11" s="338"/>
      <c r="SHJ11" s="338"/>
      <c r="SHK11" s="338"/>
      <c r="SHL11" s="338"/>
      <c r="SHM11" s="338"/>
      <c r="SHN11" s="338"/>
      <c r="SHO11" s="338"/>
      <c r="SHP11" s="338"/>
      <c r="SHQ11" s="338"/>
      <c r="SHR11" s="338"/>
      <c r="SHS11" s="338"/>
      <c r="SHT11" s="338"/>
      <c r="SHU11" s="338"/>
      <c r="SHV11" s="338"/>
      <c r="SHW11" s="338"/>
      <c r="SHX11" s="338"/>
      <c r="SHY11" s="338"/>
      <c r="SHZ11" s="338"/>
      <c r="SIA11" s="338"/>
      <c r="SIB11" s="338"/>
      <c r="SIC11" s="338"/>
      <c r="SID11" s="338"/>
      <c r="SIE11" s="338"/>
      <c r="SIF11" s="338"/>
      <c r="SIG11" s="338"/>
      <c r="SIH11" s="338"/>
      <c r="SII11" s="338"/>
      <c r="SIJ11" s="338"/>
      <c r="SIK11" s="338"/>
      <c r="SIL11" s="338"/>
      <c r="SIM11" s="338"/>
      <c r="SIN11" s="338"/>
      <c r="SIO11" s="338"/>
      <c r="SIP11" s="338"/>
      <c r="SIQ11" s="338"/>
      <c r="SIR11" s="338"/>
      <c r="SIS11" s="338"/>
      <c r="SIT11" s="338"/>
      <c r="SIU11" s="338"/>
      <c r="SIV11" s="338"/>
      <c r="SIW11" s="338"/>
      <c r="SIX11" s="338"/>
      <c r="SIY11" s="338"/>
      <c r="SIZ11" s="338"/>
      <c r="SJA11" s="338"/>
      <c r="SJB11" s="338"/>
      <c r="SJC11" s="338"/>
      <c r="SJD11" s="338"/>
      <c r="SJE11" s="338"/>
      <c r="SJF11" s="338"/>
      <c r="SJG11" s="338"/>
      <c r="SJH11" s="338"/>
      <c r="SJI11" s="338"/>
      <c r="SJJ11" s="338"/>
      <c r="SJK11" s="338"/>
      <c r="SJL11" s="338"/>
      <c r="SJM11" s="338"/>
      <c r="SJN11" s="338"/>
      <c r="SJO11" s="338"/>
      <c r="SJP11" s="338"/>
      <c r="SJQ11" s="338"/>
      <c r="SJR11" s="338"/>
      <c r="SJS11" s="338"/>
      <c r="SJT11" s="338"/>
      <c r="SJU11" s="338"/>
      <c r="SJV11" s="338"/>
      <c r="SJW11" s="338"/>
      <c r="SJX11" s="338"/>
      <c r="SJY11" s="338"/>
      <c r="SJZ11" s="338"/>
      <c r="SKA11" s="338"/>
      <c r="SKB11" s="338"/>
      <c r="SKC11" s="338"/>
      <c r="SKD11" s="338"/>
      <c r="SKE11" s="338"/>
      <c r="SKF11" s="338"/>
      <c r="SKG11" s="338"/>
      <c r="SKH11" s="338"/>
      <c r="SKI11" s="338"/>
      <c r="SKJ11" s="338"/>
      <c r="SKK11" s="338"/>
      <c r="SKL11" s="338"/>
      <c r="SKM11" s="338"/>
      <c r="SKN11" s="338"/>
      <c r="SKO11" s="338"/>
      <c r="SKP11" s="338"/>
      <c r="SKQ11" s="338"/>
      <c r="SKR11" s="338"/>
      <c r="SKS11" s="338"/>
      <c r="SKT11" s="338"/>
      <c r="SKU11" s="338"/>
      <c r="SKV11" s="338"/>
      <c r="SKW11" s="338"/>
      <c r="SKX11" s="338"/>
      <c r="SKY11" s="338"/>
      <c r="SKZ11" s="338"/>
      <c r="SLA11" s="338"/>
      <c r="SLB11" s="338"/>
      <c r="SLC11" s="338"/>
      <c r="SLD11" s="338"/>
      <c r="SLE11" s="338"/>
      <c r="SLF11" s="338"/>
      <c r="SLG11" s="338"/>
      <c r="SLH11" s="338"/>
      <c r="SLI11" s="338"/>
      <c r="SLJ11" s="338"/>
      <c r="SLK11" s="338"/>
      <c r="SLL11" s="338"/>
      <c r="SLM11" s="338"/>
      <c r="SLN11" s="338"/>
      <c r="SLO11" s="338"/>
      <c r="SLP11" s="338"/>
      <c r="SLQ11" s="338"/>
      <c r="SLR11" s="338"/>
      <c r="SLS11" s="338"/>
      <c r="SLT11" s="338"/>
      <c r="SLU11" s="338"/>
      <c r="SLV11" s="338"/>
      <c r="SLW11" s="338"/>
      <c r="SLX11" s="338"/>
      <c r="SLY11" s="338"/>
      <c r="SLZ11" s="338"/>
      <c r="SMA11" s="338"/>
      <c r="SMB11" s="338"/>
      <c r="SMC11" s="338"/>
      <c r="SMD11" s="338"/>
      <c r="SME11" s="338"/>
      <c r="SMF11" s="338"/>
      <c r="SMG11" s="338"/>
      <c r="SMH11" s="338"/>
      <c r="SMI11" s="338"/>
      <c r="SMJ11" s="338"/>
      <c r="SMK11" s="338"/>
      <c r="SML11" s="338"/>
      <c r="SMM11" s="338"/>
      <c r="SMN11" s="338"/>
      <c r="SMO11" s="338"/>
      <c r="SMP11" s="338"/>
      <c r="SMQ11" s="338"/>
      <c r="SMR11" s="338"/>
      <c r="SMS11" s="338"/>
      <c r="SMT11" s="338"/>
      <c r="SMU11" s="338"/>
      <c r="SMV11" s="338"/>
      <c r="SMW11" s="338"/>
      <c r="SMX11" s="338"/>
      <c r="SMY11" s="338"/>
      <c r="SMZ11" s="338"/>
      <c r="SNA11" s="338"/>
      <c r="SNB11" s="338"/>
      <c r="SNC11" s="338"/>
      <c r="SND11" s="338"/>
      <c r="SNE11" s="338"/>
      <c r="SNF11" s="338"/>
      <c r="SNG11" s="338"/>
      <c r="SNH11" s="338"/>
      <c r="SNI11" s="338"/>
      <c r="SNJ11" s="338"/>
      <c r="SNK11" s="338"/>
      <c r="SNL11" s="338"/>
      <c r="SNM11" s="338"/>
      <c r="SNN11" s="338"/>
      <c r="SNO11" s="338"/>
      <c r="SNP11" s="338"/>
      <c r="SNQ11" s="338"/>
      <c r="SNR11" s="338"/>
      <c r="SNS11" s="338"/>
      <c r="SNT11" s="338"/>
      <c r="SNU11" s="338"/>
      <c r="SNV11" s="338"/>
      <c r="SNW11" s="338"/>
      <c r="SNX11" s="338"/>
      <c r="SNY11" s="338"/>
      <c r="SNZ11" s="338"/>
      <c r="SOA11" s="338"/>
      <c r="SOB11" s="338"/>
      <c r="SOC11" s="338"/>
      <c r="SOD11" s="338"/>
      <c r="SOE11" s="338"/>
      <c r="SOF11" s="338"/>
      <c r="SOG11" s="338"/>
      <c r="SOH11" s="338"/>
      <c r="SOI11" s="338"/>
      <c r="SOJ11" s="338"/>
      <c r="SOK11" s="338"/>
      <c r="SOL11" s="338"/>
      <c r="SOM11" s="338"/>
      <c r="SON11" s="338"/>
      <c r="SOO11" s="338"/>
      <c r="SOP11" s="338"/>
      <c r="SOQ11" s="338"/>
      <c r="SOR11" s="338"/>
      <c r="SOS11" s="338"/>
      <c r="SOT11" s="338"/>
      <c r="SOU11" s="338"/>
      <c r="SOV11" s="338"/>
      <c r="SOW11" s="338"/>
      <c r="SOX11" s="338"/>
      <c r="SOY11" s="338"/>
      <c r="SOZ11" s="338"/>
      <c r="SPA11" s="338"/>
      <c r="SPB11" s="338"/>
      <c r="SPC11" s="338"/>
      <c r="SPD11" s="338"/>
      <c r="SPE11" s="338"/>
      <c r="SPF11" s="338"/>
      <c r="SPG11" s="338"/>
      <c r="SPH11" s="338"/>
      <c r="SPI11" s="338"/>
      <c r="SPJ11" s="338"/>
      <c r="SPK11" s="338"/>
      <c r="SPL11" s="338"/>
      <c r="SPM11" s="338"/>
      <c r="SPN11" s="338"/>
      <c r="SPO11" s="338"/>
      <c r="SPP11" s="338"/>
      <c r="SPQ11" s="338"/>
      <c r="SPR11" s="338"/>
      <c r="SPS11" s="338"/>
      <c r="SPT11" s="338"/>
      <c r="SPU11" s="338"/>
      <c r="SPV11" s="338"/>
      <c r="SPW11" s="338"/>
      <c r="SPX11" s="338"/>
      <c r="SPY11" s="338"/>
      <c r="SPZ11" s="338"/>
      <c r="SQA11" s="338"/>
      <c r="SQB11" s="338"/>
      <c r="SQC11" s="338"/>
      <c r="SQD11" s="338"/>
      <c r="SQE11" s="338"/>
      <c r="SQF11" s="338"/>
      <c r="SQG11" s="338"/>
      <c r="SQH11" s="338"/>
      <c r="SQI11" s="338"/>
      <c r="SQJ11" s="338"/>
      <c r="SQK11" s="338"/>
      <c r="SQL11" s="338"/>
      <c r="SQM11" s="338"/>
      <c r="SQN11" s="338"/>
      <c r="SQO11" s="338"/>
      <c r="SQP11" s="338"/>
      <c r="SQQ11" s="338"/>
      <c r="SQR11" s="338"/>
      <c r="SQS11" s="338"/>
      <c r="SQT11" s="338"/>
      <c r="SQU11" s="338"/>
      <c r="SQV11" s="338"/>
      <c r="SQW11" s="338"/>
      <c r="SQX11" s="338"/>
      <c r="SQY11" s="338"/>
      <c r="SQZ11" s="338"/>
      <c r="SRA11" s="338"/>
      <c r="SRB11" s="338"/>
      <c r="SRC11" s="338"/>
      <c r="SRD11" s="338"/>
      <c r="SRE11" s="338"/>
      <c r="SRF11" s="338"/>
      <c r="SRG11" s="338"/>
      <c r="SRH11" s="338"/>
      <c r="SRI11" s="338"/>
      <c r="SRJ11" s="338"/>
      <c r="SRK11" s="338"/>
      <c r="SRL11" s="338"/>
      <c r="SRM11" s="338"/>
      <c r="SRN11" s="338"/>
      <c r="SRO11" s="338"/>
      <c r="SRP11" s="338"/>
      <c r="SRQ11" s="338"/>
      <c r="SRR11" s="338"/>
      <c r="SRS11" s="338"/>
      <c r="SRT11" s="338"/>
      <c r="SRU11" s="338"/>
      <c r="SRV11" s="338"/>
      <c r="SRW11" s="338"/>
      <c r="SRX11" s="338"/>
      <c r="SRY11" s="338"/>
      <c r="SRZ11" s="338"/>
      <c r="SSA11" s="338"/>
      <c r="SSB11" s="338"/>
      <c r="SSC11" s="338"/>
      <c r="SSD11" s="338"/>
      <c r="SSE11" s="338"/>
      <c r="SSF11" s="338"/>
      <c r="SSG11" s="338"/>
      <c r="SSH11" s="338"/>
      <c r="SSI11" s="338"/>
      <c r="SSJ11" s="338"/>
      <c r="SSK11" s="338"/>
      <c r="SSL11" s="338"/>
      <c r="SSM11" s="338"/>
      <c r="SSN11" s="338"/>
      <c r="SSO11" s="338"/>
      <c r="SSP11" s="338"/>
      <c r="SSQ11" s="338"/>
      <c r="SSR11" s="338"/>
      <c r="SSS11" s="338"/>
      <c r="SST11" s="338"/>
      <c r="SSU11" s="338"/>
      <c r="SSV11" s="338"/>
      <c r="SSW11" s="338"/>
      <c r="SSX11" s="338"/>
      <c r="SSY11" s="338"/>
      <c r="SSZ11" s="338"/>
      <c r="STA11" s="338"/>
      <c r="STB11" s="338"/>
      <c r="STC11" s="338"/>
      <c r="STD11" s="338"/>
      <c r="STE11" s="338"/>
      <c r="STF11" s="338"/>
      <c r="STG11" s="338"/>
      <c r="STH11" s="338"/>
      <c r="STI11" s="338"/>
      <c r="STJ11" s="338"/>
      <c r="STK11" s="338"/>
      <c r="STL11" s="338"/>
      <c r="STM11" s="338"/>
      <c r="STN11" s="338"/>
      <c r="STO11" s="338"/>
      <c r="STP11" s="338"/>
      <c r="STQ11" s="338"/>
      <c r="STR11" s="338"/>
      <c r="STS11" s="338"/>
      <c r="STT11" s="338"/>
      <c r="STU11" s="338"/>
      <c r="STV11" s="338"/>
      <c r="STW11" s="338"/>
      <c r="STX11" s="338"/>
      <c r="STY11" s="338"/>
      <c r="STZ11" s="338"/>
      <c r="SUA11" s="338"/>
      <c r="SUB11" s="338"/>
      <c r="SUC11" s="338"/>
      <c r="SUD11" s="338"/>
      <c r="SUE11" s="338"/>
      <c r="SUF11" s="338"/>
      <c r="SUG11" s="338"/>
      <c r="SUH11" s="338"/>
      <c r="SUI11" s="338"/>
      <c r="SUJ11" s="338"/>
      <c r="SUK11" s="338"/>
      <c r="SUL11" s="338"/>
      <c r="SUM11" s="338"/>
      <c r="SUN11" s="338"/>
      <c r="SUO11" s="338"/>
      <c r="SUP11" s="338"/>
      <c r="SUQ11" s="338"/>
      <c r="SUR11" s="338"/>
      <c r="SUS11" s="338"/>
      <c r="SUT11" s="338"/>
      <c r="SUU11" s="338"/>
      <c r="SUV11" s="338"/>
      <c r="SUW11" s="338"/>
      <c r="SUX11" s="338"/>
      <c r="SUY11" s="338"/>
      <c r="SUZ11" s="338"/>
      <c r="SVA11" s="338"/>
      <c r="SVB11" s="338"/>
      <c r="SVC11" s="338"/>
      <c r="SVD11" s="338"/>
      <c r="SVE11" s="338"/>
      <c r="SVF11" s="338"/>
      <c r="SVG11" s="338"/>
      <c r="SVH11" s="338"/>
      <c r="SVI11" s="338"/>
      <c r="SVJ11" s="338"/>
      <c r="SVK11" s="338"/>
      <c r="SVL11" s="338"/>
      <c r="SVM11" s="338"/>
      <c r="SVN11" s="338"/>
      <c r="SVO11" s="338"/>
      <c r="SVP11" s="338"/>
      <c r="SVQ11" s="338"/>
      <c r="SVR11" s="338"/>
      <c r="SVS11" s="338"/>
      <c r="SVT11" s="338"/>
      <c r="SVU11" s="338"/>
      <c r="SVV11" s="338"/>
      <c r="SVW11" s="338"/>
      <c r="SVX11" s="338"/>
      <c r="SVY11" s="338"/>
      <c r="SVZ11" s="338"/>
      <c r="SWA11" s="338"/>
      <c r="SWB11" s="338"/>
      <c r="SWC11" s="338"/>
      <c r="SWD11" s="338"/>
      <c r="SWE11" s="338"/>
      <c r="SWF11" s="338"/>
      <c r="SWG11" s="338"/>
      <c r="SWH11" s="338"/>
      <c r="SWI11" s="338"/>
      <c r="SWJ11" s="338"/>
      <c r="SWK11" s="338"/>
      <c r="SWL11" s="338"/>
      <c r="SWM11" s="338"/>
      <c r="SWN11" s="338"/>
      <c r="SWO11" s="338"/>
      <c r="SWP11" s="338"/>
      <c r="SWQ11" s="338"/>
      <c r="SWR11" s="338"/>
      <c r="SWS11" s="338"/>
      <c r="SWT11" s="338"/>
      <c r="SWU11" s="338"/>
      <c r="SWV11" s="338"/>
      <c r="SWW11" s="338"/>
      <c r="SWX11" s="338"/>
      <c r="SWY11" s="338"/>
      <c r="SWZ11" s="338"/>
      <c r="SXA11" s="338"/>
      <c r="SXB11" s="338"/>
      <c r="SXC11" s="338"/>
      <c r="SXD11" s="338"/>
      <c r="SXE11" s="338"/>
      <c r="SXF11" s="338"/>
      <c r="SXG11" s="338"/>
      <c r="SXH11" s="338"/>
      <c r="SXI11" s="338"/>
      <c r="SXJ11" s="338"/>
      <c r="SXK11" s="338"/>
      <c r="SXL11" s="338"/>
      <c r="SXM11" s="338"/>
      <c r="SXN11" s="338"/>
      <c r="SXO11" s="338"/>
      <c r="SXP11" s="338"/>
      <c r="SXQ11" s="338"/>
      <c r="SXR11" s="338"/>
      <c r="SXS11" s="338"/>
      <c r="SXT11" s="338"/>
      <c r="SXU11" s="338"/>
      <c r="SXV11" s="338"/>
      <c r="SXW11" s="338"/>
      <c r="SXX11" s="338"/>
      <c r="SXY11" s="338"/>
      <c r="SXZ11" s="338"/>
      <c r="SYA11" s="338"/>
      <c r="SYB11" s="338"/>
      <c r="SYC11" s="338"/>
      <c r="SYD11" s="338"/>
      <c r="SYE11" s="338"/>
      <c r="SYF11" s="338"/>
      <c r="SYG11" s="338"/>
      <c r="SYH11" s="338"/>
      <c r="SYI11" s="338"/>
      <c r="SYJ11" s="338"/>
      <c r="SYK11" s="338"/>
      <c r="SYL11" s="338"/>
      <c r="SYM11" s="338"/>
      <c r="SYN11" s="338"/>
      <c r="SYO11" s="338"/>
      <c r="SYP11" s="338"/>
      <c r="SYQ11" s="338"/>
      <c r="SYR11" s="338"/>
      <c r="SYS11" s="338"/>
      <c r="SYT11" s="338"/>
      <c r="SYU11" s="338"/>
      <c r="SYV11" s="338"/>
      <c r="SYW11" s="338"/>
      <c r="SYX11" s="338"/>
      <c r="SYY11" s="338"/>
      <c r="SYZ11" s="338"/>
      <c r="SZA11" s="338"/>
      <c r="SZB11" s="338"/>
      <c r="SZC11" s="338"/>
      <c r="SZD11" s="338"/>
      <c r="SZE11" s="338"/>
      <c r="SZF11" s="338"/>
      <c r="SZG11" s="338"/>
      <c r="SZH11" s="338"/>
      <c r="SZI11" s="338"/>
      <c r="SZJ11" s="338"/>
      <c r="SZK11" s="338"/>
      <c r="SZL11" s="338"/>
      <c r="SZM11" s="338"/>
      <c r="SZN11" s="338"/>
      <c r="SZO11" s="338"/>
      <c r="SZP11" s="338"/>
      <c r="SZQ11" s="338"/>
      <c r="SZR11" s="338"/>
      <c r="SZS11" s="338"/>
      <c r="SZT11" s="338"/>
      <c r="SZU11" s="338"/>
      <c r="SZV11" s="338"/>
      <c r="SZW11" s="338"/>
      <c r="SZX11" s="338"/>
      <c r="SZY11" s="338"/>
      <c r="SZZ11" s="338"/>
      <c r="TAA11" s="338"/>
      <c r="TAB11" s="338"/>
      <c r="TAC11" s="338"/>
      <c r="TAD11" s="338"/>
      <c r="TAE11" s="338"/>
      <c r="TAF11" s="338"/>
      <c r="TAG11" s="338"/>
      <c r="TAH11" s="338"/>
      <c r="TAI11" s="338"/>
      <c r="TAJ11" s="338"/>
      <c r="TAK11" s="338"/>
      <c r="TAL11" s="338"/>
      <c r="TAM11" s="338"/>
      <c r="TAN11" s="338"/>
      <c r="TAO11" s="338"/>
      <c r="TAP11" s="338"/>
      <c r="TAQ11" s="338"/>
      <c r="TAR11" s="338"/>
      <c r="TAS11" s="338"/>
      <c r="TAT11" s="338"/>
      <c r="TAU11" s="338"/>
      <c r="TAV11" s="338"/>
      <c r="TAW11" s="338"/>
      <c r="TAX11" s="338"/>
      <c r="TAY11" s="338"/>
      <c r="TAZ11" s="338"/>
      <c r="TBA11" s="338"/>
      <c r="TBB11" s="338"/>
      <c r="TBC11" s="338"/>
      <c r="TBD11" s="338"/>
      <c r="TBE11" s="338"/>
      <c r="TBF11" s="338"/>
      <c r="TBG11" s="338"/>
      <c r="TBH11" s="338"/>
      <c r="TBI11" s="338"/>
      <c r="TBJ11" s="338"/>
      <c r="TBK11" s="338"/>
      <c r="TBL11" s="338"/>
      <c r="TBM11" s="338"/>
      <c r="TBN11" s="338"/>
      <c r="TBO11" s="338"/>
      <c r="TBP11" s="338"/>
      <c r="TBQ11" s="338"/>
      <c r="TBR11" s="338"/>
      <c r="TBS11" s="338"/>
      <c r="TBT11" s="338"/>
      <c r="TBU11" s="338"/>
      <c r="TBV11" s="338"/>
      <c r="TBW11" s="338"/>
      <c r="TBX11" s="338"/>
      <c r="TBY11" s="338"/>
      <c r="TBZ11" s="338"/>
      <c r="TCA11" s="338"/>
      <c r="TCB11" s="338"/>
      <c r="TCC11" s="338"/>
      <c r="TCD11" s="338"/>
      <c r="TCE11" s="338"/>
      <c r="TCF11" s="338"/>
      <c r="TCG11" s="338"/>
      <c r="TCH11" s="338"/>
      <c r="TCI11" s="338"/>
      <c r="TCJ11" s="338"/>
      <c r="TCK11" s="338"/>
      <c r="TCL11" s="338"/>
      <c r="TCM11" s="338"/>
      <c r="TCN11" s="338"/>
      <c r="TCO11" s="338"/>
      <c r="TCP11" s="338"/>
      <c r="TCQ11" s="338"/>
      <c r="TCR11" s="338"/>
      <c r="TCS11" s="338"/>
      <c r="TCT11" s="338"/>
      <c r="TCU11" s="338"/>
      <c r="TCV11" s="338"/>
      <c r="TCW11" s="338"/>
      <c r="TCX11" s="338"/>
      <c r="TCY11" s="338"/>
      <c r="TCZ11" s="338"/>
      <c r="TDA11" s="338"/>
      <c r="TDB11" s="338"/>
      <c r="TDC11" s="338"/>
      <c r="TDD11" s="338"/>
      <c r="TDE11" s="338"/>
      <c r="TDF11" s="338"/>
      <c r="TDG11" s="338"/>
      <c r="TDH11" s="338"/>
      <c r="TDI11" s="338"/>
      <c r="TDJ11" s="338"/>
      <c r="TDK11" s="338"/>
      <c r="TDL11" s="338"/>
      <c r="TDM11" s="338"/>
      <c r="TDN11" s="338"/>
      <c r="TDO11" s="338"/>
      <c r="TDP11" s="338"/>
      <c r="TDQ11" s="338"/>
      <c r="TDR11" s="338"/>
      <c r="TDS11" s="338"/>
      <c r="TDT11" s="338"/>
      <c r="TDU11" s="338"/>
      <c r="TDV11" s="338"/>
      <c r="TDW11" s="338"/>
      <c r="TDX11" s="338"/>
      <c r="TDY11" s="338"/>
      <c r="TDZ11" s="338"/>
      <c r="TEA11" s="338"/>
      <c r="TEB11" s="338"/>
      <c r="TEC11" s="338"/>
      <c r="TED11" s="338"/>
      <c r="TEE11" s="338"/>
      <c r="TEF11" s="338"/>
      <c r="TEG11" s="338"/>
      <c r="TEH11" s="338"/>
      <c r="TEI11" s="338"/>
      <c r="TEJ11" s="338"/>
      <c r="TEK11" s="338"/>
      <c r="TEL11" s="338"/>
      <c r="TEM11" s="338"/>
      <c r="TEN11" s="338"/>
      <c r="TEO11" s="338"/>
      <c r="TEP11" s="338"/>
      <c r="TEQ11" s="338"/>
      <c r="TER11" s="338"/>
      <c r="TES11" s="338"/>
      <c r="TET11" s="338"/>
      <c r="TEU11" s="338"/>
      <c r="TEV11" s="338"/>
      <c r="TEW11" s="338"/>
      <c r="TEX11" s="338"/>
      <c r="TEY11" s="338"/>
      <c r="TEZ11" s="338"/>
      <c r="TFA11" s="338"/>
      <c r="TFB11" s="338"/>
      <c r="TFC11" s="338"/>
      <c r="TFD11" s="338"/>
      <c r="TFE11" s="338"/>
      <c r="TFF11" s="338"/>
      <c r="TFG11" s="338"/>
      <c r="TFH11" s="338"/>
      <c r="TFI11" s="338"/>
      <c r="TFJ11" s="338"/>
      <c r="TFK11" s="338"/>
      <c r="TFL11" s="338"/>
      <c r="TFM11" s="338"/>
      <c r="TFN11" s="338"/>
      <c r="TFO11" s="338"/>
      <c r="TFP11" s="338"/>
      <c r="TFQ11" s="338"/>
      <c r="TFR11" s="338"/>
      <c r="TFS11" s="338"/>
      <c r="TFT11" s="338"/>
      <c r="TFU11" s="338"/>
      <c r="TFV11" s="338"/>
      <c r="TFW11" s="338"/>
      <c r="TFX11" s="338"/>
      <c r="TFY11" s="338"/>
      <c r="TFZ11" s="338"/>
      <c r="TGA11" s="338"/>
      <c r="TGB11" s="338"/>
      <c r="TGC11" s="338"/>
      <c r="TGD11" s="338"/>
      <c r="TGE11" s="338"/>
      <c r="TGF11" s="338"/>
      <c r="TGG11" s="338"/>
      <c r="TGH11" s="338"/>
      <c r="TGI11" s="338"/>
      <c r="TGJ11" s="338"/>
      <c r="TGK11" s="338"/>
      <c r="TGL11" s="338"/>
      <c r="TGM11" s="338"/>
      <c r="TGN11" s="338"/>
      <c r="TGO11" s="338"/>
      <c r="TGP11" s="338"/>
      <c r="TGQ11" s="338"/>
      <c r="TGR11" s="338"/>
      <c r="TGS11" s="338"/>
      <c r="TGT11" s="338"/>
      <c r="TGU11" s="338"/>
      <c r="TGV11" s="338"/>
      <c r="TGW11" s="338"/>
      <c r="TGX11" s="338"/>
      <c r="TGY11" s="338"/>
      <c r="TGZ11" s="338"/>
      <c r="THA11" s="338"/>
      <c r="THB11" s="338"/>
      <c r="THC11" s="338"/>
      <c r="THD11" s="338"/>
      <c r="THE11" s="338"/>
      <c r="THF11" s="338"/>
      <c r="THG11" s="338"/>
      <c r="THH11" s="338"/>
      <c r="THI11" s="338"/>
      <c r="THJ11" s="338"/>
      <c r="THK11" s="338"/>
      <c r="THL11" s="338"/>
      <c r="THM11" s="338"/>
      <c r="THN11" s="338"/>
      <c r="THO11" s="338"/>
      <c r="THP11" s="338"/>
      <c r="THQ11" s="338"/>
      <c r="THR11" s="338"/>
      <c r="THS11" s="338"/>
      <c r="THT11" s="338"/>
      <c r="THU11" s="338"/>
      <c r="THV11" s="338"/>
      <c r="THW11" s="338"/>
      <c r="THX11" s="338"/>
      <c r="THY11" s="338"/>
      <c r="THZ11" s="338"/>
      <c r="TIA11" s="338"/>
      <c r="TIB11" s="338"/>
      <c r="TIC11" s="338"/>
      <c r="TID11" s="338"/>
      <c r="TIE11" s="338"/>
      <c r="TIF11" s="338"/>
      <c r="TIG11" s="338"/>
      <c r="TIH11" s="338"/>
      <c r="TII11" s="338"/>
      <c r="TIJ11" s="338"/>
      <c r="TIK11" s="338"/>
      <c r="TIL11" s="338"/>
      <c r="TIM11" s="338"/>
      <c r="TIN11" s="338"/>
      <c r="TIO11" s="338"/>
      <c r="TIP11" s="338"/>
      <c r="TIQ11" s="338"/>
      <c r="TIR11" s="338"/>
      <c r="TIS11" s="338"/>
      <c r="TIT11" s="338"/>
      <c r="TIU11" s="338"/>
      <c r="TIV11" s="338"/>
      <c r="TIW11" s="338"/>
      <c r="TIX11" s="338"/>
      <c r="TIY11" s="338"/>
      <c r="TIZ11" s="338"/>
      <c r="TJA11" s="338"/>
      <c r="TJB11" s="338"/>
      <c r="TJC11" s="338"/>
      <c r="TJD11" s="338"/>
      <c r="TJE11" s="338"/>
      <c r="TJF11" s="338"/>
      <c r="TJG11" s="338"/>
      <c r="TJH11" s="338"/>
      <c r="TJI11" s="338"/>
      <c r="TJJ11" s="338"/>
      <c r="TJK11" s="338"/>
      <c r="TJL11" s="338"/>
      <c r="TJM11" s="338"/>
      <c r="TJN11" s="338"/>
      <c r="TJO11" s="338"/>
      <c r="TJP11" s="338"/>
      <c r="TJQ11" s="338"/>
      <c r="TJR11" s="338"/>
      <c r="TJS11" s="338"/>
      <c r="TJT11" s="338"/>
      <c r="TJU11" s="338"/>
      <c r="TJV11" s="338"/>
      <c r="TJW11" s="338"/>
      <c r="TJX11" s="338"/>
      <c r="TJY11" s="338"/>
      <c r="TJZ11" s="338"/>
      <c r="TKA11" s="338"/>
      <c r="TKB11" s="338"/>
      <c r="TKC11" s="338"/>
      <c r="TKD11" s="338"/>
      <c r="TKE11" s="338"/>
      <c r="TKF11" s="338"/>
      <c r="TKG11" s="338"/>
      <c r="TKH11" s="338"/>
      <c r="TKI11" s="338"/>
      <c r="TKJ11" s="338"/>
      <c r="TKK11" s="338"/>
      <c r="TKL11" s="338"/>
      <c r="TKM11" s="338"/>
      <c r="TKN11" s="338"/>
      <c r="TKO11" s="338"/>
      <c r="TKP11" s="338"/>
      <c r="TKQ11" s="338"/>
      <c r="TKR11" s="338"/>
      <c r="TKS11" s="338"/>
      <c r="TKT11" s="338"/>
      <c r="TKU11" s="338"/>
      <c r="TKV11" s="338"/>
      <c r="TKW11" s="338"/>
      <c r="TKX11" s="338"/>
      <c r="TKY11" s="338"/>
      <c r="TKZ11" s="338"/>
      <c r="TLA11" s="338"/>
      <c r="TLB11" s="338"/>
      <c r="TLC11" s="338"/>
      <c r="TLD11" s="338"/>
      <c r="TLE11" s="338"/>
      <c r="TLF11" s="338"/>
      <c r="TLG11" s="338"/>
      <c r="TLH11" s="338"/>
      <c r="TLI11" s="338"/>
      <c r="TLJ11" s="338"/>
      <c r="TLK11" s="338"/>
      <c r="TLL11" s="338"/>
      <c r="TLM11" s="338"/>
      <c r="TLN11" s="338"/>
      <c r="TLO11" s="338"/>
      <c r="TLP11" s="338"/>
      <c r="TLQ11" s="338"/>
      <c r="TLR11" s="338"/>
      <c r="TLS11" s="338"/>
      <c r="TLT11" s="338"/>
      <c r="TLU11" s="338"/>
      <c r="TLV11" s="338"/>
      <c r="TLW11" s="338"/>
      <c r="TLX11" s="338"/>
      <c r="TLY11" s="338"/>
      <c r="TLZ11" s="338"/>
      <c r="TMA11" s="338"/>
      <c r="TMB11" s="338"/>
      <c r="TMC11" s="338"/>
      <c r="TMD11" s="338"/>
      <c r="TME11" s="338"/>
      <c r="TMF11" s="338"/>
      <c r="TMG11" s="338"/>
      <c r="TMH11" s="338"/>
      <c r="TMI11" s="338"/>
      <c r="TMJ11" s="338"/>
      <c r="TMK11" s="338"/>
      <c r="TML11" s="338"/>
      <c r="TMM11" s="338"/>
      <c r="TMN11" s="338"/>
      <c r="TMO11" s="338"/>
      <c r="TMP11" s="338"/>
      <c r="TMQ11" s="338"/>
      <c r="TMR11" s="338"/>
      <c r="TMS11" s="338"/>
      <c r="TMT11" s="338"/>
      <c r="TMU11" s="338"/>
      <c r="TMV11" s="338"/>
      <c r="TMW11" s="338"/>
      <c r="TMX11" s="338"/>
      <c r="TMY11" s="338"/>
      <c r="TMZ11" s="338"/>
      <c r="TNA11" s="338"/>
      <c r="TNB11" s="338"/>
      <c r="TNC11" s="338"/>
      <c r="TND11" s="338"/>
      <c r="TNE11" s="338"/>
      <c r="TNF11" s="338"/>
      <c r="TNG11" s="338"/>
      <c r="TNH11" s="338"/>
      <c r="TNI11" s="338"/>
      <c r="TNJ11" s="338"/>
      <c r="TNK11" s="338"/>
      <c r="TNL11" s="338"/>
      <c r="TNM11" s="338"/>
      <c r="TNN11" s="338"/>
      <c r="TNO11" s="338"/>
      <c r="TNP11" s="338"/>
      <c r="TNQ11" s="338"/>
      <c r="TNR11" s="338"/>
      <c r="TNS11" s="338"/>
      <c r="TNT11" s="338"/>
      <c r="TNU11" s="338"/>
      <c r="TNV11" s="338"/>
      <c r="TNW11" s="338"/>
      <c r="TNX11" s="338"/>
      <c r="TNY11" s="338"/>
      <c r="TNZ11" s="338"/>
      <c r="TOA11" s="338"/>
      <c r="TOB11" s="338"/>
      <c r="TOC11" s="338"/>
      <c r="TOD11" s="338"/>
      <c r="TOE11" s="338"/>
      <c r="TOF11" s="338"/>
      <c r="TOG11" s="338"/>
      <c r="TOH11" s="338"/>
      <c r="TOI11" s="338"/>
      <c r="TOJ11" s="338"/>
      <c r="TOK11" s="338"/>
      <c r="TOL11" s="338"/>
      <c r="TOM11" s="338"/>
      <c r="TON11" s="338"/>
      <c r="TOO11" s="338"/>
      <c r="TOP11" s="338"/>
      <c r="TOQ11" s="338"/>
      <c r="TOR11" s="338"/>
      <c r="TOS11" s="338"/>
      <c r="TOT11" s="338"/>
      <c r="TOU11" s="338"/>
      <c r="TOV11" s="338"/>
      <c r="TOW11" s="338"/>
      <c r="TOX11" s="338"/>
      <c r="TOY11" s="338"/>
      <c r="TOZ11" s="338"/>
      <c r="TPA11" s="338"/>
      <c r="TPB11" s="338"/>
      <c r="TPC11" s="338"/>
      <c r="TPD11" s="338"/>
      <c r="TPE11" s="338"/>
      <c r="TPF11" s="338"/>
      <c r="TPG11" s="338"/>
      <c r="TPH11" s="338"/>
      <c r="TPI11" s="338"/>
      <c r="TPJ11" s="338"/>
      <c r="TPK11" s="338"/>
      <c r="TPL11" s="338"/>
      <c r="TPM11" s="338"/>
      <c r="TPN11" s="338"/>
      <c r="TPO11" s="338"/>
      <c r="TPP11" s="338"/>
      <c r="TPQ11" s="338"/>
      <c r="TPR11" s="338"/>
      <c r="TPS11" s="338"/>
      <c r="TPT11" s="338"/>
      <c r="TPU11" s="338"/>
      <c r="TPV11" s="338"/>
      <c r="TPW11" s="338"/>
      <c r="TPX11" s="338"/>
      <c r="TPY11" s="338"/>
      <c r="TPZ11" s="338"/>
      <c r="TQA11" s="338"/>
      <c r="TQB11" s="338"/>
      <c r="TQC11" s="338"/>
      <c r="TQD11" s="338"/>
      <c r="TQE11" s="338"/>
      <c r="TQF11" s="338"/>
      <c r="TQG11" s="338"/>
      <c r="TQH11" s="338"/>
      <c r="TQI11" s="338"/>
      <c r="TQJ11" s="338"/>
      <c r="TQK11" s="338"/>
      <c r="TQL11" s="338"/>
      <c r="TQM11" s="338"/>
      <c r="TQN11" s="338"/>
      <c r="TQO11" s="338"/>
      <c r="TQP11" s="338"/>
      <c r="TQQ11" s="338"/>
      <c r="TQR11" s="338"/>
      <c r="TQS11" s="338"/>
      <c r="TQT11" s="338"/>
      <c r="TQU11" s="338"/>
      <c r="TQV11" s="338"/>
      <c r="TQW11" s="338"/>
      <c r="TQX11" s="338"/>
      <c r="TQY11" s="338"/>
      <c r="TQZ11" s="338"/>
      <c r="TRA11" s="338"/>
      <c r="TRB11" s="338"/>
      <c r="TRC11" s="338"/>
      <c r="TRD11" s="338"/>
      <c r="TRE11" s="338"/>
      <c r="TRF11" s="338"/>
      <c r="TRG11" s="338"/>
      <c r="TRH11" s="338"/>
      <c r="TRI11" s="338"/>
      <c r="TRJ11" s="338"/>
      <c r="TRK11" s="338"/>
      <c r="TRL11" s="338"/>
      <c r="TRM11" s="338"/>
      <c r="TRN11" s="338"/>
      <c r="TRO11" s="338"/>
      <c r="TRP11" s="338"/>
      <c r="TRQ11" s="338"/>
      <c r="TRR11" s="338"/>
      <c r="TRS11" s="338"/>
      <c r="TRT11" s="338"/>
      <c r="TRU11" s="338"/>
      <c r="TRV11" s="338"/>
      <c r="TRW11" s="338"/>
      <c r="TRX11" s="338"/>
      <c r="TRY11" s="338"/>
      <c r="TRZ11" s="338"/>
      <c r="TSA11" s="338"/>
      <c r="TSB11" s="338"/>
      <c r="TSC11" s="338"/>
      <c r="TSD11" s="338"/>
      <c r="TSE11" s="338"/>
      <c r="TSF11" s="338"/>
      <c r="TSG11" s="338"/>
      <c r="TSH11" s="338"/>
      <c r="TSI11" s="338"/>
      <c r="TSJ11" s="338"/>
      <c r="TSK11" s="338"/>
      <c r="TSL11" s="338"/>
      <c r="TSM11" s="338"/>
      <c r="TSN11" s="338"/>
      <c r="TSO11" s="338"/>
      <c r="TSP11" s="338"/>
      <c r="TSQ11" s="338"/>
      <c r="TSR11" s="338"/>
      <c r="TSS11" s="338"/>
      <c r="TST11" s="338"/>
      <c r="TSU11" s="338"/>
      <c r="TSV11" s="338"/>
      <c r="TSW11" s="338"/>
      <c r="TSX11" s="338"/>
      <c r="TSY11" s="338"/>
      <c r="TSZ11" s="338"/>
      <c r="TTA11" s="338"/>
      <c r="TTB11" s="338"/>
      <c r="TTC11" s="338"/>
      <c r="TTD11" s="338"/>
      <c r="TTE11" s="338"/>
      <c r="TTF11" s="338"/>
      <c r="TTG11" s="338"/>
      <c r="TTH11" s="338"/>
      <c r="TTI11" s="338"/>
      <c r="TTJ11" s="338"/>
      <c r="TTK11" s="338"/>
      <c r="TTL11" s="338"/>
      <c r="TTM11" s="338"/>
      <c r="TTN11" s="338"/>
      <c r="TTO11" s="338"/>
      <c r="TTP11" s="338"/>
      <c r="TTQ11" s="338"/>
      <c r="TTR11" s="338"/>
      <c r="TTS11" s="338"/>
      <c r="TTT11" s="338"/>
      <c r="TTU11" s="338"/>
      <c r="TTV11" s="338"/>
      <c r="TTW11" s="338"/>
      <c r="TTX11" s="338"/>
      <c r="TTY11" s="338"/>
      <c r="TTZ11" s="338"/>
      <c r="TUA11" s="338"/>
      <c r="TUB11" s="338"/>
      <c r="TUC11" s="338"/>
      <c r="TUD11" s="338"/>
      <c r="TUE11" s="338"/>
      <c r="TUF11" s="338"/>
      <c r="TUG11" s="338"/>
      <c r="TUH11" s="338"/>
      <c r="TUI11" s="338"/>
      <c r="TUJ11" s="338"/>
      <c r="TUK11" s="338"/>
      <c r="TUL11" s="338"/>
      <c r="TUM11" s="338"/>
      <c r="TUN11" s="338"/>
      <c r="TUO11" s="338"/>
      <c r="TUP11" s="338"/>
      <c r="TUQ11" s="338"/>
      <c r="TUR11" s="338"/>
      <c r="TUS11" s="338"/>
      <c r="TUT11" s="338"/>
      <c r="TUU11" s="338"/>
      <c r="TUV11" s="338"/>
      <c r="TUW11" s="338"/>
      <c r="TUX11" s="338"/>
      <c r="TUY11" s="338"/>
      <c r="TUZ11" s="338"/>
      <c r="TVA11" s="338"/>
      <c r="TVB11" s="338"/>
      <c r="TVC11" s="338"/>
      <c r="TVD11" s="338"/>
      <c r="TVE11" s="338"/>
      <c r="TVF11" s="338"/>
      <c r="TVG11" s="338"/>
      <c r="TVH11" s="338"/>
      <c r="TVI11" s="338"/>
      <c r="TVJ11" s="338"/>
      <c r="TVK11" s="338"/>
      <c r="TVL11" s="338"/>
      <c r="TVM11" s="338"/>
      <c r="TVN11" s="338"/>
      <c r="TVO11" s="338"/>
      <c r="TVP11" s="338"/>
      <c r="TVQ11" s="338"/>
      <c r="TVR11" s="338"/>
      <c r="TVS11" s="338"/>
      <c r="TVT11" s="338"/>
      <c r="TVU11" s="338"/>
      <c r="TVV11" s="338"/>
      <c r="TVW11" s="338"/>
      <c r="TVX11" s="338"/>
      <c r="TVY11" s="338"/>
      <c r="TVZ11" s="338"/>
      <c r="TWA11" s="338"/>
      <c r="TWB11" s="338"/>
      <c r="TWC11" s="338"/>
      <c r="TWD11" s="338"/>
      <c r="TWE11" s="338"/>
      <c r="TWF11" s="338"/>
      <c r="TWG11" s="338"/>
      <c r="TWH11" s="338"/>
      <c r="TWI11" s="338"/>
      <c r="TWJ11" s="338"/>
      <c r="TWK11" s="338"/>
      <c r="TWL11" s="338"/>
      <c r="TWM11" s="338"/>
      <c r="TWN11" s="338"/>
      <c r="TWO11" s="338"/>
      <c r="TWP11" s="338"/>
      <c r="TWQ11" s="338"/>
      <c r="TWR11" s="338"/>
      <c r="TWS11" s="338"/>
      <c r="TWT11" s="338"/>
      <c r="TWU11" s="338"/>
      <c r="TWV11" s="338"/>
      <c r="TWW11" s="338"/>
      <c r="TWX11" s="338"/>
      <c r="TWY11" s="338"/>
      <c r="TWZ11" s="338"/>
      <c r="TXA11" s="338"/>
      <c r="TXB11" s="338"/>
      <c r="TXC11" s="338"/>
      <c r="TXD11" s="338"/>
      <c r="TXE11" s="338"/>
      <c r="TXF11" s="338"/>
      <c r="TXG11" s="338"/>
      <c r="TXH11" s="338"/>
      <c r="TXI11" s="338"/>
      <c r="TXJ11" s="338"/>
      <c r="TXK11" s="338"/>
      <c r="TXL11" s="338"/>
      <c r="TXM11" s="338"/>
      <c r="TXN11" s="338"/>
      <c r="TXO11" s="338"/>
      <c r="TXP11" s="338"/>
      <c r="TXQ11" s="338"/>
      <c r="TXR11" s="338"/>
      <c r="TXS11" s="338"/>
      <c r="TXT11" s="338"/>
      <c r="TXU11" s="338"/>
      <c r="TXV11" s="338"/>
      <c r="TXW11" s="338"/>
      <c r="TXX11" s="338"/>
      <c r="TXY11" s="338"/>
      <c r="TXZ11" s="338"/>
      <c r="TYA11" s="338"/>
      <c r="TYB11" s="338"/>
      <c r="TYC11" s="338"/>
      <c r="TYD11" s="338"/>
      <c r="TYE11" s="338"/>
      <c r="TYF11" s="338"/>
      <c r="TYG11" s="338"/>
      <c r="TYH11" s="338"/>
      <c r="TYI11" s="338"/>
      <c r="TYJ11" s="338"/>
      <c r="TYK11" s="338"/>
      <c r="TYL11" s="338"/>
      <c r="TYM11" s="338"/>
      <c r="TYN11" s="338"/>
      <c r="TYO11" s="338"/>
      <c r="TYP11" s="338"/>
      <c r="TYQ11" s="338"/>
      <c r="TYR11" s="338"/>
      <c r="TYS11" s="338"/>
      <c r="TYT11" s="338"/>
      <c r="TYU11" s="338"/>
      <c r="TYV11" s="338"/>
      <c r="TYW11" s="338"/>
      <c r="TYX11" s="338"/>
      <c r="TYY11" s="338"/>
      <c r="TYZ11" s="338"/>
      <c r="TZA11" s="338"/>
      <c r="TZB11" s="338"/>
      <c r="TZC11" s="338"/>
      <c r="TZD11" s="338"/>
      <c r="TZE11" s="338"/>
      <c r="TZF11" s="338"/>
      <c r="TZG11" s="338"/>
      <c r="TZH11" s="338"/>
      <c r="TZI11" s="338"/>
      <c r="TZJ11" s="338"/>
      <c r="TZK11" s="338"/>
      <c r="TZL11" s="338"/>
      <c r="TZM11" s="338"/>
      <c r="TZN11" s="338"/>
      <c r="TZO11" s="338"/>
      <c r="TZP11" s="338"/>
      <c r="TZQ11" s="338"/>
      <c r="TZR11" s="338"/>
      <c r="TZS11" s="338"/>
      <c r="TZT11" s="338"/>
      <c r="TZU11" s="338"/>
      <c r="TZV11" s="338"/>
      <c r="TZW11" s="338"/>
      <c r="TZX11" s="338"/>
      <c r="TZY11" s="338"/>
      <c r="TZZ11" s="338"/>
      <c r="UAA11" s="338"/>
      <c r="UAB11" s="338"/>
      <c r="UAC11" s="338"/>
      <c r="UAD11" s="338"/>
      <c r="UAE11" s="338"/>
      <c r="UAF11" s="338"/>
      <c r="UAG11" s="338"/>
      <c r="UAH11" s="338"/>
      <c r="UAI11" s="338"/>
      <c r="UAJ11" s="338"/>
      <c r="UAK11" s="338"/>
      <c r="UAL11" s="338"/>
      <c r="UAM11" s="338"/>
      <c r="UAN11" s="338"/>
      <c r="UAO11" s="338"/>
      <c r="UAP11" s="338"/>
      <c r="UAQ11" s="338"/>
      <c r="UAR11" s="338"/>
      <c r="UAS11" s="338"/>
      <c r="UAT11" s="338"/>
      <c r="UAU11" s="338"/>
      <c r="UAV11" s="338"/>
      <c r="UAW11" s="338"/>
      <c r="UAX11" s="338"/>
      <c r="UAY11" s="338"/>
      <c r="UAZ11" s="338"/>
      <c r="UBA11" s="338"/>
      <c r="UBB11" s="338"/>
      <c r="UBC11" s="338"/>
      <c r="UBD11" s="338"/>
      <c r="UBE11" s="338"/>
      <c r="UBF11" s="338"/>
      <c r="UBG11" s="338"/>
      <c r="UBH11" s="338"/>
      <c r="UBI11" s="338"/>
      <c r="UBJ11" s="338"/>
      <c r="UBK11" s="338"/>
      <c r="UBL11" s="338"/>
      <c r="UBM11" s="338"/>
      <c r="UBN11" s="338"/>
      <c r="UBO11" s="338"/>
      <c r="UBP11" s="338"/>
      <c r="UBQ11" s="338"/>
      <c r="UBR11" s="338"/>
      <c r="UBS11" s="338"/>
      <c r="UBT11" s="338"/>
      <c r="UBU11" s="338"/>
      <c r="UBV11" s="338"/>
      <c r="UBW11" s="338"/>
      <c r="UBX11" s="338"/>
      <c r="UBY11" s="338"/>
      <c r="UBZ11" s="338"/>
      <c r="UCA11" s="338"/>
      <c r="UCB11" s="338"/>
      <c r="UCC11" s="338"/>
      <c r="UCD11" s="338"/>
      <c r="UCE11" s="338"/>
      <c r="UCF11" s="338"/>
      <c r="UCG11" s="338"/>
      <c r="UCH11" s="338"/>
      <c r="UCI11" s="338"/>
      <c r="UCJ11" s="338"/>
      <c r="UCK11" s="338"/>
      <c r="UCL11" s="338"/>
      <c r="UCM11" s="338"/>
      <c r="UCN11" s="338"/>
      <c r="UCO11" s="338"/>
      <c r="UCP11" s="338"/>
      <c r="UCQ11" s="338"/>
      <c r="UCR11" s="338"/>
      <c r="UCS11" s="338"/>
      <c r="UCT11" s="338"/>
      <c r="UCU11" s="338"/>
      <c r="UCV11" s="338"/>
      <c r="UCW11" s="338"/>
      <c r="UCX11" s="338"/>
      <c r="UCY11" s="338"/>
      <c r="UCZ11" s="338"/>
      <c r="UDA11" s="338"/>
      <c r="UDB11" s="338"/>
      <c r="UDC11" s="338"/>
      <c r="UDD11" s="338"/>
      <c r="UDE11" s="338"/>
      <c r="UDF11" s="338"/>
      <c r="UDG11" s="338"/>
      <c r="UDH11" s="338"/>
      <c r="UDI11" s="338"/>
      <c r="UDJ11" s="338"/>
      <c r="UDK11" s="338"/>
      <c r="UDL11" s="338"/>
      <c r="UDM11" s="338"/>
      <c r="UDN11" s="338"/>
      <c r="UDO11" s="338"/>
      <c r="UDP11" s="338"/>
      <c r="UDQ11" s="338"/>
      <c r="UDR11" s="338"/>
      <c r="UDS11" s="338"/>
      <c r="UDT11" s="338"/>
      <c r="UDU11" s="338"/>
      <c r="UDV11" s="338"/>
      <c r="UDW11" s="338"/>
      <c r="UDX11" s="338"/>
      <c r="UDY11" s="338"/>
      <c r="UDZ11" s="338"/>
      <c r="UEA11" s="338"/>
      <c r="UEB11" s="338"/>
      <c r="UEC11" s="338"/>
      <c r="UED11" s="338"/>
      <c r="UEE11" s="338"/>
      <c r="UEF11" s="338"/>
      <c r="UEG11" s="338"/>
      <c r="UEH11" s="338"/>
      <c r="UEI11" s="338"/>
      <c r="UEJ11" s="338"/>
      <c r="UEK11" s="338"/>
      <c r="UEL11" s="338"/>
      <c r="UEM11" s="338"/>
      <c r="UEN11" s="338"/>
      <c r="UEO11" s="338"/>
      <c r="UEP11" s="338"/>
      <c r="UEQ11" s="338"/>
      <c r="UER11" s="338"/>
      <c r="UES11" s="338"/>
      <c r="UET11" s="338"/>
      <c r="UEU11" s="338"/>
      <c r="UEV11" s="338"/>
      <c r="UEW11" s="338"/>
      <c r="UEX11" s="338"/>
      <c r="UEY11" s="338"/>
      <c r="UEZ11" s="338"/>
      <c r="UFA11" s="338"/>
      <c r="UFB11" s="338"/>
      <c r="UFC11" s="338"/>
      <c r="UFD11" s="338"/>
      <c r="UFE11" s="338"/>
      <c r="UFF11" s="338"/>
      <c r="UFG11" s="338"/>
      <c r="UFH11" s="338"/>
      <c r="UFI11" s="338"/>
      <c r="UFJ11" s="338"/>
      <c r="UFK11" s="338"/>
      <c r="UFL11" s="338"/>
      <c r="UFM11" s="338"/>
      <c r="UFN11" s="338"/>
      <c r="UFO11" s="338"/>
      <c r="UFP11" s="338"/>
      <c r="UFQ11" s="338"/>
      <c r="UFR11" s="338"/>
      <c r="UFS11" s="338"/>
      <c r="UFT11" s="338"/>
      <c r="UFU11" s="338"/>
      <c r="UFV11" s="338"/>
      <c r="UFW11" s="338"/>
      <c r="UFX11" s="338"/>
      <c r="UFY11" s="338"/>
      <c r="UFZ11" s="338"/>
      <c r="UGA11" s="338"/>
      <c r="UGB11" s="338"/>
      <c r="UGC11" s="338"/>
      <c r="UGD11" s="338"/>
      <c r="UGE11" s="338"/>
      <c r="UGF11" s="338"/>
      <c r="UGG11" s="338"/>
      <c r="UGH11" s="338"/>
      <c r="UGI11" s="338"/>
      <c r="UGJ11" s="338"/>
      <c r="UGK11" s="338"/>
      <c r="UGL11" s="338"/>
      <c r="UGM11" s="338"/>
      <c r="UGN11" s="338"/>
      <c r="UGO11" s="338"/>
      <c r="UGP11" s="338"/>
      <c r="UGQ11" s="338"/>
      <c r="UGR11" s="338"/>
      <c r="UGS11" s="338"/>
      <c r="UGT11" s="338"/>
      <c r="UGU11" s="338"/>
      <c r="UGV11" s="338"/>
      <c r="UGW11" s="338"/>
      <c r="UGX11" s="338"/>
      <c r="UGY11" s="338"/>
      <c r="UGZ11" s="338"/>
      <c r="UHA11" s="338"/>
      <c r="UHB11" s="338"/>
      <c r="UHC11" s="338"/>
      <c r="UHD11" s="338"/>
      <c r="UHE11" s="338"/>
      <c r="UHF11" s="338"/>
      <c r="UHG11" s="338"/>
      <c r="UHH11" s="338"/>
      <c r="UHI11" s="338"/>
      <c r="UHJ11" s="338"/>
      <c r="UHK11" s="338"/>
      <c r="UHL11" s="338"/>
      <c r="UHM11" s="338"/>
      <c r="UHN11" s="338"/>
      <c r="UHO11" s="338"/>
      <c r="UHP11" s="338"/>
      <c r="UHQ11" s="338"/>
      <c r="UHR11" s="338"/>
      <c r="UHS11" s="338"/>
      <c r="UHT11" s="338"/>
      <c r="UHU11" s="338"/>
      <c r="UHV11" s="338"/>
      <c r="UHW11" s="338"/>
      <c r="UHX11" s="338"/>
      <c r="UHY11" s="338"/>
      <c r="UHZ11" s="338"/>
      <c r="UIA11" s="338"/>
      <c r="UIB11" s="338"/>
      <c r="UIC11" s="338"/>
      <c r="UID11" s="338"/>
      <c r="UIE11" s="338"/>
      <c r="UIF11" s="338"/>
      <c r="UIG11" s="338"/>
      <c r="UIH11" s="338"/>
      <c r="UII11" s="338"/>
      <c r="UIJ11" s="338"/>
      <c r="UIK11" s="338"/>
      <c r="UIL11" s="338"/>
      <c r="UIM11" s="338"/>
      <c r="UIN11" s="338"/>
      <c r="UIO11" s="338"/>
      <c r="UIP11" s="338"/>
      <c r="UIQ11" s="338"/>
      <c r="UIR11" s="338"/>
      <c r="UIS11" s="338"/>
      <c r="UIT11" s="338"/>
      <c r="UIU11" s="338"/>
      <c r="UIV11" s="338"/>
      <c r="UIW11" s="338"/>
      <c r="UIX11" s="338"/>
      <c r="UIY11" s="338"/>
      <c r="UIZ11" s="338"/>
      <c r="UJA11" s="338"/>
      <c r="UJB11" s="338"/>
      <c r="UJC11" s="338"/>
      <c r="UJD11" s="338"/>
      <c r="UJE11" s="338"/>
      <c r="UJF11" s="338"/>
      <c r="UJG11" s="338"/>
      <c r="UJH11" s="338"/>
      <c r="UJI11" s="338"/>
      <c r="UJJ11" s="338"/>
      <c r="UJK11" s="338"/>
      <c r="UJL11" s="338"/>
      <c r="UJM11" s="338"/>
      <c r="UJN11" s="338"/>
      <c r="UJO11" s="338"/>
      <c r="UJP11" s="338"/>
      <c r="UJQ11" s="338"/>
      <c r="UJR11" s="338"/>
      <c r="UJS11" s="338"/>
      <c r="UJT11" s="338"/>
      <c r="UJU11" s="338"/>
      <c r="UJV11" s="338"/>
      <c r="UJW11" s="338"/>
      <c r="UJX11" s="338"/>
      <c r="UJY11" s="338"/>
      <c r="UJZ11" s="338"/>
      <c r="UKA11" s="338"/>
      <c r="UKB11" s="338"/>
      <c r="UKC11" s="338"/>
      <c r="UKD11" s="338"/>
      <c r="UKE11" s="338"/>
      <c r="UKF11" s="338"/>
      <c r="UKG11" s="338"/>
      <c r="UKH11" s="338"/>
      <c r="UKI11" s="338"/>
      <c r="UKJ11" s="338"/>
      <c r="UKK11" s="338"/>
      <c r="UKL11" s="338"/>
      <c r="UKM11" s="338"/>
      <c r="UKN11" s="338"/>
      <c r="UKO11" s="338"/>
      <c r="UKP11" s="338"/>
      <c r="UKQ11" s="338"/>
      <c r="UKR11" s="338"/>
      <c r="UKS11" s="338"/>
      <c r="UKT11" s="338"/>
      <c r="UKU11" s="338"/>
      <c r="UKV11" s="338"/>
      <c r="UKW11" s="338"/>
      <c r="UKX11" s="338"/>
      <c r="UKY11" s="338"/>
      <c r="UKZ11" s="338"/>
      <c r="ULA11" s="338"/>
      <c r="ULB11" s="338"/>
      <c r="ULC11" s="338"/>
      <c r="ULD11" s="338"/>
      <c r="ULE11" s="338"/>
      <c r="ULF11" s="338"/>
      <c r="ULG11" s="338"/>
      <c r="ULH11" s="338"/>
      <c r="ULI11" s="338"/>
      <c r="ULJ11" s="338"/>
      <c r="ULK11" s="338"/>
      <c r="ULL11" s="338"/>
      <c r="ULM11" s="338"/>
      <c r="ULN11" s="338"/>
      <c r="ULO11" s="338"/>
      <c r="ULP11" s="338"/>
      <c r="ULQ11" s="338"/>
      <c r="ULR11" s="338"/>
      <c r="ULS11" s="338"/>
      <c r="ULT11" s="338"/>
      <c r="ULU11" s="338"/>
      <c r="ULV11" s="338"/>
      <c r="ULW11" s="338"/>
      <c r="ULX11" s="338"/>
      <c r="ULY11" s="338"/>
      <c r="ULZ11" s="338"/>
      <c r="UMA11" s="338"/>
      <c r="UMB11" s="338"/>
      <c r="UMC11" s="338"/>
      <c r="UMD11" s="338"/>
      <c r="UME11" s="338"/>
      <c r="UMF11" s="338"/>
      <c r="UMG11" s="338"/>
      <c r="UMH11" s="338"/>
      <c r="UMI11" s="338"/>
      <c r="UMJ11" s="338"/>
      <c r="UMK11" s="338"/>
      <c r="UML11" s="338"/>
      <c r="UMM11" s="338"/>
      <c r="UMN11" s="338"/>
      <c r="UMO11" s="338"/>
      <c r="UMP11" s="338"/>
      <c r="UMQ11" s="338"/>
      <c r="UMR11" s="338"/>
      <c r="UMS11" s="338"/>
      <c r="UMT11" s="338"/>
      <c r="UMU11" s="338"/>
      <c r="UMV11" s="338"/>
      <c r="UMW11" s="338"/>
      <c r="UMX11" s="338"/>
      <c r="UMY11" s="338"/>
      <c r="UMZ11" s="338"/>
      <c r="UNA11" s="338"/>
      <c r="UNB11" s="338"/>
      <c r="UNC11" s="338"/>
      <c r="UND11" s="338"/>
      <c r="UNE11" s="338"/>
      <c r="UNF11" s="338"/>
      <c r="UNG11" s="338"/>
      <c r="UNH11" s="338"/>
      <c r="UNI11" s="338"/>
      <c r="UNJ11" s="338"/>
      <c r="UNK11" s="338"/>
      <c r="UNL11" s="338"/>
      <c r="UNM11" s="338"/>
      <c r="UNN11" s="338"/>
      <c r="UNO11" s="338"/>
      <c r="UNP11" s="338"/>
      <c r="UNQ11" s="338"/>
      <c r="UNR11" s="338"/>
      <c r="UNS11" s="338"/>
      <c r="UNT11" s="338"/>
      <c r="UNU11" s="338"/>
      <c r="UNV11" s="338"/>
      <c r="UNW11" s="338"/>
      <c r="UNX11" s="338"/>
      <c r="UNY11" s="338"/>
      <c r="UNZ11" s="338"/>
      <c r="UOA11" s="338"/>
      <c r="UOB11" s="338"/>
      <c r="UOC11" s="338"/>
      <c r="UOD11" s="338"/>
      <c r="UOE11" s="338"/>
      <c r="UOF11" s="338"/>
      <c r="UOG11" s="338"/>
      <c r="UOH11" s="338"/>
      <c r="UOI11" s="338"/>
      <c r="UOJ11" s="338"/>
      <c r="UOK11" s="338"/>
      <c r="UOL11" s="338"/>
      <c r="UOM11" s="338"/>
      <c r="UON11" s="338"/>
      <c r="UOO11" s="338"/>
      <c r="UOP11" s="338"/>
      <c r="UOQ11" s="338"/>
      <c r="UOR11" s="338"/>
      <c r="UOS11" s="338"/>
      <c r="UOT11" s="338"/>
      <c r="UOU11" s="338"/>
      <c r="UOV11" s="338"/>
      <c r="UOW11" s="338"/>
      <c r="UOX11" s="338"/>
      <c r="UOY11" s="338"/>
      <c r="UOZ11" s="338"/>
      <c r="UPA11" s="338"/>
      <c r="UPB11" s="338"/>
      <c r="UPC11" s="338"/>
      <c r="UPD11" s="338"/>
      <c r="UPE11" s="338"/>
      <c r="UPF11" s="338"/>
      <c r="UPG11" s="338"/>
      <c r="UPH11" s="338"/>
      <c r="UPI11" s="338"/>
      <c r="UPJ11" s="338"/>
      <c r="UPK11" s="338"/>
      <c r="UPL11" s="338"/>
      <c r="UPM11" s="338"/>
      <c r="UPN11" s="338"/>
      <c r="UPO11" s="338"/>
      <c r="UPP11" s="338"/>
      <c r="UPQ11" s="338"/>
      <c r="UPR11" s="338"/>
      <c r="UPS11" s="338"/>
      <c r="UPT11" s="338"/>
      <c r="UPU11" s="338"/>
      <c r="UPV11" s="338"/>
      <c r="UPW11" s="338"/>
      <c r="UPX11" s="338"/>
      <c r="UPY11" s="338"/>
      <c r="UPZ11" s="338"/>
      <c r="UQA11" s="338"/>
      <c r="UQB11" s="338"/>
      <c r="UQC11" s="338"/>
      <c r="UQD11" s="338"/>
      <c r="UQE11" s="338"/>
      <c r="UQF11" s="338"/>
      <c r="UQG11" s="338"/>
      <c r="UQH11" s="338"/>
      <c r="UQI11" s="338"/>
      <c r="UQJ11" s="338"/>
      <c r="UQK11" s="338"/>
      <c r="UQL11" s="338"/>
      <c r="UQM11" s="338"/>
      <c r="UQN11" s="338"/>
      <c r="UQO11" s="338"/>
      <c r="UQP11" s="338"/>
      <c r="UQQ11" s="338"/>
      <c r="UQR11" s="338"/>
      <c r="UQS11" s="338"/>
      <c r="UQT11" s="338"/>
      <c r="UQU11" s="338"/>
      <c r="UQV11" s="338"/>
      <c r="UQW11" s="338"/>
      <c r="UQX11" s="338"/>
      <c r="UQY11" s="338"/>
      <c r="UQZ11" s="338"/>
      <c r="URA11" s="338"/>
      <c r="URB11" s="338"/>
      <c r="URC11" s="338"/>
      <c r="URD11" s="338"/>
      <c r="URE11" s="338"/>
      <c r="URF11" s="338"/>
      <c r="URG11" s="338"/>
      <c r="URH11" s="338"/>
      <c r="URI11" s="338"/>
      <c r="URJ11" s="338"/>
      <c r="URK11" s="338"/>
      <c r="URL11" s="338"/>
      <c r="URM11" s="338"/>
      <c r="URN11" s="338"/>
      <c r="URO11" s="338"/>
      <c r="URP11" s="338"/>
      <c r="URQ11" s="338"/>
      <c r="URR11" s="338"/>
      <c r="URS11" s="338"/>
      <c r="URT11" s="338"/>
      <c r="URU11" s="338"/>
      <c r="URV11" s="338"/>
      <c r="URW11" s="338"/>
      <c r="URX11" s="338"/>
      <c r="URY11" s="338"/>
      <c r="URZ11" s="338"/>
      <c r="USA11" s="338"/>
      <c r="USB11" s="338"/>
      <c r="USC11" s="338"/>
      <c r="USD11" s="338"/>
      <c r="USE11" s="338"/>
      <c r="USF11" s="338"/>
      <c r="USG11" s="338"/>
      <c r="USH11" s="338"/>
      <c r="USI11" s="338"/>
      <c r="USJ11" s="338"/>
      <c r="USK11" s="338"/>
      <c r="USL11" s="338"/>
      <c r="USM11" s="338"/>
      <c r="USN11" s="338"/>
      <c r="USO11" s="338"/>
      <c r="USP11" s="338"/>
      <c r="USQ11" s="338"/>
      <c r="USR11" s="338"/>
      <c r="USS11" s="338"/>
      <c r="UST11" s="338"/>
      <c r="USU11" s="338"/>
      <c r="USV11" s="338"/>
      <c r="USW11" s="338"/>
      <c r="USX11" s="338"/>
      <c r="USY11" s="338"/>
      <c r="USZ11" s="338"/>
      <c r="UTA11" s="338"/>
      <c r="UTB11" s="338"/>
      <c r="UTC11" s="338"/>
      <c r="UTD11" s="338"/>
      <c r="UTE11" s="338"/>
      <c r="UTF11" s="338"/>
      <c r="UTG11" s="338"/>
      <c r="UTH11" s="338"/>
      <c r="UTI11" s="338"/>
      <c r="UTJ11" s="338"/>
      <c r="UTK11" s="338"/>
      <c r="UTL11" s="338"/>
      <c r="UTM11" s="338"/>
      <c r="UTN11" s="338"/>
      <c r="UTO11" s="338"/>
      <c r="UTP11" s="338"/>
      <c r="UTQ11" s="338"/>
      <c r="UTR11" s="338"/>
      <c r="UTS11" s="338"/>
      <c r="UTT11" s="338"/>
      <c r="UTU11" s="338"/>
      <c r="UTV11" s="338"/>
      <c r="UTW11" s="338"/>
      <c r="UTX11" s="338"/>
      <c r="UTY11" s="338"/>
      <c r="UTZ11" s="338"/>
      <c r="UUA11" s="338"/>
      <c r="UUB11" s="338"/>
      <c r="UUC11" s="338"/>
      <c r="UUD11" s="338"/>
      <c r="UUE11" s="338"/>
      <c r="UUF11" s="338"/>
      <c r="UUG11" s="338"/>
      <c r="UUH11" s="338"/>
      <c r="UUI11" s="338"/>
      <c r="UUJ11" s="338"/>
      <c r="UUK11" s="338"/>
      <c r="UUL11" s="338"/>
      <c r="UUM11" s="338"/>
      <c r="UUN11" s="338"/>
      <c r="UUO11" s="338"/>
      <c r="UUP11" s="338"/>
      <c r="UUQ11" s="338"/>
      <c r="UUR11" s="338"/>
      <c r="UUS11" s="338"/>
      <c r="UUT11" s="338"/>
      <c r="UUU11" s="338"/>
      <c r="UUV11" s="338"/>
      <c r="UUW11" s="338"/>
      <c r="UUX11" s="338"/>
      <c r="UUY11" s="338"/>
      <c r="UUZ11" s="338"/>
      <c r="UVA11" s="338"/>
      <c r="UVB11" s="338"/>
      <c r="UVC11" s="338"/>
      <c r="UVD11" s="338"/>
      <c r="UVE11" s="338"/>
      <c r="UVF11" s="338"/>
      <c r="UVG11" s="338"/>
      <c r="UVH11" s="338"/>
      <c r="UVI11" s="338"/>
      <c r="UVJ11" s="338"/>
      <c r="UVK11" s="338"/>
      <c r="UVL11" s="338"/>
      <c r="UVM11" s="338"/>
      <c r="UVN11" s="338"/>
      <c r="UVO11" s="338"/>
      <c r="UVP11" s="338"/>
      <c r="UVQ11" s="338"/>
      <c r="UVR11" s="338"/>
      <c r="UVS11" s="338"/>
      <c r="UVT11" s="338"/>
      <c r="UVU11" s="338"/>
      <c r="UVV11" s="338"/>
      <c r="UVW11" s="338"/>
      <c r="UVX11" s="338"/>
      <c r="UVY11" s="338"/>
      <c r="UVZ11" s="338"/>
      <c r="UWA11" s="338"/>
      <c r="UWB11" s="338"/>
      <c r="UWC11" s="338"/>
      <c r="UWD11" s="338"/>
      <c r="UWE11" s="338"/>
      <c r="UWF11" s="338"/>
      <c r="UWG11" s="338"/>
      <c r="UWH11" s="338"/>
      <c r="UWI11" s="338"/>
      <c r="UWJ11" s="338"/>
      <c r="UWK11" s="338"/>
      <c r="UWL11" s="338"/>
      <c r="UWM11" s="338"/>
      <c r="UWN11" s="338"/>
      <c r="UWO11" s="338"/>
      <c r="UWP11" s="338"/>
      <c r="UWQ11" s="338"/>
      <c r="UWR11" s="338"/>
      <c r="UWS11" s="338"/>
      <c r="UWT11" s="338"/>
      <c r="UWU11" s="338"/>
      <c r="UWV11" s="338"/>
      <c r="UWW11" s="338"/>
      <c r="UWX11" s="338"/>
      <c r="UWY11" s="338"/>
      <c r="UWZ11" s="338"/>
      <c r="UXA11" s="338"/>
      <c r="UXB11" s="338"/>
      <c r="UXC11" s="338"/>
      <c r="UXD11" s="338"/>
      <c r="UXE11" s="338"/>
      <c r="UXF11" s="338"/>
      <c r="UXG11" s="338"/>
      <c r="UXH11" s="338"/>
      <c r="UXI11" s="338"/>
      <c r="UXJ11" s="338"/>
      <c r="UXK11" s="338"/>
      <c r="UXL11" s="338"/>
      <c r="UXM11" s="338"/>
      <c r="UXN11" s="338"/>
      <c r="UXO11" s="338"/>
      <c r="UXP11" s="338"/>
      <c r="UXQ11" s="338"/>
      <c r="UXR11" s="338"/>
      <c r="UXS11" s="338"/>
      <c r="UXT11" s="338"/>
      <c r="UXU11" s="338"/>
      <c r="UXV11" s="338"/>
      <c r="UXW11" s="338"/>
      <c r="UXX11" s="338"/>
      <c r="UXY11" s="338"/>
      <c r="UXZ11" s="338"/>
      <c r="UYA11" s="338"/>
      <c r="UYB11" s="338"/>
      <c r="UYC11" s="338"/>
      <c r="UYD11" s="338"/>
      <c r="UYE11" s="338"/>
      <c r="UYF11" s="338"/>
      <c r="UYG11" s="338"/>
      <c r="UYH11" s="338"/>
      <c r="UYI11" s="338"/>
      <c r="UYJ11" s="338"/>
      <c r="UYK11" s="338"/>
      <c r="UYL11" s="338"/>
      <c r="UYM11" s="338"/>
      <c r="UYN11" s="338"/>
      <c r="UYO11" s="338"/>
      <c r="UYP11" s="338"/>
      <c r="UYQ11" s="338"/>
      <c r="UYR11" s="338"/>
      <c r="UYS11" s="338"/>
      <c r="UYT11" s="338"/>
      <c r="UYU11" s="338"/>
      <c r="UYV11" s="338"/>
      <c r="UYW11" s="338"/>
      <c r="UYX11" s="338"/>
      <c r="UYY11" s="338"/>
      <c r="UYZ11" s="338"/>
      <c r="UZA11" s="338"/>
      <c r="UZB11" s="338"/>
      <c r="UZC11" s="338"/>
      <c r="UZD11" s="338"/>
      <c r="UZE11" s="338"/>
      <c r="UZF11" s="338"/>
      <c r="UZG11" s="338"/>
      <c r="UZH11" s="338"/>
      <c r="UZI11" s="338"/>
      <c r="UZJ11" s="338"/>
      <c r="UZK11" s="338"/>
      <c r="UZL11" s="338"/>
      <c r="UZM11" s="338"/>
      <c r="UZN11" s="338"/>
      <c r="UZO11" s="338"/>
      <c r="UZP11" s="338"/>
      <c r="UZQ11" s="338"/>
      <c r="UZR11" s="338"/>
      <c r="UZS11" s="338"/>
      <c r="UZT11" s="338"/>
      <c r="UZU11" s="338"/>
      <c r="UZV11" s="338"/>
      <c r="UZW11" s="338"/>
      <c r="UZX11" s="338"/>
      <c r="UZY11" s="338"/>
      <c r="UZZ11" s="338"/>
      <c r="VAA11" s="338"/>
      <c r="VAB11" s="338"/>
      <c r="VAC11" s="338"/>
      <c r="VAD11" s="338"/>
      <c r="VAE11" s="338"/>
      <c r="VAF11" s="338"/>
      <c r="VAG11" s="338"/>
      <c r="VAH11" s="338"/>
      <c r="VAI11" s="338"/>
      <c r="VAJ11" s="338"/>
      <c r="VAK11" s="338"/>
      <c r="VAL11" s="338"/>
      <c r="VAM11" s="338"/>
      <c r="VAN11" s="338"/>
      <c r="VAO11" s="338"/>
      <c r="VAP11" s="338"/>
      <c r="VAQ11" s="338"/>
      <c r="VAR11" s="338"/>
      <c r="VAS11" s="338"/>
      <c r="VAT11" s="338"/>
      <c r="VAU11" s="338"/>
      <c r="VAV11" s="338"/>
      <c r="VAW11" s="338"/>
      <c r="VAX11" s="338"/>
      <c r="VAY11" s="338"/>
      <c r="VAZ11" s="338"/>
      <c r="VBA11" s="338"/>
      <c r="VBB11" s="338"/>
      <c r="VBC11" s="338"/>
      <c r="VBD11" s="338"/>
      <c r="VBE11" s="338"/>
      <c r="VBF11" s="338"/>
      <c r="VBG11" s="338"/>
      <c r="VBH11" s="338"/>
      <c r="VBI11" s="338"/>
      <c r="VBJ11" s="338"/>
      <c r="VBK11" s="338"/>
      <c r="VBL11" s="338"/>
      <c r="VBM11" s="338"/>
      <c r="VBN11" s="338"/>
      <c r="VBO11" s="338"/>
      <c r="VBP11" s="338"/>
      <c r="VBQ11" s="338"/>
      <c r="VBR11" s="338"/>
      <c r="VBS11" s="338"/>
      <c r="VBT11" s="338"/>
      <c r="VBU11" s="338"/>
      <c r="VBV11" s="338"/>
      <c r="VBW11" s="338"/>
      <c r="VBX11" s="338"/>
      <c r="VBY11" s="338"/>
      <c r="VBZ11" s="338"/>
      <c r="VCA11" s="338"/>
      <c r="VCB11" s="338"/>
      <c r="VCC11" s="338"/>
      <c r="VCD11" s="338"/>
      <c r="VCE11" s="338"/>
      <c r="VCF11" s="338"/>
      <c r="VCG11" s="338"/>
      <c r="VCH11" s="338"/>
      <c r="VCI11" s="338"/>
      <c r="VCJ11" s="338"/>
      <c r="VCK11" s="338"/>
      <c r="VCL11" s="338"/>
      <c r="VCM11" s="338"/>
      <c r="VCN11" s="338"/>
      <c r="VCO11" s="338"/>
      <c r="VCP11" s="338"/>
      <c r="VCQ11" s="338"/>
      <c r="VCR11" s="338"/>
      <c r="VCS11" s="338"/>
      <c r="VCT11" s="338"/>
      <c r="VCU11" s="338"/>
      <c r="VCV11" s="338"/>
      <c r="VCW11" s="338"/>
      <c r="VCX11" s="338"/>
      <c r="VCY11" s="338"/>
      <c r="VCZ11" s="338"/>
      <c r="VDA11" s="338"/>
      <c r="VDB11" s="338"/>
      <c r="VDC11" s="338"/>
      <c r="VDD11" s="338"/>
      <c r="VDE11" s="338"/>
      <c r="VDF11" s="338"/>
      <c r="VDG11" s="338"/>
      <c r="VDH11" s="338"/>
      <c r="VDI11" s="338"/>
      <c r="VDJ11" s="338"/>
      <c r="VDK11" s="338"/>
      <c r="VDL11" s="338"/>
      <c r="VDM11" s="338"/>
      <c r="VDN11" s="338"/>
      <c r="VDO11" s="338"/>
      <c r="VDP11" s="338"/>
      <c r="VDQ11" s="338"/>
      <c r="VDR11" s="338"/>
      <c r="VDS11" s="338"/>
      <c r="VDT11" s="338"/>
      <c r="VDU11" s="338"/>
      <c r="VDV11" s="338"/>
      <c r="VDW11" s="338"/>
      <c r="VDX11" s="338"/>
      <c r="VDY11" s="338"/>
      <c r="VDZ11" s="338"/>
      <c r="VEA11" s="338"/>
      <c r="VEB11" s="338"/>
      <c r="VEC11" s="338"/>
      <c r="VED11" s="338"/>
      <c r="VEE11" s="338"/>
      <c r="VEF11" s="338"/>
      <c r="VEG11" s="338"/>
      <c r="VEH11" s="338"/>
      <c r="VEI11" s="338"/>
      <c r="VEJ11" s="338"/>
      <c r="VEK11" s="338"/>
      <c r="VEL11" s="338"/>
      <c r="VEM11" s="338"/>
      <c r="VEN11" s="338"/>
      <c r="VEO11" s="338"/>
      <c r="VEP11" s="338"/>
      <c r="VEQ11" s="338"/>
      <c r="VER11" s="338"/>
      <c r="VES11" s="338"/>
      <c r="VET11" s="338"/>
      <c r="VEU11" s="338"/>
      <c r="VEV11" s="338"/>
      <c r="VEW11" s="338"/>
      <c r="VEX11" s="338"/>
      <c r="VEY11" s="338"/>
      <c r="VEZ11" s="338"/>
      <c r="VFA11" s="338"/>
      <c r="VFB11" s="338"/>
      <c r="VFC11" s="338"/>
      <c r="VFD11" s="338"/>
      <c r="VFE11" s="338"/>
      <c r="VFF11" s="338"/>
      <c r="VFG11" s="338"/>
      <c r="VFH11" s="338"/>
      <c r="VFI11" s="338"/>
      <c r="VFJ11" s="338"/>
      <c r="VFK11" s="338"/>
      <c r="VFL11" s="338"/>
      <c r="VFM11" s="338"/>
      <c r="VFN11" s="338"/>
      <c r="VFO11" s="338"/>
      <c r="VFP11" s="338"/>
      <c r="VFQ11" s="338"/>
      <c r="VFR11" s="338"/>
      <c r="VFS11" s="338"/>
      <c r="VFT11" s="338"/>
      <c r="VFU11" s="338"/>
      <c r="VFV11" s="338"/>
      <c r="VFW11" s="338"/>
      <c r="VFX11" s="338"/>
      <c r="VFY11" s="338"/>
      <c r="VFZ11" s="338"/>
      <c r="VGA11" s="338"/>
      <c r="VGB11" s="338"/>
      <c r="VGC11" s="338"/>
      <c r="VGD11" s="338"/>
      <c r="VGE11" s="338"/>
      <c r="VGF11" s="338"/>
      <c r="VGG11" s="338"/>
      <c r="VGH11" s="338"/>
      <c r="VGI11" s="338"/>
      <c r="VGJ11" s="338"/>
      <c r="VGK11" s="338"/>
      <c r="VGL11" s="338"/>
      <c r="VGM11" s="338"/>
      <c r="VGN11" s="338"/>
      <c r="VGO11" s="338"/>
      <c r="VGP11" s="338"/>
      <c r="VGQ11" s="338"/>
      <c r="VGR11" s="338"/>
      <c r="VGS11" s="338"/>
      <c r="VGT11" s="338"/>
      <c r="VGU11" s="338"/>
      <c r="VGV11" s="338"/>
      <c r="VGW11" s="338"/>
      <c r="VGX11" s="338"/>
      <c r="VGY11" s="338"/>
      <c r="VGZ11" s="338"/>
      <c r="VHA11" s="338"/>
      <c r="VHB11" s="338"/>
      <c r="VHC11" s="338"/>
      <c r="VHD11" s="338"/>
      <c r="VHE11" s="338"/>
      <c r="VHF11" s="338"/>
      <c r="VHG11" s="338"/>
      <c r="VHH11" s="338"/>
      <c r="VHI11" s="338"/>
      <c r="VHJ11" s="338"/>
      <c r="VHK11" s="338"/>
      <c r="VHL11" s="338"/>
      <c r="VHM11" s="338"/>
      <c r="VHN11" s="338"/>
      <c r="VHO11" s="338"/>
      <c r="VHP11" s="338"/>
      <c r="VHQ11" s="338"/>
      <c r="VHR11" s="338"/>
      <c r="VHS11" s="338"/>
      <c r="VHT11" s="338"/>
      <c r="VHU11" s="338"/>
      <c r="VHV11" s="338"/>
      <c r="VHW11" s="338"/>
      <c r="VHX11" s="338"/>
      <c r="VHY11" s="338"/>
      <c r="VHZ11" s="338"/>
      <c r="VIA11" s="338"/>
      <c r="VIB11" s="338"/>
      <c r="VIC11" s="338"/>
      <c r="VID11" s="338"/>
      <c r="VIE11" s="338"/>
      <c r="VIF11" s="338"/>
      <c r="VIG11" s="338"/>
      <c r="VIH11" s="338"/>
      <c r="VII11" s="338"/>
      <c r="VIJ11" s="338"/>
      <c r="VIK11" s="338"/>
      <c r="VIL11" s="338"/>
      <c r="VIM11" s="338"/>
      <c r="VIN11" s="338"/>
      <c r="VIO11" s="338"/>
      <c r="VIP11" s="338"/>
      <c r="VIQ11" s="338"/>
      <c r="VIR11" s="338"/>
      <c r="VIS11" s="338"/>
      <c r="VIT11" s="338"/>
      <c r="VIU11" s="338"/>
      <c r="VIV11" s="338"/>
      <c r="VIW11" s="338"/>
      <c r="VIX11" s="338"/>
      <c r="VIY11" s="338"/>
      <c r="VIZ11" s="338"/>
      <c r="VJA11" s="338"/>
      <c r="VJB11" s="338"/>
      <c r="VJC11" s="338"/>
      <c r="VJD11" s="338"/>
      <c r="VJE11" s="338"/>
      <c r="VJF11" s="338"/>
      <c r="VJG11" s="338"/>
      <c r="VJH11" s="338"/>
      <c r="VJI11" s="338"/>
      <c r="VJJ11" s="338"/>
      <c r="VJK11" s="338"/>
      <c r="VJL11" s="338"/>
      <c r="VJM11" s="338"/>
      <c r="VJN11" s="338"/>
      <c r="VJO11" s="338"/>
      <c r="VJP11" s="338"/>
      <c r="VJQ11" s="338"/>
      <c r="VJR11" s="338"/>
      <c r="VJS11" s="338"/>
      <c r="VJT11" s="338"/>
      <c r="VJU11" s="338"/>
      <c r="VJV11" s="338"/>
      <c r="VJW11" s="338"/>
      <c r="VJX11" s="338"/>
      <c r="VJY11" s="338"/>
      <c r="VJZ11" s="338"/>
      <c r="VKA11" s="338"/>
      <c r="VKB11" s="338"/>
      <c r="VKC11" s="338"/>
      <c r="VKD11" s="338"/>
      <c r="VKE11" s="338"/>
      <c r="VKF11" s="338"/>
      <c r="VKG11" s="338"/>
      <c r="VKH11" s="338"/>
      <c r="VKI11" s="338"/>
      <c r="VKJ11" s="338"/>
      <c r="VKK11" s="338"/>
      <c r="VKL11" s="338"/>
      <c r="VKM11" s="338"/>
      <c r="VKN11" s="338"/>
      <c r="VKO11" s="338"/>
      <c r="VKP11" s="338"/>
      <c r="VKQ11" s="338"/>
      <c r="VKR11" s="338"/>
      <c r="VKS11" s="338"/>
      <c r="VKT11" s="338"/>
      <c r="VKU11" s="338"/>
      <c r="VKV11" s="338"/>
      <c r="VKW11" s="338"/>
      <c r="VKX11" s="338"/>
      <c r="VKY11" s="338"/>
      <c r="VKZ11" s="338"/>
      <c r="VLA11" s="338"/>
      <c r="VLB11" s="338"/>
      <c r="VLC11" s="338"/>
      <c r="VLD11" s="338"/>
      <c r="VLE11" s="338"/>
      <c r="VLF11" s="338"/>
      <c r="VLG11" s="338"/>
      <c r="VLH11" s="338"/>
      <c r="VLI11" s="338"/>
      <c r="VLJ11" s="338"/>
      <c r="VLK11" s="338"/>
      <c r="VLL11" s="338"/>
      <c r="VLM11" s="338"/>
      <c r="VLN11" s="338"/>
      <c r="VLO11" s="338"/>
      <c r="VLP11" s="338"/>
      <c r="VLQ11" s="338"/>
      <c r="VLR11" s="338"/>
      <c r="VLS11" s="338"/>
      <c r="VLT11" s="338"/>
      <c r="VLU11" s="338"/>
      <c r="VLV11" s="338"/>
      <c r="VLW11" s="338"/>
      <c r="VLX11" s="338"/>
      <c r="VLY11" s="338"/>
      <c r="VLZ11" s="338"/>
      <c r="VMA11" s="338"/>
      <c r="VMB11" s="338"/>
      <c r="VMC11" s="338"/>
      <c r="VMD11" s="338"/>
      <c r="VME11" s="338"/>
      <c r="VMF11" s="338"/>
      <c r="VMG11" s="338"/>
      <c r="VMH11" s="338"/>
      <c r="VMI11" s="338"/>
      <c r="VMJ11" s="338"/>
      <c r="VMK11" s="338"/>
      <c r="VML11" s="338"/>
      <c r="VMM11" s="338"/>
      <c r="VMN11" s="338"/>
      <c r="VMO11" s="338"/>
      <c r="VMP11" s="338"/>
      <c r="VMQ11" s="338"/>
      <c r="VMR11" s="338"/>
      <c r="VMS11" s="338"/>
      <c r="VMT11" s="338"/>
      <c r="VMU11" s="338"/>
      <c r="VMV11" s="338"/>
      <c r="VMW11" s="338"/>
      <c r="VMX11" s="338"/>
      <c r="VMY11" s="338"/>
      <c r="VMZ11" s="338"/>
      <c r="VNA11" s="338"/>
      <c r="VNB11" s="338"/>
      <c r="VNC11" s="338"/>
      <c r="VND11" s="338"/>
      <c r="VNE11" s="338"/>
      <c r="VNF11" s="338"/>
      <c r="VNG11" s="338"/>
      <c r="VNH11" s="338"/>
      <c r="VNI11" s="338"/>
      <c r="VNJ11" s="338"/>
      <c r="VNK11" s="338"/>
      <c r="VNL11" s="338"/>
      <c r="VNM11" s="338"/>
      <c r="VNN11" s="338"/>
      <c r="VNO11" s="338"/>
      <c r="VNP11" s="338"/>
      <c r="VNQ11" s="338"/>
      <c r="VNR11" s="338"/>
      <c r="VNS11" s="338"/>
      <c r="VNT11" s="338"/>
      <c r="VNU11" s="338"/>
      <c r="VNV11" s="338"/>
      <c r="VNW11" s="338"/>
      <c r="VNX11" s="338"/>
      <c r="VNY11" s="338"/>
      <c r="VNZ11" s="338"/>
      <c r="VOA11" s="338"/>
      <c r="VOB11" s="338"/>
      <c r="VOC11" s="338"/>
      <c r="VOD11" s="338"/>
      <c r="VOE11" s="338"/>
      <c r="VOF11" s="338"/>
      <c r="VOG11" s="338"/>
      <c r="VOH11" s="338"/>
      <c r="VOI11" s="338"/>
      <c r="VOJ11" s="338"/>
      <c r="VOK11" s="338"/>
      <c r="VOL11" s="338"/>
      <c r="VOM11" s="338"/>
      <c r="VON11" s="338"/>
      <c r="VOO11" s="338"/>
      <c r="VOP11" s="338"/>
      <c r="VOQ11" s="338"/>
      <c r="VOR11" s="338"/>
      <c r="VOS11" s="338"/>
      <c r="VOT11" s="338"/>
      <c r="VOU11" s="338"/>
      <c r="VOV11" s="338"/>
      <c r="VOW11" s="338"/>
      <c r="VOX11" s="338"/>
      <c r="VOY11" s="338"/>
      <c r="VOZ11" s="338"/>
      <c r="VPA11" s="338"/>
      <c r="VPB11" s="338"/>
      <c r="VPC11" s="338"/>
      <c r="VPD11" s="338"/>
      <c r="VPE11" s="338"/>
      <c r="VPF11" s="338"/>
      <c r="VPG11" s="338"/>
      <c r="VPH11" s="338"/>
      <c r="VPI11" s="338"/>
      <c r="VPJ11" s="338"/>
      <c r="VPK11" s="338"/>
      <c r="VPL11" s="338"/>
      <c r="VPM11" s="338"/>
      <c r="VPN11" s="338"/>
      <c r="VPO11" s="338"/>
      <c r="VPP11" s="338"/>
      <c r="VPQ11" s="338"/>
      <c r="VPR11" s="338"/>
      <c r="VPS11" s="338"/>
      <c r="VPT11" s="338"/>
      <c r="VPU11" s="338"/>
      <c r="VPV11" s="338"/>
      <c r="VPW11" s="338"/>
      <c r="VPX11" s="338"/>
      <c r="VPY11" s="338"/>
      <c r="VPZ11" s="338"/>
      <c r="VQA11" s="338"/>
      <c r="VQB11" s="338"/>
      <c r="VQC11" s="338"/>
      <c r="VQD11" s="338"/>
      <c r="VQE11" s="338"/>
      <c r="VQF11" s="338"/>
      <c r="VQG11" s="338"/>
      <c r="VQH11" s="338"/>
      <c r="VQI11" s="338"/>
      <c r="VQJ11" s="338"/>
      <c r="VQK11" s="338"/>
      <c r="VQL11" s="338"/>
      <c r="VQM11" s="338"/>
      <c r="VQN11" s="338"/>
      <c r="VQO11" s="338"/>
      <c r="VQP11" s="338"/>
      <c r="VQQ11" s="338"/>
      <c r="VQR11" s="338"/>
      <c r="VQS11" s="338"/>
      <c r="VQT11" s="338"/>
      <c r="VQU11" s="338"/>
      <c r="VQV11" s="338"/>
      <c r="VQW11" s="338"/>
      <c r="VQX11" s="338"/>
      <c r="VQY11" s="338"/>
      <c r="VQZ11" s="338"/>
      <c r="VRA11" s="338"/>
      <c r="VRB11" s="338"/>
      <c r="VRC11" s="338"/>
      <c r="VRD11" s="338"/>
      <c r="VRE11" s="338"/>
      <c r="VRF11" s="338"/>
      <c r="VRG11" s="338"/>
      <c r="VRH11" s="338"/>
      <c r="VRI11" s="338"/>
      <c r="VRJ11" s="338"/>
      <c r="VRK11" s="338"/>
      <c r="VRL11" s="338"/>
      <c r="VRM11" s="338"/>
      <c r="VRN11" s="338"/>
      <c r="VRO11" s="338"/>
      <c r="VRP11" s="338"/>
      <c r="VRQ11" s="338"/>
      <c r="VRR11" s="338"/>
      <c r="VRS11" s="338"/>
      <c r="VRT11" s="338"/>
      <c r="VRU11" s="338"/>
      <c r="VRV11" s="338"/>
      <c r="VRW11" s="338"/>
      <c r="VRX11" s="338"/>
      <c r="VRY11" s="338"/>
      <c r="VRZ11" s="338"/>
      <c r="VSA11" s="338"/>
      <c r="VSB11" s="338"/>
      <c r="VSC11" s="338"/>
      <c r="VSD11" s="338"/>
      <c r="VSE11" s="338"/>
      <c r="VSF11" s="338"/>
      <c r="VSG11" s="338"/>
      <c r="VSH11" s="338"/>
      <c r="VSI11" s="338"/>
      <c r="VSJ11" s="338"/>
      <c r="VSK11" s="338"/>
      <c r="VSL11" s="338"/>
      <c r="VSM11" s="338"/>
      <c r="VSN11" s="338"/>
      <c r="VSO11" s="338"/>
      <c r="VSP11" s="338"/>
      <c r="VSQ11" s="338"/>
      <c r="VSR11" s="338"/>
      <c r="VSS11" s="338"/>
      <c r="VST11" s="338"/>
      <c r="VSU11" s="338"/>
      <c r="VSV11" s="338"/>
      <c r="VSW11" s="338"/>
      <c r="VSX11" s="338"/>
      <c r="VSY11" s="338"/>
      <c r="VSZ11" s="338"/>
      <c r="VTA11" s="338"/>
      <c r="VTB11" s="338"/>
      <c r="VTC11" s="338"/>
      <c r="VTD11" s="338"/>
      <c r="VTE11" s="338"/>
      <c r="VTF11" s="338"/>
      <c r="VTG11" s="338"/>
      <c r="VTH11" s="338"/>
      <c r="VTI11" s="338"/>
      <c r="VTJ11" s="338"/>
      <c r="VTK11" s="338"/>
      <c r="VTL11" s="338"/>
      <c r="VTM11" s="338"/>
      <c r="VTN11" s="338"/>
      <c r="VTO11" s="338"/>
      <c r="VTP11" s="338"/>
      <c r="VTQ11" s="338"/>
      <c r="VTR11" s="338"/>
      <c r="VTS11" s="338"/>
      <c r="VTT11" s="338"/>
      <c r="VTU11" s="338"/>
      <c r="VTV11" s="338"/>
      <c r="VTW11" s="338"/>
      <c r="VTX11" s="338"/>
      <c r="VTY11" s="338"/>
      <c r="VTZ11" s="338"/>
      <c r="VUA11" s="338"/>
      <c r="VUB11" s="338"/>
      <c r="VUC11" s="338"/>
      <c r="VUD11" s="338"/>
      <c r="VUE11" s="338"/>
      <c r="VUF11" s="338"/>
      <c r="VUG11" s="338"/>
      <c r="VUH11" s="338"/>
      <c r="VUI11" s="338"/>
      <c r="VUJ11" s="338"/>
      <c r="VUK11" s="338"/>
      <c r="VUL11" s="338"/>
      <c r="VUM11" s="338"/>
      <c r="VUN11" s="338"/>
      <c r="VUO11" s="338"/>
      <c r="VUP11" s="338"/>
      <c r="VUQ11" s="338"/>
      <c r="VUR11" s="338"/>
      <c r="VUS11" s="338"/>
      <c r="VUT11" s="338"/>
      <c r="VUU11" s="338"/>
      <c r="VUV11" s="338"/>
      <c r="VUW11" s="338"/>
      <c r="VUX11" s="338"/>
      <c r="VUY11" s="338"/>
      <c r="VUZ11" s="338"/>
      <c r="VVA11" s="338"/>
      <c r="VVB11" s="338"/>
      <c r="VVC11" s="338"/>
      <c r="VVD11" s="338"/>
      <c r="VVE11" s="338"/>
      <c r="VVF11" s="338"/>
      <c r="VVG11" s="338"/>
      <c r="VVH11" s="338"/>
      <c r="VVI11" s="338"/>
      <c r="VVJ11" s="338"/>
      <c r="VVK11" s="338"/>
      <c r="VVL11" s="338"/>
      <c r="VVM11" s="338"/>
      <c r="VVN11" s="338"/>
      <c r="VVO11" s="338"/>
      <c r="VVP11" s="338"/>
      <c r="VVQ11" s="338"/>
      <c r="VVR11" s="338"/>
      <c r="VVS11" s="338"/>
      <c r="VVT11" s="338"/>
      <c r="VVU11" s="338"/>
      <c r="VVV11" s="338"/>
      <c r="VVW11" s="338"/>
      <c r="VVX11" s="338"/>
      <c r="VVY11" s="338"/>
      <c r="VVZ11" s="338"/>
      <c r="VWA11" s="338"/>
      <c r="VWB11" s="338"/>
      <c r="VWC11" s="338"/>
      <c r="VWD11" s="338"/>
      <c r="VWE11" s="338"/>
      <c r="VWF11" s="338"/>
      <c r="VWG11" s="338"/>
      <c r="VWH11" s="338"/>
      <c r="VWI11" s="338"/>
      <c r="VWJ11" s="338"/>
      <c r="VWK11" s="338"/>
      <c r="VWL11" s="338"/>
      <c r="VWM11" s="338"/>
      <c r="VWN11" s="338"/>
      <c r="VWO11" s="338"/>
      <c r="VWP11" s="338"/>
      <c r="VWQ11" s="338"/>
      <c r="VWR11" s="338"/>
      <c r="VWS11" s="338"/>
      <c r="VWT11" s="338"/>
      <c r="VWU11" s="338"/>
      <c r="VWV11" s="338"/>
      <c r="VWW11" s="338"/>
      <c r="VWX11" s="338"/>
      <c r="VWY11" s="338"/>
      <c r="VWZ11" s="338"/>
      <c r="VXA11" s="338"/>
      <c r="VXB11" s="338"/>
      <c r="VXC11" s="338"/>
      <c r="VXD11" s="338"/>
      <c r="VXE11" s="338"/>
      <c r="VXF11" s="338"/>
      <c r="VXG11" s="338"/>
      <c r="VXH11" s="338"/>
      <c r="VXI11" s="338"/>
      <c r="VXJ11" s="338"/>
      <c r="VXK11" s="338"/>
      <c r="VXL11" s="338"/>
      <c r="VXM11" s="338"/>
      <c r="VXN11" s="338"/>
      <c r="VXO11" s="338"/>
      <c r="VXP11" s="338"/>
      <c r="VXQ11" s="338"/>
      <c r="VXR11" s="338"/>
      <c r="VXS11" s="338"/>
      <c r="VXT11" s="338"/>
      <c r="VXU11" s="338"/>
      <c r="VXV11" s="338"/>
      <c r="VXW11" s="338"/>
      <c r="VXX11" s="338"/>
      <c r="VXY11" s="338"/>
      <c r="VXZ11" s="338"/>
      <c r="VYA11" s="338"/>
      <c r="VYB11" s="338"/>
      <c r="VYC11" s="338"/>
      <c r="VYD11" s="338"/>
      <c r="VYE11" s="338"/>
      <c r="VYF11" s="338"/>
      <c r="VYG11" s="338"/>
      <c r="VYH11" s="338"/>
      <c r="VYI11" s="338"/>
      <c r="VYJ11" s="338"/>
      <c r="VYK11" s="338"/>
      <c r="VYL11" s="338"/>
      <c r="VYM11" s="338"/>
      <c r="VYN11" s="338"/>
      <c r="VYO11" s="338"/>
      <c r="VYP11" s="338"/>
      <c r="VYQ11" s="338"/>
      <c r="VYR11" s="338"/>
      <c r="VYS11" s="338"/>
      <c r="VYT11" s="338"/>
      <c r="VYU11" s="338"/>
      <c r="VYV11" s="338"/>
      <c r="VYW11" s="338"/>
      <c r="VYX11" s="338"/>
      <c r="VYY11" s="338"/>
      <c r="VYZ11" s="338"/>
      <c r="VZA11" s="338"/>
      <c r="VZB11" s="338"/>
      <c r="VZC11" s="338"/>
      <c r="VZD11" s="338"/>
      <c r="VZE11" s="338"/>
      <c r="VZF11" s="338"/>
      <c r="VZG11" s="338"/>
      <c r="VZH11" s="338"/>
      <c r="VZI11" s="338"/>
      <c r="VZJ11" s="338"/>
      <c r="VZK11" s="338"/>
      <c r="VZL11" s="338"/>
      <c r="VZM11" s="338"/>
      <c r="VZN11" s="338"/>
      <c r="VZO11" s="338"/>
      <c r="VZP11" s="338"/>
      <c r="VZQ11" s="338"/>
      <c r="VZR11" s="338"/>
      <c r="VZS11" s="338"/>
      <c r="VZT11" s="338"/>
      <c r="VZU11" s="338"/>
      <c r="VZV11" s="338"/>
      <c r="VZW11" s="338"/>
      <c r="VZX11" s="338"/>
      <c r="VZY11" s="338"/>
      <c r="VZZ11" s="338"/>
      <c r="WAA11" s="338"/>
      <c r="WAB11" s="338"/>
      <c r="WAC11" s="338"/>
      <c r="WAD11" s="338"/>
      <c r="WAE11" s="338"/>
      <c r="WAF11" s="338"/>
      <c r="WAG11" s="338"/>
      <c r="WAH11" s="338"/>
      <c r="WAI11" s="338"/>
      <c r="WAJ11" s="338"/>
      <c r="WAK11" s="338"/>
      <c r="WAL11" s="338"/>
      <c r="WAM11" s="338"/>
      <c r="WAN11" s="338"/>
      <c r="WAO11" s="338"/>
      <c r="WAP11" s="338"/>
      <c r="WAQ11" s="338"/>
      <c r="WAR11" s="338"/>
      <c r="WAS11" s="338"/>
      <c r="WAT11" s="338"/>
      <c r="WAU11" s="338"/>
      <c r="WAV11" s="338"/>
      <c r="WAW11" s="338"/>
      <c r="WAX11" s="338"/>
      <c r="WAY11" s="338"/>
      <c r="WAZ11" s="338"/>
      <c r="WBA11" s="338"/>
      <c r="WBB11" s="338"/>
      <c r="WBC11" s="338"/>
      <c r="WBD11" s="338"/>
      <c r="WBE11" s="338"/>
      <c r="WBF11" s="338"/>
      <c r="WBG11" s="338"/>
      <c r="WBH11" s="338"/>
      <c r="WBI11" s="338"/>
      <c r="WBJ11" s="338"/>
      <c r="WBK11" s="338"/>
      <c r="WBL11" s="338"/>
      <c r="WBM11" s="338"/>
      <c r="WBN11" s="338"/>
      <c r="WBO11" s="338"/>
      <c r="WBP11" s="338"/>
      <c r="WBQ11" s="338"/>
      <c r="WBR11" s="338"/>
      <c r="WBS11" s="338"/>
      <c r="WBT11" s="338"/>
      <c r="WBU11" s="338"/>
      <c r="WBV11" s="338"/>
      <c r="WBW11" s="338"/>
      <c r="WBX11" s="338"/>
      <c r="WBY11" s="338"/>
      <c r="WBZ11" s="338"/>
      <c r="WCA11" s="338"/>
      <c r="WCB11" s="338"/>
      <c r="WCC11" s="338"/>
      <c r="WCD11" s="338"/>
      <c r="WCE11" s="338"/>
      <c r="WCF11" s="338"/>
      <c r="WCG11" s="338"/>
      <c r="WCH11" s="338"/>
      <c r="WCI11" s="338"/>
      <c r="WCJ11" s="338"/>
      <c r="WCK11" s="338"/>
      <c r="WCL11" s="338"/>
      <c r="WCM11" s="338"/>
      <c r="WCN11" s="338"/>
      <c r="WCO11" s="338"/>
      <c r="WCP11" s="338"/>
      <c r="WCQ11" s="338"/>
      <c r="WCR11" s="338"/>
      <c r="WCS11" s="338"/>
      <c r="WCT11" s="338"/>
      <c r="WCU11" s="338"/>
      <c r="WCV11" s="338"/>
      <c r="WCW11" s="338"/>
      <c r="WCX11" s="338"/>
      <c r="WCY11" s="338"/>
      <c r="WCZ11" s="338"/>
      <c r="WDA11" s="338"/>
      <c r="WDB11" s="338"/>
      <c r="WDC11" s="338"/>
      <c r="WDD11" s="338"/>
      <c r="WDE11" s="338"/>
      <c r="WDF11" s="338"/>
      <c r="WDG11" s="338"/>
      <c r="WDH11" s="338"/>
      <c r="WDI11" s="338"/>
      <c r="WDJ11" s="338"/>
      <c r="WDK11" s="338"/>
      <c r="WDL11" s="338"/>
      <c r="WDM11" s="338"/>
      <c r="WDN11" s="338"/>
      <c r="WDO11" s="338"/>
      <c r="WDP11" s="338"/>
      <c r="WDQ11" s="338"/>
      <c r="WDR11" s="338"/>
      <c r="WDS11" s="338"/>
      <c r="WDT11" s="338"/>
      <c r="WDU11" s="338"/>
      <c r="WDV11" s="338"/>
      <c r="WDW11" s="338"/>
      <c r="WDX11" s="338"/>
      <c r="WDY11" s="338"/>
      <c r="WDZ11" s="338"/>
      <c r="WEA11" s="338"/>
      <c r="WEB11" s="338"/>
      <c r="WEC11" s="338"/>
      <c r="WED11" s="338"/>
      <c r="WEE11" s="338"/>
      <c r="WEF11" s="338"/>
      <c r="WEG11" s="338"/>
      <c r="WEH11" s="338"/>
      <c r="WEI11" s="338"/>
      <c r="WEJ11" s="338"/>
      <c r="WEK11" s="338"/>
      <c r="WEL11" s="338"/>
      <c r="WEM11" s="338"/>
      <c r="WEN11" s="338"/>
      <c r="WEO11" s="338"/>
      <c r="WEP11" s="338"/>
      <c r="WEQ11" s="338"/>
      <c r="WER11" s="338"/>
      <c r="WES11" s="338"/>
      <c r="WET11" s="338"/>
      <c r="WEU11" s="338"/>
      <c r="WEV11" s="338"/>
      <c r="WEW11" s="338"/>
      <c r="WEX11" s="338"/>
      <c r="WEY11" s="338"/>
      <c r="WEZ11" s="338"/>
      <c r="WFA11" s="338"/>
      <c r="WFB11" s="338"/>
      <c r="WFC11" s="338"/>
      <c r="WFD11" s="338"/>
      <c r="WFE11" s="338"/>
      <c r="WFF11" s="338"/>
      <c r="WFG11" s="338"/>
      <c r="WFH11" s="338"/>
      <c r="WFI11" s="338"/>
      <c r="WFJ11" s="338"/>
      <c r="WFK11" s="338"/>
      <c r="WFL11" s="338"/>
      <c r="WFM11" s="338"/>
      <c r="WFN11" s="338"/>
      <c r="WFO11" s="338"/>
      <c r="WFP11" s="338"/>
      <c r="WFQ11" s="338"/>
      <c r="WFR11" s="338"/>
      <c r="WFS11" s="338"/>
      <c r="WFT11" s="338"/>
      <c r="WFU11" s="338"/>
      <c r="WFV11" s="338"/>
      <c r="WFW11" s="338"/>
      <c r="WFX11" s="338"/>
      <c r="WFY11" s="338"/>
      <c r="WFZ11" s="338"/>
      <c r="WGA11" s="338"/>
      <c r="WGB11" s="338"/>
      <c r="WGC11" s="338"/>
      <c r="WGD11" s="338"/>
      <c r="WGE11" s="338"/>
      <c r="WGF11" s="338"/>
      <c r="WGG11" s="338"/>
      <c r="WGH11" s="338"/>
      <c r="WGI11" s="338"/>
      <c r="WGJ11" s="338"/>
      <c r="WGK11" s="338"/>
      <c r="WGL11" s="338"/>
      <c r="WGM11" s="338"/>
      <c r="WGN11" s="338"/>
      <c r="WGO11" s="338"/>
      <c r="WGP11" s="338"/>
      <c r="WGQ11" s="338"/>
      <c r="WGR11" s="338"/>
      <c r="WGS11" s="338"/>
      <c r="WGT11" s="338"/>
      <c r="WGU11" s="338"/>
      <c r="WGV11" s="338"/>
      <c r="WGW11" s="338"/>
      <c r="WGX11" s="338"/>
      <c r="WGY11" s="338"/>
      <c r="WGZ11" s="338"/>
      <c r="WHA11" s="338"/>
      <c r="WHB11" s="338"/>
      <c r="WHC11" s="338"/>
      <c r="WHD11" s="338"/>
      <c r="WHE11" s="338"/>
      <c r="WHF11" s="338"/>
      <c r="WHG11" s="338"/>
      <c r="WHH11" s="338"/>
      <c r="WHI11" s="338"/>
      <c r="WHJ11" s="338"/>
      <c r="WHK11" s="338"/>
      <c r="WHL11" s="338"/>
      <c r="WHM11" s="338"/>
      <c r="WHN11" s="338"/>
      <c r="WHO11" s="338"/>
      <c r="WHP11" s="338"/>
      <c r="WHQ11" s="338"/>
      <c r="WHR11" s="338"/>
      <c r="WHS11" s="338"/>
      <c r="WHT11" s="338"/>
      <c r="WHU11" s="338"/>
      <c r="WHV11" s="338"/>
      <c r="WHW11" s="338"/>
      <c r="WHX11" s="338"/>
      <c r="WHY11" s="338"/>
      <c r="WHZ11" s="338"/>
      <c r="WIA11" s="338"/>
      <c r="WIB11" s="338"/>
      <c r="WIC11" s="338"/>
      <c r="WID11" s="338"/>
      <c r="WIE11" s="338"/>
      <c r="WIF11" s="338"/>
      <c r="WIG11" s="338"/>
      <c r="WIH11" s="338"/>
      <c r="WII11" s="338"/>
      <c r="WIJ11" s="338"/>
      <c r="WIK11" s="338"/>
      <c r="WIL11" s="338"/>
      <c r="WIM11" s="338"/>
      <c r="WIN11" s="338"/>
      <c r="WIO11" s="338"/>
      <c r="WIP11" s="338"/>
      <c r="WIQ11" s="338"/>
      <c r="WIR11" s="338"/>
      <c r="WIS11" s="338"/>
      <c r="WIT11" s="338"/>
      <c r="WIU11" s="338"/>
      <c r="WIV11" s="338"/>
      <c r="WIW11" s="338"/>
      <c r="WIX11" s="338"/>
      <c r="WIY11" s="338"/>
      <c r="WIZ11" s="338"/>
      <c r="WJA11" s="338"/>
      <c r="WJB11" s="338"/>
      <c r="WJC11" s="338"/>
      <c r="WJD11" s="338"/>
      <c r="WJE11" s="338"/>
      <c r="WJF11" s="338"/>
      <c r="WJG11" s="338"/>
      <c r="WJH11" s="338"/>
      <c r="WJI11" s="338"/>
      <c r="WJJ11" s="338"/>
      <c r="WJK11" s="338"/>
      <c r="WJL11" s="338"/>
      <c r="WJM11" s="338"/>
      <c r="WJN11" s="338"/>
      <c r="WJO11" s="338"/>
      <c r="WJP11" s="338"/>
      <c r="WJQ11" s="338"/>
      <c r="WJR11" s="338"/>
      <c r="WJS11" s="338"/>
      <c r="WJT11" s="338"/>
      <c r="WJU11" s="338"/>
      <c r="WJV11" s="338"/>
      <c r="WJW11" s="338"/>
      <c r="WJX11" s="338"/>
      <c r="WJY11" s="338"/>
      <c r="WJZ11" s="338"/>
      <c r="WKA11" s="338"/>
      <c r="WKB11" s="338"/>
      <c r="WKC11" s="338"/>
      <c r="WKD11" s="338"/>
      <c r="WKE11" s="338"/>
      <c r="WKF11" s="338"/>
      <c r="WKG11" s="338"/>
      <c r="WKH11" s="338"/>
      <c r="WKI11" s="338"/>
      <c r="WKJ11" s="338"/>
      <c r="WKK11" s="338"/>
      <c r="WKL11" s="338"/>
      <c r="WKM11" s="338"/>
      <c r="WKN11" s="338"/>
      <c r="WKO11" s="338"/>
      <c r="WKP11" s="338"/>
      <c r="WKQ11" s="338"/>
      <c r="WKR11" s="338"/>
      <c r="WKS11" s="338"/>
      <c r="WKT11" s="338"/>
      <c r="WKU11" s="338"/>
      <c r="WKV11" s="338"/>
      <c r="WKW11" s="338"/>
      <c r="WKX11" s="338"/>
      <c r="WKY11" s="338"/>
      <c r="WKZ11" s="338"/>
      <c r="WLA11" s="338"/>
      <c r="WLB11" s="338"/>
      <c r="WLC11" s="338"/>
      <c r="WLD11" s="338"/>
      <c r="WLE11" s="338"/>
      <c r="WLF11" s="338"/>
      <c r="WLG11" s="338"/>
      <c r="WLH11" s="338"/>
      <c r="WLI11" s="338"/>
      <c r="WLJ11" s="338"/>
      <c r="WLK11" s="338"/>
      <c r="WLL11" s="338"/>
      <c r="WLM11" s="338"/>
      <c r="WLN11" s="338"/>
      <c r="WLO11" s="338"/>
      <c r="WLP11" s="338"/>
      <c r="WLQ11" s="338"/>
      <c r="WLR11" s="338"/>
      <c r="WLS11" s="338"/>
      <c r="WLT11" s="338"/>
      <c r="WLU11" s="338"/>
      <c r="WLV11" s="338"/>
      <c r="WLW11" s="338"/>
      <c r="WLX11" s="338"/>
      <c r="WLY11" s="338"/>
      <c r="WLZ11" s="338"/>
      <c r="WMA11" s="338"/>
      <c r="WMB11" s="338"/>
      <c r="WMC11" s="338"/>
      <c r="WMD11" s="338"/>
      <c r="WME11" s="338"/>
      <c r="WMF11" s="338"/>
      <c r="WMG11" s="338"/>
      <c r="WMH11" s="338"/>
      <c r="WMI11" s="338"/>
      <c r="WMJ11" s="338"/>
      <c r="WMK11" s="338"/>
      <c r="WML11" s="338"/>
      <c r="WMM11" s="338"/>
      <c r="WMN11" s="338"/>
      <c r="WMO11" s="338"/>
      <c r="WMP11" s="338"/>
      <c r="WMQ11" s="338"/>
      <c r="WMR11" s="338"/>
      <c r="WMS11" s="338"/>
      <c r="WMT11" s="338"/>
      <c r="WMU11" s="338"/>
      <c r="WMV11" s="338"/>
      <c r="WMW11" s="338"/>
      <c r="WMX11" s="338"/>
      <c r="WMY11" s="338"/>
      <c r="WMZ11" s="338"/>
      <c r="WNA11" s="338"/>
      <c r="WNB11" s="338"/>
      <c r="WNC11" s="338"/>
      <c r="WND11" s="338"/>
      <c r="WNE11" s="338"/>
      <c r="WNF11" s="338"/>
      <c r="WNG11" s="338"/>
      <c r="WNH11" s="338"/>
      <c r="WNI11" s="338"/>
      <c r="WNJ11" s="338"/>
      <c r="WNK11" s="338"/>
      <c r="WNL11" s="338"/>
      <c r="WNM11" s="338"/>
      <c r="WNN11" s="338"/>
      <c r="WNO11" s="338"/>
      <c r="WNP11" s="338"/>
      <c r="WNQ11" s="338"/>
      <c r="WNR11" s="338"/>
      <c r="WNS11" s="338"/>
      <c r="WNT11" s="338"/>
      <c r="WNU11" s="338"/>
      <c r="WNV11" s="338"/>
      <c r="WNW11" s="338"/>
      <c r="WNX11" s="338"/>
      <c r="WNY11" s="338"/>
      <c r="WNZ11" s="338"/>
      <c r="WOA11" s="338"/>
      <c r="WOB11" s="338"/>
      <c r="WOC11" s="338"/>
      <c r="WOD11" s="338"/>
      <c r="WOE11" s="338"/>
      <c r="WOF11" s="338"/>
      <c r="WOG11" s="338"/>
      <c r="WOH11" s="338"/>
      <c r="WOI11" s="338"/>
      <c r="WOJ11" s="338"/>
      <c r="WOK11" s="338"/>
      <c r="WOL11" s="338"/>
      <c r="WOM11" s="338"/>
      <c r="WON11" s="338"/>
      <c r="WOO11" s="338"/>
      <c r="WOP11" s="338"/>
      <c r="WOQ11" s="338"/>
      <c r="WOR11" s="338"/>
      <c r="WOS11" s="338"/>
      <c r="WOT11" s="338"/>
      <c r="WOU11" s="338"/>
      <c r="WOV11" s="338"/>
      <c r="WOW11" s="338"/>
      <c r="WOX11" s="338"/>
      <c r="WOY11" s="338"/>
      <c r="WOZ11" s="338"/>
      <c r="WPA11" s="338"/>
      <c r="WPB11" s="338"/>
      <c r="WPC11" s="338"/>
      <c r="WPD11" s="338"/>
      <c r="WPE11" s="338"/>
      <c r="WPF11" s="338"/>
      <c r="WPG11" s="338"/>
      <c r="WPH11" s="338"/>
      <c r="WPI11" s="338"/>
      <c r="WPJ11" s="338"/>
      <c r="WPK11" s="338"/>
      <c r="WPL11" s="338"/>
      <c r="WPM11" s="338"/>
      <c r="WPN11" s="338"/>
      <c r="WPO11" s="338"/>
      <c r="WPP11" s="338"/>
      <c r="WPQ11" s="338"/>
      <c r="WPR11" s="338"/>
      <c r="WPS11" s="338"/>
      <c r="WPT11" s="338"/>
      <c r="WPU11" s="338"/>
      <c r="WPV11" s="338"/>
      <c r="WPW11" s="338"/>
      <c r="WPX11" s="338"/>
      <c r="WPY11" s="338"/>
      <c r="WPZ11" s="338"/>
      <c r="WQA11" s="338"/>
      <c r="WQB11" s="338"/>
      <c r="WQC11" s="338"/>
      <c r="WQD11" s="338"/>
      <c r="WQE11" s="338"/>
      <c r="WQF11" s="338"/>
      <c r="WQG11" s="338"/>
      <c r="WQH11" s="338"/>
      <c r="WQI11" s="338"/>
      <c r="WQJ11" s="338"/>
      <c r="WQK11" s="338"/>
      <c r="WQL11" s="338"/>
      <c r="WQM11" s="338"/>
      <c r="WQN11" s="338"/>
      <c r="WQO11" s="338"/>
      <c r="WQP11" s="338"/>
      <c r="WQQ11" s="338"/>
      <c r="WQR11" s="338"/>
      <c r="WQS11" s="338"/>
      <c r="WQT11" s="338"/>
      <c r="WQU11" s="338"/>
      <c r="WQV11" s="338"/>
      <c r="WQW11" s="338"/>
      <c r="WQX11" s="338"/>
      <c r="WQY11" s="338"/>
      <c r="WQZ11" s="338"/>
      <c r="WRA11" s="338"/>
      <c r="WRB11" s="338"/>
      <c r="WRC11" s="338"/>
      <c r="WRD11" s="338"/>
      <c r="WRE11" s="338"/>
      <c r="WRF11" s="338"/>
      <c r="WRG11" s="338"/>
      <c r="WRH11" s="338"/>
      <c r="WRI11" s="338"/>
      <c r="WRJ11" s="338"/>
      <c r="WRK11" s="338"/>
      <c r="WRL11" s="338"/>
      <c r="WRM11" s="338"/>
      <c r="WRN11" s="338"/>
      <c r="WRO11" s="338"/>
      <c r="WRP11" s="338"/>
      <c r="WRQ11" s="338"/>
      <c r="WRR11" s="338"/>
      <c r="WRS11" s="338"/>
      <c r="WRT11" s="338"/>
      <c r="WRU11" s="338"/>
      <c r="WRV11" s="338"/>
      <c r="WRW11" s="338"/>
      <c r="WRX11" s="338"/>
      <c r="WRY11" s="338"/>
      <c r="WRZ11" s="338"/>
      <c r="WSA11" s="338"/>
      <c r="WSB11" s="338"/>
      <c r="WSC11" s="338"/>
      <c r="WSD11" s="338"/>
      <c r="WSE11" s="338"/>
      <c r="WSF11" s="338"/>
      <c r="WSG11" s="338"/>
      <c r="WSH11" s="338"/>
      <c r="WSI11" s="338"/>
      <c r="WSJ11" s="338"/>
      <c r="WSK11" s="338"/>
      <c r="WSL11" s="338"/>
      <c r="WSM11" s="338"/>
      <c r="WSN11" s="338"/>
      <c r="WSO11" s="338"/>
      <c r="WSP11" s="338"/>
      <c r="WSQ11" s="338"/>
      <c r="WSR11" s="338"/>
      <c r="WSS11" s="338"/>
      <c r="WST11" s="338"/>
      <c r="WSU11" s="338"/>
      <c r="WSV11" s="338"/>
      <c r="WSW11" s="338"/>
      <c r="WSX11" s="338"/>
      <c r="WSY11" s="338"/>
      <c r="WSZ11" s="338"/>
      <c r="WTA11" s="338"/>
      <c r="WTB11" s="338"/>
      <c r="WTC11" s="338"/>
      <c r="WTD11" s="338"/>
      <c r="WTE11" s="338"/>
      <c r="WTF11" s="338"/>
      <c r="WTG11" s="338"/>
      <c r="WTH11" s="338"/>
      <c r="WTI11" s="338"/>
      <c r="WTJ11" s="338"/>
      <c r="WTK11" s="338"/>
      <c r="WTL11" s="338"/>
      <c r="WTM11" s="338"/>
      <c r="WTN11" s="338"/>
      <c r="WTO11" s="338"/>
      <c r="WTP11" s="338"/>
      <c r="WTQ11" s="338"/>
      <c r="WTR11" s="338"/>
      <c r="WTS11" s="338"/>
      <c r="WTT11" s="338"/>
      <c r="WTU11" s="338"/>
      <c r="WTV11" s="338"/>
      <c r="WTW11" s="338"/>
      <c r="WTX11" s="338"/>
      <c r="WTY11" s="338"/>
      <c r="WTZ11" s="338"/>
      <c r="WUA11" s="338"/>
      <c r="WUB11" s="338"/>
      <c r="WUC11" s="338"/>
      <c r="WUD11" s="338"/>
      <c r="WUE11" s="338"/>
      <c r="WUF11" s="338"/>
      <c r="WUG11" s="338"/>
      <c r="WUH11" s="338"/>
      <c r="WUI11" s="338"/>
      <c r="WUJ11" s="338"/>
      <c r="WUK11" s="338"/>
      <c r="WUL11" s="338"/>
      <c r="WUM11" s="338"/>
      <c r="WUN11" s="338"/>
      <c r="WUO11" s="338"/>
      <c r="WUP11" s="338"/>
      <c r="WUQ11" s="338"/>
      <c r="WUR11" s="338"/>
      <c r="WUS11" s="338"/>
      <c r="WUT11" s="338"/>
      <c r="WUU11" s="338"/>
      <c r="WUV11" s="338"/>
      <c r="WUW11" s="338"/>
      <c r="WUX11" s="338"/>
      <c r="WUY11" s="338"/>
      <c r="WUZ11" s="338"/>
      <c r="WVA11" s="338"/>
      <c r="WVB11" s="338"/>
      <c r="WVC11" s="338"/>
      <c r="WVD11" s="338"/>
      <c r="WVE11" s="338"/>
      <c r="WVF11" s="338"/>
      <c r="WVG11" s="338"/>
      <c r="WVH11" s="338"/>
      <c r="WVI11" s="338"/>
      <c r="WVJ11" s="338"/>
      <c r="WVK11" s="338"/>
      <c r="WVL11" s="338"/>
      <c r="WVM11" s="338"/>
      <c r="WVN11" s="338"/>
      <c r="WVO11" s="338"/>
      <c r="WVP11" s="338"/>
      <c r="WVQ11" s="338"/>
      <c r="WVR11" s="338"/>
      <c r="WVS11" s="338"/>
      <c r="WVT11" s="338"/>
      <c r="WVU11" s="338"/>
      <c r="WVV11" s="338"/>
      <c r="WVW11" s="338"/>
      <c r="WVX11" s="338"/>
      <c r="WVY11" s="338"/>
      <c r="WVZ11" s="338"/>
      <c r="WWA11" s="338"/>
      <c r="WWB11" s="338"/>
      <c r="WWC11" s="338"/>
      <c r="WWD11" s="338"/>
      <c r="WWE11" s="338"/>
      <c r="WWF11" s="338"/>
      <c r="WWG11" s="338"/>
      <c r="WWH11" s="338"/>
      <c r="WWI11" s="338"/>
      <c r="WWJ11" s="338"/>
      <c r="WWK11" s="338"/>
      <c r="WWL11" s="338"/>
      <c r="WWM11" s="338"/>
      <c r="WWN11" s="338"/>
      <c r="WWO11" s="338"/>
      <c r="WWP11" s="338"/>
      <c r="WWQ11" s="338"/>
      <c r="WWR11" s="338"/>
      <c r="WWS11" s="338"/>
      <c r="WWT11" s="338"/>
      <c r="WWU11" s="338"/>
      <c r="WWV11" s="338"/>
      <c r="WWW11" s="338"/>
      <c r="WWX11" s="338"/>
      <c r="WWY11" s="338"/>
      <c r="WWZ11" s="338"/>
      <c r="WXA11" s="338"/>
      <c r="WXB11" s="338"/>
      <c r="WXC11" s="338"/>
      <c r="WXD11" s="338"/>
      <c r="WXE11" s="338"/>
      <c r="WXF11" s="338"/>
      <c r="WXG11" s="338"/>
      <c r="WXH11" s="338"/>
      <c r="WXI11" s="338"/>
      <c r="WXJ11" s="338"/>
      <c r="WXK11" s="338"/>
      <c r="WXL11" s="338"/>
      <c r="WXM11" s="338"/>
      <c r="WXN11" s="338"/>
      <c r="WXO11" s="338"/>
      <c r="WXP11" s="338"/>
      <c r="WXQ11" s="338"/>
      <c r="WXR11" s="338"/>
      <c r="WXS11" s="338"/>
      <c r="WXT11" s="338"/>
      <c r="WXU11" s="338"/>
      <c r="WXV11" s="338"/>
      <c r="WXW11" s="338"/>
      <c r="WXX11" s="338"/>
      <c r="WXY11" s="338"/>
      <c r="WXZ11" s="338"/>
      <c r="WYA11" s="338"/>
      <c r="WYB11" s="338"/>
      <c r="WYC11" s="338"/>
      <c r="WYD11" s="338"/>
      <c r="WYE11" s="338"/>
      <c r="WYF11" s="338"/>
      <c r="WYG11" s="338"/>
      <c r="WYH11" s="338"/>
      <c r="WYI11" s="338"/>
      <c r="WYJ11" s="338"/>
      <c r="WYK11" s="338"/>
      <c r="WYL11" s="338"/>
      <c r="WYM11" s="338"/>
      <c r="WYN11" s="338"/>
      <c r="WYO11" s="338"/>
      <c r="WYP11" s="338"/>
      <c r="WYQ11" s="338"/>
      <c r="WYR11" s="338"/>
      <c r="WYS11" s="338"/>
      <c r="WYT11" s="338"/>
      <c r="WYU11" s="338"/>
      <c r="WYV11" s="338"/>
      <c r="WYW11" s="338"/>
      <c r="WYX11" s="338"/>
      <c r="WYY11" s="338"/>
      <c r="WYZ11" s="338"/>
      <c r="WZA11" s="338"/>
      <c r="WZB11" s="338"/>
      <c r="WZC11" s="338"/>
      <c r="WZD11" s="338"/>
      <c r="WZE11" s="338"/>
      <c r="WZF11" s="338"/>
      <c r="WZG11" s="338"/>
      <c r="WZH11" s="338"/>
      <c r="WZI11" s="338"/>
      <c r="WZJ11" s="338"/>
      <c r="WZK11" s="338"/>
      <c r="WZL11" s="338"/>
      <c r="WZM11" s="338"/>
      <c r="WZN11" s="338"/>
      <c r="WZO11" s="338"/>
      <c r="WZP11" s="338"/>
      <c r="WZQ11" s="338"/>
      <c r="WZR11" s="338"/>
      <c r="WZS11" s="338"/>
      <c r="WZT11" s="338"/>
      <c r="WZU11" s="338"/>
      <c r="WZV11" s="338"/>
      <c r="WZW11" s="338"/>
      <c r="WZX11" s="338"/>
      <c r="WZY11" s="338"/>
      <c r="WZZ11" s="338"/>
      <c r="XAA11" s="338"/>
      <c r="XAB11" s="338"/>
      <c r="XAC11" s="338"/>
      <c r="XAD11" s="338"/>
      <c r="XAE11" s="338"/>
      <c r="XAF11" s="338"/>
      <c r="XAG11" s="338"/>
      <c r="XAH11" s="338"/>
      <c r="XAI11" s="338"/>
      <c r="XAJ11" s="338"/>
      <c r="XAK11" s="338"/>
      <c r="XAL11" s="338"/>
      <c r="XAM11" s="338"/>
      <c r="XAN11" s="338"/>
      <c r="XAO11" s="338"/>
      <c r="XAP11" s="338"/>
      <c r="XAQ11" s="338"/>
      <c r="XAR11" s="338"/>
      <c r="XAS11" s="338"/>
      <c r="XAT11" s="338"/>
      <c r="XAU11" s="338"/>
      <c r="XAV11" s="338"/>
      <c r="XAW11" s="338"/>
      <c r="XAX11" s="338"/>
      <c r="XAY11" s="338"/>
      <c r="XAZ11" s="338"/>
      <c r="XBA11" s="338"/>
      <c r="XBB11" s="338"/>
      <c r="XBC11" s="338"/>
      <c r="XBD11" s="338"/>
      <c r="XBE11" s="338"/>
      <c r="XBF11" s="338"/>
      <c r="XBG11" s="338"/>
      <c r="XBH11" s="338"/>
      <c r="XBI11" s="338"/>
      <c r="XBJ11" s="338"/>
      <c r="XBK11" s="338"/>
      <c r="XBL11" s="338"/>
      <c r="XBM11" s="338"/>
      <c r="XBN11" s="338"/>
      <c r="XBO11" s="338"/>
      <c r="XBP11" s="338"/>
      <c r="XBQ11" s="338"/>
      <c r="XBR11" s="338"/>
      <c r="XBS11" s="338"/>
      <c r="XBT11" s="338"/>
      <c r="XBU11" s="338"/>
      <c r="XBV11" s="338"/>
      <c r="XBW11" s="338"/>
      <c r="XBX11" s="338"/>
      <c r="XBY11" s="338"/>
      <c r="XBZ11" s="338"/>
      <c r="XCA11" s="338"/>
      <c r="XCB11" s="338"/>
      <c r="XCC11" s="338"/>
      <c r="XCD11" s="338"/>
      <c r="XCE11" s="338"/>
      <c r="XCF11" s="338"/>
      <c r="XCG11" s="338"/>
      <c r="XCH11" s="338"/>
      <c r="XCI11" s="338"/>
      <c r="XCJ11" s="338"/>
      <c r="XCK11" s="338"/>
      <c r="XCL11" s="338"/>
      <c r="XCM11" s="338"/>
      <c r="XCN11" s="338"/>
      <c r="XCO11" s="338"/>
      <c r="XCP11" s="338"/>
      <c r="XCQ11" s="338"/>
      <c r="XCR11" s="338"/>
      <c r="XCS11" s="338"/>
      <c r="XCT11" s="338"/>
      <c r="XCU11" s="338"/>
      <c r="XCV11" s="338"/>
      <c r="XCW11" s="338"/>
      <c r="XCX11" s="338"/>
      <c r="XCY11" s="338"/>
      <c r="XCZ11" s="338"/>
      <c r="XDA11" s="338"/>
      <c r="XDB11" s="338"/>
      <c r="XDC11" s="338"/>
      <c r="XDD11" s="338"/>
      <c r="XDE11" s="338"/>
      <c r="XDF11" s="338"/>
      <c r="XDG11" s="338"/>
      <c r="XDH11" s="338"/>
      <c r="XDI11" s="338"/>
      <c r="XDJ11" s="338"/>
      <c r="XDK11" s="338"/>
      <c r="XDL11" s="338"/>
      <c r="XDM11" s="338"/>
      <c r="XDN11" s="338"/>
      <c r="XDO11" s="338"/>
      <c r="XDP11" s="338"/>
      <c r="XDQ11" s="338"/>
      <c r="XDR11" s="338"/>
      <c r="XDS11" s="338"/>
      <c r="XDT11" s="338"/>
      <c r="XDU11" s="338"/>
      <c r="XDV11" s="338"/>
      <c r="XDW11" s="338"/>
      <c r="XDX11" s="338"/>
      <c r="XDY11" s="338"/>
      <c r="XDZ11" s="338"/>
      <c r="XEA11" s="338"/>
      <c r="XEB11" s="338"/>
      <c r="XEC11" s="338"/>
      <c r="XED11" s="338"/>
      <c r="XEE11" s="338"/>
      <c r="XEF11" s="338"/>
      <c r="XEG11" s="338"/>
      <c r="XEH11" s="338"/>
      <c r="XEI11" s="338"/>
      <c r="XEJ11" s="338"/>
      <c r="XEK11" s="338"/>
      <c r="XEL11" s="338"/>
      <c r="XEM11" s="338"/>
      <c r="XEN11" s="338"/>
      <c r="XEO11" s="338"/>
      <c r="XEP11" s="338"/>
      <c r="XEQ11" s="338"/>
      <c r="XER11" s="338"/>
      <c r="XES11" s="338"/>
      <c r="XET11" s="338"/>
      <c r="XEU11" s="338"/>
      <c r="XEV11" s="338"/>
      <c r="XEW11" s="338"/>
      <c r="XEX11" s="338"/>
      <c r="XEY11" s="338"/>
      <c r="XEZ11" s="338"/>
      <c r="XFA11" s="338"/>
      <c r="XFB11" s="338"/>
      <c r="XFC11" s="338"/>
      <c r="XFD11" s="338"/>
    </row>
    <row r="13" spans="1:16384" s="11" customFormat="1" ht="182.25" customHeight="1" x14ac:dyDescent="0.2">
      <c r="B13" s="344" t="s">
        <v>301</v>
      </c>
      <c r="C13" s="344"/>
      <c r="D13" s="344"/>
      <c r="E13" s="344"/>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c r="CY13" s="338"/>
      <c r="CZ13" s="338"/>
      <c r="DA13" s="338"/>
      <c r="DB13" s="338"/>
      <c r="DC13" s="338"/>
      <c r="DD13" s="338"/>
      <c r="DE13" s="338"/>
      <c r="DF13" s="338"/>
      <c r="DG13" s="338"/>
      <c r="DH13" s="338"/>
      <c r="DI13" s="338"/>
      <c r="DJ13" s="338"/>
      <c r="DK13" s="338"/>
      <c r="DL13" s="338"/>
      <c r="DM13" s="338"/>
      <c r="DN13" s="338"/>
      <c r="DO13" s="338"/>
      <c r="DP13" s="338"/>
      <c r="DQ13" s="338"/>
      <c r="DR13" s="338"/>
      <c r="DS13" s="338"/>
      <c r="DT13" s="338"/>
      <c r="DU13" s="338"/>
      <c r="DV13" s="338"/>
      <c r="DW13" s="338"/>
      <c r="DX13" s="338"/>
      <c r="DY13" s="338"/>
      <c r="DZ13" s="338"/>
      <c r="EA13" s="338"/>
      <c r="EB13" s="338"/>
      <c r="EC13" s="338"/>
      <c r="ED13" s="338"/>
      <c r="EE13" s="338"/>
      <c r="EF13" s="338"/>
      <c r="EG13" s="338"/>
      <c r="EH13" s="338"/>
      <c r="EI13" s="338"/>
      <c r="EJ13" s="338"/>
      <c r="EK13" s="338"/>
      <c r="EL13" s="338"/>
      <c r="EM13" s="338"/>
      <c r="EN13" s="338"/>
      <c r="EO13" s="338"/>
      <c r="EP13" s="338"/>
      <c r="EQ13" s="338"/>
      <c r="ER13" s="338"/>
      <c r="ES13" s="338"/>
      <c r="ET13" s="338"/>
      <c r="EU13" s="338"/>
      <c r="EV13" s="338"/>
      <c r="EW13" s="338"/>
      <c r="EX13" s="338"/>
      <c r="EY13" s="338"/>
      <c r="EZ13" s="338"/>
      <c r="FA13" s="338"/>
      <c r="FB13" s="338"/>
      <c r="FC13" s="338"/>
      <c r="FD13" s="338"/>
      <c r="FE13" s="338"/>
      <c r="FF13" s="338"/>
      <c r="FG13" s="338"/>
      <c r="FH13" s="338"/>
      <c r="FI13" s="338"/>
      <c r="FJ13" s="338"/>
      <c r="FK13" s="338"/>
      <c r="FL13" s="338"/>
      <c r="FM13" s="338"/>
      <c r="FN13" s="338"/>
      <c r="FO13" s="338"/>
      <c r="FP13" s="338"/>
      <c r="FQ13" s="338"/>
      <c r="FR13" s="338"/>
      <c r="FS13" s="338"/>
      <c r="FT13" s="338"/>
      <c r="FU13" s="338"/>
      <c r="FV13" s="338"/>
      <c r="FW13" s="338"/>
      <c r="FX13" s="338"/>
      <c r="FY13" s="338"/>
      <c r="FZ13" s="338"/>
      <c r="GA13" s="338"/>
      <c r="GB13" s="338"/>
      <c r="GC13" s="338"/>
      <c r="GD13" s="338"/>
      <c r="GE13" s="338"/>
      <c r="GF13" s="338"/>
      <c r="GG13" s="338"/>
      <c r="GH13" s="338"/>
      <c r="GI13" s="338"/>
      <c r="GJ13" s="338"/>
      <c r="GK13" s="338"/>
      <c r="GL13" s="338"/>
      <c r="GM13" s="338"/>
      <c r="GN13" s="338"/>
      <c r="GO13" s="338"/>
      <c r="GP13" s="338"/>
      <c r="GQ13" s="338"/>
      <c r="GR13" s="338"/>
      <c r="GS13" s="338"/>
      <c r="GT13" s="338"/>
      <c r="GU13" s="338"/>
      <c r="GV13" s="338"/>
      <c r="GW13" s="338"/>
      <c r="GX13" s="338"/>
      <c r="GY13" s="338"/>
      <c r="GZ13" s="338"/>
      <c r="HA13" s="338"/>
      <c r="HB13" s="338"/>
      <c r="HC13" s="338"/>
      <c r="HD13" s="338"/>
      <c r="HE13" s="338"/>
      <c r="HF13" s="338"/>
      <c r="HG13" s="338"/>
      <c r="HH13" s="338"/>
      <c r="HI13" s="338"/>
      <c r="HJ13" s="338"/>
      <c r="HK13" s="338"/>
      <c r="HL13" s="338"/>
      <c r="HM13" s="338"/>
      <c r="HN13" s="338"/>
      <c r="HO13" s="338"/>
      <c r="HP13" s="338"/>
      <c r="HQ13" s="338"/>
      <c r="HR13" s="338"/>
      <c r="HS13" s="338"/>
      <c r="HT13" s="338"/>
      <c r="HU13" s="338"/>
      <c r="HV13" s="338"/>
      <c r="HW13" s="338"/>
      <c r="HX13" s="338"/>
      <c r="HY13" s="338"/>
      <c r="HZ13" s="338"/>
      <c r="IA13" s="338"/>
      <c r="IB13" s="338"/>
      <c r="IC13" s="338"/>
      <c r="ID13" s="338"/>
      <c r="IE13" s="338"/>
      <c r="IF13" s="338"/>
      <c r="IG13" s="338"/>
      <c r="IH13" s="338"/>
      <c r="II13" s="338"/>
      <c r="IJ13" s="338"/>
      <c r="IK13" s="338"/>
      <c r="IL13" s="338"/>
      <c r="IM13" s="338"/>
      <c r="IN13" s="338"/>
      <c r="IO13" s="338"/>
      <c r="IP13" s="338"/>
      <c r="IQ13" s="338"/>
      <c r="IR13" s="338"/>
      <c r="IS13" s="338"/>
      <c r="IT13" s="338"/>
      <c r="IU13" s="338"/>
      <c r="IV13" s="338"/>
      <c r="IW13" s="338"/>
      <c r="IX13" s="338"/>
      <c r="IY13" s="338"/>
      <c r="IZ13" s="338"/>
      <c r="JA13" s="338"/>
      <c r="JB13" s="338"/>
      <c r="JC13" s="338"/>
      <c r="JD13" s="338"/>
      <c r="JE13" s="338"/>
      <c r="JF13" s="338"/>
      <c r="JG13" s="338"/>
      <c r="JH13" s="338"/>
      <c r="JI13" s="338"/>
      <c r="JJ13" s="338"/>
      <c r="JK13" s="338"/>
      <c r="JL13" s="338"/>
      <c r="JM13" s="338"/>
      <c r="JN13" s="338"/>
      <c r="JO13" s="338"/>
      <c r="JP13" s="338"/>
      <c r="JQ13" s="338"/>
      <c r="JR13" s="338"/>
      <c r="JS13" s="338"/>
      <c r="JT13" s="338"/>
      <c r="JU13" s="338"/>
      <c r="JV13" s="338"/>
      <c r="JW13" s="338"/>
      <c r="JX13" s="338"/>
      <c r="JY13" s="338"/>
      <c r="JZ13" s="338"/>
      <c r="KA13" s="338"/>
      <c r="KB13" s="338"/>
      <c r="KC13" s="338"/>
      <c r="KD13" s="338"/>
      <c r="KE13" s="338"/>
      <c r="KF13" s="338"/>
      <c r="KG13" s="338"/>
      <c r="KH13" s="338"/>
      <c r="KI13" s="338"/>
      <c r="KJ13" s="338"/>
      <c r="KK13" s="338"/>
      <c r="KL13" s="338"/>
      <c r="KM13" s="338"/>
      <c r="KN13" s="338"/>
      <c r="KO13" s="338"/>
      <c r="KP13" s="338"/>
      <c r="KQ13" s="338"/>
      <c r="KR13" s="338"/>
      <c r="KS13" s="338"/>
      <c r="KT13" s="338"/>
      <c r="KU13" s="338"/>
      <c r="KV13" s="338"/>
      <c r="KW13" s="338"/>
      <c r="KX13" s="338"/>
      <c r="KY13" s="338"/>
      <c r="KZ13" s="338"/>
      <c r="LA13" s="338"/>
      <c r="LB13" s="338"/>
      <c r="LC13" s="338"/>
      <c r="LD13" s="338"/>
      <c r="LE13" s="338"/>
      <c r="LF13" s="338"/>
      <c r="LG13" s="338"/>
      <c r="LH13" s="338"/>
      <c r="LI13" s="338"/>
      <c r="LJ13" s="338"/>
      <c r="LK13" s="338"/>
      <c r="LL13" s="338"/>
      <c r="LM13" s="338"/>
      <c r="LN13" s="338"/>
      <c r="LO13" s="338"/>
      <c r="LP13" s="338"/>
      <c r="LQ13" s="338"/>
      <c r="LR13" s="338"/>
      <c r="LS13" s="338"/>
      <c r="LT13" s="338"/>
      <c r="LU13" s="338"/>
      <c r="LV13" s="338"/>
      <c r="LW13" s="338"/>
      <c r="LX13" s="338"/>
      <c r="LY13" s="338"/>
      <c r="LZ13" s="338"/>
      <c r="MA13" s="338"/>
      <c r="MB13" s="338"/>
      <c r="MC13" s="338"/>
      <c r="MD13" s="338"/>
      <c r="ME13" s="338"/>
      <c r="MF13" s="338"/>
      <c r="MG13" s="338"/>
      <c r="MH13" s="338"/>
      <c r="MI13" s="338"/>
      <c r="MJ13" s="338"/>
      <c r="MK13" s="338"/>
      <c r="ML13" s="338"/>
      <c r="MM13" s="338"/>
      <c r="MN13" s="338"/>
      <c r="MO13" s="338"/>
      <c r="MP13" s="338"/>
      <c r="MQ13" s="338"/>
      <c r="MR13" s="338"/>
      <c r="MS13" s="338"/>
      <c r="MT13" s="338"/>
      <c r="MU13" s="338"/>
      <c r="MV13" s="338"/>
      <c r="MW13" s="338"/>
      <c r="MX13" s="338"/>
      <c r="MY13" s="338"/>
      <c r="MZ13" s="338"/>
      <c r="NA13" s="338"/>
      <c r="NB13" s="338"/>
      <c r="NC13" s="338"/>
      <c r="ND13" s="338"/>
      <c r="NE13" s="338"/>
      <c r="NF13" s="338"/>
      <c r="NG13" s="338"/>
      <c r="NH13" s="338"/>
      <c r="NI13" s="338"/>
      <c r="NJ13" s="338"/>
      <c r="NK13" s="338"/>
      <c r="NL13" s="338"/>
      <c r="NM13" s="338"/>
      <c r="NN13" s="338"/>
      <c r="NO13" s="338"/>
      <c r="NP13" s="338"/>
      <c r="NQ13" s="338"/>
      <c r="NR13" s="338"/>
      <c r="NS13" s="338"/>
      <c r="NT13" s="338"/>
      <c r="NU13" s="338"/>
      <c r="NV13" s="338"/>
      <c r="NW13" s="338"/>
      <c r="NX13" s="338"/>
      <c r="NY13" s="338"/>
      <c r="NZ13" s="338"/>
      <c r="OA13" s="338"/>
      <c r="OB13" s="338"/>
      <c r="OC13" s="338"/>
      <c r="OD13" s="338"/>
      <c r="OE13" s="338"/>
      <c r="OF13" s="338"/>
      <c r="OG13" s="338"/>
      <c r="OH13" s="338"/>
      <c r="OI13" s="338"/>
      <c r="OJ13" s="338"/>
      <c r="OK13" s="338"/>
      <c r="OL13" s="338"/>
      <c r="OM13" s="338"/>
      <c r="ON13" s="338"/>
      <c r="OO13" s="338"/>
      <c r="OP13" s="338"/>
      <c r="OQ13" s="338"/>
      <c r="OR13" s="338"/>
      <c r="OS13" s="338"/>
      <c r="OT13" s="338"/>
      <c r="OU13" s="338"/>
      <c r="OV13" s="338"/>
      <c r="OW13" s="338"/>
      <c r="OX13" s="338"/>
      <c r="OY13" s="338"/>
      <c r="OZ13" s="338"/>
      <c r="PA13" s="338"/>
      <c r="PB13" s="338"/>
      <c r="PC13" s="338"/>
      <c r="PD13" s="338"/>
      <c r="PE13" s="338"/>
      <c r="PF13" s="338"/>
      <c r="PG13" s="338"/>
      <c r="PH13" s="338"/>
      <c r="PI13" s="338"/>
      <c r="PJ13" s="338"/>
      <c r="PK13" s="338"/>
      <c r="PL13" s="338"/>
      <c r="PM13" s="338"/>
      <c r="PN13" s="338"/>
      <c r="PO13" s="338"/>
      <c r="PP13" s="338"/>
      <c r="PQ13" s="338"/>
      <c r="PR13" s="338"/>
      <c r="PS13" s="338"/>
      <c r="PT13" s="338"/>
      <c r="PU13" s="338"/>
      <c r="PV13" s="338"/>
      <c r="PW13" s="338"/>
      <c r="PX13" s="338"/>
      <c r="PY13" s="338"/>
      <c r="PZ13" s="338"/>
      <c r="QA13" s="338"/>
      <c r="QB13" s="338"/>
      <c r="QC13" s="338"/>
      <c r="QD13" s="338"/>
      <c r="QE13" s="338"/>
      <c r="QF13" s="338"/>
      <c r="QG13" s="338"/>
      <c r="QH13" s="338"/>
      <c r="QI13" s="338"/>
      <c r="QJ13" s="338"/>
      <c r="QK13" s="338"/>
      <c r="QL13" s="338"/>
      <c r="QM13" s="338"/>
      <c r="QN13" s="338"/>
      <c r="QO13" s="338"/>
      <c r="QP13" s="338"/>
      <c r="QQ13" s="338"/>
      <c r="QR13" s="338"/>
      <c r="QS13" s="338"/>
      <c r="QT13" s="338"/>
      <c r="QU13" s="338"/>
      <c r="QV13" s="338"/>
      <c r="QW13" s="338"/>
      <c r="QX13" s="338"/>
      <c r="QY13" s="338"/>
      <c r="QZ13" s="338"/>
      <c r="RA13" s="338"/>
      <c r="RB13" s="338"/>
      <c r="RC13" s="338"/>
      <c r="RD13" s="338"/>
      <c r="RE13" s="338"/>
      <c r="RF13" s="338"/>
      <c r="RG13" s="338"/>
      <c r="RH13" s="338"/>
      <c r="RI13" s="338"/>
      <c r="RJ13" s="338"/>
      <c r="RK13" s="338"/>
      <c r="RL13" s="338"/>
      <c r="RM13" s="338"/>
      <c r="RN13" s="338"/>
      <c r="RO13" s="338"/>
      <c r="RP13" s="338"/>
      <c r="RQ13" s="338"/>
      <c r="RR13" s="338"/>
      <c r="RS13" s="338"/>
      <c r="RT13" s="338"/>
      <c r="RU13" s="338"/>
      <c r="RV13" s="338"/>
      <c r="RW13" s="338"/>
      <c r="RX13" s="338"/>
      <c r="RY13" s="338"/>
      <c r="RZ13" s="338"/>
      <c r="SA13" s="338"/>
      <c r="SB13" s="338"/>
      <c r="SC13" s="338"/>
      <c r="SD13" s="338"/>
      <c r="SE13" s="338"/>
      <c r="SF13" s="338"/>
      <c r="SG13" s="338"/>
      <c r="SH13" s="338"/>
      <c r="SI13" s="338"/>
      <c r="SJ13" s="338"/>
      <c r="SK13" s="338"/>
      <c r="SL13" s="338"/>
      <c r="SM13" s="338"/>
      <c r="SN13" s="338"/>
      <c r="SO13" s="338"/>
      <c r="SP13" s="338"/>
      <c r="SQ13" s="338"/>
      <c r="SR13" s="338"/>
      <c r="SS13" s="338"/>
      <c r="ST13" s="338"/>
      <c r="SU13" s="338"/>
      <c r="SV13" s="338"/>
      <c r="SW13" s="338"/>
      <c r="SX13" s="338"/>
      <c r="SY13" s="338"/>
      <c r="SZ13" s="338"/>
      <c r="TA13" s="338"/>
      <c r="TB13" s="338"/>
      <c r="TC13" s="338"/>
      <c r="TD13" s="338"/>
      <c r="TE13" s="338"/>
      <c r="TF13" s="338"/>
      <c r="TG13" s="338"/>
      <c r="TH13" s="338"/>
      <c r="TI13" s="338"/>
      <c r="TJ13" s="338"/>
      <c r="TK13" s="338"/>
      <c r="TL13" s="338"/>
      <c r="TM13" s="338"/>
      <c r="TN13" s="338"/>
      <c r="TO13" s="338"/>
      <c r="TP13" s="338"/>
      <c r="TQ13" s="338"/>
      <c r="TR13" s="338"/>
      <c r="TS13" s="338"/>
      <c r="TT13" s="338"/>
      <c r="TU13" s="338"/>
      <c r="TV13" s="338"/>
      <c r="TW13" s="338"/>
      <c r="TX13" s="338"/>
      <c r="TY13" s="338"/>
      <c r="TZ13" s="338"/>
      <c r="UA13" s="338"/>
      <c r="UB13" s="338"/>
      <c r="UC13" s="338"/>
      <c r="UD13" s="338"/>
      <c r="UE13" s="338"/>
      <c r="UF13" s="338"/>
      <c r="UG13" s="338"/>
      <c r="UH13" s="338"/>
      <c r="UI13" s="338"/>
      <c r="UJ13" s="338"/>
      <c r="UK13" s="338"/>
      <c r="UL13" s="338"/>
      <c r="UM13" s="338"/>
      <c r="UN13" s="338"/>
      <c r="UO13" s="338"/>
      <c r="UP13" s="338"/>
      <c r="UQ13" s="338"/>
      <c r="UR13" s="338"/>
      <c r="US13" s="338"/>
      <c r="UT13" s="338"/>
      <c r="UU13" s="338"/>
      <c r="UV13" s="338"/>
      <c r="UW13" s="338"/>
      <c r="UX13" s="338"/>
      <c r="UY13" s="338"/>
      <c r="UZ13" s="338"/>
      <c r="VA13" s="338"/>
      <c r="VB13" s="338"/>
      <c r="VC13" s="338"/>
      <c r="VD13" s="338"/>
      <c r="VE13" s="338"/>
      <c r="VF13" s="338"/>
      <c r="VG13" s="338"/>
      <c r="VH13" s="338"/>
      <c r="VI13" s="338"/>
      <c r="VJ13" s="338"/>
      <c r="VK13" s="338"/>
      <c r="VL13" s="338"/>
      <c r="VM13" s="338"/>
      <c r="VN13" s="338"/>
      <c r="VO13" s="338"/>
      <c r="VP13" s="338"/>
      <c r="VQ13" s="338"/>
      <c r="VR13" s="338"/>
      <c r="VS13" s="338"/>
      <c r="VT13" s="338"/>
      <c r="VU13" s="338"/>
      <c r="VV13" s="338"/>
      <c r="VW13" s="338"/>
      <c r="VX13" s="338"/>
      <c r="VY13" s="338"/>
      <c r="VZ13" s="338"/>
      <c r="WA13" s="338"/>
      <c r="WB13" s="338"/>
      <c r="WC13" s="338"/>
      <c r="WD13" s="338"/>
      <c r="WE13" s="338"/>
      <c r="WF13" s="338"/>
      <c r="WG13" s="338"/>
      <c r="WH13" s="338"/>
      <c r="WI13" s="338"/>
      <c r="WJ13" s="338"/>
      <c r="WK13" s="338"/>
      <c r="WL13" s="338"/>
      <c r="WM13" s="338"/>
      <c r="WN13" s="338"/>
      <c r="WO13" s="338"/>
      <c r="WP13" s="338"/>
      <c r="WQ13" s="338"/>
      <c r="WR13" s="338"/>
      <c r="WS13" s="338"/>
      <c r="WT13" s="338"/>
      <c r="WU13" s="338"/>
      <c r="WV13" s="338"/>
      <c r="WW13" s="338"/>
      <c r="WX13" s="338"/>
      <c r="WY13" s="338"/>
      <c r="WZ13" s="338"/>
      <c r="XA13" s="338"/>
      <c r="XB13" s="338"/>
      <c r="XC13" s="338"/>
      <c r="XD13" s="338"/>
      <c r="XE13" s="338"/>
      <c r="XF13" s="338"/>
      <c r="XG13" s="338"/>
      <c r="XH13" s="338"/>
      <c r="XI13" s="338"/>
      <c r="XJ13" s="338"/>
      <c r="XK13" s="338"/>
      <c r="XL13" s="338"/>
      <c r="XM13" s="338"/>
      <c r="XN13" s="338"/>
      <c r="XO13" s="338"/>
      <c r="XP13" s="338"/>
      <c r="XQ13" s="338"/>
      <c r="XR13" s="338"/>
      <c r="XS13" s="338"/>
      <c r="XT13" s="338"/>
      <c r="XU13" s="338"/>
      <c r="XV13" s="338"/>
      <c r="XW13" s="338"/>
      <c r="XX13" s="338"/>
      <c r="XY13" s="338"/>
      <c r="XZ13" s="338"/>
      <c r="YA13" s="338"/>
      <c r="YB13" s="338"/>
      <c r="YC13" s="338"/>
      <c r="YD13" s="338"/>
      <c r="YE13" s="338"/>
      <c r="YF13" s="338"/>
      <c r="YG13" s="338"/>
      <c r="YH13" s="338"/>
      <c r="YI13" s="338"/>
      <c r="YJ13" s="338"/>
      <c r="YK13" s="338"/>
      <c r="YL13" s="338"/>
      <c r="YM13" s="338"/>
      <c r="YN13" s="338"/>
      <c r="YO13" s="338"/>
      <c r="YP13" s="338"/>
      <c r="YQ13" s="338"/>
      <c r="YR13" s="338"/>
      <c r="YS13" s="338"/>
      <c r="YT13" s="338"/>
      <c r="YU13" s="338"/>
      <c r="YV13" s="338"/>
      <c r="YW13" s="338"/>
      <c r="YX13" s="338"/>
      <c r="YY13" s="338"/>
      <c r="YZ13" s="338"/>
      <c r="ZA13" s="338"/>
      <c r="ZB13" s="338"/>
      <c r="ZC13" s="338"/>
      <c r="ZD13" s="338"/>
      <c r="ZE13" s="338"/>
      <c r="ZF13" s="338"/>
      <c r="ZG13" s="338"/>
      <c r="ZH13" s="338"/>
      <c r="ZI13" s="338"/>
      <c r="ZJ13" s="338"/>
      <c r="ZK13" s="338"/>
      <c r="ZL13" s="338"/>
      <c r="ZM13" s="338"/>
      <c r="ZN13" s="338"/>
      <c r="ZO13" s="338"/>
      <c r="ZP13" s="338"/>
      <c r="ZQ13" s="338"/>
      <c r="ZR13" s="338"/>
      <c r="ZS13" s="338"/>
      <c r="ZT13" s="338"/>
      <c r="ZU13" s="338"/>
      <c r="ZV13" s="338"/>
      <c r="ZW13" s="338"/>
      <c r="ZX13" s="338"/>
      <c r="ZY13" s="338"/>
      <c r="ZZ13" s="338"/>
      <c r="AAA13" s="338"/>
      <c r="AAB13" s="338"/>
      <c r="AAC13" s="338"/>
      <c r="AAD13" s="338"/>
      <c r="AAE13" s="338"/>
      <c r="AAF13" s="338"/>
      <c r="AAG13" s="338"/>
      <c r="AAH13" s="338"/>
      <c r="AAI13" s="338"/>
      <c r="AAJ13" s="338"/>
      <c r="AAK13" s="338"/>
      <c r="AAL13" s="338"/>
      <c r="AAM13" s="338"/>
      <c r="AAN13" s="338"/>
      <c r="AAO13" s="338"/>
      <c r="AAP13" s="338"/>
      <c r="AAQ13" s="338"/>
      <c r="AAR13" s="338"/>
      <c r="AAS13" s="338"/>
      <c r="AAT13" s="338"/>
      <c r="AAU13" s="338"/>
      <c r="AAV13" s="338"/>
      <c r="AAW13" s="338"/>
      <c r="AAX13" s="338"/>
      <c r="AAY13" s="338"/>
      <c r="AAZ13" s="338"/>
      <c r="ABA13" s="338"/>
      <c r="ABB13" s="338"/>
      <c r="ABC13" s="338"/>
      <c r="ABD13" s="338"/>
      <c r="ABE13" s="338"/>
      <c r="ABF13" s="338"/>
      <c r="ABG13" s="338"/>
      <c r="ABH13" s="338"/>
      <c r="ABI13" s="338"/>
      <c r="ABJ13" s="338"/>
      <c r="ABK13" s="338"/>
      <c r="ABL13" s="338"/>
      <c r="ABM13" s="338"/>
      <c r="ABN13" s="338"/>
      <c r="ABO13" s="338"/>
      <c r="ABP13" s="338"/>
      <c r="ABQ13" s="338"/>
      <c r="ABR13" s="338"/>
      <c r="ABS13" s="338"/>
      <c r="ABT13" s="338"/>
      <c r="ABU13" s="338"/>
      <c r="ABV13" s="338"/>
      <c r="ABW13" s="338"/>
      <c r="ABX13" s="338"/>
      <c r="ABY13" s="338"/>
      <c r="ABZ13" s="338"/>
      <c r="ACA13" s="338"/>
      <c r="ACB13" s="338"/>
      <c r="ACC13" s="338"/>
      <c r="ACD13" s="338"/>
      <c r="ACE13" s="338"/>
      <c r="ACF13" s="338"/>
      <c r="ACG13" s="338"/>
      <c r="ACH13" s="338"/>
      <c r="ACI13" s="338"/>
      <c r="ACJ13" s="338"/>
      <c r="ACK13" s="338"/>
      <c r="ACL13" s="338"/>
      <c r="ACM13" s="338"/>
      <c r="ACN13" s="338"/>
      <c r="ACO13" s="338"/>
      <c r="ACP13" s="338"/>
      <c r="ACQ13" s="338"/>
      <c r="ACR13" s="338"/>
      <c r="ACS13" s="338"/>
      <c r="ACT13" s="338"/>
      <c r="ACU13" s="338"/>
      <c r="ACV13" s="338"/>
      <c r="ACW13" s="338"/>
      <c r="ACX13" s="338"/>
      <c r="ACY13" s="338"/>
      <c r="ACZ13" s="338"/>
      <c r="ADA13" s="338"/>
      <c r="ADB13" s="338"/>
      <c r="ADC13" s="338"/>
      <c r="ADD13" s="338"/>
      <c r="ADE13" s="338"/>
      <c r="ADF13" s="338"/>
      <c r="ADG13" s="338"/>
      <c r="ADH13" s="338"/>
      <c r="ADI13" s="338"/>
      <c r="ADJ13" s="338"/>
      <c r="ADK13" s="338"/>
      <c r="ADL13" s="338"/>
      <c r="ADM13" s="338"/>
      <c r="ADN13" s="338"/>
      <c r="ADO13" s="338"/>
      <c r="ADP13" s="338"/>
      <c r="ADQ13" s="338"/>
      <c r="ADR13" s="338"/>
      <c r="ADS13" s="338"/>
      <c r="ADT13" s="338"/>
      <c r="ADU13" s="338"/>
      <c r="ADV13" s="338"/>
      <c r="ADW13" s="338"/>
      <c r="ADX13" s="338"/>
      <c r="ADY13" s="338"/>
      <c r="ADZ13" s="338"/>
      <c r="AEA13" s="338"/>
      <c r="AEB13" s="338"/>
      <c r="AEC13" s="338"/>
      <c r="AED13" s="338"/>
      <c r="AEE13" s="338"/>
      <c r="AEF13" s="338"/>
      <c r="AEG13" s="338"/>
      <c r="AEH13" s="338"/>
      <c r="AEI13" s="338"/>
      <c r="AEJ13" s="338"/>
      <c r="AEK13" s="338"/>
      <c r="AEL13" s="338"/>
      <c r="AEM13" s="338"/>
      <c r="AEN13" s="338"/>
      <c r="AEO13" s="338"/>
      <c r="AEP13" s="338"/>
      <c r="AEQ13" s="338"/>
      <c r="AER13" s="338"/>
      <c r="AES13" s="338"/>
      <c r="AET13" s="338"/>
      <c r="AEU13" s="338"/>
      <c r="AEV13" s="338"/>
      <c r="AEW13" s="338"/>
      <c r="AEX13" s="338"/>
      <c r="AEY13" s="338"/>
      <c r="AEZ13" s="338"/>
      <c r="AFA13" s="338"/>
      <c r="AFB13" s="338"/>
      <c r="AFC13" s="338"/>
      <c r="AFD13" s="338"/>
      <c r="AFE13" s="338"/>
      <c r="AFF13" s="338"/>
      <c r="AFG13" s="338"/>
      <c r="AFH13" s="338"/>
      <c r="AFI13" s="338"/>
      <c r="AFJ13" s="338"/>
      <c r="AFK13" s="338"/>
      <c r="AFL13" s="338"/>
      <c r="AFM13" s="338"/>
      <c r="AFN13" s="338"/>
      <c r="AFO13" s="338"/>
      <c r="AFP13" s="338"/>
      <c r="AFQ13" s="338"/>
      <c r="AFR13" s="338"/>
      <c r="AFS13" s="338"/>
      <c r="AFT13" s="338"/>
      <c r="AFU13" s="338"/>
      <c r="AFV13" s="338"/>
      <c r="AFW13" s="338"/>
      <c r="AFX13" s="338"/>
      <c r="AFY13" s="338"/>
      <c r="AFZ13" s="338"/>
      <c r="AGA13" s="338"/>
      <c r="AGB13" s="338"/>
      <c r="AGC13" s="338"/>
      <c r="AGD13" s="338"/>
      <c r="AGE13" s="338"/>
      <c r="AGF13" s="338"/>
      <c r="AGG13" s="338"/>
      <c r="AGH13" s="338"/>
      <c r="AGI13" s="338"/>
      <c r="AGJ13" s="338"/>
      <c r="AGK13" s="338"/>
      <c r="AGL13" s="338"/>
      <c r="AGM13" s="338"/>
      <c r="AGN13" s="338"/>
      <c r="AGO13" s="338"/>
      <c r="AGP13" s="338"/>
      <c r="AGQ13" s="338"/>
      <c r="AGR13" s="338"/>
      <c r="AGS13" s="338"/>
      <c r="AGT13" s="338"/>
      <c r="AGU13" s="338"/>
      <c r="AGV13" s="338"/>
      <c r="AGW13" s="338"/>
      <c r="AGX13" s="338"/>
      <c r="AGY13" s="338"/>
      <c r="AGZ13" s="338"/>
      <c r="AHA13" s="338"/>
      <c r="AHB13" s="338"/>
      <c r="AHC13" s="338"/>
      <c r="AHD13" s="338"/>
      <c r="AHE13" s="338"/>
      <c r="AHF13" s="338"/>
      <c r="AHG13" s="338"/>
      <c r="AHH13" s="338"/>
      <c r="AHI13" s="338"/>
      <c r="AHJ13" s="338"/>
      <c r="AHK13" s="338"/>
      <c r="AHL13" s="338"/>
      <c r="AHM13" s="338"/>
      <c r="AHN13" s="338"/>
      <c r="AHO13" s="338"/>
      <c r="AHP13" s="338"/>
      <c r="AHQ13" s="338"/>
      <c r="AHR13" s="338"/>
      <c r="AHS13" s="338"/>
      <c r="AHT13" s="338"/>
      <c r="AHU13" s="338"/>
      <c r="AHV13" s="338"/>
      <c r="AHW13" s="338"/>
      <c r="AHX13" s="338"/>
      <c r="AHY13" s="338"/>
      <c r="AHZ13" s="338"/>
      <c r="AIA13" s="338"/>
      <c r="AIB13" s="338"/>
      <c r="AIC13" s="338"/>
      <c r="AID13" s="338"/>
      <c r="AIE13" s="338"/>
      <c r="AIF13" s="338"/>
      <c r="AIG13" s="338"/>
      <c r="AIH13" s="338"/>
      <c r="AII13" s="338"/>
      <c r="AIJ13" s="338"/>
      <c r="AIK13" s="338"/>
      <c r="AIL13" s="338"/>
      <c r="AIM13" s="338"/>
      <c r="AIN13" s="338"/>
      <c r="AIO13" s="338"/>
      <c r="AIP13" s="338"/>
      <c r="AIQ13" s="338"/>
      <c r="AIR13" s="338"/>
      <c r="AIS13" s="338"/>
      <c r="AIT13" s="338"/>
      <c r="AIU13" s="338"/>
      <c r="AIV13" s="338"/>
      <c r="AIW13" s="338"/>
      <c r="AIX13" s="338"/>
      <c r="AIY13" s="338"/>
      <c r="AIZ13" s="338"/>
      <c r="AJA13" s="338"/>
      <c r="AJB13" s="338"/>
      <c r="AJC13" s="338"/>
      <c r="AJD13" s="338"/>
      <c r="AJE13" s="338"/>
      <c r="AJF13" s="338"/>
      <c r="AJG13" s="338"/>
      <c r="AJH13" s="338"/>
      <c r="AJI13" s="338"/>
      <c r="AJJ13" s="338"/>
      <c r="AJK13" s="338"/>
      <c r="AJL13" s="338"/>
      <c r="AJM13" s="338"/>
      <c r="AJN13" s="338"/>
      <c r="AJO13" s="338"/>
      <c r="AJP13" s="338"/>
      <c r="AJQ13" s="338"/>
      <c r="AJR13" s="338"/>
      <c r="AJS13" s="338"/>
      <c r="AJT13" s="338"/>
      <c r="AJU13" s="338"/>
      <c r="AJV13" s="338"/>
      <c r="AJW13" s="338"/>
      <c r="AJX13" s="338"/>
      <c r="AJY13" s="338"/>
      <c r="AJZ13" s="338"/>
      <c r="AKA13" s="338"/>
      <c r="AKB13" s="338"/>
      <c r="AKC13" s="338"/>
      <c r="AKD13" s="338"/>
      <c r="AKE13" s="338"/>
      <c r="AKF13" s="338"/>
      <c r="AKG13" s="338"/>
      <c r="AKH13" s="338"/>
      <c r="AKI13" s="338"/>
      <c r="AKJ13" s="338"/>
      <c r="AKK13" s="338"/>
      <c r="AKL13" s="338"/>
      <c r="AKM13" s="338"/>
      <c r="AKN13" s="338"/>
      <c r="AKO13" s="338"/>
      <c r="AKP13" s="338"/>
      <c r="AKQ13" s="338"/>
      <c r="AKR13" s="338"/>
      <c r="AKS13" s="338"/>
      <c r="AKT13" s="338"/>
      <c r="AKU13" s="338"/>
      <c r="AKV13" s="338"/>
      <c r="AKW13" s="338"/>
      <c r="AKX13" s="338"/>
      <c r="AKY13" s="338"/>
      <c r="AKZ13" s="338"/>
      <c r="ALA13" s="338"/>
      <c r="ALB13" s="338"/>
      <c r="ALC13" s="338"/>
      <c r="ALD13" s="338"/>
      <c r="ALE13" s="338"/>
      <c r="ALF13" s="338"/>
      <c r="ALG13" s="338"/>
      <c r="ALH13" s="338"/>
      <c r="ALI13" s="338"/>
      <c r="ALJ13" s="338"/>
      <c r="ALK13" s="338"/>
      <c r="ALL13" s="338"/>
      <c r="ALM13" s="338"/>
      <c r="ALN13" s="338"/>
      <c r="ALO13" s="338"/>
      <c r="ALP13" s="338"/>
      <c r="ALQ13" s="338"/>
      <c r="ALR13" s="338"/>
      <c r="ALS13" s="338"/>
      <c r="ALT13" s="338"/>
      <c r="ALU13" s="338"/>
      <c r="ALV13" s="338"/>
      <c r="ALW13" s="338"/>
      <c r="ALX13" s="338"/>
      <c r="ALY13" s="338"/>
      <c r="ALZ13" s="338"/>
      <c r="AMA13" s="338"/>
      <c r="AMB13" s="338"/>
      <c r="AMC13" s="338"/>
      <c r="AMD13" s="338"/>
      <c r="AME13" s="338"/>
      <c r="AMF13" s="338"/>
      <c r="AMG13" s="338"/>
      <c r="AMH13" s="338"/>
      <c r="AMI13" s="338"/>
      <c r="AMJ13" s="338"/>
      <c r="AMK13" s="338"/>
      <c r="AML13" s="338"/>
      <c r="AMM13" s="338"/>
      <c r="AMN13" s="338"/>
      <c r="AMO13" s="338"/>
      <c r="AMP13" s="338"/>
      <c r="AMQ13" s="338"/>
      <c r="AMR13" s="338"/>
      <c r="AMS13" s="338"/>
      <c r="AMT13" s="338"/>
      <c r="AMU13" s="338"/>
      <c r="AMV13" s="338"/>
      <c r="AMW13" s="338"/>
      <c r="AMX13" s="338"/>
      <c r="AMY13" s="338"/>
      <c r="AMZ13" s="338"/>
      <c r="ANA13" s="338"/>
      <c r="ANB13" s="338"/>
      <c r="ANC13" s="338"/>
      <c r="AND13" s="338"/>
      <c r="ANE13" s="338"/>
      <c r="ANF13" s="338"/>
      <c r="ANG13" s="338"/>
      <c r="ANH13" s="338"/>
      <c r="ANI13" s="338"/>
      <c r="ANJ13" s="338"/>
      <c r="ANK13" s="338"/>
      <c r="ANL13" s="338"/>
      <c r="ANM13" s="338"/>
      <c r="ANN13" s="338"/>
      <c r="ANO13" s="338"/>
      <c r="ANP13" s="338"/>
      <c r="ANQ13" s="338"/>
      <c r="ANR13" s="338"/>
      <c r="ANS13" s="338"/>
      <c r="ANT13" s="338"/>
      <c r="ANU13" s="338"/>
      <c r="ANV13" s="338"/>
      <c r="ANW13" s="338"/>
      <c r="ANX13" s="338"/>
      <c r="ANY13" s="338"/>
      <c r="ANZ13" s="338"/>
      <c r="AOA13" s="338"/>
      <c r="AOB13" s="338"/>
      <c r="AOC13" s="338"/>
      <c r="AOD13" s="338"/>
      <c r="AOE13" s="338"/>
      <c r="AOF13" s="338"/>
      <c r="AOG13" s="338"/>
      <c r="AOH13" s="338"/>
      <c r="AOI13" s="338"/>
      <c r="AOJ13" s="338"/>
      <c r="AOK13" s="338"/>
      <c r="AOL13" s="338"/>
      <c r="AOM13" s="338"/>
      <c r="AON13" s="338"/>
      <c r="AOO13" s="338"/>
      <c r="AOP13" s="338"/>
      <c r="AOQ13" s="338"/>
      <c r="AOR13" s="338"/>
      <c r="AOS13" s="338"/>
      <c r="AOT13" s="338"/>
      <c r="AOU13" s="338"/>
      <c r="AOV13" s="338"/>
      <c r="AOW13" s="338"/>
      <c r="AOX13" s="338"/>
      <c r="AOY13" s="338"/>
      <c r="AOZ13" s="338"/>
      <c r="APA13" s="338"/>
      <c r="APB13" s="338"/>
      <c r="APC13" s="338"/>
      <c r="APD13" s="338"/>
      <c r="APE13" s="338"/>
      <c r="APF13" s="338"/>
      <c r="APG13" s="338"/>
      <c r="APH13" s="338"/>
      <c r="API13" s="338"/>
      <c r="APJ13" s="338"/>
      <c r="APK13" s="338"/>
      <c r="APL13" s="338"/>
      <c r="APM13" s="338"/>
      <c r="APN13" s="338"/>
      <c r="APO13" s="338"/>
      <c r="APP13" s="338"/>
      <c r="APQ13" s="338"/>
      <c r="APR13" s="338"/>
      <c r="APS13" s="338"/>
      <c r="APT13" s="338"/>
      <c r="APU13" s="338"/>
      <c r="APV13" s="338"/>
      <c r="APW13" s="338"/>
      <c r="APX13" s="338"/>
      <c r="APY13" s="338"/>
      <c r="APZ13" s="338"/>
      <c r="AQA13" s="338"/>
      <c r="AQB13" s="338"/>
      <c r="AQC13" s="338"/>
      <c r="AQD13" s="338"/>
      <c r="AQE13" s="338"/>
      <c r="AQF13" s="338"/>
      <c r="AQG13" s="338"/>
      <c r="AQH13" s="338"/>
      <c r="AQI13" s="338"/>
      <c r="AQJ13" s="338"/>
      <c r="AQK13" s="338"/>
      <c r="AQL13" s="338"/>
      <c r="AQM13" s="338"/>
      <c r="AQN13" s="338"/>
      <c r="AQO13" s="338"/>
      <c r="AQP13" s="338"/>
      <c r="AQQ13" s="338"/>
      <c r="AQR13" s="338"/>
      <c r="AQS13" s="338"/>
      <c r="AQT13" s="338"/>
      <c r="AQU13" s="338"/>
      <c r="AQV13" s="338"/>
      <c r="AQW13" s="338"/>
      <c r="AQX13" s="338"/>
      <c r="AQY13" s="338"/>
      <c r="AQZ13" s="338"/>
      <c r="ARA13" s="338"/>
      <c r="ARB13" s="338"/>
      <c r="ARC13" s="338"/>
      <c r="ARD13" s="338"/>
      <c r="ARE13" s="338"/>
      <c r="ARF13" s="338"/>
      <c r="ARG13" s="338"/>
      <c r="ARH13" s="338"/>
      <c r="ARI13" s="338"/>
      <c r="ARJ13" s="338"/>
      <c r="ARK13" s="338"/>
      <c r="ARL13" s="338"/>
      <c r="ARM13" s="338"/>
      <c r="ARN13" s="338"/>
      <c r="ARO13" s="338"/>
      <c r="ARP13" s="338"/>
      <c r="ARQ13" s="338"/>
      <c r="ARR13" s="338"/>
      <c r="ARS13" s="338"/>
      <c r="ART13" s="338"/>
      <c r="ARU13" s="338"/>
      <c r="ARV13" s="338"/>
      <c r="ARW13" s="338"/>
      <c r="ARX13" s="338"/>
      <c r="ARY13" s="338"/>
      <c r="ARZ13" s="338"/>
      <c r="ASA13" s="338"/>
      <c r="ASB13" s="338"/>
      <c r="ASC13" s="338"/>
      <c r="ASD13" s="338"/>
      <c r="ASE13" s="338"/>
      <c r="ASF13" s="338"/>
      <c r="ASG13" s="338"/>
      <c r="ASH13" s="338"/>
      <c r="ASI13" s="338"/>
      <c r="ASJ13" s="338"/>
      <c r="ASK13" s="338"/>
      <c r="ASL13" s="338"/>
      <c r="ASM13" s="338"/>
      <c r="ASN13" s="338"/>
      <c r="ASO13" s="338"/>
      <c r="ASP13" s="338"/>
      <c r="ASQ13" s="338"/>
      <c r="ASR13" s="338"/>
      <c r="ASS13" s="338"/>
      <c r="AST13" s="338"/>
      <c r="ASU13" s="338"/>
      <c r="ASV13" s="338"/>
      <c r="ASW13" s="338"/>
      <c r="ASX13" s="338"/>
      <c r="ASY13" s="338"/>
      <c r="ASZ13" s="338"/>
      <c r="ATA13" s="338"/>
      <c r="ATB13" s="338"/>
      <c r="ATC13" s="338"/>
      <c r="ATD13" s="338"/>
      <c r="ATE13" s="338"/>
      <c r="ATF13" s="338"/>
      <c r="ATG13" s="338"/>
      <c r="ATH13" s="338"/>
      <c r="ATI13" s="338"/>
      <c r="ATJ13" s="338"/>
      <c r="ATK13" s="338"/>
      <c r="ATL13" s="338"/>
      <c r="ATM13" s="338"/>
      <c r="ATN13" s="338"/>
      <c r="ATO13" s="338"/>
      <c r="ATP13" s="338"/>
      <c r="ATQ13" s="338"/>
      <c r="ATR13" s="338"/>
      <c r="ATS13" s="338"/>
      <c r="ATT13" s="338"/>
      <c r="ATU13" s="338"/>
      <c r="ATV13" s="338"/>
      <c r="ATW13" s="338"/>
      <c r="ATX13" s="338"/>
      <c r="ATY13" s="338"/>
      <c r="ATZ13" s="338"/>
      <c r="AUA13" s="338"/>
      <c r="AUB13" s="338"/>
      <c r="AUC13" s="338"/>
      <c r="AUD13" s="338"/>
      <c r="AUE13" s="338"/>
      <c r="AUF13" s="338"/>
      <c r="AUG13" s="338"/>
      <c r="AUH13" s="338"/>
      <c r="AUI13" s="338"/>
      <c r="AUJ13" s="338"/>
      <c r="AUK13" s="338"/>
      <c r="AUL13" s="338"/>
      <c r="AUM13" s="338"/>
      <c r="AUN13" s="338"/>
      <c r="AUO13" s="338"/>
      <c r="AUP13" s="338"/>
      <c r="AUQ13" s="338"/>
      <c r="AUR13" s="338"/>
      <c r="AUS13" s="338"/>
      <c r="AUT13" s="338"/>
      <c r="AUU13" s="338"/>
      <c r="AUV13" s="338"/>
      <c r="AUW13" s="338"/>
      <c r="AUX13" s="338"/>
      <c r="AUY13" s="338"/>
      <c r="AUZ13" s="338"/>
      <c r="AVA13" s="338"/>
      <c r="AVB13" s="338"/>
      <c r="AVC13" s="338"/>
      <c r="AVD13" s="338"/>
      <c r="AVE13" s="338"/>
      <c r="AVF13" s="338"/>
      <c r="AVG13" s="338"/>
      <c r="AVH13" s="338"/>
      <c r="AVI13" s="338"/>
      <c r="AVJ13" s="338"/>
      <c r="AVK13" s="338"/>
      <c r="AVL13" s="338"/>
      <c r="AVM13" s="338"/>
      <c r="AVN13" s="338"/>
      <c r="AVO13" s="338"/>
      <c r="AVP13" s="338"/>
      <c r="AVQ13" s="338"/>
      <c r="AVR13" s="338"/>
      <c r="AVS13" s="338"/>
      <c r="AVT13" s="338"/>
      <c r="AVU13" s="338"/>
      <c r="AVV13" s="338"/>
      <c r="AVW13" s="338"/>
      <c r="AVX13" s="338"/>
      <c r="AVY13" s="338"/>
      <c r="AVZ13" s="338"/>
      <c r="AWA13" s="338"/>
      <c r="AWB13" s="338"/>
      <c r="AWC13" s="338"/>
      <c r="AWD13" s="338"/>
      <c r="AWE13" s="338"/>
      <c r="AWF13" s="338"/>
      <c r="AWG13" s="338"/>
      <c r="AWH13" s="338"/>
      <c r="AWI13" s="338"/>
      <c r="AWJ13" s="338"/>
      <c r="AWK13" s="338"/>
      <c r="AWL13" s="338"/>
      <c r="AWM13" s="338"/>
      <c r="AWN13" s="338"/>
      <c r="AWO13" s="338"/>
      <c r="AWP13" s="338"/>
      <c r="AWQ13" s="338"/>
      <c r="AWR13" s="338"/>
      <c r="AWS13" s="338"/>
      <c r="AWT13" s="338"/>
      <c r="AWU13" s="338"/>
      <c r="AWV13" s="338"/>
      <c r="AWW13" s="338"/>
      <c r="AWX13" s="338"/>
      <c r="AWY13" s="338"/>
      <c r="AWZ13" s="338"/>
      <c r="AXA13" s="338"/>
      <c r="AXB13" s="338"/>
      <c r="AXC13" s="338"/>
      <c r="AXD13" s="338"/>
      <c r="AXE13" s="338"/>
      <c r="AXF13" s="338"/>
      <c r="AXG13" s="338"/>
      <c r="AXH13" s="338"/>
      <c r="AXI13" s="338"/>
      <c r="AXJ13" s="338"/>
      <c r="AXK13" s="338"/>
      <c r="AXL13" s="338"/>
      <c r="AXM13" s="338"/>
      <c r="AXN13" s="338"/>
      <c r="AXO13" s="338"/>
      <c r="AXP13" s="338"/>
      <c r="AXQ13" s="338"/>
      <c r="AXR13" s="338"/>
      <c r="AXS13" s="338"/>
      <c r="AXT13" s="338"/>
      <c r="AXU13" s="338"/>
      <c r="AXV13" s="338"/>
      <c r="AXW13" s="338"/>
      <c r="AXX13" s="338"/>
      <c r="AXY13" s="338"/>
      <c r="AXZ13" s="338"/>
      <c r="AYA13" s="338"/>
      <c r="AYB13" s="338"/>
      <c r="AYC13" s="338"/>
      <c r="AYD13" s="338"/>
      <c r="AYE13" s="338"/>
      <c r="AYF13" s="338"/>
      <c r="AYG13" s="338"/>
      <c r="AYH13" s="338"/>
      <c r="AYI13" s="338"/>
      <c r="AYJ13" s="338"/>
      <c r="AYK13" s="338"/>
      <c r="AYL13" s="338"/>
      <c r="AYM13" s="338"/>
      <c r="AYN13" s="338"/>
      <c r="AYO13" s="338"/>
      <c r="AYP13" s="338"/>
      <c r="AYQ13" s="338"/>
      <c r="AYR13" s="338"/>
      <c r="AYS13" s="338"/>
      <c r="AYT13" s="338"/>
      <c r="AYU13" s="338"/>
      <c r="AYV13" s="338"/>
      <c r="AYW13" s="338"/>
      <c r="AYX13" s="338"/>
      <c r="AYY13" s="338"/>
      <c r="AYZ13" s="338"/>
      <c r="AZA13" s="338"/>
      <c r="AZB13" s="338"/>
      <c r="AZC13" s="338"/>
      <c r="AZD13" s="338"/>
      <c r="AZE13" s="338"/>
      <c r="AZF13" s="338"/>
      <c r="AZG13" s="338"/>
      <c r="AZH13" s="338"/>
      <c r="AZI13" s="338"/>
      <c r="AZJ13" s="338"/>
      <c r="AZK13" s="338"/>
      <c r="AZL13" s="338"/>
      <c r="AZM13" s="338"/>
      <c r="AZN13" s="338"/>
      <c r="AZO13" s="338"/>
      <c r="AZP13" s="338"/>
      <c r="AZQ13" s="338"/>
      <c r="AZR13" s="338"/>
      <c r="AZS13" s="338"/>
      <c r="AZT13" s="338"/>
      <c r="AZU13" s="338"/>
      <c r="AZV13" s="338"/>
      <c r="AZW13" s="338"/>
      <c r="AZX13" s="338"/>
      <c r="AZY13" s="338"/>
      <c r="AZZ13" s="338"/>
      <c r="BAA13" s="338"/>
      <c r="BAB13" s="338"/>
      <c r="BAC13" s="338"/>
      <c r="BAD13" s="338"/>
      <c r="BAE13" s="338"/>
      <c r="BAF13" s="338"/>
      <c r="BAG13" s="338"/>
      <c r="BAH13" s="338"/>
      <c r="BAI13" s="338"/>
      <c r="BAJ13" s="338"/>
      <c r="BAK13" s="338"/>
      <c r="BAL13" s="338"/>
      <c r="BAM13" s="338"/>
      <c r="BAN13" s="338"/>
      <c r="BAO13" s="338"/>
      <c r="BAP13" s="338"/>
      <c r="BAQ13" s="338"/>
      <c r="BAR13" s="338"/>
      <c r="BAS13" s="338"/>
      <c r="BAT13" s="338"/>
      <c r="BAU13" s="338"/>
      <c r="BAV13" s="338"/>
      <c r="BAW13" s="338"/>
      <c r="BAX13" s="338"/>
      <c r="BAY13" s="338"/>
      <c r="BAZ13" s="338"/>
      <c r="BBA13" s="338"/>
      <c r="BBB13" s="338"/>
      <c r="BBC13" s="338"/>
      <c r="BBD13" s="338"/>
      <c r="BBE13" s="338"/>
      <c r="BBF13" s="338"/>
      <c r="BBG13" s="338"/>
      <c r="BBH13" s="338"/>
      <c r="BBI13" s="338"/>
      <c r="BBJ13" s="338"/>
      <c r="BBK13" s="338"/>
      <c r="BBL13" s="338"/>
      <c r="BBM13" s="338"/>
      <c r="BBN13" s="338"/>
      <c r="BBO13" s="338"/>
      <c r="BBP13" s="338"/>
      <c r="BBQ13" s="338"/>
      <c r="BBR13" s="338"/>
      <c r="BBS13" s="338"/>
      <c r="BBT13" s="338"/>
      <c r="BBU13" s="338"/>
      <c r="BBV13" s="338"/>
      <c r="BBW13" s="338"/>
      <c r="BBX13" s="338"/>
      <c r="BBY13" s="338"/>
      <c r="BBZ13" s="338"/>
      <c r="BCA13" s="338"/>
      <c r="BCB13" s="338"/>
      <c r="BCC13" s="338"/>
      <c r="BCD13" s="338"/>
      <c r="BCE13" s="338"/>
      <c r="BCF13" s="338"/>
      <c r="BCG13" s="338"/>
      <c r="BCH13" s="338"/>
      <c r="BCI13" s="338"/>
      <c r="BCJ13" s="338"/>
      <c r="BCK13" s="338"/>
      <c r="BCL13" s="338"/>
      <c r="BCM13" s="338"/>
      <c r="BCN13" s="338"/>
      <c r="BCO13" s="338"/>
      <c r="BCP13" s="338"/>
      <c r="BCQ13" s="338"/>
      <c r="BCR13" s="338"/>
      <c r="BCS13" s="338"/>
      <c r="BCT13" s="338"/>
      <c r="BCU13" s="338"/>
      <c r="BCV13" s="338"/>
      <c r="BCW13" s="338"/>
      <c r="BCX13" s="338"/>
      <c r="BCY13" s="338"/>
      <c r="BCZ13" s="338"/>
      <c r="BDA13" s="338"/>
      <c r="BDB13" s="338"/>
      <c r="BDC13" s="338"/>
      <c r="BDD13" s="338"/>
      <c r="BDE13" s="338"/>
      <c r="BDF13" s="338"/>
      <c r="BDG13" s="338"/>
      <c r="BDH13" s="338"/>
      <c r="BDI13" s="338"/>
      <c r="BDJ13" s="338"/>
      <c r="BDK13" s="338"/>
      <c r="BDL13" s="338"/>
      <c r="BDM13" s="338"/>
      <c r="BDN13" s="338"/>
      <c r="BDO13" s="338"/>
      <c r="BDP13" s="338"/>
      <c r="BDQ13" s="338"/>
      <c r="BDR13" s="338"/>
      <c r="BDS13" s="338"/>
      <c r="BDT13" s="338"/>
      <c r="BDU13" s="338"/>
      <c r="BDV13" s="338"/>
      <c r="BDW13" s="338"/>
      <c r="BDX13" s="338"/>
      <c r="BDY13" s="338"/>
      <c r="BDZ13" s="338"/>
      <c r="BEA13" s="338"/>
      <c r="BEB13" s="338"/>
      <c r="BEC13" s="338"/>
      <c r="BED13" s="338"/>
      <c r="BEE13" s="338"/>
      <c r="BEF13" s="338"/>
      <c r="BEG13" s="338"/>
      <c r="BEH13" s="338"/>
      <c r="BEI13" s="338"/>
      <c r="BEJ13" s="338"/>
      <c r="BEK13" s="338"/>
      <c r="BEL13" s="338"/>
      <c r="BEM13" s="338"/>
      <c r="BEN13" s="338"/>
      <c r="BEO13" s="338"/>
      <c r="BEP13" s="338"/>
      <c r="BEQ13" s="338"/>
      <c r="BER13" s="338"/>
      <c r="BES13" s="338"/>
      <c r="BET13" s="338"/>
      <c r="BEU13" s="338"/>
      <c r="BEV13" s="338"/>
      <c r="BEW13" s="338"/>
      <c r="BEX13" s="338"/>
      <c r="BEY13" s="338"/>
      <c r="BEZ13" s="338"/>
      <c r="BFA13" s="338"/>
      <c r="BFB13" s="338"/>
      <c r="BFC13" s="338"/>
      <c r="BFD13" s="338"/>
      <c r="BFE13" s="338"/>
      <c r="BFF13" s="338"/>
      <c r="BFG13" s="338"/>
      <c r="BFH13" s="338"/>
      <c r="BFI13" s="338"/>
      <c r="BFJ13" s="338"/>
      <c r="BFK13" s="338"/>
      <c r="BFL13" s="338"/>
      <c r="BFM13" s="338"/>
      <c r="BFN13" s="338"/>
      <c r="BFO13" s="338"/>
      <c r="BFP13" s="338"/>
      <c r="BFQ13" s="338"/>
      <c r="BFR13" s="338"/>
      <c r="BFS13" s="338"/>
      <c r="BFT13" s="338"/>
      <c r="BFU13" s="338"/>
      <c r="BFV13" s="338"/>
      <c r="BFW13" s="338"/>
      <c r="BFX13" s="338"/>
      <c r="BFY13" s="338"/>
      <c r="BFZ13" s="338"/>
      <c r="BGA13" s="338"/>
      <c r="BGB13" s="338"/>
      <c r="BGC13" s="338"/>
      <c r="BGD13" s="338"/>
      <c r="BGE13" s="338"/>
      <c r="BGF13" s="338"/>
      <c r="BGG13" s="338"/>
      <c r="BGH13" s="338"/>
      <c r="BGI13" s="338"/>
      <c r="BGJ13" s="338"/>
      <c r="BGK13" s="338"/>
      <c r="BGL13" s="338"/>
      <c r="BGM13" s="338"/>
      <c r="BGN13" s="338"/>
      <c r="BGO13" s="338"/>
      <c r="BGP13" s="338"/>
      <c r="BGQ13" s="338"/>
      <c r="BGR13" s="338"/>
      <c r="BGS13" s="338"/>
      <c r="BGT13" s="338"/>
      <c r="BGU13" s="338"/>
      <c r="BGV13" s="338"/>
      <c r="BGW13" s="338"/>
      <c r="BGX13" s="338"/>
      <c r="BGY13" s="338"/>
      <c r="BGZ13" s="338"/>
      <c r="BHA13" s="338"/>
      <c r="BHB13" s="338"/>
      <c r="BHC13" s="338"/>
      <c r="BHD13" s="338"/>
      <c r="BHE13" s="338"/>
      <c r="BHF13" s="338"/>
      <c r="BHG13" s="338"/>
      <c r="BHH13" s="338"/>
      <c r="BHI13" s="338"/>
      <c r="BHJ13" s="338"/>
      <c r="BHK13" s="338"/>
      <c r="BHL13" s="338"/>
      <c r="BHM13" s="338"/>
      <c r="BHN13" s="338"/>
      <c r="BHO13" s="338"/>
      <c r="BHP13" s="338"/>
      <c r="BHQ13" s="338"/>
      <c r="BHR13" s="338"/>
      <c r="BHS13" s="338"/>
      <c r="BHT13" s="338"/>
      <c r="BHU13" s="338"/>
      <c r="BHV13" s="338"/>
      <c r="BHW13" s="338"/>
      <c r="BHX13" s="338"/>
      <c r="BHY13" s="338"/>
      <c r="BHZ13" s="338"/>
      <c r="BIA13" s="338"/>
      <c r="BIB13" s="338"/>
      <c r="BIC13" s="338"/>
      <c r="BID13" s="338"/>
      <c r="BIE13" s="338"/>
      <c r="BIF13" s="338"/>
      <c r="BIG13" s="338"/>
      <c r="BIH13" s="338"/>
      <c r="BII13" s="338"/>
      <c r="BIJ13" s="338"/>
      <c r="BIK13" s="338"/>
      <c r="BIL13" s="338"/>
      <c r="BIM13" s="338"/>
      <c r="BIN13" s="338"/>
      <c r="BIO13" s="338"/>
      <c r="BIP13" s="338"/>
      <c r="BIQ13" s="338"/>
      <c r="BIR13" s="338"/>
      <c r="BIS13" s="338"/>
      <c r="BIT13" s="338"/>
      <c r="BIU13" s="338"/>
      <c r="BIV13" s="338"/>
      <c r="BIW13" s="338"/>
      <c r="BIX13" s="338"/>
      <c r="BIY13" s="338"/>
      <c r="BIZ13" s="338"/>
      <c r="BJA13" s="338"/>
      <c r="BJB13" s="338"/>
      <c r="BJC13" s="338"/>
      <c r="BJD13" s="338"/>
      <c r="BJE13" s="338"/>
      <c r="BJF13" s="338"/>
      <c r="BJG13" s="338"/>
      <c r="BJH13" s="338"/>
      <c r="BJI13" s="338"/>
      <c r="BJJ13" s="338"/>
      <c r="BJK13" s="338"/>
      <c r="BJL13" s="338"/>
      <c r="BJM13" s="338"/>
      <c r="BJN13" s="338"/>
      <c r="BJO13" s="338"/>
      <c r="BJP13" s="338"/>
      <c r="BJQ13" s="338"/>
      <c r="BJR13" s="338"/>
      <c r="BJS13" s="338"/>
      <c r="BJT13" s="338"/>
      <c r="BJU13" s="338"/>
      <c r="BJV13" s="338"/>
      <c r="BJW13" s="338"/>
      <c r="BJX13" s="338"/>
      <c r="BJY13" s="338"/>
      <c r="BJZ13" s="338"/>
      <c r="BKA13" s="338"/>
      <c r="BKB13" s="338"/>
      <c r="BKC13" s="338"/>
      <c r="BKD13" s="338"/>
      <c r="BKE13" s="338"/>
      <c r="BKF13" s="338"/>
      <c r="BKG13" s="338"/>
      <c r="BKH13" s="338"/>
      <c r="BKI13" s="338"/>
      <c r="BKJ13" s="338"/>
      <c r="BKK13" s="338"/>
      <c r="BKL13" s="338"/>
      <c r="BKM13" s="338"/>
      <c r="BKN13" s="338"/>
      <c r="BKO13" s="338"/>
      <c r="BKP13" s="338"/>
      <c r="BKQ13" s="338"/>
      <c r="BKR13" s="338"/>
      <c r="BKS13" s="338"/>
      <c r="BKT13" s="338"/>
      <c r="BKU13" s="338"/>
      <c r="BKV13" s="338"/>
      <c r="BKW13" s="338"/>
      <c r="BKX13" s="338"/>
      <c r="BKY13" s="338"/>
      <c r="BKZ13" s="338"/>
      <c r="BLA13" s="338"/>
      <c r="BLB13" s="338"/>
      <c r="BLC13" s="338"/>
      <c r="BLD13" s="338"/>
      <c r="BLE13" s="338"/>
      <c r="BLF13" s="338"/>
      <c r="BLG13" s="338"/>
      <c r="BLH13" s="338"/>
      <c r="BLI13" s="338"/>
      <c r="BLJ13" s="338"/>
      <c r="BLK13" s="338"/>
      <c r="BLL13" s="338"/>
      <c r="BLM13" s="338"/>
      <c r="BLN13" s="338"/>
      <c r="BLO13" s="338"/>
      <c r="BLP13" s="338"/>
      <c r="BLQ13" s="338"/>
      <c r="BLR13" s="338"/>
      <c r="BLS13" s="338"/>
      <c r="BLT13" s="338"/>
      <c r="BLU13" s="338"/>
      <c r="BLV13" s="338"/>
      <c r="BLW13" s="338"/>
      <c r="BLX13" s="338"/>
      <c r="BLY13" s="338"/>
      <c r="BLZ13" s="338"/>
      <c r="BMA13" s="338"/>
      <c r="BMB13" s="338"/>
      <c r="BMC13" s="338"/>
      <c r="BMD13" s="338"/>
      <c r="BME13" s="338"/>
      <c r="BMF13" s="338"/>
      <c r="BMG13" s="338"/>
      <c r="BMH13" s="338"/>
      <c r="BMI13" s="338"/>
      <c r="BMJ13" s="338"/>
      <c r="BMK13" s="338"/>
      <c r="BML13" s="338"/>
      <c r="BMM13" s="338"/>
      <c r="BMN13" s="338"/>
      <c r="BMO13" s="338"/>
      <c r="BMP13" s="338"/>
      <c r="BMQ13" s="338"/>
      <c r="BMR13" s="338"/>
      <c r="BMS13" s="338"/>
      <c r="BMT13" s="338"/>
      <c r="BMU13" s="338"/>
      <c r="BMV13" s="338"/>
      <c r="BMW13" s="338"/>
      <c r="BMX13" s="338"/>
      <c r="BMY13" s="338"/>
      <c r="BMZ13" s="338"/>
      <c r="BNA13" s="338"/>
      <c r="BNB13" s="338"/>
      <c r="BNC13" s="338"/>
      <c r="BND13" s="338"/>
      <c r="BNE13" s="338"/>
      <c r="BNF13" s="338"/>
      <c r="BNG13" s="338"/>
      <c r="BNH13" s="338"/>
      <c r="BNI13" s="338"/>
      <c r="BNJ13" s="338"/>
      <c r="BNK13" s="338"/>
      <c r="BNL13" s="338"/>
      <c r="BNM13" s="338"/>
      <c r="BNN13" s="338"/>
      <c r="BNO13" s="338"/>
      <c r="BNP13" s="338"/>
      <c r="BNQ13" s="338"/>
      <c r="BNR13" s="338"/>
      <c r="BNS13" s="338"/>
      <c r="BNT13" s="338"/>
      <c r="BNU13" s="338"/>
      <c r="BNV13" s="338"/>
      <c r="BNW13" s="338"/>
      <c r="BNX13" s="338"/>
      <c r="BNY13" s="338"/>
      <c r="BNZ13" s="338"/>
      <c r="BOA13" s="338"/>
      <c r="BOB13" s="338"/>
      <c r="BOC13" s="338"/>
      <c r="BOD13" s="338"/>
      <c r="BOE13" s="338"/>
      <c r="BOF13" s="338"/>
      <c r="BOG13" s="338"/>
      <c r="BOH13" s="338"/>
      <c r="BOI13" s="338"/>
      <c r="BOJ13" s="338"/>
      <c r="BOK13" s="338"/>
      <c r="BOL13" s="338"/>
      <c r="BOM13" s="338"/>
      <c r="BON13" s="338"/>
      <c r="BOO13" s="338"/>
      <c r="BOP13" s="338"/>
      <c r="BOQ13" s="338"/>
      <c r="BOR13" s="338"/>
      <c r="BOS13" s="338"/>
      <c r="BOT13" s="338"/>
      <c r="BOU13" s="338"/>
      <c r="BOV13" s="338"/>
      <c r="BOW13" s="338"/>
      <c r="BOX13" s="338"/>
      <c r="BOY13" s="338"/>
      <c r="BOZ13" s="338"/>
      <c r="BPA13" s="338"/>
      <c r="BPB13" s="338"/>
      <c r="BPC13" s="338"/>
      <c r="BPD13" s="338"/>
      <c r="BPE13" s="338"/>
      <c r="BPF13" s="338"/>
      <c r="BPG13" s="338"/>
      <c r="BPH13" s="338"/>
      <c r="BPI13" s="338"/>
      <c r="BPJ13" s="338"/>
      <c r="BPK13" s="338"/>
      <c r="BPL13" s="338"/>
      <c r="BPM13" s="338"/>
      <c r="BPN13" s="338"/>
      <c r="BPO13" s="338"/>
      <c r="BPP13" s="338"/>
      <c r="BPQ13" s="338"/>
      <c r="BPR13" s="338"/>
      <c r="BPS13" s="338"/>
      <c r="BPT13" s="338"/>
      <c r="BPU13" s="338"/>
      <c r="BPV13" s="338"/>
      <c r="BPW13" s="338"/>
      <c r="BPX13" s="338"/>
      <c r="BPY13" s="338"/>
      <c r="BPZ13" s="338"/>
      <c r="BQA13" s="338"/>
      <c r="BQB13" s="338"/>
      <c r="BQC13" s="338"/>
      <c r="BQD13" s="338"/>
      <c r="BQE13" s="338"/>
      <c r="BQF13" s="338"/>
      <c r="BQG13" s="338"/>
      <c r="BQH13" s="338"/>
      <c r="BQI13" s="338"/>
      <c r="BQJ13" s="338"/>
      <c r="BQK13" s="338"/>
      <c r="BQL13" s="338"/>
      <c r="BQM13" s="338"/>
      <c r="BQN13" s="338"/>
      <c r="BQO13" s="338"/>
      <c r="BQP13" s="338"/>
      <c r="BQQ13" s="338"/>
      <c r="BQR13" s="338"/>
      <c r="BQS13" s="338"/>
      <c r="BQT13" s="338"/>
      <c r="BQU13" s="338"/>
      <c r="BQV13" s="338"/>
      <c r="BQW13" s="338"/>
      <c r="BQX13" s="338"/>
      <c r="BQY13" s="338"/>
      <c r="BQZ13" s="338"/>
      <c r="BRA13" s="338"/>
      <c r="BRB13" s="338"/>
      <c r="BRC13" s="338"/>
      <c r="BRD13" s="338"/>
      <c r="BRE13" s="338"/>
      <c r="BRF13" s="338"/>
      <c r="BRG13" s="338"/>
      <c r="BRH13" s="338"/>
      <c r="BRI13" s="338"/>
      <c r="BRJ13" s="338"/>
      <c r="BRK13" s="338"/>
      <c r="BRL13" s="338"/>
      <c r="BRM13" s="338"/>
      <c r="BRN13" s="338"/>
      <c r="BRO13" s="338"/>
      <c r="BRP13" s="338"/>
      <c r="BRQ13" s="338"/>
      <c r="BRR13" s="338"/>
      <c r="BRS13" s="338"/>
      <c r="BRT13" s="338"/>
      <c r="BRU13" s="338"/>
      <c r="BRV13" s="338"/>
      <c r="BRW13" s="338"/>
      <c r="BRX13" s="338"/>
      <c r="BRY13" s="338"/>
      <c r="BRZ13" s="338"/>
      <c r="BSA13" s="338"/>
      <c r="BSB13" s="338"/>
      <c r="BSC13" s="338"/>
      <c r="BSD13" s="338"/>
      <c r="BSE13" s="338"/>
      <c r="BSF13" s="338"/>
      <c r="BSG13" s="338"/>
      <c r="BSH13" s="338"/>
      <c r="BSI13" s="338"/>
      <c r="BSJ13" s="338"/>
      <c r="BSK13" s="338"/>
      <c r="BSL13" s="338"/>
      <c r="BSM13" s="338"/>
      <c r="BSN13" s="338"/>
      <c r="BSO13" s="338"/>
      <c r="BSP13" s="338"/>
      <c r="BSQ13" s="338"/>
      <c r="BSR13" s="338"/>
      <c r="BSS13" s="338"/>
      <c r="BST13" s="338"/>
      <c r="BSU13" s="338"/>
      <c r="BSV13" s="338"/>
      <c r="BSW13" s="338"/>
      <c r="BSX13" s="338"/>
      <c r="BSY13" s="338"/>
      <c r="BSZ13" s="338"/>
      <c r="BTA13" s="338"/>
      <c r="BTB13" s="338"/>
      <c r="BTC13" s="338"/>
      <c r="BTD13" s="338"/>
      <c r="BTE13" s="338"/>
      <c r="BTF13" s="338"/>
      <c r="BTG13" s="338"/>
      <c r="BTH13" s="338"/>
      <c r="BTI13" s="338"/>
      <c r="BTJ13" s="338"/>
      <c r="BTK13" s="338"/>
      <c r="BTL13" s="338"/>
      <c r="BTM13" s="338"/>
      <c r="BTN13" s="338"/>
      <c r="BTO13" s="338"/>
      <c r="BTP13" s="338"/>
      <c r="BTQ13" s="338"/>
      <c r="BTR13" s="338"/>
      <c r="BTS13" s="338"/>
      <c r="BTT13" s="338"/>
      <c r="BTU13" s="338"/>
      <c r="BTV13" s="338"/>
      <c r="BTW13" s="338"/>
      <c r="BTX13" s="338"/>
      <c r="BTY13" s="338"/>
      <c r="BTZ13" s="338"/>
      <c r="BUA13" s="338"/>
      <c r="BUB13" s="338"/>
      <c r="BUC13" s="338"/>
      <c r="BUD13" s="338"/>
      <c r="BUE13" s="338"/>
      <c r="BUF13" s="338"/>
      <c r="BUG13" s="338"/>
      <c r="BUH13" s="338"/>
      <c r="BUI13" s="338"/>
      <c r="BUJ13" s="338"/>
      <c r="BUK13" s="338"/>
      <c r="BUL13" s="338"/>
      <c r="BUM13" s="338"/>
      <c r="BUN13" s="338"/>
      <c r="BUO13" s="338"/>
      <c r="BUP13" s="338"/>
      <c r="BUQ13" s="338"/>
      <c r="BUR13" s="338"/>
      <c r="BUS13" s="338"/>
      <c r="BUT13" s="338"/>
      <c r="BUU13" s="338"/>
      <c r="BUV13" s="338"/>
      <c r="BUW13" s="338"/>
      <c r="BUX13" s="338"/>
      <c r="BUY13" s="338"/>
      <c r="BUZ13" s="338"/>
      <c r="BVA13" s="338"/>
      <c r="BVB13" s="338"/>
      <c r="BVC13" s="338"/>
      <c r="BVD13" s="338"/>
      <c r="BVE13" s="338"/>
      <c r="BVF13" s="338"/>
      <c r="BVG13" s="338"/>
      <c r="BVH13" s="338"/>
      <c r="BVI13" s="338"/>
      <c r="BVJ13" s="338"/>
      <c r="BVK13" s="338"/>
      <c r="BVL13" s="338"/>
      <c r="BVM13" s="338"/>
      <c r="BVN13" s="338"/>
      <c r="BVO13" s="338"/>
      <c r="BVP13" s="338"/>
      <c r="BVQ13" s="338"/>
      <c r="BVR13" s="338"/>
      <c r="BVS13" s="338"/>
      <c r="BVT13" s="338"/>
      <c r="BVU13" s="338"/>
      <c r="BVV13" s="338"/>
      <c r="BVW13" s="338"/>
      <c r="BVX13" s="338"/>
      <c r="BVY13" s="338"/>
      <c r="BVZ13" s="338"/>
      <c r="BWA13" s="338"/>
      <c r="BWB13" s="338"/>
      <c r="BWC13" s="338"/>
      <c r="BWD13" s="338"/>
      <c r="BWE13" s="338"/>
      <c r="BWF13" s="338"/>
      <c r="BWG13" s="338"/>
      <c r="BWH13" s="338"/>
      <c r="BWI13" s="338"/>
      <c r="BWJ13" s="338"/>
      <c r="BWK13" s="338"/>
      <c r="BWL13" s="338"/>
      <c r="BWM13" s="338"/>
      <c r="BWN13" s="338"/>
      <c r="BWO13" s="338"/>
      <c r="BWP13" s="338"/>
      <c r="BWQ13" s="338"/>
      <c r="BWR13" s="338"/>
      <c r="BWS13" s="338"/>
      <c r="BWT13" s="338"/>
      <c r="BWU13" s="338"/>
      <c r="BWV13" s="338"/>
      <c r="BWW13" s="338"/>
      <c r="BWX13" s="338"/>
      <c r="BWY13" s="338"/>
      <c r="BWZ13" s="338"/>
      <c r="BXA13" s="338"/>
      <c r="BXB13" s="338"/>
      <c r="BXC13" s="338"/>
      <c r="BXD13" s="338"/>
      <c r="BXE13" s="338"/>
      <c r="BXF13" s="338"/>
      <c r="BXG13" s="338"/>
      <c r="BXH13" s="338"/>
      <c r="BXI13" s="338"/>
      <c r="BXJ13" s="338"/>
      <c r="BXK13" s="338"/>
      <c r="BXL13" s="338"/>
      <c r="BXM13" s="338"/>
      <c r="BXN13" s="338"/>
      <c r="BXO13" s="338"/>
      <c r="BXP13" s="338"/>
      <c r="BXQ13" s="338"/>
      <c r="BXR13" s="338"/>
      <c r="BXS13" s="338"/>
      <c r="BXT13" s="338"/>
      <c r="BXU13" s="338"/>
      <c r="BXV13" s="338"/>
      <c r="BXW13" s="338"/>
      <c r="BXX13" s="338"/>
      <c r="BXY13" s="338"/>
      <c r="BXZ13" s="338"/>
      <c r="BYA13" s="338"/>
      <c r="BYB13" s="338"/>
      <c r="BYC13" s="338"/>
      <c r="BYD13" s="338"/>
      <c r="BYE13" s="338"/>
      <c r="BYF13" s="338"/>
      <c r="BYG13" s="338"/>
      <c r="BYH13" s="338"/>
      <c r="BYI13" s="338"/>
      <c r="BYJ13" s="338"/>
      <c r="BYK13" s="338"/>
      <c r="BYL13" s="338"/>
      <c r="BYM13" s="338"/>
      <c r="BYN13" s="338"/>
      <c r="BYO13" s="338"/>
      <c r="BYP13" s="338"/>
      <c r="BYQ13" s="338"/>
      <c r="BYR13" s="338"/>
      <c r="BYS13" s="338"/>
      <c r="BYT13" s="338"/>
      <c r="BYU13" s="338"/>
      <c r="BYV13" s="338"/>
      <c r="BYW13" s="338"/>
      <c r="BYX13" s="338"/>
      <c r="BYY13" s="338"/>
      <c r="BYZ13" s="338"/>
      <c r="BZA13" s="338"/>
      <c r="BZB13" s="338"/>
      <c r="BZC13" s="338"/>
      <c r="BZD13" s="338"/>
      <c r="BZE13" s="338"/>
      <c r="BZF13" s="338"/>
      <c r="BZG13" s="338"/>
      <c r="BZH13" s="338"/>
      <c r="BZI13" s="338"/>
      <c r="BZJ13" s="338"/>
      <c r="BZK13" s="338"/>
      <c r="BZL13" s="338"/>
      <c r="BZM13" s="338"/>
      <c r="BZN13" s="338"/>
      <c r="BZO13" s="338"/>
      <c r="BZP13" s="338"/>
      <c r="BZQ13" s="338"/>
      <c r="BZR13" s="338"/>
      <c r="BZS13" s="338"/>
      <c r="BZT13" s="338"/>
      <c r="BZU13" s="338"/>
      <c r="BZV13" s="338"/>
      <c r="BZW13" s="338"/>
      <c r="BZX13" s="338"/>
      <c r="BZY13" s="338"/>
      <c r="BZZ13" s="338"/>
      <c r="CAA13" s="338"/>
      <c r="CAB13" s="338"/>
      <c r="CAC13" s="338"/>
      <c r="CAD13" s="338"/>
      <c r="CAE13" s="338"/>
      <c r="CAF13" s="338"/>
      <c r="CAG13" s="338"/>
      <c r="CAH13" s="338"/>
      <c r="CAI13" s="338"/>
      <c r="CAJ13" s="338"/>
      <c r="CAK13" s="338"/>
      <c r="CAL13" s="338"/>
      <c r="CAM13" s="338"/>
      <c r="CAN13" s="338"/>
      <c r="CAO13" s="338"/>
      <c r="CAP13" s="338"/>
      <c r="CAQ13" s="338"/>
      <c r="CAR13" s="338"/>
      <c r="CAS13" s="338"/>
      <c r="CAT13" s="338"/>
      <c r="CAU13" s="338"/>
      <c r="CAV13" s="338"/>
      <c r="CAW13" s="338"/>
      <c r="CAX13" s="338"/>
      <c r="CAY13" s="338"/>
      <c r="CAZ13" s="338"/>
      <c r="CBA13" s="338"/>
      <c r="CBB13" s="338"/>
      <c r="CBC13" s="338"/>
      <c r="CBD13" s="338"/>
      <c r="CBE13" s="338"/>
      <c r="CBF13" s="338"/>
      <c r="CBG13" s="338"/>
      <c r="CBH13" s="338"/>
      <c r="CBI13" s="338"/>
      <c r="CBJ13" s="338"/>
      <c r="CBK13" s="338"/>
      <c r="CBL13" s="338"/>
      <c r="CBM13" s="338"/>
      <c r="CBN13" s="338"/>
      <c r="CBO13" s="338"/>
      <c r="CBP13" s="338"/>
      <c r="CBQ13" s="338"/>
      <c r="CBR13" s="338"/>
      <c r="CBS13" s="338"/>
      <c r="CBT13" s="338"/>
      <c r="CBU13" s="338"/>
      <c r="CBV13" s="338"/>
      <c r="CBW13" s="338"/>
      <c r="CBX13" s="338"/>
      <c r="CBY13" s="338"/>
      <c r="CBZ13" s="338"/>
      <c r="CCA13" s="338"/>
      <c r="CCB13" s="338"/>
      <c r="CCC13" s="338"/>
      <c r="CCD13" s="338"/>
      <c r="CCE13" s="338"/>
      <c r="CCF13" s="338"/>
      <c r="CCG13" s="338"/>
      <c r="CCH13" s="338"/>
      <c r="CCI13" s="338"/>
      <c r="CCJ13" s="338"/>
      <c r="CCK13" s="338"/>
      <c r="CCL13" s="338"/>
      <c r="CCM13" s="338"/>
      <c r="CCN13" s="338"/>
      <c r="CCO13" s="338"/>
      <c r="CCP13" s="338"/>
      <c r="CCQ13" s="338"/>
      <c r="CCR13" s="338"/>
      <c r="CCS13" s="338"/>
      <c r="CCT13" s="338"/>
      <c r="CCU13" s="338"/>
      <c r="CCV13" s="338"/>
      <c r="CCW13" s="338"/>
      <c r="CCX13" s="338"/>
      <c r="CCY13" s="338"/>
      <c r="CCZ13" s="338"/>
      <c r="CDA13" s="338"/>
      <c r="CDB13" s="338"/>
      <c r="CDC13" s="338"/>
      <c r="CDD13" s="338"/>
      <c r="CDE13" s="338"/>
      <c r="CDF13" s="338"/>
      <c r="CDG13" s="338"/>
      <c r="CDH13" s="338"/>
      <c r="CDI13" s="338"/>
      <c r="CDJ13" s="338"/>
      <c r="CDK13" s="338"/>
      <c r="CDL13" s="338"/>
      <c r="CDM13" s="338"/>
      <c r="CDN13" s="338"/>
      <c r="CDO13" s="338"/>
      <c r="CDP13" s="338"/>
      <c r="CDQ13" s="338"/>
      <c r="CDR13" s="338"/>
      <c r="CDS13" s="338"/>
      <c r="CDT13" s="338"/>
      <c r="CDU13" s="338"/>
      <c r="CDV13" s="338"/>
      <c r="CDW13" s="338"/>
      <c r="CDX13" s="338"/>
      <c r="CDY13" s="338"/>
      <c r="CDZ13" s="338"/>
      <c r="CEA13" s="338"/>
      <c r="CEB13" s="338"/>
      <c r="CEC13" s="338"/>
      <c r="CED13" s="338"/>
      <c r="CEE13" s="338"/>
      <c r="CEF13" s="338"/>
      <c r="CEG13" s="338"/>
      <c r="CEH13" s="338"/>
      <c r="CEI13" s="338"/>
      <c r="CEJ13" s="338"/>
      <c r="CEK13" s="338"/>
      <c r="CEL13" s="338"/>
      <c r="CEM13" s="338"/>
      <c r="CEN13" s="338"/>
      <c r="CEO13" s="338"/>
      <c r="CEP13" s="338"/>
      <c r="CEQ13" s="338"/>
      <c r="CER13" s="338"/>
      <c r="CES13" s="338"/>
      <c r="CET13" s="338"/>
      <c r="CEU13" s="338"/>
      <c r="CEV13" s="338"/>
      <c r="CEW13" s="338"/>
      <c r="CEX13" s="338"/>
      <c r="CEY13" s="338"/>
      <c r="CEZ13" s="338"/>
      <c r="CFA13" s="338"/>
      <c r="CFB13" s="338"/>
      <c r="CFC13" s="338"/>
      <c r="CFD13" s="338"/>
      <c r="CFE13" s="338"/>
      <c r="CFF13" s="338"/>
      <c r="CFG13" s="338"/>
      <c r="CFH13" s="338"/>
      <c r="CFI13" s="338"/>
      <c r="CFJ13" s="338"/>
      <c r="CFK13" s="338"/>
      <c r="CFL13" s="338"/>
      <c r="CFM13" s="338"/>
      <c r="CFN13" s="338"/>
      <c r="CFO13" s="338"/>
      <c r="CFP13" s="338"/>
      <c r="CFQ13" s="338"/>
      <c r="CFR13" s="338"/>
      <c r="CFS13" s="338"/>
      <c r="CFT13" s="338"/>
      <c r="CFU13" s="338"/>
      <c r="CFV13" s="338"/>
      <c r="CFW13" s="338"/>
      <c r="CFX13" s="338"/>
      <c r="CFY13" s="338"/>
      <c r="CFZ13" s="338"/>
      <c r="CGA13" s="338"/>
      <c r="CGB13" s="338"/>
      <c r="CGC13" s="338"/>
      <c r="CGD13" s="338"/>
      <c r="CGE13" s="338"/>
      <c r="CGF13" s="338"/>
      <c r="CGG13" s="338"/>
      <c r="CGH13" s="338"/>
      <c r="CGI13" s="338"/>
      <c r="CGJ13" s="338"/>
      <c r="CGK13" s="338"/>
      <c r="CGL13" s="338"/>
      <c r="CGM13" s="338"/>
      <c r="CGN13" s="338"/>
      <c r="CGO13" s="338"/>
      <c r="CGP13" s="338"/>
      <c r="CGQ13" s="338"/>
      <c r="CGR13" s="338"/>
      <c r="CGS13" s="338"/>
      <c r="CGT13" s="338"/>
      <c r="CGU13" s="338"/>
      <c r="CGV13" s="338"/>
      <c r="CGW13" s="338"/>
      <c r="CGX13" s="338"/>
      <c r="CGY13" s="338"/>
      <c r="CGZ13" s="338"/>
      <c r="CHA13" s="338"/>
      <c r="CHB13" s="338"/>
      <c r="CHC13" s="338"/>
      <c r="CHD13" s="338"/>
      <c r="CHE13" s="338"/>
      <c r="CHF13" s="338"/>
      <c r="CHG13" s="338"/>
      <c r="CHH13" s="338"/>
      <c r="CHI13" s="338"/>
      <c r="CHJ13" s="338"/>
      <c r="CHK13" s="338"/>
      <c r="CHL13" s="338"/>
      <c r="CHM13" s="338"/>
      <c r="CHN13" s="338"/>
      <c r="CHO13" s="338"/>
      <c r="CHP13" s="338"/>
      <c r="CHQ13" s="338"/>
      <c r="CHR13" s="338"/>
      <c r="CHS13" s="338"/>
      <c r="CHT13" s="338"/>
      <c r="CHU13" s="338"/>
      <c r="CHV13" s="338"/>
      <c r="CHW13" s="338"/>
      <c r="CHX13" s="338"/>
      <c r="CHY13" s="338"/>
      <c r="CHZ13" s="338"/>
      <c r="CIA13" s="338"/>
      <c r="CIB13" s="338"/>
      <c r="CIC13" s="338"/>
      <c r="CID13" s="338"/>
      <c r="CIE13" s="338"/>
      <c r="CIF13" s="338"/>
      <c r="CIG13" s="338"/>
      <c r="CIH13" s="338"/>
      <c r="CII13" s="338"/>
      <c r="CIJ13" s="338"/>
      <c r="CIK13" s="338"/>
      <c r="CIL13" s="338"/>
      <c r="CIM13" s="338"/>
      <c r="CIN13" s="338"/>
      <c r="CIO13" s="338"/>
      <c r="CIP13" s="338"/>
      <c r="CIQ13" s="338"/>
      <c r="CIR13" s="338"/>
      <c r="CIS13" s="338"/>
      <c r="CIT13" s="338"/>
      <c r="CIU13" s="338"/>
      <c r="CIV13" s="338"/>
      <c r="CIW13" s="338"/>
      <c r="CIX13" s="338"/>
      <c r="CIY13" s="338"/>
      <c r="CIZ13" s="338"/>
      <c r="CJA13" s="338"/>
      <c r="CJB13" s="338"/>
      <c r="CJC13" s="338"/>
      <c r="CJD13" s="338"/>
      <c r="CJE13" s="338"/>
      <c r="CJF13" s="338"/>
      <c r="CJG13" s="338"/>
      <c r="CJH13" s="338"/>
      <c r="CJI13" s="338"/>
      <c r="CJJ13" s="338"/>
      <c r="CJK13" s="338"/>
      <c r="CJL13" s="338"/>
      <c r="CJM13" s="338"/>
      <c r="CJN13" s="338"/>
      <c r="CJO13" s="338"/>
      <c r="CJP13" s="338"/>
      <c r="CJQ13" s="338"/>
      <c r="CJR13" s="338"/>
      <c r="CJS13" s="338"/>
      <c r="CJT13" s="338"/>
      <c r="CJU13" s="338"/>
      <c r="CJV13" s="338"/>
      <c r="CJW13" s="338"/>
      <c r="CJX13" s="338"/>
      <c r="CJY13" s="338"/>
      <c r="CJZ13" s="338"/>
      <c r="CKA13" s="338"/>
      <c r="CKB13" s="338"/>
      <c r="CKC13" s="338"/>
      <c r="CKD13" s="338"/>
      <c r="CKE13" s="338"/>
      <c r="CKF13" s="338"/>
      <c r="CKG13" s="338"/>
      <c r="CKH13" s="338"/>
      <c r="CKI13" s="338"/>
      <c r="CKJ13" s="338"/>
      <c r="CKK13" s="338"/>
      <c r="CKL13" s="338"/>
      <c r="CKM13" s="338"/>
      <c r="CKN13" s="338"/>
      <c r="CKO13" s="338"/>
      <c r="CKP13" s="338"/>
      <c r="CKQ13" s="338"/>
      <c r="CKR13" s="338"/>
      <c r="CKS13" s="338"/>
      <c r="CKT13" s="338"/>
      <c r="CKU13" s="338"/>
      <c r="CKV13" s="338"/>
      <c r="CKW13" s="338"/>
      <c r="CKX13" s="338"/>
      <c r="CKY13" s="338"/>
      <c r="CKZ13" s="338"/>
      <c r="CLA13" s="338"/>
      <c r="CLB13" s="338"/>
      <c r="CLC13" s="338"/>
      <c r="CLD13" s="338"/>
      <c r="CLE13" s="338"/>
      <c r="CLF13" s="338"/>
      <c r="CLG13" s="338"/>
      <c r="CLH13" s="338"/>
      <c r="CLI13" s="338"/>
      <c r="CLJ13" s="338"/>
      <c r="CLK13" s="338"/>
      <c r="CLL13" s="338"/>
      <c r="CLM13" s="338"/>
      <c r="CLN13" s="338"/>
      <c r="CLO13" s="338"/>
      <c r="CLP13" s="338"/>
      <c r="CLQ13" s="338"/>
      <c r="CLR13" s="338"/>
      <c r="CLS13" s="338"/>
      <c r="CLT13" s="338"/>
      <c r="CLU13" s="338"/>
      <c r="CLV13" s="338"/>
      <c r="CLW13" s="338"/>
      <c r="CLX13" s="338"/>
      <c r="CLY13" s="338"/>
      <c r="CLZ13" s="338"/>
      <c r="CMA13" s="338"/>
      <c r="CMB13" s="338"/>
      <c r="CMC13" s="338"/>
      <c r="CMD13" s="338"/>
      <c r="CME13" s="338"/>
      <c r="CMF13" s="338"/>
      <c r="CMG13" s="338"/>
      <c r="CMH13" s="338"/>
      <c r="CMI13" s="338"/>
      <c r="CMJ13" s="338"/>
      <c r="CMK13" s="338"/>
      <c r="CML13" s="338"/>
      <c r="CMM13" s="338"/>
      <c r="CMN13" s="338"/>
      <c r="CMO13" s="338"/>
      <c r="CMP13" s="338"/>
      <c r="CMQ13" s="338"/>
      <c r="CMR13" s="338"/>
      <c r="CMS13" s="338"/>
      <c r="CMT13" s="338"/>
      <c r="CMU13" s="338"/>
      <c r="CMV13" s="338"/>
      <c r="CMW13" s="338"/>
      <c r="CMX13" s="338"/>
      <c r="CMY13" s="338"/>
      <c r="CMZ13" s="338"/>
      <c r="CNA13" s="338"/>
      <c r="CNB13" s="338"/>
      <c r="CNC13" s="338"/>
      <c r="CND13" s="338"/>
      <c r="CNE13" s="338"/>
      <c r="CNF13" s="338"/>
      <c r="CNG13" s="338"/>
      <c r="CNH13" s="338"/>
      <c r="CNI13" s="338"/>
      <c r="CNJ13" s="338"/>
      <c r="CNK13" s="338"/>
      <c r="CNL13" s="338"/>
      <c r="CNM13" s="338"/>
      <c r="CNN13" s="338"/>
      <c r="CNO13" s="338"/>
      <c r="CNP13" s="338"/>
      <c r="CNQ13" s="338"/>
      <c r="CNR13" s="338"/>
      <c r="CNS13" s="338"/>
      <c r="CNT13" s="338"/>
      <c r="CNU13" s="338"/>
      <c r="CNV13" s="338"/>
      <c r="CNW13" s="338"/>
      <c r="CNX13" s="338"/>
      <c r="CNY13" s="338"/>
      <c r="CNZ13" s="338"/>
      <c r="COA13" s="338"/>
      <c r="COB13" s="338"/>
      <c r="COC13" s="338"/>
      <c r="COD13" s="338"/>
      <c r="COE13" s="338"/>
      <c r="COF13" s="338"/>
      <c r="COG13" s="338"/>
      <c r="COH13" s="338"/>
      <c r="COI13" s="338"/>
      <c r="COJ13" s="338"/>
      <c r="COK13" s="338"/>
      <c r="COL13" s="338"/>
      <c r="COM13" s="338"/>
      <c r="CON13" s="338"/>
      <c r="COO13" s="338"/>
      <c r="COP13" s="338"/>
      <c r="COQ13" s="338"/>
      <c r="COR13" s="338"/>
      <c r="COS13" s="338"/>
      <c r="COT13" s="338"/>
      <c r="COU13" s="338"/>
      <c r="COV13" s="338"/>
      <c r="COW13" s="338"/>
      <c r="COX13" s="338"/>
      <c r="COY13" s="338"/>
      <c r="COZ13" s="338"/>
      <c r="CPA13" s="338"/>
      <c r="CPB13" s="338"/>
      <c r="CPC13" s="338"/>
      <c r="CPD13" s="338"/>
      <c r="CPE13" s="338"/>
      <c r="CPF13" s="338"/>
      <c r="CPG13" s="338"/>
      <c r="CPH13" s="338"/>
      <c r="CPI13" s="338"/>
      <c r="CPJ13" s="338"/>
      <c r="CPK13" s="338"/>
      <c r="CPL13" s="338"/>
      <c r="CPM13" s="338"/>
      <c r="CPN13" s="338"/>
      <c r="CPO13" s="338"/>
      <c r="CPP13" s="338"/>
      <c r="CPQ13" s="338"/>
      <c r="CPR13" s="338"/>
      <c r="CPS13" s="338"/>
      <c r="CPT13" s="338"/>
      <c r="CPU13" s="338"/>
      <c r="CPV13" s="338"/>
      <c r="CPW13" s="338"/>
      <c r="CPX13" s="338"/>
      <c r="CPY13" s="338"/>
      <c r="CPZ13" s="338"/>
      <c r="CQA13" s="338"/>
      <c r="CQB13" s="338"/>
      <c r="CQC13" s="338"/>
      <c r="CQD13" s="338"/>
      <c r="CQE13" s="338"/>
      <c r="CQF13" s="338"/>
      <c r="CQG13" s="338"/>
      <c r="CQH13" s="338"/>
      <c r="CQI13" s="338"/>
      <c r="CQJ13" s="338"/>
      <c r="CQK13" s="338"/>
      <c r="CQL13" s="338"/>
      <c r="CQM13" s="338"/>
      <c r="CQN13" s="338"/>
      <c r="CQO13" s="338"/>
      <c r="CQP13" s="338"/>
      <c r="CQQ13" s="338"/>
      <c r="CQR13" s="338"/>
      <c r="CQS13" s="338"/>
      <c r="CQT13" s="338"/>
      <c r="CQU13" s="338"/>
      <c r="CQV13" s="338"/>
      <c r="CQW13" s="338"/>
      <c r="CQX13" s="338"/>
      <c r="CQY13" s="338"/>
      <c r="CQZ13" s="338"/>
      <c r="CRA13" s="338"/>
      <c r="CRB13" s="338"/>
      <c r="CRC13" s="338"/>
      <c r="CRD13" s="338"/>
      <c r="CRE13" s="338"/>
      <c r="CRF13" s="338"/>
      <c r="CRG13" s="338"/>
      <c r="CRH13" s="338"/>
      <c r="CRI13" s="338"/>
      <c r="CRJ13" s="338"/>
      <c r="CRK13" s="338"/>
      <c r="CRL13" s="338"/>
      <c r="CRM13" s="338"/>
      <c r="CRN13" s="338"/>
      <c r="CRO13" s="338"/>
      <c r="CRP13" s="338"/>
      <c r="CRQ13" s="338"/>
      <c r="CRR13" s="338"/>
      <c r="CRS13" s="338"/>
      <c r="CRT13" s="338"/>
      <c r="CRU13" s="338"/>
      <c r="CRV13" s="338"/>
      <c r="CRW13" s="338"/>
      <c r="CRX13" s="338"/>
      <c r="CRY13" s="338"/>
      <c r="CRZ13" s="338"/>
      <c r="CSA13" s="338"/>
      <c r="CSB13" s="338"/>
      <c r="CSC13" s="338"/>
      <c r="CSD13" s="338"/>
      <c r="CSE13" s="338"/>
      <c r="CSF13" s="338"/>
      <c r="CSG13" s="338"/>
      <c r="CSH13" s="338"/>
      <c r="CSI13" s="338"/>
      <c r="CSJ13" s="338"/>
      <c r="CSK13" s="338"/>
      <c r="CSL13" s="338"/>
      <c r="CSM13" s="338"/>
      <c r="CSN13" s="338"/>
      <c r="CSO13" s="338"/>
      <c r="CSP13" s="338"/>
      <c r="CSQ13" s="338"/>
      <c r="CSR13" s="338"/>
      <c r="CSS13" s="338"/>
      <c r="CST13" s="338"/>
      <c r="CSU13" s="338"/>
      <c r="CSV13" s="338"/>
      <c r="CSW13" s="338"/>
      <c r="CSX13" s="338"/>
      <c r="CSY13" s="338"/>
      <c r="CSZ13" s="338"/>
      <c r="CTA13" s="338"/>
      <c r="CTB13" s="338"/>
      <c r="CTC13" s="338"/>
      <c r="CTD13" s="338"/>
      <c r="CTE13" s="338"/>
      <c r="CTF13" s="338"/>
      <c r="CTG13" s="338"/>
      <c r="CTH13" s="338"/>
      <c r="CTI13" s="338"/>
      <c r="CTJ13" s="338"/>
      <c r="CTK13" s="338"/>
      <c r="CTL13" s="338"/>
      <c r="CTM13" s="338"/>
      <c r="CTN13" s="338"/>
      <c r="CTO13" s="338"/>
      <c r="CTP13" s="338"/>
      <c r="CTQ13" s="338"/>
      <c r="CTR13" s="338"/>
      <c r="CTS13" s="338"/>
      <c r="CTT13" s="338"/>
      <c r="CTU13" s="338"/>
      <c r="CTV13" s="338"/>
      <c r="CTW13" s="338"/>
      <c r="CTX13" s="338"/>
      <c r="CTY13" s="338"/>
      <c r="CTZ13" s="338"/>
      <c r="CUA13" s="338"/>
      <c r="CUB13" s="338"/>
      <c r="CUC13" s="338"/>
      <c r="CUD13" s="338"/>
      <c r="CUE13" s="338"/>
      <c r="CUF13" s="338"/>
      <c r="CUG13" s="338"/>
      <c r="CUH13" s="338"/>
      <c r="CUI13" s="338"/>
      <c r="CUJ13" s="338"/>
      <c r="CUK13" s="338"/>
      <c r="CUL13" s="338"/>
      <c r="CUM13" s="338"/>
      <c r="CUN13" s="338"/>
      <c r="CUO13" s="338"/>
      <c r="CUP13" s="338"/>
      <c r="CUQ13" s="338"/>
      <c r="CUR13" s="338"/>
      <c r="CUS13" s="338"/>
      <c r="CUT13" s="338"/>
      <c r="CUU13" s="338"/>
      <c r="CUV13" s="338"/>
      <c r="CUW13" s="338"/>
      <c r="CUX13" s="338"/>
      <c r="CUY13" s="338"/>
      <c r="CUZ13" s="338"/>
      <c r="CVA13" s="338"/>
      <c r="CVB13" s="338"/>
      <c r="CVC13" s="338"/>
      <c r="CVD13" s="338"/>
      <c r="CVE13" s="338"/>
      <c r="CVF13" s="338"/>
      <c r="CVG13" s="338"/>
      <c r="CVH13" s="338"/>
      <c r="CVI13" s="338"/>
      <c r="CVJ13" s="338"/>
      <c r="CVK13" s="338"/>
      <c r="CVL13" s="338"/>
      <c r="CVM13" s="338"/>
      <c r="CVN13" s="338"/>
      <c r="CVO13" s="338"/>
      <c r="CVP13" s="338"/>
      <c r="CVQ13" s="338"/>
      <c r="CVR13" s="338"/>
      <c r="CVS13" s="338"/>
      <c r="CVT13" s="338"/>
      <c r="CVU13" s="338"/>
      <c r="CVV13" s="338"/>
      <c r="CVW13" s="338"/>
      <c r="CVX13" s="338"/>
      <c r="CVY13" s="338"/>
      <c r="CVZ13" s="338"/>
      <c r="CWA13" s="338"/>
      <c r="CWB13" s="338"/>
      <c r="CWC13" s="338"/>
      <c r="CWD13" s="338"/>
      <c r="CWE13" s="338"/>
      <c r="CWF13" s="338"/>
      <c r="CWG13" s="338"/>
      <c r="CWH13" s="338"/>
      <c r="CWI13" s="338"/>
      <c r="CWJ13" s="338"/>
      <c r="CWK13" s="338"/>
      <c r="CWL13" s="338"/>
      <c r="CWM13" s="338"/>
      <c r="CWN13" s="338"/>
      <c r="CWO13" s="338"/>
      <c r="CWP13" s="338"/>
      <c r="CWQ13" s="338"/>
      <c r="CWR13" s="338"/>
      <c r="CWS13" s="338"/>
      <c r="CWT13" s="338"/>
      <c r="CWU13" s="338"/>
      <c r="CWV13" s="338"/>
      <c r="CWW13" s="338"/>
      <c r="CWX13" s="338"/>
      <c r="CWY13" s="338"/>
      <c r="CWZ13" s="338"/>
      <c r="CXA13" s="338"/>
      <c r="CXB13" s="338"/>
      <c r="CXC13" s="338"/>
      <c r="CXD13" s="338"/>
      <c r="CXE13" s="338"/>
      <c r="CXF13" s="338"/>
      <c r="CXG13" s="338"/>
      <c r="CXH13" s="338"/>
      <c r="CXI13" s="338"/>
      <c r="CXJ13" s="338"/>
      <c r="CXK13" s="338"/>
      <c r="CXL13" s="338"/>
      <c r="CXM13" s="338"/>
      <c r="CXN13" s="338"/>
      <c r="CXO13" s="338"/>
      <c r="CXP13" s="338"/>
      <c r="CXQ13" s="338"/>
      <c r="CXR13" s="338"/>
      <c r="CXS13" s="338"/>
      <c r="CXT13" s="338"/>
      <c r="CXU13" s="338"/>
      <c r="CXV13" s="338"/>
      <c r="CXW13" s="338"/>
      <c r="CXX13" s="338"/>
      <c r="CXY13" s="338"/>
      <c r="CXZ13" s="338"/>
      <c r="CYA13" s="338"/>
      <c r="CYB13" s="338"/>
      <c r="CYC13" s="338"/>
      <c r="CYD13" s="338"/>
      <c r="CYE13" s="338"/>
      <c r="CYF13" s="338"/>
      <c r="CYG13" s="338"/>
      <c r="CYH13" s="338"/>
      <c r="CYI13" s="338"/>
      <c r="CYJ13" s="338"/>
      <c r="CYK13" s="338"/>
      <c r="CYL13" s="338"/>
      <c r="CYM13" s="338"/>
      <c r="CYN13" s="338"/>
      <c r="CYO13" s="338"/>
      <c r="CYP13" s="338"/>
      <c r="CYQ13" s="338"/>
      <c r="CYR13" s="338"/>
      <c r="CYS13" s="338"/>
      <c r="CYT13" s="338"/>
      <c r="CYU13" s="338"/>
      <c r="CYV13" s="338"/>
      <c r="CYW13" s="338"/>
      <c r="CYX13" s="338"/>
      <c r="CYY13" s="338"/>
      <c r="CYZ13" s="338"/>
      <c r="CZA13" s="338"/>
      <c r="CZB13" s="338"/>
      <c r="CZC13" s="338"/>
      <c r="CZD13" s="338"/>
      <c r="CZE13" s="338"/>
      <c r="CZF13" s="338"/>
      <c r="CZG13" s="338"/>
      <c r="CZH13" s="338"/>
      <c r="CZI13" s="338"/>
      <c r="CZJ13" s="338"/>
      <c r="CZK13" s="338"/>
      <c r="CZL13" s="338"/>
      <c r="CZM13" s="338"/>
      <c r="CZN13" s="338"/>
      <c r="CZO13" s="338"/>
      <c r="CZP13" s="338"/>
      <c r="CZQ13" s="338"/>
      <c r="CZR13" s="338"/>
      <c r="CZS13" s="338"/>
      <c r="CZT13" s="338"/>
      <c r="CZU13" s="338"/>
      <c r="CZV13" s="338"/>
      <c r="CZW13" s="338"/>
      <c r="CZX13" s="338"/>
      <c r="CZY13" s="338"/>
      <c r="CZZ13" s="338"/>
      <c r="DAA13" s="338"/>
      <c r="DAB13" s="338"/>
      <c r="DAC13" s="338"/>
      <c r="DAD13" s="338"/>
      <c r="DAE13" s="338"/>
      <c r="DAF13" s="338"/>
      <c r="DAG13" s="338"/>
      <c r="DAH13" s="338"/>
      <c r="DAI13" s="338"/>
      <c r="DAJ13" s="338"/>
      <c r="DAK13" s="338"/>
      <c r="DAL13" s="338"/>
      <c r="DAM13" s="338"/>
      <c r="DAN13" s="338"/>
      <c r="DAO13" s="338"/>
      <c r="DAP13" s="338"/>
      <c r="DAQ13" s="338"/>
      <c r="DAR13" s="338"/>
      <c r="DAS13" s="338"/>
      <c r="DAT13" s="338"/>
      <c r="DAU13" s="338"/>
      <c r="DAV13" s="338"/>
      <c r="DAW13" s="338"/>
      <c r="DAX13" s="338"/>
      <c r="DAY13" s="338"/>
      <c r="DAZ13" s="338"/>
      <c r="DBA13" s="338"/>
      <c r="DBB13" s="338"/>
      <c r="DBC13" s="338"/>
      <c r="DBD13" s="338"/>
      <c r="DBE13" s="338"/>
      <c r="DBF13" s="338"/>
      <c r="DBG13" s="338"/>
      <c r="DBH13" s="338"/>
      <c r="DBI13" s="338"/>
      <c r="DBJ13" s="338"/>
      <c r="DBK13" s="338"/>
      <c r="DBL13" s="338"/>
      <c r="DBM13" s="338"/>
      <c r="DBN13" s="338"/>
      <c r="DBO13" s="338"/>
      <c r="DBP13" s="338"/>
      <c r="DBQ13" s="338"/>
      <c r="DBR13" s="338"/>
      <c r="DBS13" s="338"/>
      <c r="DBT13" s="338"/>
      <c r="DBU13" s="338"/>
      <c r="DBV13" s="338"/>
      <c r="DBW13" s="338"/>
      <c r="DBX13" s="338"/>
      <c r="DBY13" s="338"/>
      <c r="DBZ13" s="338"/>
      <c r="DCA13" s="338"/>
      <c r="DCB13" s="338"/>
      <c r="DCC13" s="338"/>
      <c r="DCD13" s="338"/>
      <c r="DCE13" s="338"/>
      <c r="DCF13" s="338"/>
      <c r="DCG13" s="338"/>
      <c r="DCH13" s="338"/>
      <c r="DCI13" s="338"/>
      <c r="DCJ13" s="338"/>
      <c r="DCK13" s="338"/>
      <c r="DCL13" s="338"/>
      <c r="DCM13" s="338"/>
      <c r="DCN13" s="338"/>
      <c r="DCO13" s="338"/>
      <c r="DCP13" s="338"/>
      <c r="DCQ13" s="338"/>
      <c r="DCR13" s="338"/>
      <c r="DCS13" s="338"/>
      <c r="DCT13" s="338"/>
      <c r="DCU13" s="338"/>
      <c r="DCV13" s="338"/>
      <c r="DCW13" s="338"/>
      <c r="DCX13" s="338"/>
      <c r="DCY13" s="338"/>
      <c r="DCZ13" s="338"/>
      <c r="DDA13" s="338"/>
      <c r="DDB13" s="338"/>
      <c r="DDC13" s="338"/>
      <c r="DDD13" s="338"/>
      <c r="DDE13" s="338"/>
      <c r="DDF13" s="338"/>
      <c r="DDG13" s="338"/>
      <c r="DDH13" s="338"/>
      <c r="DDI13" s="338"/>
      <c r="DDJ13" s="338"/>
      <c r="DDK13" s="338"/>
      <c r="DDL13" s="338"/>
      <c r="DDM13" s="338"/>
      <c r="DDN13" s="338"/>
      <c r="DDO13" s="338"/>
      <c r="DDP13" s="338"/>
      <c r="DDQ13" s="338"/>
      <c r="DDR13" s="338"/>
      <c r="DDS13" s="338"/>
      <c r="DDT13" s="338"/>
      <c r="DDU13" s="338"/>
      <c r="DDV13" s="338"/>
      <c r="DDW13" s="338"/>
      <c r="DDX13" s="338"/>
      <c r="DDY13" s="338"/>
      <c r="DDZ13" s="338"/>
      <c r="DEA13" s="338"/>
      <c r="DEB13" s="338"/>
      <c r="DEC13" s="338"/>
      <c r="DED13" s="338"/>
      <c r="DEE13" s="338"/>
      <c r="DEF13" s="338"/>
      <c r="DEG13" s="338"/>
      <c r="DEH13" s="338"/>
      <c r="DEI13" s="338"/>
      <c r="DEJ13" s="338"/>
      <c r="DEK13" s="338"/>
      <c r="DEL13" s="338"/>
      <c r="DEM13" s="338"/>
      <c r="DEN13" s="338"/>
      <c r="DEO13" s="338"/>
      <c r="DEP13" s="338"/>
      <c r="DEQ13" s="338"/>
      <c r="DER13" s="338"/>
      <c r="DES13" s="338"/>
      <c r="DET13" s="338"/>
      <c r="DEU13" s="338"/>
      <c r="DEV13" s="338"/>
      <c r="DEW13" s="338"/>
      <c r="DEX13" s="338"/>
      <c r="DEY13" s="338"/>
      <c r="DEZ13" s="338"/>
      <c r="DFA13" s="338"/>
      <c r="DFB13" s="338"/>
      <c r="DFC13" s="338"/>
      <c r="DFD13" s="338"/>
      <c r="DFE13" s="338"/>
      <c r="DFF13" s="338"/>
      <c r="DFG13" s="338"/>
      <c r="DFH13" s="338"/>
      <c r="DFI13" s="338"/>
      <c r="DFJ13" s="338"/>
      <c r="DFK13" s="338"/>
      <c r="DFL13" s="338"/>
      <c r="DFM13" s="338"/>
      <c r="DFN13" s="338"/>
      <c r="DFO13" s="338"/>
      <c r="DFP13" s="338"/>
      <c r="DFQ13" s="338"/>
      <c r="DFR13" s="338"/>
      <c r="DFS13" s="338"/>
      <c r="DFT13" s="338"/>
      <c r="DFU13" s="338"/>
      <c r="DFV13" s="338"/>
      <c r="DFW13" s="338"/>
      <c r="DFX13" s="338"/>
      <c r="DFY13" s="338"/>
      <c r="DFZ13" s="338"/>
      <c r="DGA13" s="338"/>
      <c r="DGB13" s="338"/>
      <c r="DGC13" s="338"/>
      <c r="DGD13" s="338"/>
      <c r="DGE13" s="338"/>
      <c r="DGF13" s="338"/>
      <c r="DGG13" s="338"/>
      <c r="DGH13" s="338"/>
      <c r="DGI13" s="338"/>
      <c r="DGJ13" s="338"/>
      <c r="DGK13" s="338"/>
      <c r="DGL13" s="338"/>
      <c r="DGM13" s="338"/>
      <c r="DGN13" s="338"/>
      <c r="DGO13" s="338"/>
      <c r="DGP13" s="338"/>
      <c r="DGQ13" s="338"/>
      <c r="DGR13" s="338"/>
      <c r="DGS13" s="338"/>
      <c r="DGT13" s="338"/>
      <c r="DGU13" s="338"/>
      <c r="DGV13" s="338"/>
      <c r="DGW13" s="338"/>
      <c r="DGX13" s="338"/>
      <c r="DGY13" s="338"/>
      <c r="DGZ13" s="338"/>
      <c r="DHA13" s="338"/>
      <c r="DHB13" s="338"/>
      <c r="DHC13" s="338"/>
      <c r="DHD13" s="338"/>
      <c r="DHE13" s="338"/>
      <c r="DHF13" s="338"/>
      <c r="DHG13" s="338"/>
      <c r="DHH13" s="338"/>
      <c r="DHI13" s="338"/>
      <c r="DHJ13" s="338"/>
      <c r="DHK13" s="338"/>
      <c r="DHL13" s="338"/>
      <c r="DHM13" s="338"/>
      <c r="DHN13" s="338"/>
      <c r="DHO13" s="338"/>
      <c r="DHP13" s="338"/>
      <c r="DHQ13" s="338"/>
      <c r="DHR13" s="338"/>
      <c r="DHS13" s="338"/>
      <c r="DHT13" s="338"/>
      <c r="DHU13" s="338"/>
      <c r="DHV13" s="338"/>
      <c r="DHW13" s="338"/>
      <c r="DHX13" s="338"/>
      <c r="DHY13" s="338"/>
      <c r="DHZ13" s="338"/>
      <c r="DIA13" s="338"/>
      <c r="DIB13" s="338"/>
      <c r="DIC13" s="338"/>
      <c r="DID13" s="338"/>
      <c r="DIE13" s="338"/>
      <c r="DIF13" s="338"/>
      <c r="DIG13" s="338"/>
      <c r="DIH13" s="338"/>
      <c r="DII13" s="338"/>
      <c r="DIJ13" s="338"/>
      <c r="DIK13" s="338"/>
      <c r="DIL13" s="338"/>
      <c r="DIM13" s="338"/>
      <c r="DIN13" s="338"/>
      <c r="DIO13" s="338"/>
      <c r="DIP13" s="338"/>
      <c r="DIQ13" s="338"/>
      <c r="DIR13" s="338"/>
      <c r="DIS13" s="338"/>
      <c r="DIT13" s="338"/>
      <c r="DIU13" s="338"/>
      <c r="DIV13" s="338"/>
      <c r="DIW13" s="338"/>
      <c r="DIX13" s="338"/>
      <c r="DIY13" s="338"/>
      <c r="DIZ13" s="338"/>
      <c r="DJA13" s="338"/>
      <c r="DJB13" s="338"/>
      <c r="DJC13" s="338"/>
      <c r="DJD13" s="338"/>
      <c r="DJE13" s="338"/>
      <c r="DJF13" s="338"/>
      <c r="DJG13" s="338"/>
      <c r="DJH13" s="338"/>
      <c r="DJI13" s="338"/>
      <c r="DJJ13" s="338"/>
      <c r="DJK13" s="338"/>
      <c r="DJL13" s="338"/>
      <c r="DJM13" s="338"/>
      <c r="DJN13" s="338"/>
      <c r="DJO13" s="338"/>
      <c r="DJP13" s="338"/>
      <c r="DJQ13" s="338"/>
      <c r="DJR13" s="338"/>
      <c r="DJS13" s="338"/>
      <c r="DJT13" s="338"/>
      <c r="DJU13" s="338"/>
      <c r="DJV13" s="338"/>
      <c r="DJW13" s="338"/>
      <c r="DJX13" s="338"/>
      <c r="DJY13" s="338"/>
      <c r="DJZ13" s="338"/>
      <c r="DKA13" s="338"/>
      <c r="DKB13" s="338"/>
      <c r="DKC13" s="338"/>
      <c r="DKD13" s="338"/>
      <c r="DKE13" s="338"/>
      <c r="DKF13" s="338"/>
      <c r="DKG13" s="338"/>
      <c r="DKH13" s="338"/>
      <c r="DKI13" s="338"/>
      <c r="DKJ13" s="338"/>
      <c r="DKK13" s="338"/>
      <c r="DKL13" s="338"/>
      <c r="DKM13" s="338"/>
      <c r="DKN13" s="338"/>
      <c r="DKO13" s="338"/>
      <c r="DKP13" s="338"/>
      <c r="DKQ13" s="338"/>
      <c r="DKR13" s="338"/>
      <c r="DKS13" s="338"/>
      <c r="DKT13" s="338"/>
      <c r="DKU13" s="338"/>
      <c r="DKV13" s="338"/>
      <c r="DKW13" s="338"/>
      <c r="DKX13" s="338"/>
      <c r="DKY13" s="338"/>
      <c r="DKZ13" s="338"/>
      <c r="DLA13" s="338"/>
      <c r="DLB13" s="338"/>
      <c r="DLC13" s="338"/>
      <c r="DLD13" s="338"/>
      <c r="DLE13" s="338"/>
      <c r="DLF13" s="338"/>
      <c r="DLG13" s="338"/>
      <c r="DLH13" s="338"/>
      <c r="DLI13" s="338"/>
      <c r="DLJ13" s="338"/>
      <c r="DLK13" s="338"/>
      <c r="DLL13" s="338"/>
      <c r="DLM13" s="338"/>
      <c r="DLN13" s="338"/>
      <c r="DLO13" s="338"/>
      <c r="DLP13" s="338"/>
      <c r="DLQ13" s="338"/>
      <c r="DLR13" s="338"/>
      <c r="DLS13" s="338"/>
      <c r="DLT13" s="338"/>
      <c r="DLU13" s="338"/>
      <c r="DLV13" s="338"/>
      <c r="DLW13" s="338"/>
      <c r="DLX13" s="338"/>
      <c r="DLY13" s="338"/>
      <c r="DLZ13" s="338"/>
      <c r="DMA13" s="338"/>
      <c r="DMB13" s="338"/>
      <c r="DMC13" s="338"/>
      <c r="DMD13" s="338"/>
      <c r="DME13" s="338"/>
      <c r="DMF13" s="338"/>
      <c r="DMG13" s="338"/>
      <c r="DMH13" s="338"/>
      <c r="DMI13" s="338"/>
      <c r="DMJ13" s="338"/>
      <c r="DMK13" s="338"/>
      <c r="DML13" s="338"/>
      <c r="DMM13" s="338"/>
      <c r="DMN13" s="338"/>
      <c r="DMO13" s="338"/>
      <c r="DMP13" s="338"/>
      <c r="DMQ13" s="338"/>
      <c r="DMR13" s="338"/>
      <c r="DMS13" s="338"/>
      <c r="DMT13" s="338"/>
      <c r="DMU13" s="338"/>
      <c r="DMV13" s="338"/>
      <c r="DMW13" s="338"/>
      <c r="DMX13" s="338"/>
      <c r="DMY13" s="338"/>
      <c r="DMZ13" s="338"/>
      <c r="DNA13" s="338"/>
      <c r="DNB13" s="338"/>
      <c r="DNC13" s="338"/>
      <c r="DND13" s="338"/>
      <c r="DNE13" s="338"/>
      <c r="DNF13" s="338"/>
      <c r="DNG13" s="338"/>
      <c r="DNH13" s="338"/>
      <c r="DNI13" s="338"/>
      <c r="DNJ13" s="338"/>
      <c r="DNK13" s="338"/>
      <c r="DNL13" s="338"/>
      <c r="DNM13" s="338"/>
      <c r="DNN13" s="338"/>
      <c r="DNO13" s="338"/>
      <c r="DNP13" s="338"/>
      <c r="DNQ13" s="338"/>
      <c r="DNR13" s="338"/>
      <c r="DNS13" s="338"/>
      <c r="DNT13" s="338"/>
      <c r="DNU13" s="338"/>
      <c r="DNV13" s="338"/>
      <c r="DNW13" s="338"/>
      <c r="DNX13" s="338"/>
      <c r="DNY13" s="338"/>
      <c r="DNZ13" s="338"/>
      <c r="DOA13" s="338"/>
      <c r="DOB13" s="338"/>
      <c r="DOC13" s="338"/>
      <c r="DOD13" s="338"/>
      <c r="DOE13" s="338"/>
      <c r="DOF13" s="338"/>
      <c r="DOG13" s="338"/>
      <c r="DOH13" s="338"/>
      <c r="DOI13" s="338"/>
      <c r="DOJ13" s="338"/>
      <c r="DOK13" s="338"/>
      <c r="DOL13" s="338"/>
      <c r="DOM13" s="338"/>
      <c r="DON13" s="338"/>
      <c r="DOO13" s="338"/>
      <c r="DOP13" s="338"/>
      <c r="DOQ13" s="338"/>
      <c r="DOR13" s="338"/>
      <c r="DOS13" s="338"/>
      <c r="DOT13" s="338"/>
      <c r="DOU13" s="338"/>
      <c r="DOV13" s="338"/>
      <c r="DOW13" s="338"/>
      <c r="DOX13" s="338"/>
      <c r="DOY13" s="338"/>
      <c r="DOZ13" s="338"/>
      <c r="DPA13" s="338"/>
      <c r="DPB13" s="338"/>
      <c r="DPC13" s="338"/>
      <c r="DPD13" s="338"/>
      <c r="DPE13" s="338"/>
      <c r="DPF13" s="338"/>
      <c r="DPG13" s="338"/>
      <c r="DPH13" s="338"/>
      <c r="DPI13" s="338"/>
      <c r="DPJ13" s="338"/>
      <c r="DPK13" s="338"/>
      <c r="DPL13" s="338"/>
      <c r="DPM13" s="338"/>
      <c r="DPN13" s="338"/>
      <c r="DPO13" s="338"/>
      <c r="DPP13" s="338"/>
      <c r="DPQ13" s="338"/>
      <c r="DPR13" s="338"/>
      <c r="DPS13" s="338"/>
      <c r="DPT13" s="338"/>
      <c r="DPU13" s="338"/>
      <c r="DPV13" s="338"/>
      <c r="DPW13" s="338"/>
      <c r="DPX13" s="338"/>
      <c r="DPY13" s="338"/>
      <c r="DPZ13" s="338"/>
      <c r="DQA13" s="338"/>
      <c r="DQB13" s="338"/>
      <c r="DQC13" s="338"/>
      <c r="DQD13" s="338"/>
      <c r="DQE13" s="338"/>
      <c r="DQF13" s="338"/>
      <c r="DQG13" s="338"/>
      <c r="DQH13" s="338"/>
      <c r="DQI13" s="338"/>
      <c r="DQJ13" s="338"/>
      <c r="DQK13" s="338"/>
      <c r="DQL13" s="338"/>
      <c r="DQM13" s="338"/>
      <c r="DQN13" s="338"/>
      <c r="DQO13" s="338"/>
      <c r="DQP13" s="338"/>
      <c r="DQQ13" s="338"/>
      <c r="DQR13" s="338"/>
      <c r="DQS13" s="338"/>
      <c r="DQT13" s="338"/>
      <c r="DQU13" s="338"/>
      <c r="DQV13" s="338"/>
      <c r="DQW13" s="338"/>
      <c r="DQX13" s="338"/>
      <c r="DQY13" s="338"/>
      <c r="DQZ13" s="338"/>
      <c r="DRA13" s="338"/>
      <c r="DRB13" s="338"/>
      <c r="DRC13" s="338"/>
      <c r="DRD13" s="338"/>
      <c r="DRE13" s="338"/>
      <c r="DRF13" s="338"/>
      <c r="DRG13" s="338"/>
      <c r="DRH13" s="338"/>
      <c r="DRI13" s="338"/>
      <c r="DRJ13" s="338"/>
      <c r="DRK13" s="338"/>
      <c r="DRL13" s="338"/>
      <c r="DRM13" s="338"/>
      <c r="DRN13" s="338"/>
      <c r="DRO13" s="338"/>
      <c r="DRP13" s="338"/>
      <c r="DRQ13" s="338"/>
      <c r="DRR13" s="338"/>
      <c r="DRS13" s="338"/>
      <c r="DRT13" s="338"/>
      <c r="DRU13" s="338"/>
      <c r="DRV13" s="338"/>
      <c r="DRW13" s="338"/>
      <c r="DRX13" s="338"/>
      <c r="DRY13" s="338"/>
      <c r="DRZ13" s="338"/>
      <c r="DSA13" s="338"/>
      <c r="DSB13" s="338"/>
      <c r="DSC13" s="338"/>
      <c r="DSD13" s="338"/>
      <c r="DSE13" s="338"/>
      <c r="DSF13" s="338"/>
      <c r="DSG13" s="338"/>
      <c r="DSH13" s="338"/>
      <c r="DSI13" s="338"/>
      <c r="DSJ13" s="338"/>
      <c r="DSK13" s="338"/>
      <c r="DSL13" s="338"/>
      <c r="DSM13" s="338"/>
      <c r="DSN13" s="338"/>
      <c r="DSO13" s="338"/>
      <c r="DSP13" s="338"/>
      <c r="DSQ13" s="338"/>
      <c r="DSR13" s="338"/>
      <c r="DSS13" s="338"/>
      <c r="DST13" s="338"/>
      <c r="DSU13" s="338"/>
      <c r="DSV13" s="338"/>
      <c r="DSW13" s="338"/>
      <c r="DSX13" s="338"/>
      <c r="DSY13" s="338"/>
      <c r="DSZ13" s="338"/>
      <c r="DTA13" s="338"/>
      <c r="DTB13" s="338"/>
      <c r="DTC13" s="338"/>
      <c r="DTD13" s="338"/>
      <c r="DTE13" s="338"/>
      <c r="DTF13" s="338"/>
      <c r="DTG13" s="338"/>
      <c r="DTH13" s="338"/>
      <c r="DTI13" s="338"/>
      <c r="DTJ13" s="338"/>
      <c r="DTK13" s="338"/>
      <c r="DTL13" s="338"/>
      <c r="DTM13" s="338"/>
      <c r="DTN13" s="338"/>
      <c r="DTO13" s="338"/>
      <c r="DTP13" s="338"/>
      <c r="DTQ13" s="338"/>
      <c r="DTR13" s="338"/>
      <c r="DTS13" s="338"/>
      <c r="DTT13" s="338"/>
      <c r="DTU13" s="338"/>
      <c r="DTV13" s="338"/>
      <c r="DTW13" s="338"/>
      <c r="DTX13" s="338"/>
      <c r="DTY13" s="338"/>
      <c r="DTZ13" s="338"/>
      <c r="DUA13" s="338"/>
      <c r="DUB13" s="338"/>
      <c r="DUC13" s="338"/>
      <c r="DUD13" s="338"/>
      <c r="DUE13" s="338"/>
      <c r="DUF13" s="338"/>
      <c r="DUG13" s="338"/>
      <c r="DUH13" s="338"/>
      <c r="DUI13" s="338"/>
      <c r="DUJ13" s="338"/>
      <c r="DUK13" s="338"/>
      <c r="DUL13" s="338"/>
      <c r="DUM13" s="338"/>
      <c r="DUN13" s="338"/>
      <c r="DUO13" s="338"/>
      <c r="DUP13" s="338"/>
      <c r="DUQ13" s="338"/>
      <c r="DUR13" s="338"/>
      <c r="DUS13" s="338"/>
      <c r="DUT13" s="338"/>
      <c r="DUU13" s="338"/>
      <c r="DUV13" s="338"/>
      <c r="DUW13" s="338"/>
      <c r="DUX13" s="338"/>
      <c r="DUY13" s="338"/>
      <c r="DUZ13" s="338"/>
      <c r="DVA13" s="338"/>
      <c r="DVB13" s="338"/>
      <c r="DVC13" s="338"/>
      <c r="DVD13" s="338"/>
      <c r="DVE13" s="338"/>
      <c r="DVF13" s="338"/>
      <c r="DVG13" s="338"/>
      <c r="DVH13" s="338"/>
      <c r="DVI13" s="338"/>
      <c r="DVJ13" s="338"/>
      <c r="DVK13" s="338"/>
      <c r="DVL13" s="338"/>
      <c r="DVM13" s="338"/>
      <c r="DVN13" s="338"/>
      <c r="DVO13" s="338"/>
      <c r="DVP13" s="338"/>
      <c r="DVQ13" s="338"/>
      <c r="DVR13" s="338"/>
      <c r="DVS13" s="338"/>
      <c r="DVT13" s="338"/>
      <c r="DVU13" s="338"/>
      <c r="DVV13" s="338"/>
      <c r="DVW13" s="338"/>
      <c r="DVX13" s="338"/>
      <c r="DVY13" s="338"/>
      <c r="DVZ13" s="338"/>
      <c r="DWA13" s="338"/>
      <c r="DWB13" s="338"/>
      <c r="DWC13" s="338"/>
      <c r="DWD13" s="338"/>
      <c r="DWE13" s="338"/>
      <c r="DWF13" s="338"/>
      <c r="DWG13" s="338"/>
      <c r="DWH13" s="338"/>
      <c r="DWI13" s="338"/>
      <c r="DWJ13" s="338"/>
      <c r="DWK13" s="338"/>
      <c r="DWL13" s="338"/>
      <c r="DWM13" s="338"/>
      <c r="DWN13" s="338"/>
      <c r="DWO13" s="338"/>
      <c r="DWP13" s="338"/>
      <c r="DWQ13" s="338"/>
      <c r="DWR13" s="338"/>
      <c r="DWS13" s="338"/>
      <c r="DWT13" s="338"/>
      <c r="DWU13" s="338"/>
      <c r="DWV13" s="338"/>
      <c r="DWW13" s="338"/>
      <c r="DWX13" s="338"/>
      <c r="DWY13" s="338"/>
      <c r="DWZ13" s="338"/>
      <c r="DXA13" s="338"/>
      <c r="DXB13" s="338"/>
      <c r="DXC13" s="338"/>
      <c r="DXD13" s="338"/>
      <c r="DXE13" s="338"/>
      <c r="DXF13" s="338"/>
      <c r="DXG13" s="338"/>
      <c r="DXH13" s="338"/>
      <c r="DXI13" s="338"/>
      <c r="DXJ13" s="338"/>
      <c r="DXK13" s="338"/>
      <c r="DXL13" s="338"/>
      <c r="DXM13" s="338"/>
      <c r="DXN13" s="338"/>
      <c r="DXO13" s="338"/>
      <c r="DXP13" s="338"/>
      <c r="DXQ13" s="338"/>
      <c r="DXR13" s="338"/>
      <c r="DXS13" s="338"/>
      <c r="DXT13" s="338"/>
      <c r="DXU13" s="338"/>
      <c r="DXV13" s="338"/>
      <c r="DXW13" s="338"/>
      <c r="DXX13" s="338"/>
      <c r="DXY13" s="338"/>
      <c r="DXZ13" s="338"/>
      <c r="DYA13" s="338"/>
      <c r="DYB13" s="338"/>
      <c r="DYC13" s="338"/>
      <c r="DYD13" s="338"/>
      <c r="DYE13" s="338"/>
      <c r="DYF13" s="338"/>
      <c r="DYG13" s="338"/>
      <c r="DYH13" s="338"/>
      <c r="DYI13" s="338"/>
      <c r="DYJ13" s="338"/>
      <c r="DYK13" s="338"/>
      <c r="DYL13" s="338"/>
      <c r="DYM13" s="338"/>
      <c r="DYN13" s="338"/>
      <c r="DYO13" s="338"/>
      <c r="DYP13" s="338"/>
      <c r="DYQ13" s="338"/>
      <c r="DYR13" s="338"/>
      <c r="DYS13" s="338"/>
      <c r="DYT13" s="338"/>
      <c r="DYU13" s="338"/>
      <c r="DYV13" s="338"/>
      <c r="DYW13" s="338"/>
      <c r="DYX13" s="338"/>
      <c r="DYY13" s="338"/>
      <c r="DYZ13" s="338"/>
      <c r="DZA13" s="338"/>
      <c r="DZB13" s="338"/>
      <c r="DZC13" s="338"/>
      <c r="DZD13" s="338"/>
      <c r="DZE13" s="338"/>
      <c r="DZF13" s="338"/>
      <c r="DZG13" s="338"/>
      <c r="DZH13" s="338"/>
      <c r="DZI13" s="338"/>
      <c r="DZJ13" s="338"/>
      <c r="DZK13" s="338"/>
      <c r="DZL13" s="338"/>
      <c r="DZM13" s="338"/>
      <c r="DZN13" s="338"/>
      <c r="DZO13" s="338"/>
      <c r="DZP13" s="338"/>
      <c r="DZQ13" s="338"/>
      <c r="DZR13" s="338"/>
      <c r="DZS13" s="338"/>
      <c r="DZT13" s="338"/>
      <c r="DZU13" s="338"/>
      <c r="DZV13" s="338"/>
      <c r="DZW13" s="338"/>
      <c r="DZX13" s="338"/>
      <c r="DZY13" s="338"/>
      <c r="DZZ13" s="338"/>
      <c r="EAA13" s="338"/>
      <c r="EAB13" s="338"/>
      <c r="EAC13" s="338"/>
      <c r="EAD13" s="338"/>
      <c r="EAE13" s="338"/>
      <c r="EAF13" s="338"/>
      <c r="EAG13" s="338"/>
      <c r="EAH13" s="338"/>
      <c r="EAI13" s="338"/>
      <c r="EAJ13" s="338"/>
      <c r="EAK13" s="338"/>
      <c r="EAL13" s="338"/>
      <c r="EAM13" s="338"/>
      <c r="EAN13" s="338"/>
      <c r="EAO13" s="338"/>
      <c r="EAP13" s="338"/>
      <c r="EAQ13" s="338"/>
      <c r="EAR13" s="338"/>
      <c r="EAS13" s="338"/>
      <c r="EAT13" s="338"/>
      <c r="EAU13" s="338"/>
      <c r="EAV13" s="338"/>
      <c r="EAW13" s="338"/>
      <c r="EAX13" s="338"/>
      <c r="EAY13" s="338"/>
      <c r="EAZ13" s="338"/>
      <c r="EBA13" s="338"/>
      <c r="EBB13" s="338"/>
      <c r="EBC13" s="338"/>
      <c r="EBD13" s="338"/>
      <c r="EBE13" s="338"/>
      <c r="EBF13" s="338"/>
      <c r="EBG13" s="338"/>
      <c r="EBH13" s="338"/>
      <c r="EBI13" s="338"/>
      <c r="EBJ13" s="338"/>
      <c r="EBK13" s="338"/>
      <c r="EBL13" s="338"/>
      <c r="EBM13" s="338"/>
      <c r="EBN13" s="338"/>
      <c r="EBO13" s="338"/>
      <c r="EBP13" s="338"/>
      <c r="EBQ13" s="338"/>
      <c r="EBR13" s="338"/>
      <c r="EBS13" s="338"/>
      <c r="EBT13" s="338"/>
      <c r="EBU13" s="338"/>
      <c r="EBV13" s="338"/>
      <c r="EBW13" s="338"/>
      <c r="EBX13" s="338"/>
      <c r="EBY13" s="338"/>
      <c r="EBZ13" s="338"/>
      <c r="ECA13" s="338"/>
      <c r="ECB13" s="338"/>
      <c r="ECC13" s="338"/>
      <c r="ECD13" s="338"/>
      <c r="ECE13" s="338"/>
      <c r="ECF13" s="338"/>
      <c r="ECG13" s="338"/>
      <c r="ECH13" s="338"/>
      <c r="ECI13" s="338"/>
      <c r="ECJ13" s="338"/>
      <c r="ECK13" s="338"/>
      <c r="ECL13" s="338"/>
      <c r="ECM13" s="338"/>
      <c r="ECN13" s="338"/>
      <c r="ECO13" s="338"/>
      <c r="ECP13" s="338"/>
      <c r="ECQ13" s="338"/>
      <c r="ECR13" s="338"/>
      <c r="ECS13" s="338"/>
      <c r="ECT13" s="338"/>
      <c r="ECU13" s="338"/>
      <c r="ECV13" s="338"/>
      <c r="ECW13" s="338"/>
      <c r="ECX13" s="338"/>
      <c r="ECY13" s="338"/>
      <c r="ECZ13" s="338"/>
      <c r="EDA13" s="338"/>
      <c r="EDB13" s="338"/>
      <c r="EDC13" s="338"/>
      <c r="EDD13" s="338"/>
      <c r="EDE13" s="338"/>
      <c r="EDF13" s="338"/>
      <c r="EDG13" s="338"/>
      <c r="EDH13" s="338"/>
      <c r="EDI13" s="338"/>
      <c r="EDJ13" s="338"/>
      <c r="EDK13" s="338"/>
      <c r="EDL13" s="338"/>
      <c r="EDM13" s="338"/>
      <c r="EDN13" s="338"/>
      <c r="EDO13" s="338"/>
      <c r="EDP13" s="338"/>
      <c r="EDQ13" s="338"/>
      <c r="EDR13" s="338"/>
      <c r="EDS13" s="338"/>
      <c r="EDT13" s="338"/>
      <c r="EDU13" s="338"/>
      <c r="EDV13" s="338"/>
      <c r="EDW13" s="338"/>
      <c r="EDX13" s="338"/>
      <c r="EDY13" s="338"/>
      <c r="EDZ13" s="338"/>
      <c r="EEA13" s="338"/>
      <c r="EEB13" s="338"/>
      <c r="EEC13" s="338"/>
      <c r="EED13" s="338"/>
      <c r="EEE13" s="338"/>
      <c r="EEF13" s="338"/>
      <c r="EEG13" s="338"/>
      <c r="EEH13" s="338"/>
      <c r="EEI13" s="338"/>
      <c r="EEJ13" s="338"/>
      <c r="EEK13" s="338"/>
      <c r="EEL13" s="338"/>
      <c r="EEM13" s="338"/>
      <c r="EEN13" s="338"/>
      <c r="EEO13" s="338"/>
      <c r="EEP13" s="338"/>
      <c r="EEQ13" s="338"/>
      <c r="EER13" s="338"/>
      <c r="EES13" s="338"/>
      <c r="EET13" s="338"/>
      <c r="EEU13" s="338"/>
      <c r="EEV13" s="338"/>
      <c r="EEW13" s="338"/>
      <c r="EEX13" s="338"/>
      <c r="EEY13" s="338"/>
      <c r="EEZ13" s="338"/>
      <c r="EFA13" s="338"/>
      <c r="EFB13" s="338"/>
      <c r="EFC13" s="338"/>
      <c r="EFD13" s="338"/>
      <c r="EFE13" s="338"/>
      <c r="EFF13" s="338"/>
      <c r="EFG13" s="338"/>
      <c r="EFH13" s="338"/>
      <c r="EFI13" s="338"/>
      <c r="EFJ13" s="338"/>
      <c r="EFK13" s="338"/>
      <c r="EFL13" s="338"/>
      <c r="EFM13" s="338"/>
      <c r="EFN13" s="338"/>
      <c r="EFO13" s="338"/>
      <c r="EFP13" s="338"/>
      <c r="EFQ13" s="338"/>
      <c r="EFR13" s="338"/>
      <c r="EFS13" s="338"/>
      <c r="EFT13" s="338"/>
      <c r="EFU13" s="338"/>
      <c r="EFV13" s="338"/>
      <c r="EFW13" s="338"/>
      <c r="EFX13" s="338"/>
      <c r="EFY13" s="338"/>
      <c r="EFZ13" s="338"/>
      <c r="EGA13" s="338"/>
      <c r="EGB13" s="338"/>
      <c r="EGC13" s="338"/>
      <c r="EGD13" s="338"/>
      <c r="EGE13" s="338"/>
      <c r="EGF13" s="338"/>
      <c r="EGG13" s="338"/>
      <c r="EGH13" s="338"/>
      <c r="EGI13" s="338"/>
      <c r="EGJ13" s="338"/>
      <c r="EGK13" s="338"/>
      <c r="EGL13" s="338"/>
      <c r="EGM13" s="338"/>
      <c r="EGN13" s="338"/>
      <c r="EGO13" s="338"/>
      <c r="EGP13" s="338"/>
      <c r="EGQ13" s="338"/>
      <c r="EGR13" s="338"/>
      <c r="EGS13" s="338"/>
      <c r="EGT13" s="338"/>
      <c r="EGU13" s="338"/>
      <c r="EGV13" s="338"/>
      <c r="EGW13" s="338"/>
      <c r="EGX13" s="338"/>
      <c r="EGY13" s="338"/>
      <c r="EGZ13" s="338"/>
      <c r="EHA13" s="338"/>
      <c r="EHB13" s="338"/>
      <c r="EHC13" s="338"/>
      <c r="EHD13" s="338"/>
      <c r="EHE13" s="338"/>
      <c r="EHF13" s="338"/>
      <c r="EHG13" s="338"/>
      <c r="EHH13" s="338"/>
      <c r="EHI13" s="338"/>
      <c r="EHJ13" s="338"/>
      <c r="EHK13" s="338"/>
      <c r="EHL13" s="338"/>
      <c r="EHM13" s="338"/>
      <c r="EHN13" s="338"/>
      <c r="EHO13" s="338"/>
      <c r="EHP13" s="338"/>
      <c r="EHQ13" s="338"/>
      <c r="EHR13" s="338"/>
      <c r="EHS13" s="338"/>
      <c r="EHT13" s="338"/>
      <c r="EHU13" s="338"/>
      <c r="EHV13" s="338"/>
      <c r="EHW13" s="338"/>
      <c r="EHX13" s="338"/>
      <c r="EHY13" s="338"/>
      <c r="EHZ13" s="338"/>
      <c r="EIA13" s="338"/>
      <c r="EIB13" s="338"/>
      <c r="EIC13" s="338"/>
      <c r="EID13" s="338"/>
      <c r="EIE13" s="338"/>
      <c r="EIF13" s="338"/>
      <c r="EIG13" s="338"/>
      <c r="EIH13" s="338"/>
      <c r="EII13" s="338"/>
      <c r="EIJ13" s="338"/>
      <c r="EIK13" s="338"/>
      <c r="EIL13" s="338"/>
      <c r="EIM13" s="338"/>
      <c r="EIN13" s="338"/>
      <c r="EIO13" s="338"/>
      <c r="EIP13" s="338"/>
      <c r="EIQ13" s="338"/>
      <c r="EIR13" s="338"/>
      <c r="EIS13" s="338"/>
      <c r="EIT13" s="338"/>
      <c r="EIU13" s="338"/>
      <c r="EIV13" s="338"/>
      <c r="EIW13" s="338"/>
      <c r="EIX13" s="338"/>
      <c r="EIY13" s="338"/>
      <c r="EIZ13" s="338"/>
      <c r="EJA13" s="338"/>
      <c r="EJB13" s="338"/>
      <c r="EJC13" s="338"/>
      <c r="EJD13" s="338"/>
      <c r="EJE13" s="338"/>
      <c r="EJF13" s="338"/>
      <c r="EJG13" s="338"/>
      <c r="EJH13" s="338"/>
      <c r="EJI13" s="338"/>
      <c r="EJJ13" s="338"/>
      <c r="EJK13" s="338"/>
      <c r="EJL13" s="338"/>
      <c r="EJM13" s="338"/>
      <c r="EJN13" s="338"/>
      <c r="EJO13" s="338"/>
      <c r="EJP13" s="338"/>
      <c r="EJQ13" s="338"/>
      <c r="EJR13" s="338"/>
      <c r="EJS13" s="338"/>
      <c r="EJT13" s="338"/>
      <c r="EJU13" s="338"/>
      <c r="EJV13" s="338"/>
      <c r="EJW13" s="338"/>
      <c r="EJX13" s="338"/>
      <c r="EJY13" s="338"/>
      <c r="EJZ13" s="338"/>
      <c r="EKA13" s="338"/>
      <c r="EKB13" s="338"/>
      <c r="EKC13" s="338"/>
      <c r="EKD13" s="338"/>
      <c r="EKE13" s="338"/>
      <c r="EKF13" s="338"/>
      <c r="EKG13" s="338"/>
      <c r="EKH13" s="338"/>
      <c r="EKI13" s="338"/>
      <c r="EKJ13" s="338"/>
      <c r="EKK13" s="338"/>
      <c r="EKL13" s="338"/>
      <c r="EKM13" s="338"/>
      <c r="EKN13" s="338"/>
      <c r="EKO13" s="338"/>
      <c r="EKP13" s="338"/>
      <c r="EKQ13" s="338"/>
      <c r="EKR13" s="338"/>
      <c r="EKS13" s="338"/>
      <c r="EKT13" s="338"/>
      <c r="EKU13" s="338"/>
      <c r="EKV13" s="338"/>
      <c r="EKW13" s="338"/>
      <c r="EKX13" s="338"/>
      <c r="EKY13" s="338"/>
      <c r="EKZ13" s="338"/>
      <c r="ELA13" s="338"/>
      <c r="ELB13" s="338"/>
      <c r="ELC13" s="338"/>
      <c r="ELD13" s="338"/>
      <c r="ELE13" s="338"/>
      <c r="ELF13" s="338"/>
      <c r="ELG13" s="338"/>
      <c r="ELH13" s="338"/>
      <c r="ELI13" s="338"/>
      <c r="ELJ13" s="338"/>
      <c r="ELK13" s="338"/>
      <c r="ELL13" s="338"/>
      <c r="ELM13" s="338"/>
      <c r="ELN13" s="338"/>
      <c r="ELO13" s="338"/>
      <c r="ELP13" s="338"/>
      <c r="ELQ13" s="338"/>
      <c r="ELR13" s="338"/>
      <c r="ELS13" s="338"/>
      <c r="ELT13" s="338"/>
      <c r="ELU13" s="338"/>
      <c r="ELV13" s="338"/>
      <c r="ELW13" s="338"/>
      <c r="ELX13" s="338"/>
      <c r="ELY13" s="338"/>
      <c r="ELZ13" s="338"/>
      <c r="EMA13" s="338"/>
      <c r="EMB13" s="338"/>
      <c r="EMC13" s="338"/>
      <c r="EMD13" s="338"/>
      <c r="EME13" s="338"/>
      <c r="EMF13" s="338"/>
      <c r="EMG13" s="338"/>
      <c r="EMH13" s="338"/>
      <c r="EMI13" s="338"/>
      <c r="EMJ13" s="338"/>
      <c r="EMK13" s="338"/>
      <c r="EML13" s="338"/>
      <c r="EMM13" s="338"/>
      <c r="EMN13" s="338"/>
      <c r="EMO13" s="338"/>
      <c r="EMP13" s="338"/>
      <c r="EMQ13" s="338"/>
      <c r="EMR13" s="338"/>
      <c r="EMS13" s="338"/>
      <c r="EMT13" s="338"/>
      <c r="EMU13" s="338"/>
      <c r="EMV13" s="338"/>
      <c r="EMW13" s="338"/>
      <c r="EMX13" s="338"/>
      <c r="EMY13" s="338"/>
      <c r="EMZ13" s="338"/>
      <c r="ENA13" s="338"/>
      <c r="ENB13" s="338"/>
      <c r="ENC13" s="338"/>
      <c r="END13" s="338"/>
      <c r="ENE13" s="338"/>
      <c r="ENF13" s="338"/>
      <c r="ENG13" s="338"/>
      <c r="ENH13" s="338"/>
      <c r="ENI13" s="338"/>
      <c r="ENJ13" s="338"/>
      <c r="ENK13" s="338"/>
      <c r="ENL13" s="338"/>
      <c r="ENM13" s="338"/>
      <c r="ENN13" s="338"/>
      <c r="ENO13" s="338"/>
      <c r="ENP13" s="338"/>
      <c r="ENQ13" s="338"/>
      <c r="ENR13" s="338"/>
      <c r="ENS13" s="338"/>
      <c r="ENT13" s="338"/>
      <c r="ENU13" s="338"/>
      <c r="ENV13" s="338"/>
      <c r="ENW13" s="338"/>
      <c r="ENX13" s="338"/>
      <c r="ENY13" s="338"/>
      <c r="ENZ13" s="338"/>
      <c r="EOA13" s="338"/>
      <c r="EOB13" s="338"/>
      <c r="EOC13" s="338"/>
      <c r="EOD13" s="338"/>
      <c r="EOE13" s="338"/>
      <c r="EOF13" s="338"/>
      <c r="EOG13" s="338"/>
      <c r="EOH13" s="338"/>
      <c r="EOI13" s="338"/>
      <c r="EOJ13" s="338"/>
      <c r="EOK13" s="338"/>
      <c r="EOL13" s="338"/>
      <c r="EOM13" s="338"/>
      <c r="EON13" s="338"/>
      <c r="EOO13" s="338"/>
      <c r="EOP13" s="338"/>
      <c r="EOQ13" s="338"/>
      <c r="EOR13" s="338"/>
      <c r="EOS13" s="338"/>
      <c r="EOT13" s="338"/>
      <c r="EOU13" s="338"/>
      <c r="EOV13" s="338"/>
      <c r="EOW13" s="338"/>
      <c r="EOX13" s="338"/>
      <c r="EOY13" s="338"/>
      <c r="EOZ13" s="338"/>
      <c r="EPA13" s="338"/>
      <c r="EPB13" s="338"/>
      <c r="EPC13" s="338"/>
      <c r="EPD13" s="338"/>
      <c r="EPE13" s="338"/>
      <c r="EPF13" s="338"/>
      <c r="EPG13" s="338"/>
      <c r="EPH13" s="338"/>
      <c r="EPI13" s="338"/>
      <c r="EPJ13" s="338"/>
      <c r="EPK13" s="338"/>
      <c r="EPL13" s="338"/>
      <c r="EPM13" s="338"/>
      <c r="EPN13" s="338"/>
      <c r="EPO13" s="338"/>
      <c r="EPP13" s="338"/>
      <c r="EPQ13" s="338"/>
      <c r="EPR13" s="338"/>
      <c r="EPS13" s="338"/>
      <c r="EPT13" s="338"/>
      <c r="EPU13" s="338"/>
      <c r="EPV13" s="338"/>
      <c r="EPW13" s="338"/>
      <c r="EPX13" s="338"/>
      <c r="EPY13" s="338"/>
      <c r="EPZ13" s="338"/>
      <c r="EQA13" s="338"/>
      <c r="EQB13" s="338"/>
      <c r="EQC13" s="338"/>
      <c r="EQD13" s="338"/>
      <c r="EQE13" s="338"/>
      <c r="EQF13" s="338"/>
      <c r="EQG13" s="338"/>
      <c r="EQH13" s="338"/>
      <c r="EQI13" s="338"/>
      <c r="EQJ13" s="338"/>
      <c r="EQK13" s="338"/>
      <c r="EQL13" s="338"/>
      <c r="EQM13" s="338"/>
      <c r="EQN13" s="338"/>
      <c r="EQO13" s="338"/>
      <c r="EQP13" s="338"/>
      <c r="EQQ13" s="338"/>
      <c r="EQR13" s="338"/>
      <c r="EQS13" s="338"/>
      <c r="EQT13" s="338"/>
      <c r="EQU13" s="338"/>
      <c r="EQV13" s="338"/>
      <c r="EQW13" s="338"/>
      <c r="EQX13" s="338"/>
      <c r="EQY13" s="338"/>
      <c r="EQZ13" s="338"/>
      <c r="ERA13" s="338"/>
      <c r="ERB13" s="338"/>
      <c r="ERC13" s="338"/>
      <c r="ERD13" s="338"/>
      <c r="ERE13" s="338"/>
      <c r="ERF13" s="338"/>
      <c r="ERG13" s="338"/>
      <c r="ERH13" s="338"/>
      <c r="ERI13" s="338"/>
      <c r="ERJ13" s="338"/>
      <c r="ERK13" s="338"/>
      <c r="ERL13" s="338"/>
      <c r="ERM13" s="338"/>
      <c r="ERN13" s="338"/>
      <c r="ERO13" s="338"/>
      <c r="ERP13" s="338"/>
      <c r="ERQ13" s="338"/>
      <c r="ERR13" s="338"/>
      <c r="ERS13" s="338"/>
      <c r="ERT13" s="338"/>
      <c r="ERU13" s="338"/>
      <c r="ERV13" s="338"/>
      <c r="ERW13" s="338"/>
      <c r="ERX13" s="338"/>
      <c r="ERY13" s="338"/>
      <c r="ERZ13" s="338"/>
      <c r="ESA13" s="338"/>
      <c r="ESB13" s="338"/>
      <c r="ESC13" s="338"/>
      <c r="ESD13" s="338"/>
      <c r="ESE13" s="338"/>
      <c r="ESF13" s="338"/>
      <c r="ESG13" s="338"/>
      <c r="ESH13" s="338"/>
      <c r="ESI13" s="338"/>
      <c r="ESJ13" s="338"/>
      <c r="ESK13" s="338"/>
      <c r="ESL13" s="338"/>
      <c r="ESM13" s="338"/>
      <c r="ESN13" s="338"/>
      <c r="ESO13" s="338"/>
      <c r="ESP13" s="338"/>
      <c r="ESQ13" s="338"/>
      <c r="ESR13" s="338"/>
      <c r="ESS13" s="338"/>
      <c r="EST13" s="338"/>
      <c r="ESU13" s="338"/>
      <c r="ESV13" s="338"/>
      <c r="ESW13" s="338"/>
      <c r="ESX13" s="338"/>
      <c r="ESY13" s="338"/>
      <c r="ESZ13" s="338"/>
      <c r="ETA13" s="338"/>
      <c r="ETB13" s="338"/>
      <c r="ETC13" s="338"/>
      <c r="ETD13" s="338"/>
      <c r="ETE13" s="338"/>
      <c r="ETF13" s="338"/>
      <c r="ETG13" s="338"/>
      <c r="ETH13" s="338"/>
      <c r="ETI13" s="338"/>
      <c r="ETJ13" s="338"/>
      <c r="ETK13" s="338"/>
      <c r="ETL13" s="338"/>
      <c r="ETM13" s="338"/>
      <c r="ETN13" s="338"/>
      <c r="ETO13" s="338"/>
      <c r="ETP13" s="338"/>
      <c r="ETQ13" s="338"/>
      <c r="ETR13" s="338"/>
      <c r="ETS13" s="338"/>
      <c r="ETT13" s="338"/>
      <c r="ETU13" s="338"/>
      <c r="ETV13" s="338"/>
      <c r="ETW13" s="338"/>
      <c r="ETX13" s="338"/>
      <c r="ETY13" s="338"/>
      <c r="ETZ13" s="338"/>
      <c r="EUA13" s="338"/>
      <c r="EUB13" s="338"/>
      <c r="EUC13" s="338"/>
      <c r="EUD13" s="338"/>
      <c r="EUE13" s="338"/>
      <c r="EUF13" s="338"/>
      <c r="EUG13" s="338"/>
      <c r="EUH13" s="338"/>
      <c r="EUI13" s="338"/>
      <c r="EUJ13" s="338"/>
      <c r="EUK13" s="338"/>
      <c r="EUL13" s="338"/>
      <c r="EUM13" s="338"/>
      <c r="EUN13" s="338"/>
      <c r="EUO13" s="338"/>
      <c r="EUP13" s="338"/>
      <c r="EUQ13" s="338"/>
      <c r="EUR13" s="338"/>
      <c r="EUS13" s="338"/>
      <c r="EUT13" s="338"/>
      <c r="EUU13" s="338"/>
      <c r="EUV13" s="338"/>
      <c r="EUW13" s="338"/>
      <c r="EUX13" s="338"/>
      <c r="EUY13" s="338"/>
      <c r="EUZ13" s="338"/>
      <c r="EVA13" s="338"/>
      <c r="EVB13" s="338"/>
      <c r="EVC13" s="338"/>
      <c r="EVD13" s="338"/>
      <c r="EVE13" s="338"/>
      <c r="EVF13" s="338"/>
      <c r="EVG13" s="338"/>
      <c r="EVH13" s="338"/>
      <c r="EVI13" s="338"/>
      <c r="EVJ13" s="338"/>
      <c r="EVK13" s="338"/>
      <c r="EVL13" s="338"/>
      <c r="EVM13" s="338"/>
      <c r="EVN13" s="338"/>
      <c r="EVO13" s="338"/>
      <c r="EVP13" s="338"/>
      <c r="EVQ13" s="338"/>
      <c r="EVR13" s="338"/>
      <c r="EVS13" s="338"/>
      <c r="EVT13" s="338"/>
      <c r="EVU13" s="338"/>
      <c r="EVV13" s="338"/>
      <c r="EVW13" s="338"/>
      <c r="EVX13" s="338"/>
      <c r="EVY13" s="338"/>
      <c r="EVZ13" s="338"/>
      <c r="EWA13" s="338"/>
      <c r="EWB13" s="338"/>
      <c r="EWC13" s="338"/>
      <c r="EWD13" s="338"/>
      <c r="EWE13" s="338"/>
      <c r="EWF13" s="338"/>
      <c r="EWG13" s="338"/>
      <c r="EWH13" s="338"/>
      <c r="EWI13" s="338"/>
      <c r="EWJ13" s="338"/>
      <c r="EWK13" s="338"/>
      <c r="EWL13" s="338"/>
      <c r="EWM13" s="338"/>
      <c r="EWN13" s="338"/>
      <c r="EWO13" s="338"/>
      <c r="EWP13" s="338"/>
      <c r="EWQ13" s="338"/>
      <c r="EWR13" s="338"/>
      <c r="EWS13" s="338"/>
      <c r="EWT13" s="338"/>
      <c r="EWU13" s="338"/>
      <c r="EWV13" s="338"/>
      <c r="EWW13" s="338"/>
      <c r="EWX13" s="338"/>
      <c r="EWY13" s="338"/>
      <c r="EWZ13" s="338"/>
      <c r="EXA13" s="338"/>
      <c r="EXB13" s="338"/>
      <c r="EXC13" s="338"/>
      <c r="EXD13" s="338"/>
      <c r="EXE13" s="338"/>
      <c r="EXF13" s="338"/>
      <c r="EXG13" s="338"/>
      <c r="EXH13" s="338"/>
      <c r="EXI13" s="338"/>
      <c r="EXJ13" s="338"/>
      <c r="EXK13" s="338"/>
      <c r="EXL13" s="338"/>
      <c r="EXM13" s="338"/>
      <c r="EXN13" s="338"/>
      <c r="EXO13" s="338"/>
      <c r="EXP13" s="338"/>
      <c r="EXQ13" s="338"/>
      <c r="EXR13" s="338"/>
      <c r="EXS13" s="338"/>
      <c r="EXT13" s="338"/>
      <c r="EXU13" s="338"/>
      <c r="EXV13" s="338"/>
      <c r="EXW13" s="338"/>
      <c r="EXX13" s="338"/>
      <c r="EXY13" s="338"/>
      <c r="EXZ13" s="338"/>
      <c r="EYA13" s="338"/>
      <c r="EYB13" s="338"/>
      <c r="EYC13" s="338"/>
      <c r="EYD13" s="338"/>
      <c r="EYE13" s="338"/>
      <c r="EYF13" s="338"/>
      <c r="EYG13" s="338"/>
      <c r="EYH13" s="338"/>
      <c r="EYI13" s="338"/>
      <c r="EYJ13" s="338"/>
      <c r="EYK13" s="338"/>
      <c r="EYL13" s="338"/>
      <c r="EYM13" s="338"/>
      <c r="EYN13" s="338"/>
      <c r="EYO13" s="338"/>
      <c r="EYP13" s="338"/>
      <c r="EYQ13" s="338"/>
      <c r="EYR13" s="338"/>
      <c r="EYS13" s="338"/>
      <c r="EYT13" s="338"/>
      <c r="EYU13" s="338"/>
      <c r="EYV13" s="338"/>
      <c r="EYW13" s="338"/>
      <c r="EYX13" s="338"/>
      <c r="EYY13" s="338"/>
      <c r="EYZ13" s="338"/>
      <c r="EZA13" s="338"/>
      <c r="EZB13" s="338"/>
      <c r="EZC13" s="338"/>
      <c r="EZD13" s="338"/>
      <c r="EZE13" s="338"/>
      <c r="EZF13" s="338"/>
      <c r="EZG13" s="338"/>
      <c r="EZH13" s="338"/>
      <c r="EZI13" s="338"/>
      <c r="EZJ13" s="338"/>
      <c r="EZK13" s="338"/>
      <c r="EZL13" s="338"/>
      <c r="EZM13" s="338"/>
      <c r="EZN13" s="338"/>
      <c r="EZO13" s="338"/>
      <c r="EZP13" s="338"/>
      <c r="EZQ13" s="338"/>
      <c r="EZR13" s="338"/>
      <c r="EZS13" s="338"/>
      <c r="EZT13" s="338"/>
      <c r="EZU13" s="338"/>
      <c r="EZV13" s="338"/>
      <c r="EZW13" s="338"/>
      <c r="EZX13" s="338"/>
      <c r="EZY13" s="338"/>
      <c r="EZZ13" s="338"/>
      <c r="FAA13" s="338"/>
      <c r="FAB13" s="338"/>
      <c r="FAC13" s="338"/>
      <c r="FAD13" s="338"/>
      <c r="FAE13" s="338"/>
      <c r="FAF13" s="338"/>
      <c r="FAG13" s="338"/>
      <c r="FAH13" s="338"/>
      <c r="FAI13" s="338"/>
      <c r="FAJ13" s="338"/>
      <c r="FAK13" s="338"/>
      <c r="FAL13" s="338"/>
      <c r="FAM13" s="338"/>
      <c r="FAN13" s="338"/>
      <c r="FAO13" s="338"/>
      <c r="FAP13" s="338"/>
      <c r="FAQ13" s="338"/>
      <c r="FAR13" s="338"/>
      <c r="FAS13" s="338"/>
      <c r="FAT13" s="338"/>
      <c r="FAU13" s="338"/>
      <c r="FAV13" s="338"/>
      <c r="FAW13" s="338"/>
      <c r="FAX13" s="338"/>
      <c r="FAY13" s="338"/>
      <c r="FAZ13" s="338"/>
      <c r="FBA13" s="338"/>
      <c r="FBB13" s="338"/>
      <c r="FBC13" s="338"/>
      <c r="FBD13" s="338"/>
      <c r="FBE13" s="338"/>
      <c r="FBF13" s="338"/>
      <c r="FBG13" s="338"/>
      <c r="FBH13" s="338"/>
      <c r="FBI13" s="338"/>
      <c r="FBJ13" s="338"/>
      <c r="FBK13" s="338"/>
      <c r="FBL13" s="338"/>
      <c r="FBM13" s="338"/>
      <c r="FBN13" s="338"/>
      <c r="FBO13" s="338"/>
      <c r="FBP13" s="338"/>
      <c r="FBQ13" s="338"/>
      <c r="FBR13" s="338"/>
      <c r="FBS13" s="338"/>
      <c r="FBT13" s="338"/>
      <c r="FBU13" s="338"/>
      <c r="FBV13" s="338"/>
      <c r="FBW13" s="338"/>
      <c r="FBX13" s="338"/>
      <c r="FBY13" s="338"/>
      <c r="FBZ13" s="338"/>
      <c r="FCA13" s="338"/>
      <c r="FCB13" s="338"/>
      <c r="FCC13" s="338"/>
      <c r="FCD13" s="338"/>
      <c r="FCE13" s="338"/>
      <c r="FCF13" s="338"/>
      <c r="FCG13" s="338"/>
      <c r="FCH13" s="338"/>
      <c r="FCI13" s="338"/>
      <c r="FCJ13" s="338"/>
      <c r="FCK13" s="338"/>
      <c r="FCL13" s="338"/>
      <c r="FCM13" s="338"/>
      <c r="FCN13" s="338"/>
      <c r="FCO13" s="338"/>
      <c r="FCP13" s="338"/>
      <c r="FCQ13" s="338"/>
      <c r="FCR13" s="338"/>
      <c r="FCS13" s="338"/>
      <c r="FCT13" s="338"/>
      <c r="FCU13" s="338"/>
      <c r="FCV13" s="338"/>
      <c r="FCW13" s="338"/>
      <c r="FCX13" s="338"/>
      <c r="FCY13" s="338"/>
      <c r="FCZ13" s="338"/>
      <c r="FDA13" s="338"/>
      <c r="FDB13" s="338"/>
      <c r="FDC13" s="338"/>
      <c r="FDD13" s="338"/>
      <c r="FDE13" s="338"/>
      <c r="FDF13" s="338"/>
      <c r="FDG13" s="338"/>
      <c r="FDH13" s="338"/>
      <c r="FDI13" s="338"/>
      <c r="FDJ13" s="338"/>
      <c r="FDK13" s="338"/>
      <c r="FDL13" s="338"/>
      <c r="FDM13" s="338"/>
      <c r="FDN13" s="338"/>
      <c r="FDO13" s="338"/>
      <c r="FDP13" s="338"/>
      <c r="FDQ13" s="338"/>
      <c r="FDR13" s="338"/>
      <c r="FDS13" s="338"/>
      <c r="FDT13" s="338"/>
      <c r="FDU13" s="338"/>
      <c r="FDV13" s="338"/>
      <c r="FDW13" s="338"/>
      <c r="FDX13" s="338"/>
      <c r="FDY13" s="338"/>
      <c r="FDZ13" s="338"/>
      <c r="FEA13" s="338"/>
      <c r="FEB13" s="338"/>
      <c r="FEC13" s="338"/>
      <c r="FED13" s="338"/>
      <c r="FEE13" s="338"/>
      <c r="FEF13" s="338"/>
      <c r="FEG13" s="338"/>
      <c r="FEH13" s="338"/>
      <c r="FEI13" s="338"/>
      <c r="FEJ13" s="338"/>
      <c r="FEK13" s="338"/>
      <c r="FEL13" s="338"/>
      <c r="FEM13" s="338"/>
      <c r="FEN13" s="338"/>
      <c r="FEO13" s="338"/>
      <c r="FEP13" s="338"/>
      <c r="FEQ13" s="338"/>
      <c r="FER13" s="338"/>
      <c r="FES13" s="338"/>
      <c r="FET13" s="338"/>
      <c r="FEU13" s="338"/>
      <c r="FEV13" s="338"/>
      <c r="FEW13" s="338"/>
      <c r="FEX13" s="338"/>
      <c r="FEY13" s="338"/>
      <c r="FEZ13" s="338"/>
      <c r="FFA13" s="338"/>
      <c r="FFB13" s="338"/>
      <c r="FFC13" s="338"/>
      <c r="FFD13" s="338"/>
      <c r="FFE13" s="338"/>
      <c r="FFF13" s="338"/>
      <c r="FFG13" s="338"/>
      <c r="FFH13" s="338"/>
      <c r="FFI13" s="338"/>
      <c r="FFJ13" s="338"/>
      <c r="FFK13" s="338"/>
      <c r="FFL13" s="338"/>
      <c r="FFM13" s="338"/>
      <c r="FFN13" s="338"/>
      <c r="FFO13" s="338"/>
      <c r="FFP13" s="338"/>
      <c r="FFQ13" s="338"/>
      <c r="FFR13" s="338"/>
      <c r="FFS13" s="338"/>
      <c r="FFT13" s="338"/>
      <c r="FFU13" s="338"/>
      <c r="FFV13" s="338"/>
      <c r="FFW13" s="338"/>
      <c r="FFX13" s="338"/>
      <c r="FFY13" s="338"/>
      <c r="FFZ13" s="338"/>
      <c r="FGA13" s="338"/>
      <c r="FGB13" s="338"/>
      <c r="FGC13" s="338"/>
      <c r="FGD13" s="338"/>
      <c r="FGE13" s="338"/>
      <c r="FGF13" s="338"/>
      <c r="FGG13" s="338"/>
      <c r="FGH13" s="338"/>
      <c r="FGI13" s="338"/>
      <c r="FGJ13" s="338"/>
      <c r="FGK13" s="338"/>
      <c r="FGL13" s="338"/>
      <c r="FGM13" s="338"/>
      <c r="FGN13" s="338"/>
      <c r="FGO13" s="338"/>
      <c r="FGP13" s="338"/>
      <c r="FGQ13" s="338"/>
      <c r="FGR13" s="338"/>
      <c r="FGS13" s="338"/>
      <c r="FGT13" s="338"/>
      <c r="FGU13" s="338"/>
      <c r="FGV13" s="338"/>
      <c r="FGW13" s="338"/>
      <c r="FGX13" s="338"/>
      <c r="FGY13" s="338"/>
      <c r="FGZ13" s="338"/>
      <c r="FHA13" s="338"/>
      <c r="FHB13" s="338"/>
      <c r="FHC13" s="338"/>
      <c r="FHD13" s="338"/>
      <c r="FHE13" s="338"/>
      <c r="FHF13" s="338"/>
      <c r="FHG13" s="338"/>
      <c r="FHH13" s="338"/>
      <c r="FHI13" s="338"/>
      <c r="FHJ13" s="338"/>
      <c r="FHK13" s="338"/>
      <c r="FHL13" s="338"/>
      <c r="FHM13" s="338"/>
      <c r="FHN13" s="338"/>
      <c r="FHO13" s="338"/>
      <c r="FHP13" s="338"/>
      <c r="FHQ13" s="338"/>
      <c r="FHR13" s="338"/>
      <c r="FHS13" s="338"/>
      <c r="FHT13" s="338"/>
      <c r="FHU13" s="338"/>
      <c r="FHV13" s="338"/>
      <c r="FHW13" s="338"/>
      <c r="FHX13" s="338"/>
      <c r="FHY13" s="338"/>
      <c r="FHZ13" s="338"/>
      <c r="FIA13" s="338"/>
      <c r="FIB13" s="338"/>
      <c r="FIC13" s="338"/>
      <c r="FID13" s="338"/>
      <c r="FIE13" s="338"/>
      <c r="FIF13" s="338"/>
      <c r="FIG13" s="338"/>
      <c r="FIH13" s="338"/>
      <c r="FII13" s="338"/>
      <c r="FIJ13" s="338"/>
      <c r="FIK13" s="338"/>
      <c r="FIL13" s="338"/>
      <c r="FIM13" s="338"/>
      <c r="FIN13" s="338"/>
      <c r="FIO13" s="338"/>
      <c r="FIP13" s="338"/>
      <c r="FIQ13" s="338"/>
      <c r="FIR13" s="338"/>
      <c r="FIS13" s="338"/>
      <c r="FIT13" s="338"/>
      <c r="FIU13" s="338"/>
      <c r="FIV13" s="338"/>
      <c r="FIW13" s="338"/>
      <c r="FIX13" s="338"/>
      <c r="FIY13" s="338"/>
      <c r="FIZ13" s="338"/>
      <c r="FJA13" s="338"/>
      <c r="FJB13" s="338"/>
      <c r="FJC13" s="338"/>
      <c r="FJD13" s="338"/>
      <c r="FJE13" s="338"/>
      <c r="FJF13" s="338"/>
      <c r="FJG13" s="338"/>
      <c r="FJH13" s="338"/>
      <c r="FJI13" s="338"/>
      <c r="FJJ13" s="338"/>
      <c r="FJK13" s="338"/>
      <c r="FJL13" s="338"/>
      <c r="FJM13" s="338"/>
      <c r="FJN13" s="338"/>
      <c r="FJO13" s="338"/>
      <c r="FJP13" s="338"/>
      <c r="FJQ13" s="338"/>
      <c r="FJR13" s="338"/>
      <c r="FJS13" s="338"/>
      <c r="FJT13" s="338"/>
      <c r="FJU13" s="338"/>
      <c r="FJV13" s="338"/>
      <c r="FJW13" s="338"/>
      <c r="FJX13" s="338"/>
      <c r="FJY13" s="338"/>
      <c r="FJZ13" s="338"/>
      <c r="FKA13" s="338"/>
      <c r="FKB13" s="338"/>
      <c r="FKC13" s="338"/>
      <c r="FKD13" s="338"/>
      <c r="FKE13" s="338"/>
      <c r="FKF13" s="338"/>
      <c r="FKG13" s="338"/>
      <c r="FKH13" s="338"/>
      <c r="FKI13" s="338"/>
      <c r="FKJ13" s="338"/>
      <c r="FKK13" s="338"/>
      <c r="FKL13" s="338"/>
      <c r="FKM13" s="338"/>
      <c r="FKN13" s="338"/>
      <c r="FKO13" s="338"/>
      <c r="FKP13" s="338"/>
      <c r="FKQ13" s="338"/>
      <c r="FKR13" s="338"/>
      <c r="FKS13" s="338"/>
      <c r="FKT13" s="338"/>
      <c r="FKU13" s="338"/>
      <c r="FKV13" s="338"/>
      <c r="FKW13" s="338"/>
      <c r="FKX13" s="338"/>
      <c r="FKY13" s="338"/>
      <c r="FKZ13" s="338"/>
      <c r="FLA13" s="338"/>
      <c r="FLB13" s="338"/>
      <c r="FLC13" s="338"/>
      <c r="FLD13" s="338"/>
      <c r="FLE13" s="338"/>
      <c r="FLF13" s="338"/>
      <c r="FLG13" s="338"/>
      <c r="FLH13" s="338"/>
      <c r="FLI13" s="338"/>
      <c r="FLJ13" s="338"/>
      <c r="FLK13" s="338"/>
      <c r="FLL13" s="338"/>
      <c r="FLM13" s="338"/>
      <c r="FLN13" s="338"/>
      <c r="FLO13" s="338"/>
      <c r="FLP13" s="338"/>
      <c r="FLQ13" s="338"/>
      <c r="FLR13" s="338"/>
      <c r="FLS13" s="338"/>
      <c r="FLT13" s="338"/>
      <c r="FLU13" s="338"/>
      <c r="FLV13" s="338"/>
      <c r="FLW13" s="338"/>
      <c r="FLX13" s="338"/>
      <c r="FLY13" s="338"/>
      <c r="FLZ13" s="338"/>
      <c r="FMA13" s="338"/>
      <c r="FMB13" s="338"/>
      <c r="FMC13" s="338"/>
      <c r="FMD13" s="338"/>
      <c r="FME13" s="338"/>
      <c r="FMF13" s="338"/>
      <c r="FMG13" s="338"/>
      <c r="FMH13" s="338"/>
      <c r="FMI13" s="338"/>
      <c r="FMJ13" s="338"/>
      <c r="FMK13" s="338"/>
      <c r="FML13" s="338"/>
      <c r="FMM13" s="338"/>
      <c r="FMN13" s="338"/>
      <c r="FMO13" s="338"/>
      <c r="FMP13" s="338"/>
      <c r="FMQ13" s="338"/>
      <c r="FMR13" s="338"/>
      <c r="FMS13" s="338"/>
      <c r="FMT13" s="338"/>
      <c r="FMU13" s="338"/>
      <c r="FMV13" s="338"/>
      <c r="FMW13" s="338"/>
      <c r="FMX13" s="338"/>
      <c r="FMY13" s="338"/>
      <c r="FMZ13" s="338"/>
      <c r="FNA13" s="338"/>
      <c r="FNB13" s="338"/>
      <c r="FNC13" s="338"/>
      <c r="FND13" s="338"/>
      <c r="FNE13" s="338"/>
      <c r="FNF13" s="338"/>
      <c r="FNG13" s="338"/>
      <c r="FNH13" s="338"/>
      <c r="FNI13" s="338"/>
      <c r="FNJ13" s="338"/>
      <c r="FNK13" s="338"/>
      <c r="FNL13" s="338"/>
      <c r="FNM13" s="338"/>
      <c r="FNN13" s="338"/>
      <c r="FNO13" s="338"/>
      <c r="FNP13" s="338"/>
      <c r="FNQ13" s="338"/>
      <c r="FNR13" s="338"/>
      <c r="FNS13" s="338"/>
      <c r="FNT13" s="338"/>
      <c r="FNU13" s="338"/>
      <c r="FNV13" s="338"/>
      <c r="FNW13" s="338"/>
      <c r="FNX13" s="338"/>
      <c r="FNY13" s="338"/>
      <c r="FNZ13" s="338"/>
      <c r="FOA13" s="338"/>
      <c r="FOB13" s="338"/>
      <c r="FOC13" s="338"/>
      <c r="FOD13" s="338"/>
      <c r="FOE13" s="338"/>
      <c r="FOF13" s="338"/>
      <c r="FOG13" s="338"/>
      <c r="FOH13" s="338"/>
      <c r="FOI13" s="338"/>
      <c r="FOJ13" s="338"/>
      <c r="FOK13" s="338"/>
      <c r="FOL13" s="338"/>
      <c r="FOM13" s="338"/>
      <c r="FON13" s="338"/>
      <c r="FOO13" s="338"/>
      <c r="FOP13" s="338"/>
      <c r="FOQ13" s="338"/>
      <c r="FOR13" s="338"/>
      <c r="FOS13" s="338"/>
      <c r="FOT13" s="338"/>
      <c r="FOU13" s="338"/>
      <c r="FOV13" s="338"/>
      <c r="FOW13" s="338"/>
      <c r="FOX13" s="338"/>
      <c r="FOY13" s="338"/>
      <c r="FOZ13" s="338"/>
      <c r="FPA13" s="338"/>
      <c r="FPB13" s="338"/>
      <c r="FPC13" s="338"/>
      <c r="FPD13" s="338"/>
      <c r="FPE13" s="338"/>
      <c r="FPF13" s="338"/>
      <c r="FPG13" s="338"/>
      <c r="FPH13" s="338"/>
      <c r="FPI13" s="338"/>
      <c r="FPJ13" s="338"/>
      <c r="FPK13" s="338"/>
      <c r="FPL13" s="338"/>
      <c r="FPM13" s="338"/>
      <c r="FPN13" s="338"/>
      <c r="FPO13" s="338"/>
      <c r="FPP13" s="338"/>
      <c r="FPQ13" s="338"/>
      <c r="FPR13" s="338"/>
      <c r="FPS13" s="338"/>
      <c r="FPT13" s="338"/>
      <c r="FPU13" s="338"/>
      <c r="FPV13" s="338"/>
      <c r="FPW13" s="338"/>
      <c r="FPX13" s="338"/>
      <c r="FPY13" s="338"/>
      <c r="FPZ13" s="338"/>
      <c r="FQA13" s="338"/>
      <c r="FQB13" s="338"/>
      <c r="FQC13" s="338"/>
      <c r="FQD13" s="338"/>
      <c r="FQE13" s="338"/>
      <c r="FQF13" s="338"/>
      <c r="FQG13" s="338"/>
      <c r="FQH13" s="338"/>
      <c r="FQI13" s="338"/>
      <c r="FQJ13" s="338"/>
      <c r="FQK13" s="338"/>
      <c r="FQL13" s="338"/>
      <c r="FQM13" s="338"/>
      <c r="FQN13" s="338"/>
      <c r="FQO13" s="338"/>
      <c r="FQP13" s="338"/>
      <c r="FQQ13" s="338"/>
      <c r="FQR13" s="338"/>
      <c r="FQS13" s="338"/>
      <c r="FQT13" s="338"/>
      <c r="FQU13" s="338"/>
      <c r="FQV13" s="338"/>
      <c r="FQW13" s="338"/>
      <c r="FQX13" s="338"/>
      <c r="FQY13" s="338"/>
      <c r="FQZ13" s="338"/>
      <c r="FRA13" s="338"/>
      <c r="FRB13" s="338"/>
      <c r="FRC13" s="338"/>
      <c r="FRD13" s="338"/>
      <c r="FRE13" s="338"/>
      <c r="FRF13" s="338"/>
      <c r="FRG13" s="338"/>
      <c r="FRH13" s="338"/>
      <c r="FRI13" s="338"/>
      <c r="FRJ13" s="338"/>
      <c r="FRK13" s="338"/>
      <c r="FRL13" s="338"/>
      <c r="FRM13" s="338"/>
      <c r="FRN13" s="338"/>
      <c r="FRO13" s="338"/>
      <c r="FRP13" s="338"/>
      <c r="FRQ13" s="338"/>
      <c r="FRR13" s="338"/>
      <c r="FRS13" s="338"/>
      <c r="FRT13" s="338"/>
      <c r="FRU13" s="338"/>
      <c r="FRV13" s="338"/>
      <c r="FRW13" s="338"/>
      <c r="FRX13" s="338"/>
      <c r="FRY13" s="338"/>
      <c r="FRZ13" s="338"/>
      <c r="FSA13" s="338"/>
      <c r="FSB13" s="338"/>
      <c r="FSC13" s="338"/>
      <c r="FSD13" s="338"/>
      <c r="FSE13" s="338"/>
      <c r="FSF13" s="338"/>
      <c r="FSG13" s="338"/>
      <c r="FSH13" s="338"/>
      <c r="FSI13" s="338"/>
      <c r="FSJ13" s="338"/>
      <c r="FSK13" s="338"/>
      <c r="FSL13" s="338"/>
      <c r="FSM13" s="338"/>
      <c r="FSN13" s="338"/>
      <c r="FSO13" s="338"/>
      <c r="FSP13" s="338"/>
      <c r="FSQ13" s="338"/>
      <c r="FSR13" s="338"/>
      <c r="FSS13" s="338"/>
      <c r="FST13" s="338"/>
      <c r="FSU13" s="338"/>
      <c r="FSV13" s="338"/>
      <c r="FSW13" s="338"/>
      <c r="FSX13" s="338"/>
      <c r="FSY13" s="338"/>
      <c r="FSZ13" s="338"/>
      <c r="FTA13" s="338"/>
      <c r="FTB13" s="338"/>
      <c r="FTC13" s="338"/>
      <c r="FTD13" s="338"/>
      <c r="FTE13" s="338"/>
      <c r="FTF13" s="338"/>
      <c r="FTG13" s="338"/>
      <c r="FTH13" s="338"/>
      <c r="FTI13" s="338"/>
      <c r="FTJ13" s="338"/>
      <c r="FTK13" s="338"/>
      <c r="FTL13" s="338"/>
      <c r="FTM13" s="338"/>
      <c r="FTN13" s="338"/>
      <c r="FTO13" s="338"/>
      <c r="FTP13" s="338"/>
      <c r="FTQ13" s="338"/>
      <c r="FTR13" s="338"/>
      <c r="FTS13" s="338"/>
      <c r="FTT13" s="338"/>
      <c r="FTU13" s="338"/>
      <c r="FTV13" s="338"/>
      <c r="FTW13" s="338"/>
      <c r="FTX13" s="338"/>
      <c r="FTY13" s="338"/>
      <c r="FTZ13" s="338"/>
      <c r="FUA13" s="338"/>
      <c r="FUB13" s="338"/>
      <c r="FUC13" s="338"/>
      <c r="FUD13" s="338"/>
      <c r="FUE13" s="338"/>
      <c r="FUF13" s="338"/>
      <c r="FUG13" s="338"/>
      <c r="FUH13" s="338"/>
      <c r="FUI13" s="338"/>
      <c r="FUJ13" s="338"/>
      <c r="FUK13" s="338"/>
      <c r="FUL13" s="338"/>
      <c r="FUM13" s="338"/>
      <c r="FUN13" s="338"/>
      <c r="FUO13" s="338"/>
      <c r="FUP13" s="338"/>
      <c r="FUQ13" s="338"/>
      <c r="FUR13" s="338"/>
      <c r="FUS13" s="338"/>
      <c r="FUT13" s="338"/>
      <c r="FUU13" s="338"/>
      <c r="FUV13" s="338"/>
      <c r="FUW13" s="338"/>
      <c r="FUX13" s="338"/>
      <c r="FUY13" s="338"/>
      <c r="FUZ13" s="338"/>
      <c r="FVA13" s="338"/>
      <c r="FVB13" s="338"/>
      <c r="FVC13" s="338"/>
      <c r="FVD13" s="338"/>
      <c r="FVE13" s="338"/>
      <c r="FVF13" s="338"/>
      <c r="FVG13" s="338"/>
      <c r="FVH13" s="338"/>
      <c r="FVI13" s="338"/>
      <c r="FVJ13" s="338"/>
      <c r="FVK13" s="338"/>
      <c r="FVL13" s="338"/>
      <c r="FVM13" s="338"/>
      <c r="FVN13" s="338"/>
      <c r="FVO13" s="338"/>
      <c r="FVP13" s="338"/>
      <c r="FVQ13" s="338"/>
      <c r="FVR13" s="338"/>
      <c r="FVS13" s="338"/>
      <c r="FVT13" s="338"/>
      <c r="FVU13" s="338"/>
      <c r="FVV13" s="338"/>
      <c r="FVW13" s="338"/>
      <c r="FVX13" s="338"/>
      <c r="FVY13" s="338"/>
      <c r="FVZ13" s="338"/>
      <c r="FWA13" s="338"/>
      <c r="FWB13" s="338"/>
      <c r="FWC13" s="338"/>
      <c r="FWD13" s="338"/>
      <c r="FWE13" s="338"/>
      <c r="FWF13" s="338"/>
      <c r="FWG13" s="338"/>
      <c r="FWH13" s="338"/>
      <c r="FWI13" s="338"/>
      <c r="FWJ13" s="338"/>
      <c r="FWK13" s="338"/>
      <c r="FWL13" s="338"/>
      <c r="FWM13" s="338"/>
      <c r="FWN13" s="338"/>
      <c r="FWO13" s="338"/>
      <c r="FWP13" s="338"/>
      <c r="FWQ13" s="338"/>
      <c r="FWR13" s="338"/>
      <c r="FWS13" s="338"/>
      <c r="FWT13" s="338"/>
      <c r="FWU13" s="338"/>
      <c r="FWV13" s="338"/>
      <c r="FWW13" s="338"/>
      <c r="FWX13" s="338"/>
      <c r="FWY13" s="338"/>
      <c r="FWZ13" s="338"/>
      <c r="FXA13" s="338"/>
      <c r="FXB13" s="338"/>
      <c r="FXC13" s="338"/>
      <c r="FXD13" s="338"/>
      <c r="FXE13" s="338"/>
      <c r="FXF13" s="338"/>
      <c r="FXG13" s="338"/>
      <c r="FXH13" s="338"/>
      <c r="FXI13" s="338"/>
      <c r="FXJ13" s="338"/>
      <c r="FXK13" s="338"/>
      <c r="FXL13" s="338"/>
      <c r="FXM13" s="338"/>
      <c r="FXN13" s="338"/>
      <c r="FXO13" s="338"/>
      <c r="FXP13" s="338"/>
      <c r="FXQ13" s="338"/>
      <c r="FXR13" s="338"/>
      <c r="FXS13" s="338"/>
      <c r="FXT13" s="338"/>
      <c r="FXU13" s="338"/>
      <c r="FXV13" s="338"/>
      <c r="FXW13" s="338"/>
      <c r="FXX13" s="338"/>
      <c r="FXY13" s="338"/>
      <c r="FXZ13" s="338"/>
      <c r="FYA13" s="338"/>
      <c r="FYB13" s="338"/>
      <c r="FYC13" s="338"/>
      <c r="FYD13" s="338"/>
      <c r="FYE13" s="338"/>
      <c r="FYF13" s="338"/>
      <c r="FYG13" s="338"/>
      <c r="FYH13" s="338"/>
      <c r="FYI13" s="338"/>
      <c r="FYJ13" s="338"/>
      <c r="FYK13" s="338"/>
      <c r="FYL13" s="338"/>
      <c r="FYM13" s="338"/>
      <c r="FYN13" s="338"/>
      <c r="FYO13" s="338"/>
      <c r="FYP13" s="338"/>
      <c r="FYQ13" s="338"/>
      <c r="FYR13" s="338"/>
      <c r="FYS13" s="338"/>
      <c r="FYT13" s="338"/>
      <c r="FYU13" s="338"/>
      <c r="FYV13" s="338"/>
      <c r="FYW13" s="338"/>
      <c r="FYX13" s="338"/>
      <c r="FYY13" s="338"/>
      <c r="FYZ13" s="338"/>
      <c r="FZA13" s="338"/>
      <c r="FZB13" s="338"/>
      <c r="FZC13" s="338"/>
      <c r="FZD13" s="338"/>
      <c r="FZE13" s="338"/>
      <c r="FZF13" s="338"/>
      <c r="FZG13" s="338"/>
      <c r="FZH13" s="338"/>
      <c r="FZI13" s="338"/>
      <c r="FZJ13" s="338"/>
      <c r="FZK13" s="338"/>
      <c r="FZL13" s="338"/>
      <c r="FZM13" s="338"/>
      <c r="FZN13" s="338"/>
      <c r="FZO13" s="338"/>
      <c r="FZP13" s="338"/>
      <c r="FZQ13" s="338"/>
      <c r="FZR13" s="338"/>
      <c r="FZS13" s="338"/>
      <c r="FZT13" s="338"/>
      <c r="FZU13" s="338"/>
      <c r="FZV13" s="338"/>
      <c r="FZW13" s="338"/>
      <c r="FZX13" s="338"/>
      <c r="FZY13" s="338"/>
      <c r="FZZ13" s="338"/>
      <c r="GAA13" s="338"/>
      <c r="GAB13" s="338"/>
      <c r="GAC13" s="338"/>
      <c r="GAD13" s="338"/>
      <c r="GAE13" s="338"/>
      <c r="GAF13" s="338"/>
      <c r="GAG13" s="338"/>
      <c r="GAH13" s="338"/>
      <c r="GAI13" s="338"/>
      <c r="GAJ13" s="338"/>
      <c r="GAK13" s="338"/>
      <c r="GAL13" s="338"/>
      <c r="GAM13" s="338"/>
      <c r="GAN13" s="338"/>
      <c r="GAO13" s="338"/>
      <c r="GAP13" s="338"/>
      <c r="GAQ13" s="338"/>
      <c r="GAR13" s="338"/>
      <c r="GAS13" s="338"/>
      <c r="GAT13" s="338"/>
      <c r="GAU13" s="338"/>
      <c r="GAV13" s="338"/>
      <c r="GAW13" s="338"/>
      <c r="GAX13" s="338"/>
      <c r="GAY13" s="338"/>
      <c r="GAZ13" s="338"/>
      <c r="GBA13" s="338"/>
      <c r="GBB13" s="338"/>
      <c r="GBC13" s="338"/>
      <c r="GBD13" s="338"/>
      <c r="GBE13" s="338"/>
      <c r="GBF13" s="338"/>
      <c r="GBG13" s="338"/>
      <c r="GBH13" s="338"/>
      <c r="GBI13" s="338"/>
      <c r="GBJ13" s="338"/>
      <c r="GBK13" s="338"/>
      <c r="GBL13" s="338"/>
      <c r="GBM13" s="338"/>
      <c r="GBN13" s="338"/>
      <c r="GBO13" s="338"/>
      <c r="GBP13" s="338"/>
      <c r="GBQ13" s="338"/>
      <c r="GBR13" s="338"/>
      <c r="GBS13" s="338"/>
      <c r="GBT13" s="338"/>
      <c r="GBU13" s="338"/>
      <c r="GBV13" s="338"/>
      <c r="GBW13" s="338"/>
      <c r="GBX13" s="338"/>
      <c r="GBY13" s="338"/>
      <c r="GBZ13" s="338"/>
      <c r="GCA13" s="338"/>
      <c r="GCB13" s="338"/>
      <c r="GCC13" s="338"/>
      <c r="GCD13" s="338"/>
      <c r="GCE13" s="338"/>
      <c r="GCF13" s="338"/>
      <c r="GCG13" s="338"/>
      <c r="GCH13" s="338"/>
      <c r="GCI13" s="338"/>
      <c r="GCJ13" s="338"/>
      <c r="GCK13" s="338"/>
      <c r="GCL13" s="338"/>
      <c r="GCM13" s="338"/>
      <c r="GCN13" s="338"/>
      <c r="GCO13" s="338"/>
      <c r="GCP13" s="338"/>
      <c r="GCQ13" s="338"/>
      <c r="GCR13" s="338"/>
      <c r="GCS13" s="338"/>
      <c r="GCT13" s="338"/>
      <c r="GCU13" s="338"/>
      <c r="GCV13" s="338"/>
      <c r="GCW13" s="338"/>
      <c r="GCX13" s="338"/>
      <c r="GCY13" s="338"/>
      <c r="GCZ13" s="338"/>
      <c r="GDA13" s="338"/>
      <c r="GDB13" s="338"/>
      <c r="GDC13" s="338"/>
      <c r="GDD13" s="338"/>
      <c r="GDE13" s="338"/>
      <c r="GDF13" s="338"/>
      <c r="GDG13" s="338"/>
      <c r="GDH13" s="338"/>
      <c r="GDI13" s="338"/>
      <c r="GDJ13" s="338"/>
      <c r="GDK13" s="338"/>
      <c r="GDL13" s="338"/>
      <c r="GDM13" s="338"/>
      <c r="GDN13" s="338"/>
      <c r="GDO13" s="338"/>
      <c r="GDP13" s="338"/>
      <c r="GDQ13" s="338"/>
      <c r="GDR13" s="338"/>
      <c r="GDS13" s="338"/>
      <c r="GDT13" s="338"/>
      <c r="GDU13" s="338"/>
      <c r="GDV13" s="338"/>
      <c r="GDW13" s="338"/>
      <c r="GDX13" s="338"/>
      <c r="GDY13" s="338"/>
      <c r="GDZ13" s="338"/>
      <c r="GEA13" s="338"/>
      <c r="GEB13" s="338"/>
      <c r="GEC13" s="338"/>
      <c r="GED13" s="338"/>
      <c r="GEE13" s="338"/>
      <c r="GEF13" s="338"/>
      <c r="GEG13" s="338"/>
      <c r="GEH13" s="338"/>
      <c r="GEI13" s="338"/>
      <c r="GEJ13" s="338"/>
      <c r="GEK13" s="338"/>
      <c r="GEL13" s="338"/>
      <c r="GEM13" s="338"/>
      <c r="GEN13" s="338"/>
      <c r="GEO13" s="338"/>
      <c r="GEP13" s="338"/>
      <c r="GEQ13" s="338"/>
      <c r="GER13" s="338"/>
      <c r="GES13" s="338"/>
      <c r="GET13" s="338"/>
      <c r="GEU13" s="338"/>
      <c r="GEV13" s="338"/>
      <c r="GEW13" s="338"/>
      <c r="GEX13" s="338"/>
      <c r="GEY13" s="338"/>
      <c r="GEZ13" s="338"/>
      <c r="GFA13" s="338"/>
      <c r="GFB13" s="338"/>
      <c r="GFC13" s="338"/>
      <c r="GFD13" s="338"/>
      <c r="GFE13" s="338"/>
      <c r="GFF13" s="338"/>
      <c r="GFG13" s="338"/>
      <c r="GFH13" s="338"/>
      <c r="GFI13" s="338"/>
      <c r="GFJ13" s="338"/>
      <c r="GFK13" s="338"/>
      <c r="GFL13" s="338"/>
      <c r="GFM13" s="338"/>
      <c r="GFN13" s="338"/>
      <c r="GFO13" s="338"/>
      <c r="GFP13" s="338"/>
      <c r="GFQ13" s="338"/>
      <c r="GFR13" s="338"/>
      <c r="GFS13" s="338"/>
      <c r="GFT13" s="338"/>
      <c r="GFU13" s="338"/>
      <c r="GFV13" s="338"/>
      <c r="GFW13" s="338"/>
      <c r="GFX13" s="338"/>
      <c r="GFY13" s="338"/>
      <c r="GFZ13" s="338"/>
      <c r="GGA13" s="338"/>
      <c r="GGB13" s="338"/>
      <c r="GGC13" s="338"/>
      <c r="GGD13" s="338"/>
      <c r="GGE13" s="338"/>
      <c r="GGF13" s="338"/>
      <c r="GGG13" s="338"/>
      <c r="GGH13" s="338"/>
      <c r="GGI13" s="338"/>
      <c r="GGJ13" s="338"/>
      <c r="GGK13" s="338"/>
      <c r="GGL13" s="338"/>
      <c r="GGM13" s="338"/>
      <c r="GGN13" s="338"/>
      <c r="GGO13" s="338"/>
      <c r="GGP13" s="338"/>
      <c r="GGQ13" s="338"/>
      <c r="GGR13" s="338"/>
      <c r="GGS13" s="338"/>
      <c r="GGT13" s="338"/>
      <c r="GGU13" s="338"/>
      <c r="GGV13" s="338"/>
      <c r="GGW13" s="338"/>
      <c r="GGX13" s="338"/>
      <c r="GGY13" s="338"/>
      <c r="GGZ13" s="338"/>
      <c r="GHA13" s="338"/>
      <c r="GHB13" s="338"/>
      <c r="GHC13" s="338"/>
      <c r="GHD13" s="338"/>
      <c r="GHE13" s="338"/>
      <c r="GHF13" s="338"/>
      <c r="GHG13" s="338"/>
      <c r="GHH13" s="338"/>
      <c r="GHI13" s="338"/>
      <c r="GHJ13" s="338"/>
      <c r="GHK13" s="338"/>
      <c r="GHL13" s="338"/>
      <c r="GHM13" s="338"/>
      <c r="GHN13" s="338"/>
      <c r="GHO13" s="338"/>
      <c r="GHP13" s="338"/>
      <c r="GHQ13" s="338"/>
      <c r="GHR13" s="338"/>
      <c r="GHS13" s="338"/>
      <c r="GHT13" s="338"/>
      <c r="GHU13" s="338"/>
      <c r="GHV13" s="338"/>
      <c r="GHW13" s="338"/>
      <c r="GHX13" s="338"/>
      <c r="GHY13" s="338"/>
      <c r="GHZ13" s="338"/>
      <c r="GIA13" s="338"/>
      <c r="GIB13" s="338"/>
      <c r="GIC13" s="338"/>
      <c r="GID13" s="338"/>
      <c r="GIE13" s="338"/>
      <c r="GIF13" s="338"/>
      <c r="GIG13" s="338"/>
      <c r="GIH13" s="338"/>
      <c r="GII13" s="338"/>
      <c r="GIJ13" s="338"/>
      <c r="GIK13" s="338"/>
      <c r="GIL13" s="338"/>
      <c r="GIM13" s="338"/>
      <c r="GIN13" s="338"/>
      <c r="GIO13" s="338"/>
      <c r="GIP13" s="338"/>
      <c r="GIQ13" s="338"/>
      <c r="GIR13" s="338"/>
      <c r="GIS13" s="338"/>
      <c r="GIT13" s="338"/>
      <c r="GIU13" s="338"/>
      <c r="GIV13" s="338"/>
      <c r="GIW13" s="338"/>
      <c r="GIX13" s="338"/>
      <c r="GIY13" s="338"/>
      <c r="GIZ13" s="338"/>
      <c r="GJA13" s="338"/>
      <c r="GJB13" s="338"/>
      <c r="GJC13" s="338"/>
      <c r="GJD13" s="338"/>
      <c r="GJE13" s="338"/>
      <c r="GJF13" s="338"/>
      <c r="GJG13" s="338"/>
      <c r="GJH13" s="338"/>
      <c r="GJI13" s="338"/>
      <c r="GJJ13" s="338"/>
      <c r="GJK13" s="338"/>
      <c r="GJL13" s="338"/>
      <c r="GJM13" s="338"/>
      <c r="GJN13" s="338"/>
      <c r="GJO13" s="338"/>
      <c r="GJP13" s="338"/>
      <c r="GJQ13" s="338"/>
      <c r="GJR13" s="338"/>
      <c r="GJS13" s="338"/>
      <c r="GJT13" s="338"/>
      <c r="GJU13" s="338"/>
      <c r="GJV13" s="338"/>
      <c r="GJW13" s="338"/>
      <c r="GJX13" s="338"/>
      <c r="GJY13" s="338"/>
      <c r="GJZ13" s="338"/>
      <c r="GKA13" s="338"/>
      <c r="GKB13" s="338"/>
      <c r="GKC13" s="338"/>
      <c r="GKD13" s="338"/>
      <c r="GKE13" s="338"/>
      <c r="GKF13" s="338"/>
      <c r="GKG13" s="338"/>
      <c r="GKH13" s="338"/>
      <c r="GKI13" s="338"/>
      <c r="GKJ13" s="338"/>
      <c r="GKK13" s="338"/>
      <c r="GKL13" s="338"/>
      <c r="GKM13" s="338"/>
      <c r="GKN13" s="338"/>
      <c r="GKO13" s="338"/>
      <c r="GKP13" s="338"/>
      <c r="GKQ13" s="338"/>
      <c r="GKR13" s="338"/>
      <c r="GKS13" s="338"/>
      <c r="GKT13" s="338"/>
      <c r="GKU13" s="338"/>
      <c r="GKV13" s="338"/>
      <c r="GKW13" s="338"/>
      <c r="GKX13" s="338"/>
      <c r="GKY13" s="338"/>
      <c r="GKZ13" s="338"/>
      <c r="GLA13" s="338"/>
      <c r="GLB13" s="338"/>
      <c r="GLC13" s="338"/>
      <c r="GLD13" s="338"/>
      <c r="GLE13" s="338"/>
      <c r="GLF13" s="338"/>
      <c r="GLG13" s="338"/>
      <c r="GLH13" s="338"/>
      <c r="GLI13" s="338"/>
      <c r="GLJ13" s="338"/>
      <c r="GLK13" s="338"/>
      <c r="GLL13" s="338"/>
      <c r="GLM13" s="338"/>
      <c r="GLN13" s="338"/>
      <c r="GLO13" s="338"/>
      <c r="GLP13" s="338"/>
      <c r="GLQ13" s="338"/>
      <c r="GLR13" s="338"/>
      <c r="GLS13" s="338"/>
      <c r="GLT13" s="338"/>
      <c r="GLU13" s="338"/>
      <c r="GLV13" s="338"/>
      <c r="GLW13" s="338"/>
      <c r="GLX13" s="338"/>
      <c r="GLY13" s="338"/>
      <c r="GLZ13" s="338"/>
      <c r="GMA13" s="338"/>
      <c r="GMB13" s="338"/>
      <c r="GMC13" s="338"/>
      <c r="GMD13" s="338"/>
      <c r="GME13" s="338"/>
      <c r="GMF13" s="338"/>
      <c r="GMG13" s="338"/>
      <c r="GMH13" s="338"/>
      <c r="GMI13" s="338"/>
      <c r="GMJ13" s="338"/>
      <c r="GMK13" s="338"/>
      <c r="GML13" s="338"/>
      <c r="GMM13" s="338"/>
      <c r="GMN13" s="338"/>
      <c r="GMO13" s="338"/>
      <c r="GMP13" s="338"/>
      <c r="GMQ13" s="338"/>
      <c r="GMR13" s="338"/>
      <c r="GMS13" s="338"/>
      <c r="GMT13" s="338"/>
      <c r="GMU13" s="338"/>
      <c r="GMV13" s="338"/>
      <c r="GMW13" s="338"/>
      <c r="GMX13" s="338"/>
      <c r="GMY13" s="338"/>
      <c r="GMZ13" s="338"/>
      <c r="GNA13" s="338"/>
      <c r="GNB13" s="338"/>
      <c r="GNC13" s="338"/>
      <c r="GND13" s="338"/>
      <c r="GNE13" s="338"/>
      <c r="GNF13" s="338"/>
      <c r="GNG13" s="338"/>
      <c r="GNH13" s="338"/>
      <c r="GNI13" s="338"/>
      <c r="GNJ13" s="338"/>
      <c r="GNK13" s="338"/>
      <c r="GNL13" s="338"/>
      <c r="GNM13" s="338"/>
      <c r="GNN13" s="338"/>
      <c r="GNO13" s="338"/>
      <c r="GNP13" s="338"/>
      <c r="GNQ13" s="338"/>
      <c r="GNR13" s="338"/>
      <c r="GNS13" s="338"/>
      <c r="GNT13" s="338"/>
      <c r="GNU13" s="338"/>
      <c r="GNV13" s="338"/>
      <c r="GNW13" s="338"/>
      <c r="GNX13" s="338"/>
      <c r="GNY13" s="338"/>
      <c r="GNZ13" s="338"/>
      <c r="GOA13" s="338"/>
      <c r="GOB13" s="338"/>
      <c r="GOC13" s="338"/>
      <c r="GOD13" s="338"/>
      <c r="GOE13" s="338"/>
      <c r="GOF13" s="338"/>
      <c r="GOG13" s="338"/>
      <c r="GOH13" s="338"/>
      <c r="GOI13" s="338"/>
      <c r="GOJ13" s="338"/>
      <c r="GOK13" s="338"/>
      <c r="GOL13" s="338"/>
      <c r="GOM13" s="338"/>
      <c r="GON13" s="338"/>
      <c r="GOO13" s="338"/>
      <c r="GOP13" s="338"/>
      <c r="GOQ13" s="338"/>
      <c r="GOR13" s="338"/>
      <c r="GOS13" s="338"/>
      <c r="GOT13" s="338"/>
      <c r="GOU13" s="338"/>
      <c r="GOV13" s="338"/>
      <c r="GOW13" s="338"/>
      <c r="GOX13" s="338"/>
      <c r="GOY13" s="338"/>
      <c r="GOZ13" s="338"/>
      <c r="GPA13" s="338"/>
      <c r="GPB13" s="338"/>
      <c r="GPC13" s="338"/>
      <c r="GPD13" s="338"/>
      <c r="GPE13" s="338"/>
      <c r="GPF13" s="338"/>
      <c r="GPG13" s="338"/>
      <c r="GPH13" s="338"/>
      <c r="GPI13" s="338"/>
      <c r="GPJ13" s="338"/>
      <c r="GPK13" s="338"/>
      <c r="GPL13" s="338"/>
      <c r="GPM13" s="338"/>
      <c r="GPN13" s="338"/>
      <c r="GPO13" s="338"/>
      <c r="GPP13" s="338"/>
      <c r="GPQ13" s="338"/>
      <c r="GPR13" s="338"/>
      <c r="GPS13" s="338"/>
      <c r="GPT13" s="338"/>
      <c r="GPU13" s="338"/>
      <c r="GPV13" s="338"/>
      <c r="GPW13" s="338"/>
      <c r="GPX13" s="338"/>
      <c r="GPY13" s="338"/>
      <c r="GPZ13" s="338"/>
      <c r="GQA13" s="338"/>
      <c r="GQB13" s="338"/>
      <c r="GQC13" s="338"/>
      <c r="GQD13" s="338"/>
      <c r="GQE13" s="338"/>
      <c r="GQF13" s="338"/>
      <c r="GQG13" s="338"/>
      <c r="GQH13" s="338"/>
      <c r="GQI13" s="338"/>
      <c r="GQJ13" s="338"/>
      <c r="GQK13" s="338"/>
      <c r="GQL13" s="338"/>
      <c r="GQM13" s="338"/>
      <c r="GQN13" s="338"/>
      <c r="GQO13" s="338"/>
      <c r="GQP13" s="338"/>
      <c r="GQQ13" s="338"/>
      <c r="GQR13" s="338"/>
      <c r="GQS13" s="338"/>
      <c r="GQT13" s="338"/>
      <c r="GQU13" s="338"/>
      <c r="GQV13" s="338"/>
      <c r="GQW13" s="338"/>
      <c r="GQX13" s="338"/>
      <c r="GQY13" s="338"/>
      <c r="GQZ13" s="338"/>
      <c r="GRA13" s="338"/>
      <c r="GRB13" s="338"/>
      <c r="GRC13" s="338"/>
      <c r="GRD13" s="338"/>
      <c r="GRE13" s="338"/>
      <c r="GRF13" s="338"/>
      <c r="GRG13" s="338"/>
      <c r="GRH13" s="338"/>
      <c r="GRI13" s="338"/>
      <c r="GRJ13" s="338"/>
      <c r="GRK13" s="338"/>
      <c r="GRL13" s="338"/>
      <c r="GRM13" s="338"/>
      <c r="GRN13" s="338"/>
      <c r="GRO13" s="338"/>
      <c r="GRP13" s="338"/>
      <c r="GRQ13" s="338"/>
      <c r="GRR13" s="338"/>
      <c r="GRS13" s="338"/>
      <c r="GRT13" s="338"/>
      <c r="GRU13" s="338"/>
      <c r="GRV13" s="338"/>
      <c r="GRW13" s="338"/>
      <c r="GRX13" s="338"/>
      <c r="GRY13" s="338"/>
      <c r="GRZ13" s="338"/>
      <c r="GSA13" s="338"/>
      <c r="GSB13" s="338"/>
      <c r="GSC13" s="338"/>
      <c r="GSD13" s="338"/>
      <c r="GSE13" s="338"/>
      <c r="GSF13" s="338"/>
      <c r="GSG13" s="338"/>
      <c r="GSH13" s="338"/>
      <c r="GSI13" s="338"/>
      <c r="GSJ13" s="338"/>
      <c r="GSK13" s="338"/>
      <c r="GSL13" s="338"/>
      <c r="GSM13" s="338"/>
      <c r="GSN13" s="338"/>
      <c r="GSO13" s="338"/>
      <c r="GSP13" s="338"/>
      <c r="GSQ13" s="338"/>
      <c r="GSR13" s="338"/>
      <c r="GSS13" s="338"/>
      <c r="GST13" s="338"/>
      <c r="GSU13" s="338"/>
      <c r="GSV13" s="338"/>
      <c r="GSW13" s="338"/>
      <c r="GSX13" s="338"/>
      <c r="GSY13" s="338"/>
      <c r="GSZ13" s="338"/>
      <c r="GTA13" s="338"/>
      <c r="GTB13" s="338"/>
      <c r="GTC13" s="338"/>
      <c r="GTD13" s="338"/>
      <c r="GTE13" s="338"/>
      <c r="GTF13" s="338"/>
      <c r="GTG13" s="338"/>
      <c r="GTH13" s="338"/>
      <c r="GTI13" s="338"/>
      <c r="GTJ13" s="338"/>
      <c r="GTK13" s="338"/>
      <c r="GTL13" s="338"/>
      <c r="GTM13" s="338"/>
      <c r="GTN13" s="338"/>
      <c r="GTO13" s="338"/>
      <c r="GTP13" s="338"/>
      <c r="GTQ13" s="338"/>
      <c r="GTR13" s="338"/>
      <c r="GTS13" s="338"/>
      <c r="GTT13" s="338"/>
      <c r="GTU13" s="338"/>
      <c r="GTV13" s="338"/>
      <c r="GTW13" s="338"/>
      <c r="GTX13" s="338"/>
      <c r="GTY13" s="338"/>
      <c r="GTZ13" s="338"/>
      <c r="GUA13" s="338"/>
      <c r="GUB13" s="338"/>
      <c r="GUC13" s="338"/>
      <c r="GUD13" s="338"/>
      <c r="GUE13" s="338"/>
      <c r="GUF13" s="338"/>
      <c r="GUG13" s="338"/>
      <c r="GUH13" s="338"/>
      <c r="GUI13" s="338"/>
      <c r="GUJ13" s="338"/>
      <c r="GUK13" s="338"/>
      <c r="GUL13" s="338"/>
      <c r="GUM13" s="338"/>
      <c r="GUN13" s="338"/>
      <c r="GUO13" s="338"/>
      <c r="GUP13" s="338"/>
      <c r="GUQ13" s="338"/>
      <c r="GUR13" s="338"/>
      <c r="GUS13" s="338"/>
      <c r="GUT13" s="338"/>
      <c r="GUU13" s="338"/>
      <c r="GUV13" s="338"/>
      <c r="GUW13" s="338"/>
      <c r="GUX13" s="338"/>
      <c r="GUY13" s="338"/>
      <c r="GUZ13" s="338"/>
      <c r="GVA13" s="338"/>
      <c r="GVB13" s="338"/>
      <c r="GVC13" s="338"/>
      <c r="GVD13" s="338"/>
      <c r="GVE13" s="338"/>
      <c r="GVF13" s="338"/>
      <c r="GVG13" s="338"/>
      <c r="GVH13" s="338"/>
      <c r="GVI13" s="338"/>
      <c r="GVJ13" s="338"/>
      <c r="GVK13" s="338"/>
      <c r="GVL13" s="338"/>
      <c r="GVM13" s="338"/>
      <c r="GVN13" s="338"/>
      <c r="GVO13" s="338"/>
      <c r="GVP13" s="338"/>
      <c r="GVQ13" s="338"/>
      <c r="GVR13" s="338"/>
      <c r="GVS13" s="338"/>
      <c r="GVT13" s="338"/>
      <c r="GVU13" s="338"/>
      <c r="GVV13" s="338"/>
      <c r="GVW13" s="338"/>
      <c r="GVX13" s="338"/>
      <c r="GVY13" s="338"/>
      <c r="GVZ13" s="338"/>
      <c r="GWA13" s="338"/>
      <c r="GWB13" s="338"/>
      <c r="GWC13" s="338"/>
      <c r="GWD13" s="338"/>
      <c r="GWE13" s="338"/>
      <c r="GWF13" s="338"/>
      <c r="GWG13" s="338"/>
      <c r="GWH13" s="338"/>
      <c r="GWI13" s="338"/>
      <c r="GWJ13" s="338"/>
      <c r="GWK13" s="338"/>
      <c r="GWL13" s="338"/>
      <c r="GWM13" s="338"/>
      <c r="GWN13" s="338"/>
      <c r="GWO13" s="338"/>
      <c r="GWP13" s="338"/>
      <c r="GWQ13" s="338"/>
      <c r="GWR13" s="338"/>
      <c r="GWS13" s="338"/>
      <c r="GWT13" s="338"/>
      <c r="GWU13" s="338"/>
      <c r="GWV13" s="338"/>
      <c r="GWW13" s="338"/>
      <c r="GWX13" s="338"/>
      <c r="GWY13" s="338"/>
      <c r="GWZ13" s="338"/>
      <c r="GXA13" s="338"/>
      <c r="GXB13" s="338"/>
      <c r="GXC13" s="338"/>
      <c r="GXD13" s="338"/>
      <c r="GXE13" s="338"/>
      <c r="GXF13" s="338"/>
      <c r="GXG13" s="338"/>
      <c r="GXH13" s="338"/>
      <c r="GXI13" s="338"/>
      <c r="GXJ13" s="338"/>
      <c r="GXK13" s="338"/>
      <c r="GXL13" s="338"/>
      <c r="GXM13" s="338"/>
      <c r="GXN13" s="338"/>
      <c r="GXO13" s="338"/>
      <c r="GXP13" s="338"/>
      <c r="GXQ13" s="338"/>
      <c r="GXR13" s="338"/>
      <c r="GXS13" s="338"/>
      <c r="GXT13" s="338"/>
      <c r="GXU13" s="338"/>
      <c r="GXV13" s="338"/>
      <c r="GXW13" s="338"/>
      <c r="GXX13" s="338"/>
      <c r="GXY13" s="338"/>
      <c r="GXZ13" s="338"/>
      <c r="GYA13" s="338"/>
      <c r="GYB13" s="338"/>
      <c r="GYC13" s="338"/>
      <c r="GYD13" s="338"/>
      <c r="GYE13" s="338"/>
      <c r="GYF13" s="338"/>
      <c r="GYG13" s="338"/>
      <c r="GYH13" s="338"/>
      <c r="GYI13" s="338"/>
      <c r="GYJ13" s="338"/>
      <c r="GYK13" s="338"/>
      <c r="GYL13" s="338"/>
      <c r="GYM13" s="338"/>
      <c r="GYN13" s="338"/>
      <c r="GYO13" s="338"/>
      <c r="GYP13" s="338"/>
      <c r="GYQ13" s="338"/>
      <c r="GYR13" s="338"/>
      <c r="GYS13" s="338"/>
      <c r="GYT13" s="338"/>
      <c r="GYU13" s="338"/>
      <c r="GYV13" s="338"/>
      <c r="GYW13" s="338"/>
      <c r="GYX13" s="338"/>
      <c r="GYY13" s="338"/>
      <c r="GYZ13" s="338"/>
      <c r="GZA13" s="338"/>
      <c r="GZB13" s="338"/>
      <c r="GZC13" s="338"/>
      <c r="GZD13" s="338"/>
      <c r="GZE13" s="338"/>
      <c r="GZF13" s="338"/>
      <c r="GZG13" s="338"/>
      <c r="GZH13" s="338"/>
      <c r="GZI13" s="338"/>
      <c r="GZJ13" s="338"/>
      <c r="GZK13" s="338"/>
      <c r="GZL13" s="338"/>
      <c r="GZM13" s="338"/>
      <c r="GZN13" s="338"/>
      <c r="GZO13" s="338"/>
      <c r="GZP13" s="338"/>
      <c r="GZQ13" s="338"/>
      <c r="GZR13" s="338"/>
      <c r="GZS13" s="338"/>
      <c r="GZT13" s="338"/>
      <c r="GZU13" s="338"/>
      <c r="GZV13" s="338"/>
      <c r="GZW13" s="338"/>
      <c r="GZX13" s="338"/>
      <c r="GZY13" s="338"/>
      <c r="GZZ13" s="338"/>
      <c r="HAA13" s="338"/>
      <c r="HAB13" s="338"/>
      <c r="HAC13" s="338"/>
      <c r="HAD13" s="338"/>
      <c r="HAE13" s="338"/>
      <c r="HAF13" s="338"/>
      <c r="HAG13" s="338"/>
      <c r="HAH13" s="338"/>
      <c r="HAI13" s="338"/>
      <c r="HAJ13" s="338"/>
      <c r="HAK13" s="338"/>
      <c r="HAL13" s="338"/>
      <c r="HAM13" s="338"/>
      <c r="HAN13" s="338"/>
      <c r="HAO13" s="338"/>
      <c r="HAP13" s="338"/>
      <c r="HAQ13" s="338"/>
      <c r="HAR13" s="338"/>
      <c r="HAS13" s="338"/>
      <c r="HAT13" s="338"/>
      <c r="HAU13" s="338"/>
      <c r="HAV13" s="338"/>
      <c r="HAW13" s="338"/>
      <c r="HAX13" s="338"/>
      <c r="HAY13" s="338"/>
      <c r="HAZ13" s="338"/>
      <c r="HBA13" s="338"/>
      <c r="HBB13" s="338"/>
      <c r="HBC13" s="338"/>
      <c r="HBD13" s="338"/>
      <c r="HBE13" s="338"/>
      <c r="HBF13" s="338"/>
      <c r="HBG13" s="338"/>
      <c r="HBH13" s="338"/>
      <c r="HBI13" s="338"/>
      <c r="HBJ13" s="338"/>
      <c r="HBK13" s="338"/>
      <c r="HBL13" s="338"/>
      <c r="HBM13" s="338"/>
      <c r="HBN13" s="338"/>
      <c r="HBO13" s="338"/>
      <c r="HBP13" s="338"/>
      <c r="HBQ13" s="338"/>
      <c r="HBR13" s="338"/>
      <c r="HBS13" s="338"/>
      <c r="HBT13" s="338"/>
      <c r="HBU13" s="338"/>
      <c r="HBV13" s="338"/>
      <c r="HBW13" s="338"/>
      <c r="HBX13" s="338"/>
      <c r="HBY13" s="338"/>
      <c r="HBZ13" s="338"/>
      <c r="HCA13" s="338"/>
      <c r="HCB13" s="338"/>
      <c r="HCC13" s="338"/>
      <c r="HCD13" s="338"/>
      <c r="HCE13" s="338"/>
      <c r="HCF13" s="338"/>
      <c r="HCG13" s="338"/>
      <c r="HCH13" s="338"/>
      <c r="HCI13" s="338"/>
      <c r="HCJ13" s="338"/>
      <c r="HCK13" s="338"/>
      <c r="HCL13" s="338"/>
      <c r="HCM13" s="338"/>
      <c r="HCN13" s="338"/>
      <c r="HCO13" s="338"/>
      <c r="HCP13" s="338"/>
      <c r="HCQ13" s="338"/>
      <c r="HCR13" s="338"/>
      <c r="HCS13" s="338"/>
      <c r="HCT13" s="338"/>
      <c r="HCU13" s="338"/>
      <c r="HCV13" s="338"/>
      <c r="HCW13" s="338"/>
      <c r="HCX13" s="338"/>
      <c r="HCY13" s="338"/>
      <c r="HCZ13" s="338"/>
      <c r="HDA13" s="338"/>
      <c r="HDB13" s="338"/>
      <c r="HDC13" s="338"/>
      <c r="HDD13" s="338"/>
      <c r="HDE13" s="338"/>
      <c r="HDF13" s="338"/>
      <c r="HDG13" s="338"/>
      <c r="HDH13" s="338"/>
      <c r="HDI13" s="338"/>
      <c r="HDJ13" s="338"/>
      <c r="HDK13" s="338"/>
      <c r="HDL13" s="338"/>
      <c r="HDM13" s="338"/>
      <c r="HDN13" s="338"/>
      <c r="HDO13" s="338"/>
      <c r="HDP13" s="338"/>
      <c r="HDQ13" s="338"/>
      <c r="HDR13" s="338"/>
      <c r="HDS13" s="338"/>
      <c r="HDT13" s="338"/>
      <c r="HDU13" s="338"/>
      <c r="HDV13" s="338"/>
      <c r="HDW13" s="338"/>
      <c r="HDX13" s="338"/>
      <c r="HDY13" s="338"/>
      <c r="HDZ13" s="338"/>
      <c r="HEA13" s="338"/>
      <c r="HEB13" s="338"/>
      <c r="HEC13" s="338"/>
      <c r="HED13" s="338"/>
      <c r="HEE13" s="338"/>
      <c r="HEF13" s="338"/>
      <c r="HEG13" s="338"/>
      <c r="HEH13" s="338"/>
      <c r="HEI13" s="338"/>
      <c r="HEJ13" s="338"/>
      <c r="HEK13" s="338"/>
      <c r="HEL13" s="338"/>
      <c r="HEM13" s="338"/>
      <c r="HEN13" s="338"/>
      <c r="HEO13" s="338"/>
      <c r="HEP13" s="338"/>
      <c r="HEQ13" s="338"/>
      <c r="HER13" s="338"/>
      <c r="HES13" s="338"/>
      <c r="HET13" s="338"/>
      <c r="HEU13" s="338"/>
      <c r="HEV13" s="338"/>
      <c r="HEW13" s="338"/>
      <c r="HEX13" s="338"/>
      <c r="HEY13" s="338"/>
      <c r="HEZ13" s="338"/>
      <c r="HFA13" s="338"/>
      <c r="HFB13" s="338"/>
      <c r="HFC13" s="338"/>
      <c r="HFD13" s="338"/>
      <c r="HFE13" s="338"/>
      <c r="HFF13" s="338"/>
      <c r="HFG13" s="338"/>
      <c r="HFH13" s="338"/>
      <c r="HFI13" s="338"/>
      <c r="HFJ13" s="338"/>
      <c r="HFK13" s="338"/>
      <c r="HFL13" s="338"/>
      <c r="HFM13" s="338"/>
      <c r="HFN13" s="338"/>
      <c r="HFO13" s="338"/>
      <c r="HFP13" s="338"/>
      <c r="HFQ13" s="338"/>
      <c r="HFR13" s="338"/>
      <c r="HFS13" s="338"/>
      <c r="HFT13" s="338"/>
      <c r="HFU13" s="338"/>
      <c r="HFV13" s="338"/>
      <c r="HFW13" s="338"/>
      <c r="HFX13" s="338"/>
      <c r="HFY13" s="338"/>
      <c r="HFZ13" s="338"/>
      <c r="HGA13" s="338"/>
      <c r="HGB13" s="338"/>
      <c r="HGC13" s="338"/>
      <c r="HGD13" s="338"/>
      <c r="HGE13" s="338"/>
      <c r="HGF13" s="338"/>
      <c r="HGG13" s="338"/>
      <c r="HGH13" s="338"/>
      <c r="HGI13" s="338"/>
      <c r="HGJ13" s="338"/>
      <c r="HGK13" s="338"/>
      <c r="HGL13" s="338"/>
      <c r="HGM13" s="338"/>
      <c r="HGN13" s="338"/>
      <c r="HGO13" s="338"/>
      <c r="HGP13" s="338"/>
      <c r="HGQ13" s="338"/>
      <c r="HGR13" s="338"/>
      <c r="HGS13" s="338"/>
      <c r="HGT13" s="338"/>
      <c r="HGU13" s="338"/>
      <c r="HGV13" s="338"/>
      <c r="HGW13" s="338"/>
      <c r="HGX13" s="338"/>
      <c r="HGY13" s="338"/>
      <c r="HGZ13" s="338"/>
      <c r="HHA13" s="338"/>
      <c r="HHB13" s="338"/>
      <c r="HHC13" s="338"/>
      <c r="HHD13" s="338"/>
      <c r="HHE13" s="338"/>
      <c r="HHF13" s="338"/>
      <c r="HHG13" s="338"/>
      <c r="HHH13" s="338"/>
      <c r="HHI13" s="338"/>
      <c r="HHJ13" s="338"/>
      <c r="HHK13" s="338"/>
      <c r="HHL13" s="338"/>
      <c r="HHM13" s="338"/>
      <c r="HHN13" s="338"/>
      <c r="HHO13" s="338"/>
      <c r="HHP13" s="338"/>
      <c r="HHQ13" s="338"/>
      <c r="HHR13" s="338"/>
      <c r="HHS13" s="338"/>
      <c r="HHT13" s="338"/>
      <c r="HHU13" s="338"/>
      <c r="HHV13" s="338"/>
      <c r="HHW13" s="338"/>
      <c r="HHX13" s="338"/>
      <c r="HHY13" s="338"/>
      <c r="HHZ13" s="338"/>
      <c r="HIA13" s="338"/>
      <c r="HIB13" s="338"/>
      <c r="HIC13" s="338"/>
      <c r="HID13" s="338"/>
      <c r="HIE13" s="338"/>
      <c r="HIF13" s="338"/>
      <c r="HIG13" s="338"/>
      <c r="HIH13" s="338"/>
      <c r="HII13" s="338"/>
      <c r="HIJ13" s="338"/>
      <c r="HIK13" s="338"/>
      <c r="HIL13" s="338"/>
      <c r="HIM13" s="338"/>
      <c r="HIN13" s="338"/>
      <c r="HIO13" s="338"/>
      <c r="HIP13" s="338"/>
      <c r="HIQ13" s="338"/>
      <c r="HIR13" s="338"/>
      <c r="HIS13" s="338"/>
      <c r="HIT13" s="338"/>
      <c r="HIU13" s="338"/>
      <c r="HIV13" s="338"/>
      <c r="HIW13" s="338"/>
      <c r="HIX13" s="338"/>
      <c r="HIY13" s="338"/>
      <c r="HIZ13" s="338"/>
      <c r="HJA13" s="338"/>
      <c r="HJB13" s="338"/>
      <c r="HJC13" s="338"/>
      <c r="HJD13" s="338"/>
      <c r="HJE13" s="338"/>
      <c r="HJF13" s="338"/>
      <c r="HJG13" s="338"/>
      <c r="HJH13" s="338"/>
      <c r="HJI13" s="338"/>
      <c r="HJJ13" s="338"/>
      <c r="HJK13" s="338"/>
      <c r="HJL13" s="338"/>
      <c r="HJM13" s="338"/>
      <c r="HJN13" s="338"/>
      <c r="HJO13" s="338"/>
      <c r="HJP13" s="338"/>
      <c r="HJQ13" s="338"/>
      <c r="HJR13" s="338"/>
      <c r="HJS13" s="338"/>
      <c r="HJT13" s="338"/>
      <c r="HJU13" s="338"/>
      <c r="HJV13" s="338"/>
      <c r="HJW13" s="338"/>
      <c r="HJX13" s="338"/>
      <c r="HJY13" s="338"/>
      <c r="HJZ13" s="338"/>
      <c r="HKA13" s="338"/>
      <c r="HKB13" s="338"/>
      <c r="HKC13" s="338"/>
      <c r="HKD13" s="338"/>
      <c r="HKE13" s="338"/>
      <c r="HKF13" s="338"/>
      <c r="HKG13" s="338"/>
      <c r="HKH13" s="338"/>
      <c r="HKI13" s="338"/>
      <c r="HKJ13" s="338"/>
      <c r="HKK13" s="338"/>
      <c r="HKL13" s="338"/>
      <c r="HKM13" s="338"/>
      <c r="HKN13" s="338"/>
      <c r="HKO13" s="338"/>
      <c r="HKP13" s="338"/>
      <c r="HKQ13" s="338"/>
      <c r="HKR13" s="338"/>
      <c r="HKS13" s="338"/>
      <c r="HKT13" s="338"/>
      <c r="HKU13" s="338"/>
      <c r="HKV13" s="338"/>
      <c r="HKW13" s="338"/>
      <c r="HKX13" s="338"/>
      <c r="HKY13" s="338"/>
      <c r="HKZ13" s="338"/>
      <c r="HLA13" s="338"/>
      <c r="HLB13" s="338"/>
      <c r="HLC13" s="338"/>
      <c r="HLD13" s="338"/>
      <c r="HLE13" s="338"/>
      <c r="HLF13" s="338"/>
      <c r="HLG13" s="338"/>
      <c r="HLH13" s="338"/>
      <c r="HLI13" s="338"/>
      <c r="HLJ13" s="338"/>
      <c r="HLK13" s="338"/>
      <c r="HLL13" s="338"/>
      <c r="HLM13" s="338"/>
      <c r="HLN13" s="338"/>
      <c r="HLO13" s="338"/>
      <c r="HLP13" s="338"/>
      <c r="HLQ13" s="338"/>
      <c r="HLR13" s="338"/>
      <c r="HLS13" s="338"/>
      <c r="HLT13" s="338"/>
      <c r="HLU13" s="338"/>
      <c r="HLV13" s="338"/>
      <c r="HLW13" s="338"/>
      <c r="HLX13" s="338"/>
      <c r="HLY13" s="338"/>
      <c r="HLZ13" s="338"/>
      <c r="HMA13" s="338"/>
      <c r="HMB13" s="338"/>
      <c r="HMC13" s="338"/>
      <c r="HMD13" s="338"/>
      <c r="HME13" s="338"/>
      <c r="HMF13" s="338"/>
      <c r="HMG13" s="338"/>
      <c r="HMH13" s="338"/>
      <c r="HMI13" s="338"/>
      <c r="HMJ13" s="338"/>
      <c r="HMK13" s="338"/>
      <c r="HML13" s="338"/>
      <c r="HMM13" s="338"/>
      <c r="HMN13" s="338"/>
      <c r="HMO13" s="338"/>
      <c r="HMP13" s="338"/>
      <c r="HMQ13" s="338"/>
      <c r="HMR13" s="338"/>
      <c r="HMS13" s="338"/>
      <c r="HMT13" s="338"/>
      <c r="HMU13" s="338"/>
      <c r="HMV13" s="338"/>
      <c r="HMW13" s="338"/>
      <c r="HMX13" s="338"/>
      <c r="HMY13" s="338"/>
      <c r="HMZ13" s="338"/>
      <c r="HNA13" s="338"/>
      <c r="HNB13" s="338"/>
      <c r="HNC13" s="338"/>
      <c r="HND13" s="338"/>
      <c r="HNE13" s="338"/>
      <c r="HNF13" s="338"/>
      <c r="HNG13" s="338"/>
      <c r="HNH13" s="338"/>
      <c r="HNI13" s="338"/>
      <c r="HNJ13" s="338"/>
      <c r="HNK13" s="338"/>
      <c r="HNL13" s="338"/>
      <c r="HNM13" s="338"/>
      <c r="HNN13" s="338"/>
      <c r="HNO13" s="338"/>
      <c r="HNP13" s="338"/>
      <c r="HNQ13" s="338"/>
      <c r="HNR13" s="338"/>
      <c r="HNS13" s="338"/>
      <c r="HNT13" s="338"/>
      <c r="HNU13" s="338"/>
      <c r="HNV13" s="338"/>
      <c r="HNW13" s="338"/>
      <c r="HNX13" s="338"/>
      <c r="HNY13" s="338"/>
      <c r="HNZ13" s="338"/>
      <c r="HOA13" s="338"/>
      <c r="HOB13" s="338"/>
      <c r="HOC13" s="338"/>
      <c r="HOD13" s="338"/>
      <c r="HOE13" s="338"/>
      <c r="HOF13" s="338"/>
      <c r="HOG13" s="338"/>
      <c r="HOH13" s="338"/>
      <c r="HOI13" s="338"/>
      <c r="HOJ13" s="338"/>
      <c r="HOK13" s="338"/>
      <c r="HOL13" s="338"/>
      <c r="HOM13" s="338"/>
      <c r="HON13" s="338"/>
      <c r="HOO13" s="338"/>
      <c r="HOP13" s="338"/>
      <c r="HOQ13" s="338"/>
      <c r="HOR13" s="338"/>
      <c r="HOS13" s="338"/>
      <c r="HOT13" s="338"/>
      <c r="HOU13" s="338"/>
      <c r="HOV13" s="338"/>
      <c r="HOW13" s="338"/>
      <c r="HOX13" s="338"/>
      <c r="HOY13" s="338"/>
      <c r="HOZ13" s="338"/>
      <c r="HPA13" s="338"/>
      <c r="HPB13" s="338"/>
      <c r="HPC13" s="338"/>
      <c r="HPD13" s="338"/>
      <c r="HPE13" s="338"/>
      <c r="HPF13" s="338"/>
      <c r="HPG13" s="338"/>
      <c r="HPH13" s="338"/>
      <c r="HPI13" s="338"/>
      <c r="HPJ13" s="338"/>
      <c r="HPK13" s="338"/>
      <c r="HPL13" s="338"/>
      <c r="HPM13" s="338"/>
      <c r="HPN13" s="338"/>
      <c r="HPO13" s="338"/>
      <c r="HPP13" s="338"/>
      <c r="HPQ13" s="338"/>
      <c r="HPR13" s="338"/>
      <c r="HPS13" s="338"/>
      <c r="HPT13" s="338"/>
      <c r="HPU13" s="338"/>
      <c r="HPV13" s="338"/>
      <c r="HPW13" s="338"/>
      <c r="HPX13" s="338"/>
      <c r="HPY13" s="338"/>
      <c r="HPZ13" s="338"/>
      <c r="HQA13" s="338"/>
      <c r="HQB13" s="338"/>
      <c r="HQC13" s="338"/>
      <c r="HQD13" s="338"/>
      <c r="HQE13" s="338"/>
      <c r="HQF13" s="338"/>
      <c r="HQG13" s="338"/>
      <c r="HQH13" s="338"/>
      <c r="HQI13" s="338"/>
      <c r="HQJ13" s="338"/>
      <c r="HQK13" s="338"/>
      <c r="HQL13" s="338"/>
      <c r="HQM13" s="338"/>
      <c r="HQN13" s="338"/>
      <c r="HQO13" s="338"/>
      <c r="HQP13" s="338"/>
      <c r="HQQ13" s="338"/>
      <c r="HQR13" s="338"/>
      <c r="HQS13" s="338"/>
      <c r="HQT13" s="338"/>
      <c r="HQU13" s="338"/>
      <c r="HQV13" s="338"/>
      <c r="HQW13" s="338"/>
      <c r="HQX13" s="338"/>
      <c r="HQY13" s="338"/>
      <c r="HQZ13" s="338"/>
      <c r="HRA13" s="338"/>
      <c r="HRB13" s="338"/>
      <c r="HRC13" s="338"/>
      <c r="HRD13" s="338"/>
      <c r="HRE13" s="338"/>
      <c r="HRF13" s="338"/>
      <c r="HRG13" s="338"/>
      <c r="HRH13" s="338"/>
      <c r="HRI13" s="338"/>
      <c r="HRJ13" s="338"/>
      <c r="HRK13" s="338"/>
      <c r="HRL13" s="338"/>
      <c r="HRM13" s="338"/>
      <c r="HRN13" s="338"/>
      <c r="HRO13" s="338"/>
      <c r="HRP13" s="338"/>
      <c r="HRQ13" s="338"/>
      <c r="HRR13" s="338"/>
      <c r="HRS13" s="338"/>
      <c r="HRT13" s="338"/>
      <c r="HRU13" s="338"/>
      <c r="HRV13" s="338"/>
      <c r="HRW13" s="338"/>
      <c r="HRX13" s="338"/>
      <c r="HRY13" s="338"/>
      <c r="HRZ13" s="338"/>
      <c r="HSA13" s="338"/>
      <c r="HSB13" s="338"/>
      <c r="HSC13" s="338"/>
      <c r="HSD13" s="338"/>
      <c r="HSE13" s="338"/>
      <c r="HSF13" s="338"/>
      <c r="HSG13" s="338"/>
      <c r="HSH13" s="338"/>
      <c r="HSI13" s="338"/>
      <c r="HSJ13" s="338"/>
      <c r="HSK13" s="338"/>
      <c r="HSL13" s="338"/>
      <c r="HSM13" s="338"/>
      <c r="HSN13" s="338"/>
      <c r="HSO13" s="338"/>
      <c r="HSP13" s="338"/>
      <c r="HSQ13" s="338"/>
      <c r="HSR13" s="338"/>
      <c r="HSS13" s="338"/>
      <c r="HST13" s="338"/>
      <c r="HSU13" s="338"/>
      <c r="HSV13" s="338"/>
      <c r="HSW13" s="338"/>
      <c r="HSX13" s="338"/>
      <c r="HSY13" s="338"/>
      <c r="HSZ13" s="338"/>
      <c r="HTA13" s="338"/>
      <c r="HTB13" s="338"/>
      <c r="HTC13" s="338"/>
      <c r="HTD13" s="338"/>
      <c r="HTE13" s="338"/>
      <c r="HTF13" s="338"/>
      <c r="HTG13" s="338"/>
      <c r="HTH13" s="338"/>
      <c r="HTI13" s="338"/>
      <c r="HTJ13" s="338"/>
      <c r="HTK13" s="338"/>
      <c r="HTL13" s="338"/>
      <c r="HTM13" s="338"/>
      <c r="HTN13" s="338"/>
      <c r="HTO13" s="338"/>
      <c r="HTP13" s="338"/>
      <c r="HTQ13" s="338"/>
      <c r="HTR13" s="338"/>
      <c r="HTS13" s="338"/>
      <c r="HTT13" s="338"/>
      <c r="HTU13" s="338"/>
      <c r="HTV13" s="338"/>
      <c r="HTW13" s="338"/>
      <c r="HTX13" s="338"/>
      <c r="HTY13" s="338"/>
      <c r="HTZ13" s="338"/>
      <c r="HUA13" s="338"/>
      <c r="HUB13" s="338"/>
      <c r="HUC13" s="338"/>
      <c r="HUD13" s="338"/>
      <c r="HUE13" s="338"/>
      <c r="HUF13" s="338"/>
      <c r="HUG13" s="338"/>
      <c r="HUH13" s="338"/>
      <c r="HUI13" s="338"/>
      <c r="HUJ13" s="338"/>
      <c r="HUK13" s="338"/>
      <c r="HUL13" s="338"/>
      <c r="HUM13" s="338"/>
      <c r="HUN13" s="338"/>
      <c r="HUO13" s="338"/>
      <c r="HUP13" s="338"/>
      <c r="HUQ13" s="338"/>
      <c r="HUR13" s="338"/>
      <c r="HUS13" s="338"/>
      <c r="HUT13" s="338"/>
      <c r="HUU13" s="338"/>
      <c r="HUV13" s="338"/>
      <c r="HUW13" s="338"/>
      <c r="HUX13" s="338"/>
      <c r="HUY13" s="338"/>
      <c r="HUZ13" s="338"/>
      <c r="HVA13" s="338"/>
      <c r="HVB13" s="338"/>
      <c r="HVC13" s="338"/>
      <c r="HVD13" s="338"/>
      <c r="HVE13" s="338"/>
      <c r="HVF13" s="338"/>
      <c r="HVG13" s="338"/>
      <c r="HVH13" s="338"/>
      <c r="HVI13" s="338"/>
      <c r="HVJ13" s="338"/>
      <c r="HVK13" s="338"/>
      <c r="HVL13" s="338"/>
      <c r="HVM13" s="338"/>
      <c r="HVN13" s="338"/>
      <c r="HVO13" s="338"/>
      <c r="HVP13" s="338"/>
      <c r="HVQ13" s="338"/>
      <c r="HVR13" s="338"/>
      <c r="HVS13" s="338"/>
      <c r="HVT13" s="338"/>
      <c r="HVU13" s="338"/>
      <c r="HVV13" s="338"/>
      <c r="HVW13" s="338"/>
      <c r="HVX13" s="338"/>
      <c r="HVY13" s="338"/>
      <c r="HVZ13" s="338"/>
      <c r="HWA13" s="338"/>
      <c r="HWB13" s="338"/>
      <c r="HWC13" s="338"/>
      <c r="HWD13" s="338"/>
      <c r="HWE13" s="338"/>
      <c r="HWF13" s="338"/>
      <c r="HWG13" s="338"/>
      <c r="HWH13" s="338"/>
      <c r="HWI13" s="338"/>
      <c r="HWJ13" s="338"/>
      <c r="HWK13" s="338"/>
      <c r="HWL13" s="338"/>
      <c r="HWM13" s="338"/>
      <c r="HWN13" s="338"/>
      <c r="HWO13" s="338"/>
      <c r="HWP13" s="338"/>
      <c r="HWQ13" s="338"/>
      <c r="HWR13" s="338"/>
      <c r="HWS13" s="338"/>
      <c r="HWT13" s="338"/>
      <c r="HWU13" s="338"/>
      <c r="HWV13" s="338"/>
      <c r="HWW13" s="338"/>
      <c r="HWX13" s="338"/>
      <c r="HWY13" s="338"/>
      <c r="HWZ13" s="338"/>
      <c r="HXA13" s="338"/>
      <c r="HXB13" s="338"/>
      <c r="HXC13" s="338"/>
      <c r="HXD13" s="338"/>
      <c r="HXE13" s="338"/>
      <c r="HXF13" s="338"/>
      <c r="HXG13" s="338"/>
      <c r="HXH13" s="338"/>
      <c r="HXI13" s="338"/>
      <c r="HXJ13" s="338"/>
      <c r="HXK13" s="338"/>
      <c r="HXL13" s="338"/>
      <c r="HXM13" s="338"/>
      <c r="HXN13" s="338"/>
      <c r="HXO13" s="338"/>
      <c r="HXP13" s="338"/>
      <c r="HXQ13" s="338"/>
      <c r="HXR13" s="338"/>
      <c r="HXS13" s="338"/>
      <c r="HXT13" s="338"/>
      <c r="HXU13" s="338"/>
      <c r="HXV13" s="338"/>
      <c r="HXW13" s="338"/>
      <c r="HXX13" s="338"/>
      <c r="HXY13" s="338"/>
      <c r="HXZ13" s="338"/>
      <c r="HYA13" s="338"/>
      <c r="HYB13" s="338"/>
      <c r="HYC13" s="338"/>
      <c r="HYD13" s="338"/>
      <c r="HYE13" s="338"/>
      <c r="HYF13" s="338"/>
      <c r="HYG13" s="338"/>
      <c r="HYH13" s="338"/>
      <c r="HYI13" s="338"/>
      <c r="HYJ13" s="338"/>
      <c r="HYK13" s="338"/>
      <c r="HYL13" s="338"/>
      <c r="HYM13" s="338"/>
      <c r="HYN13" s="338"/>
      <c r="HYO13" s="338"/>
      <c r="HYP13" s="338"/>
      <c r="HYQ13" s="338"/>
      <c r="HYR13" s="338"/>
      <c r="HYS13" s="338"/>
      <c r="HYT13" s="338"/>
      <c r="HYU13" s="338"/>
      <c r="HYV13" s="338"/>
      <c r="HYW13" s="338"/>
      <c r="HYX13" s="338"/>
      <c r="HYY13" s="338"/>
      <c r="HYZ13" s="338"/>
      <c r="HZA13" s="338"/>
      <c r="HZB13" s="338"/>
      <c r="HZC13" s="338"/>
      <c r="HZD13" s="338"/>
      <c r="HZE13" s="338"/>
      <c r="HZF13" s="338"/>
      <c r="HZG13" s="338"/>
      <c r="HZH13" s="338"/>
      <c r="HZI13" s="338"/>
      <c r="HZJ13" s="338"/>
      <c r="HZK13" s="338"/>
      <c r="HZL13" s="338"/>
      <c r="HZM13" s="338"/>
      <c r="HZN13" s="338"/>
      <c r="HZO13" s="338"/>
      <c r="HZP13" s="338"/>
      <c r="HZQ13" s="338"/>
      <c r="HZR13" s="338"/>
      <c r="HZS13" s="338"/>
      <c r="HZT13" s="338"/>
      <c r="HZU13" s="338"/>
      <c r="HZV13" s="338"/>
      <c r="HZW13" s="338"/>
      <c r="HZX13" s="338"/>
      <c r="HZY13" s="338"/>
      <c r="HZZ13" s="338"/>
      <c r="IAA13" s="338"/>
      <c r="IAB13" s="338"/>
      <c r="IAC13" s="338"/>
      <c r="IAD13" s="338"/>
      <c r="IAE13" s="338"/>
      <c r="IAF13" s="338"/>
      <c r="IAG13" s="338"/>
      <c r="IAH13" s="338"/>
      <c r="IAI13" s="338"/>
      <c r="IAJ13" s="338"/>
      <c r="IAK13" s="338"/>
      <c r="IAL13" s="338"/>
      <c r="IAM13" s="338"/>
      <c r="IAN13" s="338"/>
      <c r="IAO13" s="338"/>
      <c r="IAP13" s="338"/>
      <c r="IAQ13" s="338"/>
      <c r="IAR13" s="338"/>
      <c r="IAS13" s="338"/>
      <c r="IAT13" s="338"/>
      <c r="IAU13" s="338"/>
      <c r="IAV13" s="338"/>
      <c r="IAW13" s="338"/>
      <c r="IAX13" s="338"/>
      <c r="IAY13" s="338"/>
      <c r="IAZ13" s="338"/>
      <c r="IBA13" s="338"/>
      <c r="IBB13" s="338"/>
      <c r="IBC13" s="338"/>
      <c r="IBD13" s="338"/>
      <c r="IBE13" s="338"/>
      <c r="IBF13" s="338"/>
      <c r="IBG13" s="338"/>
      <c r="IBH13" s="338"/>
      <c r="IBI13" s="338"/>
      <c r="IBJ13" s="338"/>
      <c r="IBK13" s="338"/>
      <c r="IBL13" s="338"/>
      <c r="IBM13" s="338"/>
      <c r="IBN13" s="338"/>
      <c r="IBO13" s="338"/>
      <c r="IBP13" s="338"/>
      <c r="IBQ13" s="338"/>
      <c r="IBR13" s="338"/>
      <c r="IBS13" s="338"/>
      <c r="IBT13" s="338"/>
      <c r="IBU13" s="338"/>
      <c r="IBV13" s="338"/>
      <c r="IBW13" s="338"/>
      <c r="IBX13" s="338"/>
      <c r="IBY13" s="338"/>
      <c r="IBZ13" s="338"/>
      <c r="ICA13" s="338"/>
      <c r="ICB13" s="338"/>
      <c r="ICC13" s="338"/>
      <c r="ICD13" s="338"/>
      <c r="ICE13" s="338"/>
      <c r="ICF13" s="338"/>
      <c r="ICG13" s="338"/>
      <c r="ICH13" s="338"/>
      <c r="ICI13" s="338"/>
      <c r="ICJ13" s="338"/>
      <c r="ICK13" s="338"/>
      <c r="ICL13" s="338"/>
      <c r="ICM13" s="338"/>
      <c r="ICN13" s="338"/>
      <c r="ICO13" s="338"/>
      <c r="ICP13" s="338"/>
      <c r="ICQ13" s="338"/>
      <c r="ICR13" s="338"/>
      <c r="ICS13" s="338"/>
      <c r="ICT13" s="338"/>
      <c r="ICU13" s="338"/>
      <c r="ICV13" s="338"/>
      <c r="ICW13" s="338"/>
      <c r="ICX13" s="338"/>
      <c r="ICY13" s="338"/>
      <c r="ICZ13" s="338"/>
      <c r="IDA13" s="338"/>
      <c r="IDB13" s="338"/>
      <c r="IDC13" s="338"/>
      <c r="IDD13" s="338"/>
      <c r="IDE13" s="338"/>
      <c r="IDF13" s="338"/>
      <c r="IDG13" s="338"/>
      <c r="IDH13" s="338"/>
      <c r="IDI13" s="338"/>
      <c r="IDJ13" s="338"/>
      <c r="IDK13" s="338"/>
      <c r="IDL13" s="338"/>
      <c r="IDM13" s="338"/>
      <c r="IDN13" s="338"/>
      <c r="IDO13" s="338"/>
      <c r="IDP13" s="338"/>
      <c r="IDQ13" s="338"/>
      <c r="IDR13" s="338"/>
      <c r="IDS13" s="338"/>
      <c r="IDT13" s="338"/>
      <c r="IDU13" s="338"/>
      <c r="IDV13" s="338"/>
      <c r="IDW13" s="338"/>
      <c r="IDX13" s="338"/>
      <c r="IDY13" s="338"/>
      <c r="IDZ13" s="338"/>
      <c r="IEA13" s="338"/>
      <c r="IEB13" s="338"/>
      <c r="IEC13" s="338"/>
      <c r="IED13" s="338"/>
      <c r="IEE13" s="338"/>
      <c r="IEF13" s="338"/>
      <c r="IEG13" s="338"/>
      <c r="IEH13" s="338"/>
      <c r="IEI13" s="338"/>
      <c r="IEJ13" s="338"/>
      <c r="IEK13" s="338"/>
      <c r="IEL13" s="338"/>
      <c r="IEM13" s="338"/>
      <c r="IEN13" s="338"/>
      <c r="IEO13" s="338"/>
      <c r="IEP13" s="338"/>
      <c r="IEQ13" s="338"/>
      <c r="IER13" s="338"/>
      <c r="IES13" s="338"/>
      <c r="IET13" s="338"/>
      <c r="IEU13" s="338"/>
      <c r="IEV13" s="338"/>
      <c r="IEW13" s="338"/>
      <c r="IEX13" s="338"/>
      <c r="IEY13" s="338"/>
      <c r="IEZ13" s="338"/>
      <c r="IFA13" s="338"/>
      <c r="IFB13" s="338"/>
      <c r="IFC13" s="338"/>
      <c r="IFD13" s="338"/>
      <c r="IFE13" s="338"/>
      <c r="IFF13" s="338"/>
      <c r="IFG13" s="338"/>
      <c r="IFH13" s="338"/>
      <c r="IFI13" s="338"/>
      <c r="IFJ13" s="338"/>
      <c r="IFK13" s="338"/>
      <c r="IFL13" s="338"/>
      <c r="IFM13" s="338"/>
      <c r="IFN13" s="338"/>
      <c r="IFO13" s="338"/>
      <c r="IFP13" s="338"/>
      <c r="IFQ13" s="338"/>
      <c r="IFR13" s="338"/>
      <c r="IFS13" s="338"/>
      <c r="IFT13" s="338"/>
      <c r="IFU13" s="338"/>
      <c r="IFV13" s="338"/>
      <c r="IFW13" s="338"/>
      <c r="IFX13" s="338"/>
      <c r="IFY13" s="338"/>
      <c r="IFZ13" s="338"/>
      <c r="IGA13" s="338"/>
      <c r="IGB13" s="338"/>
      <c r="IGC13" s="338"/>
      <c r="IGD13" s="338"/>
      <c r="IGE13" s="338"/>
      <c r="IGF13" s="338"/>
      <c r="IGG13" s="338"/>
      <c r="IGH13" s="338"/>
      <c r="IGI13" s="338"/>
      <c r="IGJ13" s="338"/>
      <c r="IGK13" s="338"/>
      <c r="IGL13" s="338"/>
      <c r="IGM13" s="338"/>
      <c r="IGN13" s="338"/>
      <c r="IGO13" s="338"/>
      <c r="IGP13" s="338"/>
      <c r="IGQ13" s="338"/>
      <c r="IGR13" s="338"/>
      <c r="IGS13" s="338"/>
      <c r="IGT13" s="338"/>
      <c r="IGU13" s="338"/>
      <c r="IGV13" s="338"/>
      <c r="IGW13" s="338"/>
      <c r="IGX13" s="338"/>
      <c r="IGY13" s="338"/>
      <c r="IGZ13" s="338"/>
      <c r="IHA13" s="338"/>
      <c r="IHB13" s="338"/>
      <c r="IHC13" s="338"/>
      <c r="IHD13" s="338"/>
      <c r="IHE13" s="338"/>
      <c r="IHF13" s="338"/>
      <c r="IHG13" s="338"/>
      <c r="IHH13" s="338"/>
      <c r="IHI13" s="338"/>
      <c r="IHJ13" s="338"/>
      <c r="IHK13" s="338"/>
      <c r="IHL13" s="338"/>
      <c r="IHM13" s="338"/>
      <c r="IHN13" s="338"/>
      <c r="IHO13" s="338"/>
      <c r="IHP13" s="338"/>
      <c r="IHQ13" s="338"/>
      <c r="IHR13" s="338"/>
      <c r="IHS13" s="338"/>
      <c r="IHT13" s="338"/>
      <c r="IHU13" s="338"/>
      <c r="IHV13" s="338"/>
      <c r="IHW13" s="338"/>
      <c r="IHX13" s="338"/>
      <c r="IHY13" s="338"/>
      <c r="IHZ13" s="338"/>
      <c r="IIA13" s="338"/>
      <c r="IIB13" s="338"/>
      <c r="IIC13" s="338"/>
      <c r="IID13" s="338"/>
      <c r="IIE13" s="338"/>
      <c r="IIF13" s="338"/>
      <c r="IIG13" s="338"/>
      <c r="IIH13" s="338"/>
      <c r="III13" s="338"/>
      <c r="IIJ13" s="338"/>
      <c r="IIK13" s="338"/>
      <c r="IIL13" s="338"/>
      <c r="IIM13" s="338"/>
      <c r="IIN13" s="338"/>
      <c r="IIO13" s="338"/>
      <c r="IIP13" s="338"/>
      <c r="IIQ13" s="338"/>
      <c r="IIR13" s="338"/>
      <c r="IIS13" s="338"/>
      <c r="IIT13" s="338"/>
      <c r="IIU13" s="338"/>
      <c r="IIV13" s="338"/>
      <c r="IIW13" s="338"/>
      <c r="IIX13" s="338"/>
      <c r="IIY13" s="338"/>
      <c r="IIZ13" s="338"/>
      <c r="IJA13" s="338"/>
      <c r="IJB13" s="338"/>
      <c r="IJC13" s="338"/>
      <c r="IJD13" s="338"/>
      <c r="IJE13" s="338"/>
      <c r="IJF13" s="338"/>
      <c r="IJG13" s="338"/>
      <c r="IJH13" s="338"/>
      <c r="IJI13" s="338"/>
      <c r="IJJ13" s="338"/>
      <c r="IJK13" s="338"/>
      <c r="IJL13" s="338"/>
      <c r="IJM13" s="338"/>
      <c r="IJN13" s="338"/>
      <c r="IJO13" s="338"/>
      <c r="IJP13" s="338"/>
      <c r="IJQ13" s="338"/>
      <c r="IJR13" s="338"/>
      <c r="IJS13" s="338"/>
      <c r="IJT13" s="338"/>
      <c r="IJU13" s="338"/>
      <c r="IJV13" s="338"/>
      <c r="IJW13" s="338"/>
      <c r="IJX13" s="338"/>
      <c r="IJY13" s="338"/>
      <c r="IJZ13" s="338"/>
      <c r="IKA13" s="338"/>
      <c r="IKB13" s="338"/>
      <c r="IKC13" s="338"/>
      <c r="IKD13" s="338"/>
      <c r="IKE13" s="338"/>
      <c r="IKF13" s="338"/>
      <c r="IKG13" s="338"/>
      <c r="IKH13" s="338"/>
      <c r="IKI13" s="338"/>
      <c r="IKJ13" s="338"/>
      <c r="IKK13" s="338"/>
      <c r="IKL13" s="338"/>
      <c r="IKM13" s="338"/>
      <c r="IKN13" s="338"/>
      <c r="IKO13" s="338"/>
      <c r="IKP13" s="338"/>
      <c r="IKQ13" s="338"/>
      <c r="IKR13" s="338"/>
      <c r="IKS13" s="338"/>
      <c r="IKT13" s="338"/>
      <c r="IKU13" s="338"/>
      <c r="IKV13" s="338"/>
      <c r="IKW13" s="338"/>
      <c r="IKX13" s="338"/>
      <c r="IKY13" s="338"/>
      <c r="IKZ13" s="338"/>
      <c r="ILA13" s="338"/>
      <c r="ILB13" s="338"/>
      <c r="ILC13" s="338"/>
      <c r="ILD13" s="338"/>
      <c r="ILE13" s="338"/>
      <c r="ILF13" s="338"/>
      <c r="ILG13" s="338"/>
      <c r="ILH13" s="338"/>
      <c r="ILI13" s="338"/>
      <c r="ILJ13" s="338"/>
      <c r="ILK13" s="338"/>
      <c r="ILL13" s="338"/>
      <c r="ILM13" s="338"/>
      <c r="ILN13" s="338"/>
      <c r="ILO13" s="338"/>
      <c r="ILP13" s="338"/>
      <c r="ILQ13" s="338"/>
      <c r="ILR13" s="338"/>
      <c r="ILS13" s="338"/>
      <c r="ILT13" s="338"/>
      <c r="ILU13" s="338"/>
      <c r="ILV13" s="338"/>
      <c r="ILW13" s="338"/>
      <c r="ILX13" s="338"/>
      <c r="ILY13" s="338"/>
      <c r="ILZ13" s="338"/>
      <c r="IMA13" s="338"/>
      <c r="IMB13" s="338"/>
      <c r="IMC13" s="338"/>
      <c r="IMD13" s="338"/>
      <c r="IME13" s="338"/>
      <c r="IMF13" s="338"/>
      <c r="IMG13" s="338"/>
      <c r="IMH13" s="338"/>
      <c r="IMI13" s="338"/>
      <c r="IMJ13" s="338"/>
      <c r="IMK13" s="338"/>
      <c r="IML13" s="338"/>
      <c r="IMM13" s="338"/>
      <c r="IMN13" s="338"/>
      <c r="IMO13" s="338"/>
      <c r="IMP13" s="338"/>
      <c r="IMQ13" s="338"/>
      <c r="IMR13" s="338"/>
      <c r="IMS13" s="338"/>
      <c r="IMT13" s="338"/>
      <c r="IMU13" s="338"/>
      <c r="IMV13" s="338"/>
      <c r="IMW13" s="338"/>
      <c r="IMX13" s="338"/>
      <c r="IMY13" s="338"/>
      <c r="IMZ13" s="338"/>
      <c r="INA13" s="338"/>
      <c r="INB13" s="338"/>
      <c r="INC13" s="338"/>
      <c r="IND13" s="338"/>
      <c r="INE13" s="338"/>
      <c r="INF13" s="338"/>
      <c r="ING13" s="338"/>
      <c r="INH13" s="338"/>
      <c r="INI13" s="338"/>
      <c r="INJ13" s="338"/>
      <c r="INK13" s="338"/>
      <c r="INL13" s="338"/>
      <c r="INM13" s="338"/>
      <c r="INN13" s="338"/>
      <c r="INO13" s="338"/>
      <c r="INP13" s="338"/>
      <c r="INQ13" s="338"/>
      <c r="INR13" s="338"/>
      <c r="INS13" s="338"/>
      <c r="INT13" s="338"/>
      <c r="INU13" s="338"/>
      <c r="INV13" s="338"/>
      <c r="INW13" s="338"/>
      <c r="INX13" s="338"/>
      <c r="INY13" s="338"/>
      <c r="INZ13" s="338"/>
      <c r="IOA13" s="338"/>
      <c r="IOB13" s="338"/>
      <c r="IOC13" s="338"/>
      <c r="IOD13" s="338"/>
      <c r="IOE13" s="338"/>
      <c r="IOF13" s="338"/>
      <c r="IOG13" s="338"/>
      <c r="IOH13" s="338"/>
      <c r="IOI13" s="338"/>
      <c r="IOJ13" s="338"/>
      <c r="IOK13" s="338"/>
      <c r="IOL13" s="338"/>
      <c r="IOM13" s="338"/>
      <c r="ION13" s="338"/>
      <c r="IOO13" s="338"/>
      <c r="IOP13" s="338"/>
      <c r="IOQ13" s="338"/>
      <c r="IOR13" s="338"/>
      <c r="IOS13" s="338"/>
      <c r="IOT13" s="338"/>
      <c r="IOU13" s="338"/>
      <c r="IOV13" s="338"/>
      <c r="IOW13" s="338"/>
      <c r="IOX13" s="338"/>
      <c r="IOY13" s="338"/>
      <c r="IOZ13" s="338"/>
      <c r="IPA13" s="338"/>
      <c r="IPB13" s="338"/>
      <c r="IPC13" s="338"/>
      <c r="IPD13" s="338"/>
      <c r="IPE13" s="338"/>
      <c r="IPF13" s="338"/>
      <c r="IPG13" s="338"/>
      <c r="IPH13" s="338"/>
      <c r="IPI13" s="338"/>
      <c r="IPJ13" s="338"/>
      <c r="IPK13" s="338"/>
      <c r="IPL13" s="338"/>
      <c r="IPM13" s="338"/>
      <c r="IPN13" s="338"/>
      <c r="IPO13" s="338"/>
      <c r="IPP13" s="338"/>
      <c r="IPQ13" s="338"/>
      <c r="IPR13" s="338"/>
      <c r="IPS13" s="338"/>
      <c r="IPT13" s="338"/>
      <c r="IPU13" s="338"/>
      <c r="IPV13" s="338"/>
      <c r="IPW13" s="338"/>
      <c r="IPX13" s="338"/>
      <c r="IPY13" s="338"/>
      <c r="IPZ13" s="338"/>
      <c r="IQA13" s="338"/>
      <c r="IQB13" s="338"/>
      <c r="IQC13" s="338"/>
      <c r="IQD13" s="338"/>
      <c r="IQE13" s="338"/>
      <c r="IQF13" s="338"/>
      <c r="IQG13" s="338"/>
      <c r="IQH13" s="338"/>
      <c r="IQI13" s="338"/>
      <c r="IQJ13" s="338"/>
      <c r="IQK13" s="338"/>
      <c r="IQL13" s="338"/>
      <c r="IQM13" s="338"/>
      <c r="IQN13" s="338"/>
      <c r="IQO13" s="338"/>
      <c r="IQP13" s="338"/>
      <c r="IQQ13" s="338"/>
      <c r="IQR13" s="338"/>
      <c r="IQS13" s="338"/>
      <c r="IQT13" s="338"/>
      <c r="IQU13" s="338"/>
      <c r="IQV13" s="338"/>
      <c r="IQW13" s="338"/>
      <c r="IQX13" s="338"/>
      <c r="IQY13" s="338"/>
      <c r="IQZ13" s="338"/>
      <c r="IRA13" s="338"/>
      <c r="IRB13" s="338"/>
      <c r="IRC13" s="338"/>
      <c r="IRD13" s="338"/>
      <c r="IRE13" s="338"/>
      <c r="IRF13" s="338"/>
      <c r="IRG13" s="338"/>
      <c r="IRH13" s="338"/>
      <c r="IRI13" s="338"/>
      <c r="IRJ13" s="338"/>
      <c r="IRK13" s="338"/>
      <c r="IRL13" s="338"/>
      <c r="IRM13" s="338"/>
      <c r="IRN13" s="338"/>
      <c r="IRO13" s="338"/>
      <c r="IRP13" s="338"/>
      <c r="IRQ13" s="338"/>
      <c r="IRR13" s="338"/>
      <c r="IRS13" s="338"/>
      <c r="IRT13" s="338"/>
      <c r="IRU13" s="338"/>
      <c r="IRV13" s="338"/>
      <c r="IRW13" s="338"/>
      <c r="IRX13" s="338"/>
      <c r="IRY13" s="338"/>
      <c r="IRZ13" s="338"/>
      <c r="ISA13" s="338"/>
      <c r="ISB13" s="338"/>
      <c r="ISC13" s="338"/>
      <c r="ISD13" s="338"/>
      <c r="ISE13" s="338"/>
      <c r="ISF13" s="338"/>
      <c r="ISG13" s="338"/>
      <c r="ISH13" s="338"/>
      <c r="ISI13" s="338"/>
      <c r="ISJ13" s="338"/>
      <c r="ISK13" s="338"/>
      <c r="ISL13" s="338"/>
      <c r="ISM13" s="338"/>
      <c r="ISN13" s="338"/>
      <c r="ISO13" s="338"/>
      <c r="ISP13" s="338"/>
      <c r="ISQ13" s="338"/>
      <c r="ISR13" s="338"/>
      <c r="ISS13" s="338"/>
      <c r="IST13" s="338"/>
      <c r="ISU13" s="338"/>
      <c r="ISV13" s="338"/>
      <c r="ISW13" s="338"/>
      <c r="ISX13" s="338"/>
      <c r="ISY13" s="338"/>
      <c r="ISZ13" s="338"/>
      <c r="ITA13" s="338"/>
      <c r="ITB13" s="338"/>
      <c r="ITC13" s="338"/>
      <c r="ITD13" s="338"/>
      <c r="ITE13" s="338"/>
      <c r="ITF13" s="338"/>
      <c r="ITG13" s="338"/>
      <c r="ITH13" s="338"/>
      <c r="ITI13" s="338"/>
      <c r="ITJ13" s="338"/>
      <c r="ITK13" s="338"/>
      <c r="ITL13" s="338"/>
      <c r="ITM13" s="338"/>
      <c r="ITN13" s="338"/>
      <c r="ITO13" s="338"/>
      <c r="ITP13" s="338"/>
      <c r="ITQ13" s="338"/>
      <c r="ITR13" s="338"/>
      <c r="ITS13" s="338"/>
      <c r="ITT13" s="338"/>
      <c r="ITU13" s="338"/>
      <c r="ITV13" s="338"/>
      <c r="ITW13" s="338"/>
      <c r="ITX13" s="338"/>
      <c r="ITY13" s="338"/>
      <c r="ITZ13" s="338"/>
      <c r="IUA13" s="338"/>
      <c r="IUB13" s="338"/>
      <c r="IUC13" s="338"/>
      <c r="IUD13" s="338"/>
      <c r="IUE13" s="338"/>
      <c r="IUF13" s="338"/>
      <c r="IUG13" s="338"/>
      <c r="IUH13" s="338"/>
      <c r="IUI13" s="338"/>
      <c r="IUJ13" s="338"/>
      <c r="IUK13" s="338"/>
      <c r="IUL13" s="338"/>
      <c r="IUM13" s="338"/>
      <c r="IUN13" s="338"/>
      <c r="IUO13" s="338"/>
      <c r="IUP13" s="338"/>
      <c r="IUQ13" s="338"/>
      <c r="IUR13" s="338"/>
      <c r="IUS13" s="338"/>
      <c r="IUT13" s="338"/>
      <c r="IUU13" s="338"/>
      <c r="IUV13" s="338"/>
      <c r="IUW13" s="338"/>
      <c r="IUX13" s="338"/>
      <c r="IUY13" s="338"/>
      <c r="IUZ13" s="338"/>
      <c r="IVA13" s="338"/>
      <c r="IVB13" s="338"/>
      <c r="IVC13" s="338"/>
      <c r="IVD13" s="338"/>
      <c r="IVE13" s="338"/>
      <c r="IVF13" s="338"/>
      <c r="IVG13" s="338"/>
      <c r="IVH13" s="338"/>
      <c r="IVI13" s="338"/>
      <c r="IVJ13" s="338"/>
      <c r="IVK13" s="338"/>
      <c r="IVL13" s="338"/>
      <c r="IVM13" s="338"/>
      <c r="IVN13" s="338"/>
      <c r="IVO13" s="338"/>
      <c r="IVP13" s="338"/>
      <c r="IVQ13" s="338"/>
      <c r="IVR13" s="338"/>
      <c r="IVS13" s="338"/>
      <c r="IVT13" s="338"/>
      <c r="IVU13" s="338"/>
      <c r="IVV13" s="338"/>
      <c r="IVW13" s="338"/>
      <c r="IVX13" s="338"/>
      <c r="IVY13" s="338"/>
      <c r="IVZ13" s="338"/>
      <c r="IWA13" s="338"/>
      <c r="IWB13" s="338"/>
      <c r="IWC13" s="338"/>
      <c r="IWD13" s="338"/>
      <c r="IWE13" s="338"/>
      <c r="IWF13" s="338"/>
      <c r="IWG13" s="338"/>
      <c r="IWH13" s="338"/>
      <c r="IWI13" s="338"/>
      <c r="IWJ13" s="338"/>
      <c r="IWK13" s="338"/>
      <c r="IWL13" s="338"/>
      <c r="IWM13" s="338"/>
      <c r="IWN13" s="338"/>
      <c r="IWO13" s="338"/>
      <c r="IWP13" s="338"/>
      <c r="IWQ13" s="338"/>
      <c r="IWR13" s="338"/>
      <c r="IWS13" s="338"/>
      <c r="IWT13" s="338"/>
      <c r="IWU13" s="338"/>
      <c r="IWV13" s="338"/>
      <c r="IWW13" s="338"/>
      <c r="IWX13" s="338"/>
      <c r="IWY13" s="338"/>
      <c r="IWZ13" s="338"/>
      <c r="IXA13" s="338"/>
      <c r="IXB13" s="338"/>
      <c r="IXC13" s="338"/>
      <c r="IXD13" s="338"/>
      <c r="IXE13" s="338"/>
      <c r="IXF13" s="338"/>
      <c r="IXG13" s="338"/>
      <c r="IXH13" s="338"/>
      <c r="IXI13" s="338"/>
      <c r="IXJ13" s="338"/>
      <c r="IXK13" s="338"/>
      <c r="IXL13" s="338"/>
      <c r="IXM13" s="338"/>
      <c r="IXN13" s="338"/>
      <c r="IXO13" s="338"/>
      <c r="IXP13" s="338"/>
      <c r="IXQ13" s="338"/>
      <c r="IXR13" s="338"/>
      <c r="IXS13" s="338"/>
      <c r="IXT13" s="338"/>
      <c r="IXU13" s="338"/>
      <c r="IXV13" s="338"/>
      <c r="IXW13" s="338"/>
      <c r="IXX13" s="338"/>
      <c r="IXY13" s="338"/>
      <c r="IXZ13" s="338"/>
      <c r="IYA13" s="338"/>
      <c r="IYB13" s="338"/>
      <c r="IYC13" s="338"/>
      <c r="IYD13" s="338"/>
      <c r="IYE13" s="338"/>
      <c r="IYF13" s="338"/>
      <c r="IYG13" s="338"/>
      <c r="IYH13" s="338"/>
      <c r="IYI13" s="338"/>
      <c r="IYJ13" s="338"/>
      <c r="IYK13" s="338"/>
      <c r="IYL13" s="338"/>
      <c r="IYM13" s="338"/>
      <c r="IYN13" s="338"/>
      <c r="IYO13" s="338"/>
      <c r="IYP13" s="338"/>
      <c r="IYQ13" s="338"/>
      <c r="IYR13" s="338"/>
      <c r="IYS13" s="338"/>
      <c r="IYT13" s="338"/>
      <c r="IYU13" s="338"/>
      <c r="IYV13" s="338"/>
      <c r="IYW13" s="338"/>
      <c r="IYX13" s="338"/>
      <c r="IYY13" s="338"/>
      <c r="IYZ13" s="338"/>
      <c r="IZA13" s="338"/>
      <c r="IZB13" s="338"/>
      <c r="IZC13" s="338"/>
      <c r="IZD13" s="338"/>
      <c r="IZE13" s="338"/>
      <c r="IZF13" s="338"/>
      <c r="IZG13" s="338"/>
      <c r="IZH13" s="338"/>
      <c r="IZI13" s="338"/>
      <c r="IZJ13" s="338"/>
      <c r="IZK13" s="338"/>
      <c r="IZL13" s="338"/>
      <c r="IZM13" s="338"/>
      <c r="IZN13" s="338"/>
      <c r="IZO13" s="338"/>
      <c r="IZP13" s="338"/>
      <c r="IZQ13" s="338"/>
      <c r="IZR13" s="338"/>
      <c r="IZS13" s="338"/>
      <c r="IZT13" s="338"/>
      <c r="IZU13" s="338"/>
      <c r="IZV13" s="338"/>
      <c r="IZW13" s="338"/>
      <c r="IZX13" s="338"/>
      <c r="IZY13" s="338"/>
      <c r="IZZ13" s="338"/>
      <c r="JAA13" s="338"/>
      <c r="JAB13" s="338"/>
      <c r="JAC13" s="338"/>
      <c r="JAD13" s="338"/>
      <c r="JAE13" s="338"/>
      <c r="JAF13" s="338"/>
      <c r="JAG13" s="338"/>
      <c r="JAH13" s="338"/>
      <c r="JAI13" s="338"/>
      <c r="JAJ13" s="338"/>
      <c r="JAK13" s="338"/>
      <c r="JAL13" s="338"/>
      <c r="JAM13" s="338"/>
      <c r="JAN13" s="338"/>
      <c r="JAO13" s="338"/>
      <c r="JAP13" s="338"/>
      <c r="JAQ13" s="338"/>
      <c r="JAR13" s="338"/>
      <c r="JAS13" s="338"/>
      <c r="JAT13" s="338"/>
      <c r="JAU13" s="338"/>
      <c r="JAV13" s="338"/>
      <c r="JAW13" s="338"/>
      <c r="JAX13" s="338"/>
      <c r="JAY13" s="338"/>
      <c r="JAZ13" s="338"/>
      <c r="JBA13" s="338"/>
      <c r="JBB13" s="338"/>
      <c r="JBC13" s="338"/>
      <c r="JBD13" s="338"/>
      <c r="JBE13" s="338"/>
      <c r="JBF13" s="338"/>
      <c r="JBG13" s="338"/>
      <c r="JBH13" s="338"/>
      <c r="JBI13" s="338"/>
      <c r="JBJ13" s="338"/>
      <c r="JBK13" s="338"/>
      <c r="JBL13" s="338"/>
      <c r="JBM13" s="338"/>
      <c r="JBN13" s="338"/>
      <c r="JBO13" s="338"/>
      <c r="JBP13" s="338"/>
      <c r="JBQ13" s="338"/>
      <c r="JBR13" s="338"/>
      <c r="JBS13" s="338"/>
      <c r="JBT13" s="338"/>
      <c r="JBU13" s="338"/>
      <c r="JBV13" s="338"/>
      <c r="JBW13" s="338"/>
      <c r="JBX13" s="338"/>
      <c r="JBY13" s="338"/>
      <c r="JBZ13" s="338"/>
      <c r="JCA13" s="338"/>
      <c r="JCB13" s="338"/>
      <c r="JCC13" s="338"/>
      <c r="JCD13" s="338"/>
      <c r="JCE13" s="338"/>
      <c r="JCF13" s="338"/>
      <c r="JCG13" s="338"/>
      <c r="JCH13" s="338"/>
      <c r="JCI13" s="338"/>
      <c r="JCJ13" s="338"/>
      <c r="JCK13" s="338"/>
      <c r="JCL13" s="338"/>
      <c r="JCM13" s="338"/>
      <c r="JCN13" s="338"/>
      <c r="JCO13" s="338"/>
      <c r="JCP13" s="338"/>
      <c r="JCQ13" s="338"/>
      <c r="JCR13" s="338"/>
      <c r="JCS13" s="338"/>
      <c r="JCT13" s="338"/>
      <c r="JCU13" s="338"/>
      <c r="JCV13" s="338"/>
      <c r="JCW13" s="338"/>
      <c r="JCX13" s="338"/>
      <c r="JCY13" s="338"/>
      <c r="JCZ13" s="338"/>
      <c r="JDA13" s="338"/>
      <c r="JDB13" s="338"/>
      <c r="JDC13" s="338"/>
      <c r="JDD13" s="338"/>
      <c r="JDE13" s="338"/>
      <c r="JDF13" s="338"/>
      <c r="JDG13" s="338"/>
      <c r="JDH13" s="338"/>
      <c r="JDI13" s="338"/>
      <c r="JDJ13" s="338"/>
      <c r="JDK13" s="338"/>
      <c r="JDL13" s="338"/>
      <c r="JDM13" s="338"/>
      <c r="JDN13" s="338"/>
      <c r="JDO13" s="338"/>
      <c r="JDP13" s="338"/>
      <c r="JDQ13" s="338"/>
      <c r="JDR13" s="338"/>
      <c r="JDS13" s="338"/>
      <c r="JDT13" s="338"/>
      <c r="JDU13" s="338"/>
      <c r="JDV13" s="338"/>
      <c r="JDW13" s="338"/>
      <c r="JDX13" s="338"/>
      <c r="JDY13" s="338"/>
      <c r="JDZ13" s="338"/>
      <c r="JEA13" s="338"/>
      <c r="JEB13" s="338"/>
      <c r="JEC13" s="338"/>
      <c r="JED13" s="338"/>
      <c r="JEE13" s="338"/>
      <c r="JEF13" s="338"/>
      <c r="JEG13" s="338"/>
      <c r="JEH13" s="338"/>
      <c r="JEI13" s="338"/>
      <c r="JEJ13" s="338"/>
      <c r="JEK13" s="338"/>
      <c r="JEL13" s="338"/>
      <c r="JEM13" s="338"/>
      <c r="JEN13" s="338"/>
      <c r="JEO13" s="338"/>
      <c r="JEP13" s="338"/>
      <c r="JEQ13" s="338"/>
      <c r="JER13" s="338"/>
      <c r="JES13" s="338"/>
      <c r="JET13" s="338"/>
      <c r="JEU13" s="338"/>
      <c r="JEV13" s="338"/>
      <c r="JEW13" s="338"/>
      <c r="JEX13" s="338"/>
      <c r="JEY13" s="338"/>
      <c r="JEZ13" s="338"/>
      <c r="JFA13" s="338"/>
      <c r="JFB13" s="338"/>
      <c r="JFC13" s="338"/>
      <c r="JFD13" s="338"/>
      <c r="JFE13" s="338"/>
      <c r="JFF13" s="338"/>
      <c r="JFG13" s="338"/>
      <c r="JFH13" s="338"/>
      <c r="JFI13" s="338"/>
      <c r="JFJ13" s="338"/>
      <c r="JFK13" s="338"/>
      <c r="JFL13" s="338"/>
      <c r="JFM13" s="338"/>
      <c r="JFN13" s="338"/>
      <c r="JFO13" s="338"/>
      <c r="JFP13" s="338"/>
      <c r="JFQ13" s="338"/>
      <c r="JFR13" s="338"/>
      <c r="JFS13" s="338"/>
      <c r="JFT13" s="338"/>
      <c r="JFU13" s="338"/>
      <c r="JFV13" s="338"/>
      <c r="JFW13" s="338"/>
      <c r="JFX13" s="338"/>
      <c r="JFY13" s="338"/>
      <c r="JFZ13" s="338"/>
      <c r="JGA13" s="338"/>
      <c r="JGB13" s="338"/>
      <c r="JGC13" s="338"/>
      <c r="JGD13" s="338"/>
      <c r="JGE13" s="338"/>
      <c r="JGF13" s="338"/>
      <c r="JGG13" s="338"/>
      <c r="JGH13" s="338"/>
      <c r="JGI13" s="338"/>
      <c r="JGJ13" s="338"/>
      <c r="JGK13" s="338"/>
      <c r="JGL13" s="338"/>
      <c r="JGM13" s="338"/>
      <c r="JGN13" s="338"/>
      <c r="JGO13" s="338"/>
      <c r="JGP13" s="338"/>
      <c r="JGQ13" s="338"/>
      <c r="JGR13" s="338"/>
      <c r="JGS13" s="338"/>
      <c r="JGT13" s="338"/>
      <c r="JGU13" s="338"/>
      <c r="JGV13" s="338"/>
      <c r="JGW13" s="338"/>
      <c r="JGX13" s="338"/>
      <c r="JGY13" s="338"/>
      <c r="JGZ13" s="338"/>
      <c r="JHA13" s="338"/>
      <c r="JHB13" s="338"/>
      <c r="JHC13" s="338"/>
      <c r="JHD13" s="338"/>
      <c r="JHE13" s="338"/>
      <c r="JHF13" s="338"/>
      <c r="JHG13" s="338"/>
      <c r="JHH13" s="338"/>
      <c r="JHI13" s="338"/>
      <c r="JHJ13" s="338"/>
      <c r="JHK13" s="338"/>
      <c r="JHL13" s="338"/>
      <c r="JHM13" s="338"/>
      <c r="JHN13" s="338"/>
      <c r="JHO13" s="338"/>
      <c r="JHP13" s="338"/>
      <c r="JHQ13" s="338"/>
      <c r="JHR13" s="338"/>
      <c r="JHS13" s="338"/>
      <c r="JHT13" s="338"/>
      <c r="JHU13" s="338"/>
      <c r="JHV13" s="338"/>
      <c r="JHW13" s="338"/>
      <c r="JHX13" s="338"/>
      <c r="JHY13" s="338"/>
      <c r="JHZ13" s="338"/>
      <c r="JIA13" s="338"/>
      <c r="JIB13" s="338"/>
      <c r="JIC13" s="338"/>
      <c r="JID13" s="338"/>
      <c r="JIE13" s="338"/>
      <c r="JIF13" s="338"/>
      <c r="JIG13" s="338"/>
      <c r="JIH13" s="338"/>
      <c r="JII13" s="338"/>
      <c r="JIJ13" s="338"/>
      <c r="JIK13" s="338"/>
      <c r="JIL13" s="338"/>
      <c r="JIM13" s="338"/>
      <c r="JIN13" s="338"/>
      <c r="JIO13" s="338"/>
      <c r="JIP13" s="338"/>
      <c r="JIQ13" s="338"/>
      <c r="JIR13" s="338"/>
      <c r="JIS13" s="338"/>
      <c r="JIT13" s="338"/>
      <c r="JIU13" s="338"/>
      <c r="JIV13" s="338"/>
      <c r="JIW13" s="338"/>
      <c r="JIX13" s="338"/>
      <c r="JIY13" s="338"/>
      <c r="JIZ13" s="338"/>
      <c r="JJA13" s="338"/>
      <c r="JJB13" s="338"/>
      <c r="JJC13" s="338"/>
      <c r="JJD13" s="338"/>
      <c r="JJE13" s="338"/>
      <c r="JJF13" s="338"/>
      <c r="JJG13" s="338"/>
      <c r="JJH13" s="338"/>
      <c r="JJI13" s="338"/>
      <c r="JJJ13" s="338"/>
      <c r="JJK13" s="338"/>
      <c r="JJL13" s="338"/>
      <c r="JJM13" s="338"/>
      <c r="JJN13" s="338"/>
      <c r="JJO13" s="338"/>
      <c r="JJP13" s="338"/>
      <c r="JJQ13" s="338"/>
      <c r="JJR13" s="338"/>
      <c r="JJS13" s="338"/>
      <c r="JJT13" s="338"/>
      <c r="JJU13" s="338"/>
      <c r="JJV13" s="338"/>
      <c r="JJW13" s="338"/>
      <c r="JJX13" s="338"/>
      <c r="JJY13" s="338"/>
      <c r="JJZ13" s="338"/>
      <c r="JKA13" s="338"/>
      <c r="JKB13" s="338"/>
      <c r="JKC13" s="338"/>
      <c r="JKD13" s="338"/>
      <c r="JKE13" s="338"/>
      <c r="JKF13" s="338"/>
      <c r="JKG13" s="338"/>
      <c r="JKH13" s="338"/>
      <c r="JKI13" s="338"/>
      <c r="JKJ13" s="338"/>
      <c r="JKK13" s="338"/>
      <c r="JKL13" s="338"/>
      <c r="JKM13" s="338"/>
      <c r="JKN13" s="338"/>
      <c r="JKO13" s="338"/>
      <c r="JKP13" s="338"/>
      <c r="JKQ13" s="338"/>
      <c r="JKR13" s="338"/>
      <c r="JKS13" s="338"/>
      <c r="JKT13" s="338"/>
      <c r="JKU13" s="338"/>
      <c r="JKV13" s="338"/>
      <c r="JKW13" s="338"/>
      <c r="JKX13" s="338"/>
      <c r="JKY13" s="338"/>
      <c r="JKZ13" s="338"/>
      <c r="JLA13" s="338"/>
      <c r="JLB13" s="338"/>
      <c r="JLC13" s="338"/>
      <c r="JLD13" s="338"/>
      <c r="JLE13" s="338"/>
      <c r="JLF13" s="338"/>
      <c r="JLG13" s="338"/>
      <c r="JLH13" s="338"/>
      <c r="JLI13" s="338"/>
      <c r="JLJ13" s="338"/>
      <c r="JLK13" s="338"/>
      <c r="JLL13" s="338"/>
      <c r="JLM13" s="338"/>
      <c r="JLN13" s="338"/>
      <c r="JLO13" s="338"/>
      <c r="JLP13" s="338"/>
      <c r="JLQ13" s="338"/>
      <c r="JLR13" s="338"/>
      <c r="JLS13" s="338"/>
      <c r="JLT13" s="338"/>
      <c r="JLU13" s="338"/>
      <c r="JLV13" s="338"/>
      <c r="JLW13" s="338"/>
      <c r="JLX13" s="338"/>
      <c r="JLY13" s="338"/>
      <c r="JLZ13" s="338"/>
      <c r="JMA13" s="338"/>
      <c r="JMB13" s="338"/>
      <c r="JMC13" s="338"/>
      <c r="JMD13" s="338"/>
      <c r="JME13" s="338"/>
      <c r="JMF13" s="338"/>
      <c r="JMG13" s="338"/>
      <c r="JMH13" s="338"/>
      <c r="JMI13" s="338"/>
      <c r="JMJ13" s="338"/>
      <c r="JMK13" s="338"/>
      <c r="JML13" s="338"/>
      <c r="JMM13" s="338"/>
      <c r="JMN13" s="338"/>
      <c r="JMO13" s="338"/>
      <c r="JMP13" s="338"/>
      <c r="JMQ13" s="338"/>
      <c r="JMR13" s="338"/>
      <c r="JMS13" s="338"/>
      <c r="JMT13" s="338"/>
      <c r="JMU13" s="338"/>
      <c r="JMV13" s="338"/>
      <c r="JMW13" s="338"/>
      <c r="JMX13" s="338"/>
      <c r="JMY13" s="338"/>
      <c r="JMZ13" s="338"/>
      <c r="JNA13" s="338"/>
      <c r="JNB13" s="338"/>
      <c r="JNC13" s="338"/>
      <c r="JND13" s="338"/>
      <c r="JNE13" s="338"/>
      <c r="JNF13" s="338"/>
      <c r="JNG13" s="338"/>
      <c r="JNH13" s="338"/>
      <c r="JNI13" s="338"/>
      <c r="JNJ13" s="338"/>
      <c r="JNK13" s="338"/>
      <c r="JNL13" s="338"/>
      <c r="JNM13" s="338"/>
      <c r="JNN13" s="338"/>
      <c r="JNO13" s="338"/>
      <c r="JNP13" s="338"/>
      <c r="JNQ13" s="338"/>
      <c r="JNR13" s="338"/>
      <c r="JNS13" s="338"/>
      <c r="JNT13" s="338"/>
      <c r="JNU13" s="338"/>
      <c r="JNV13" s="338"/>
      <c r="JNW13" s="338"/>
      <c r="JNX13" s="338"/>
      <c r="JNY13" s="338"/>
      <c r="JNZ13" s="338"/>
      <c r="JOA13" s="338"/>
      <c r="JOB13" s="338"/>
      <c r="JOC13" s="338"/>
      <c r="JOD13" s="338"/>
      <c r="JOE13" s="338"/>
      <c r="JOF13" s="338"/>
      <c r="JOG13" s="338"/>
      <c r="JOH13" s="338"/>
      <c r="JOI13" s="338"/>
      <c r="JOJ13" s="338"/>
      <c r="JOK13" s="338"/>
      <c r="JOL13" s="338"/>
      <c r="JOM13" s="338"/>
      <c r="JON13" s="338"/>
      <c r="JOO13" s="338"/>
      <c r="JOP13" s="338"/>
      <c r="JOQ13" s="338"/>
      <c r="JOR13" s="338"/>
      <c r="JOS13" s="338"/>
      <c r="JOT13" s="338"/>
      <c r="JOU13" s="338"/>
      <c r="JOV13" s="338"/>
      <c r="JOW13" s="338"/>
      <c r="JOX13" s="338"/>
      <c r="JOY13" s="338"/>
      <c r="JOZ13" s="338"/>
      <c r="JPA13" s="338"/>
      <c r="JPB13" s="338"/>
      <c r="JPC13" s="338"/>
      <c r="JPD13" s="338"/>
      <c r="JPE13" s="338"/>
      <c r="JPF13" s="338"/>
      <c r="JPG13" s="338"/>
      <c r="JPH13" s="338"/>
      <c r="JPI13" s="338"/>
      <c r="JPJ13" s="338"/>
      <c r="JPK13" s="338"/>
      <c r="JPL13" s="338"/>
      <c r="JPM13" s="338"/>
      <c r="JPN13" s="338"/>
      <c r="JPO13" s="338"/>
      <c r="JPP13" s="338"/>
      <c r="JPQ13" s="338"/>
      <c r="JPR13" s="338"/>
      <c r="JPS13" s="338"/>
      <c r="JPT13" s="338"/>
      <c r="JPU13" s="338"/>
      <c r="JPV13" s="338"/>
      <c r="JPW13" s="338"/>
      <c r="JPX13" s="338"/>
      <c r="JPY13" s="338"/>
      <c r="JPZ13" s="338"/>
      <c r="JQA13" s="338"/>
      <c r="JQB13" s="338"/>
      <c r="JQC13" s="338"/>
      <c r="JQD13" s="338"/>
      <c r="JQE13" s="338"/>
      <c r="JQF13" s="338"/>
      <c r="JQG13" s="338"/>
      <c r="JQH13" s="338"/>
      <c r="JQI13" s="338"/>
      <c r="JQJ13" s="338"/>
      <c r="JQK13" s="338"/>
      <c r="JQL13" s="338"/>
      <c r="JQM13" s="338"/>
      <c r="JQN13" s="338"/>
      <c r="JQO13" s="338"/>
      <c r="JQP13" s="338"/>
      <c r="JQQ13" s="338"/>
      <c r="JQR13" s="338"/>
      <c r="JQS13" s="338"/>
      <c r="JQT13" s="338"/>
      <c r="JQU13" s="338"/>
      <c r="JQV13" s="338"/>
      <c r="JQW13" s="338"/>
      <c r="JQX13" s="338"/>
      <c r="JQY13" s="338"/>
      <c r="JQZ13" s="338"/>
      <c r="JRA13" s="338"/>
      <c r="JRB13" s="338"/>
      <c r="JRC13" s="338"/>
      <c r="JRD13" s="338"/>
      <c r="JRE13" s="338"/>
      <c r="JRF13" s="338"/>
      <c r="JRG13" s="338"/>
      <c r="JRH13" s="338"/>
      <c r="JRI13" s="338"/>
      <c r="JRJ13" s="338"/>
      <c r="JRK13" s="338"/>
      <c r="JRL13" s="338"/>
      <c r="JRM13" s="338"/>
      <c r="JRN13" s="338"/>
      <c r="JRO13" s="338"/>
      <c r="JRP13" s="338"/>
      <c r="JRQ13" s="338"/>
      <c r="JRR13" s="338"/>
      <c r="JRS13" s="338"/>
      <c r="JRT13" s="338"/>
      <c r="JRU13" s="338"/>
      <c r="JRV13" s="338"/>
      <c r="JRW13" s="338"/>
      <c r="JRX13" s="338"/>
      <c r="JRY13" s="338"/>
      <c r="JRZ13" s="338"/>
      <c r="JSA13" s="338"/>
      <c r="JSB13" s="338"/>
      <c r="JSC13" s="338"/>
      <c r="JSD13" s="338"/>
      <c r="JSE13" s="338"/>
      <c r="JSF13" s="338"/>
      <c r="JSG13" s="338"/>
      <c r="JSH13" s="338"/>
      <c r="JSI13" s="338"/>
      <c r="JSJ13" s="338"/>
      <c r="JSK13" s="338"/>
      <c r="JSL13" s="338"/>
      <c r="JSM13" s="338"/>
      <c r="JSN13" s="338"/>
      <c r="JSO13" s="338"/>
      <c r="JSP13" s="338"/>
      <c r="JSQ13" s="338"/>
      <c r="JSR13" s="338"/>
      <c r="JSS13" s="338"/>
      <c r="JST13" s="338"/>
      <c r="JSU13" s="338"/>
      <c r="JSV13" s="338"/>
      <c r="JSW13" s="338"/>
      <c r="JSX13" s="338"/>
      <c r="JSY13" s="338"/>
      <c r="JSZ13" s="338"/>
      <c r="JTA13" s="338"/>
      <c r="JTB13" s="338"/>
      <c r="JTC13" s="338"/>
      <c r="JTD13" s="338"/>
      <c r="JTE13" s="338"/>
      <c r="JTF13" s="338"/>
      <c r="JTG13" s="338"/>
      <c r="JTH13" s="338"/>
      <c r="JTI13" s="338"/>
      <c r="JTJ13" s="338"/>
      <c r="JTK13" s="338"/>
      <c r="JTL13" s="338"/>
      <c r="JTM13" s="338"/>
      <c r="JTN13" s="338"/>
      <c r="JTO13" s="338"/>
      <c r="JTP13" s="338"/>
      <c r="JTQ13" s="338"/>
      <c r="JTR13" s="338"/>
      <c r="JTS13" s="338"/>
      <c r="JTT13" s="338"/>
      <c r="JTU13" s="338"/>
      <c r="JTV13" s="338"/>
      <c r="JTW13" s="338"/>
      <c r="JTX13" s="338"/>
      <c r="JTY13" s="338"/>
      <c r="JTZ13" s="338"/>
      <c r="JUA13" s="338"/>
      <c r="JUB13" s="338"/>
      <c r="JUC13" s="338"/>
      <c r="JUD13" s="338"/>
      <c r="JUE13" s="338"/>
      <c r="JUF13" s="338"/>
      <c r="JUG13" s="338"/>
      <c r="JUH13" s="338"/>
      <c r="JUI13" s="338"/>
      <c r="JUJ13" s="338"/>
      <c r="JUK13" s="338"/>
      <c r="JUL13" s="338"/>
      <c r="JUM13" s="338"/>
      <c r="JUN13" s="338"/>
      <c r="JUO13" s="338"/>
      <c r="JUP13" s="338"/>
      <c r="JUQ13" s="338"/>
      <c r="JUR13" s="338"/>
      <c r="JUS13" s="338"/>
      <c r="JUT13" s="338"/>
      <c r="JUU13" s="338"/>
      <c r="JUV13" s="338"/>
      <c r="JUW13" s="338"/>
      <c r="JUX13" s="338"/>
      <c r="JUY13" s="338"/>
      <c r="JUZ13" s="338"/>
      <c r="JVA13" s="338"/>
      <c r="JVB13" s="338"/>
      <c r="JVC13" s="338"/>
      <c r="JVD13" s="338"/>
      <c r="JVE13" s="338"/>
      <c r="JVF13" s="338"/>
      <c r="JVG13" s="338"/>
      <c r="JVH13" s="338"/>
      <c r="JVI13" s="338"/>
      <c r="JVJ13" s="338"/>
      <c r="JVK13" s="338"/>
      <c r="JVL13" s="338"/>
      <c r="JVM13" s="338"/>
      <c r="JVN13" s="338"/>
      <c r="JVO13" s="338"/>
      <c r="JVP13" s="338"/>
      <c r="JVQ13" s="338"/>
      <c r="JVR13" s="338"/>
      <c r="JVS13" s="338"/>
      <c r="JVT13" s="338"/>
      <c r="JVU13" s="338"/>
      <c r="JVV13" s="338"/>
      <c r="JVW13" s="338"/>
      <c r="JVX13" s="338"/>
      <c r="JVY13" s="338"/>
      <c r="JVZ13" s="338"/>
      <c r="JWA13" s="338"/>
      <c r="JWB13" s="338"/>
      <c r="JWC13" s="338"/>
      <c r="JWD13" s="338"/>
      <c r="JWE13" s="338"/>
      <c r="JWF13" s="338"/>
      <c r="JWG13" s="338"/>
      <c r="JWH13" s="338"/>
      <c r="JWI13" s="338"/>
      <c r="JWJ13" s="338"/>
      <c r="JWK13" s="338"/>
      <c r="JWL13" s="338"/>
      <c r="JWM13" s="338"/>
      <c r="JWN13" s="338"/>
      <c r="JWO13" s="338"/>
      <c r="JWP13" s="338"/>
      <c r="JWQ13" s="338"/>
      <c r="JWR13" s="338"/>
      <c r="JWS13" s="338"/>
      <c r="JWT13" s="338"/>
      <c r="JWU13" s="338"/>
      <c r="JWV13" s="338"/>
      <c r="JWW13" s="338"/>
      <c r="JWX13" s="338"/>
      <c r="JWY13" s="338"/>
      <c r="JWZ13" s="338"/>
      <c r="JXA13" s="338"/>
      <c r="JXB13" s="338"/>
      <c r="JXC13" s="338"/>
      <c r="JXD13" s="338"/>
      <c r="JXE13" s="338"/>
      <c r="JXF13" s="338"/>
      <c r="JXG13" s="338"/>
      <c r="JXH13" s="338"/>
      <c r="JXI13" s="338"/>
      <c r="JXJ13" s="338"/>
      <c r="JXK13" s="338"/>
      <c r="JXL13" s="338"/>
      <c r="JXM13" s="338"/>
      <c r="JXN13" s="338"/>
      <c r="JXO13" s="338"/>
      <c r="JXP13" s="338"/>
      <c r="JXQ13" s="338"/>
      <c r="JXR13" s="338"/>
      <c r="JXS13" s="338"/>
      <c r="JXT13" s="338"/>
      <c r="JXU13" s="338"/>
      <c r="JXV13" s="338"/>
      <c r="JXW13" s="338"/>
      <c r="JXX13" s="338"/>
      <c r="JXY13" s="338"/>
      <c r="JXZ13" s="338"/>
      <c r="JYA13" s="338"/>
      <c r="JYB13" s="338"/>
      <c r="JYC13" s="338"/>
      <c r="JYD13" s="338"/>
      <c r="JYE13" s="338"/>
      <c r="JYF13" s="338"/>
      <c r="JYG13" s="338"/>
      <c r="JYH13" s="338"/>
      <c r="JYI13" s="338"/>
      <c r="JYJ13" s="338"/>
      <c r="JYK13" s="338"/>
      <c r="JYL13" s="338"/>
      <c r="JYM13" s="338"/>
      <c r="JYN13" s="338"/>
      <c r="JYO13" s="338"/>
      <c r="JYP13" s="338"/>
      <c r="JYQ13" s="338"/>
      <c r="JYR13" s="338"/>
      <c r="JYS13" s="338"/>
      <c r="JYT13" s="338"/>
      <c r="JYU13" s="338"/>
      <c r="JYV13" s="338"/>
      <c r="JYW13" s="338"/>
      <c r="JYX13" s="338"/>
      <c r="JYY13" s="338"/>
      <c r="JYZ13" s="338"/>
      <c r="JZA13" s="338"/>
      <c r="JZB13" s="338"/>
      <c r="JZC13" s="338"/>
      <c r="JZD13" s="338"/>
      <c r="JZE13" s="338"/>
      <c r="JZF13" s="338"/>
      <c r="JZG13" s="338"/>
      <c r="JZH13" s="338"/>
      <c r="JZI13" s="338"/>
      <c r="JZJ13" s="338"/>
      <c r="JZK13" s="338"/>
      <c r="JZL13" s="338"/>
      <c r="JZM13" s="338"/>
      <c r="JZN13" s="338"/>
      <c r="JZO13" s="338"/>
      <c r="JZP13" s="338"/>
      <c r="JZQ13" s="338"/>
      <c r="JZR13" s="338"/>
      <c r="JZS13" s="338"/>
      <c r="JZT13" s="338"/>
      <c r="JZU13" s="338"/>
      <c r="JZV13" s="338"/>
      <c r="JZW13" s="338"/>
      <c r="JZX13" s="338"/>
      <c r="JZY13" s="338"/>
      <c r="JZZ13" s="338"/>
      <c r="KAA13" s="338"/>
      <c r="KAB13" s="338"/>
      <c r="KAC13" s="338"/>
      <c r="KAD13" s="338"/>
      <c r="KAE13" s="338"/>
      <c r="KAF13" s="338"/>
      <c r="KAG13" s="338"/>
      <c r="KAH13" s="338"/>
      <c r="KAI13" s="338"/>
      <c r="KAJ13" s="338"/>
      <c r="KAK13" s="338"/>
      <c r="KAL13" s="338"/>
      <c r="KAM13" s="338"/>
      <c r="KAN13" s="338"/>
      <c r="KAO13" s="338"/>
      <c r="KAP13" s="338"/>
      <c r="KAQ13" s="338"/>
      <c r="KAR13" s="338"/>
      <c r="KAS13" s="338"/>
      <c r="KAT13" s="338"/>
      <c r="KAU13" s="338"/>
      <c r="KAV13" s="338"/>
      <c r="KAW13" s="338"/>
      <c r="KAX13" s="338"/>
      <c r="KAY13" s="338"/>
      <c r="KAZ13" s="338"/>
      <c r="KBA13" s="338"/>
      <c r="KBB13" s="338"/>
      <c r="KBC13" s="338"/>
      <c r="KBD13" s="338"/>
      <c r="KBE13" s="338"/>
      <c r="KBF13" s="338"/>
      <c r="KBG13" s="338"/>
      <c r="KBH13" s="338"/>
      <c r="KBI13" s="338"/>
      <c r="KBJ13" s="338"/>
      <c r="KBK13" s="338"/>
      <c r="KBL13" s="338"/>
      <c r="KBM13" s="338"/>
      <c r="KBN13" s="338"/>
      <c r="KBO13" s="338"/>
      <c r="KBP13" s="338"/>
      <c r="KBQ13" s="338"/>
      <c r="KBR13" s="338"/>
      <c r="KBS13" s="338"/>
      <c r="KBT13" s="338"/>
      <c r="KBU13" s="338"/>
      <c r="KBV13" s="338"/>
      <c r="KBW13" s="338"/>
      <c r="KBX13" s="338"/>
      <c r="KBY13" s="338"/>
      <c r="KBZ13" s="338"/>
      <c r="KCA13" s="338"/>
      <c r="KCB13" s="338"/>
      <c r="KCC13" s="338"/>
      <c r="KCD13" s="338"/>
      <c r="KCE13" s="338"/>
      <c r="KCF13" s="338"/>
      <c r="KCG13" s="338"/>
      <c r="KCH13" s="338"/>
      <c r="KCI13" s="338"/>
      <c r="KCJ13" s="338"/>
      <c r="KCK13" s="338"/>
      <c r="KCL13" s="338"/>
      <c r="KCM13" s="338"/>
      <c r="KCN13" s="338"/>
      <c r="KCO13" s="338"/>
      <c r="KCP13" s="338"/>
      <c r="KCQ13" s="338"/>
      <c r="KCR13" s="338"/>
      <c r="KCS13" s="338"/>
      <c r="KCT13" s="338"/>
      <c r="KCU13" s="338"/>
      <c r="KCV13" s="338"/>
      <c r="KCW13" s="338"/>
      <c r="KCX13" s="338"/>
      <c r="KCY13" s="338"/>
      <c r="KCZ13" s="338"/>
      <c r="KDA13" s="338"/>
      <c r="KDB13" s="338"/>
      <c r="KDC13" s="338"/>
      <c r="KDD13" s="338"/>
      <c r="KDE13" s="338"/>
      <c r="KDF13" s="338"/>
      <c r="KDG13" s="338"/>
      <c r="KDH13" s="338"/>
      <c r="KDI13" s="338"/>
      <c r="KDJ13" s="338"/>
      <c r="KDK13" s="338"/>
      <c r="KDL13" s="338"/>
      <c r="KDM13" s="338"/>
      <c r="KDN13" s="338"/>
      <c r="KDO13" s="338"/>
      <c r="KDP13" s="338"/>
      <c r="KDQ13" s="338"/>
      <c r="KDR13" s="338"/>
      <c r="KDS13" s="338"/>
      <c r="KDT13" s="338"/>
      <c r="KDU13" s="338"/>
      <c r="KDV13" s="338"/>
      <c r="KDW13" s="338"/>
      <c r="KDX13" s="338"/>
      <c r="KDY13" s="338"/>
      <c r="KDZ13" s="338"/>
      <c r="KEA13" s="338"/>
      <c r="KEB13" s="338"/>
      <c r="KEC13" s="338"/>
      <c r="KED13" s="338"/>
      <c r="KEE13" s="338"/>
      <c r="KEF13" s="338"/>
      <c r="KEG13" s="338"/>
      <c r="KEH13" s="338"/>
      <c r="KEI13" s="338"/>
      <c r="KEJ13" s="338"/>
      <c r="KEK13" s="338"/>
      <c r="KEL13" s="338"/>
      <c r="KEM13" s="338"/>
      <c r="KEN13" s="338"/>
      <c r="KEO13" s="338"/>
      <c r="KEP13" s="338"/>
      <c r="KEQ13" s="338"/>
      <c r="KER13" s="338"/>
      <c r="KES13" s="338"/>
      <c r="KET13" s="338"/>
      <c r="KEU13" s="338"/>
      <c r="KEV13" s="338"/>
      <c r="KEW13" s="338"/>
      <c r="KEX13" s="338"/>
      <c r="KEY13" s="338"/>
      <c r="KEZ13" s="338"/>
      <c r="KFA13" s="338"/>
      <c r="KFB13" s="338"/>
      <c r="KFC13" s="338"/>
      <c r="KFD13" s="338"/>
      <c r="KFE13" s="338"/>
      <c r="KFF13" s="338"/>
      <c r="KFG13" s="338"/>
      <c r="KFH13" s="338"/>
      <c r="KFI13" s="338"/>
      <c r="KFJ13" s="338"/>
      <c r="KFK13" s="338"/>
      <c r="KFL13" s="338"/>
      <c r="KFM13" s="338"/>
      <c r="KFN13" s="338"/>
      <c r="KFO13" s="338"/>
      <c r="KFP13" s="338"/>
      <c r="KFQ13" s="338"/>
      <c r="KFR13" s="338"/>
      <c r="KFS13" s="338"/>
      <c r="KFT13" s="338"/>
      <c r="KFU13" s="338"/>
      <c r="KFV13" s="338"/>
      <c r="KFW13" s="338"/>
      <c r="KFX13" s="338"/>
      <c r="KFY13" s="338"/>
      <c r="KFZ13" s="338"/>
      <c r="KGA13" s="338"/>
      <c r="KGB13" s="338"/>
      <c r="KGC13" s="338"/>
      <c r="KGD13" s="338"/>
      <c r="KGE13" s="338"/>
      <c r="KGF13" s="338"/>
      <c r="KGG13" s="338"/>
      <c r="KGH13" s="338"/>
      <c r="KGI13" s="338"/>
      <c r="KGJ13" s="338"/>
      <c r="KGK13" s="338"/>
      <c r="KGL13" s="338"/>
      <c r="KGM13" s="338"/>
      <c r="KGN13" s="338"/>
      <c r="KGO13" s="338"/>
      <c r="KGP13" s="338"/>
      <c r="KGQ13" s="338"/>
      <c r="KGR13" s="338"/>
      <c r="KGS13" s="338"/>
      <c r="KGT13" s="338"/>
      <c r="KGU13" s="338"/>
      <c r="KGV13" s="338"/>
      <c r="KGW13" s="338"/>
      <c r="KGX13" s="338"/>
      <c r="KGY13" s="338"/>
      <c r="KGZ13" s="338"/>
      <c r="KHA13" s="338"/>
      <c r="KHB13" s="338"/>
      <c r="KHC13" s="338"/>
      <c r="KHD13" s="338"/>
      <c r="KHE13" s="338"/>
      <c r="KHF13" s="338"/>
      <c r="KHG13" s="338"/>
      <c r="KHH13" s="338"/>
      <c r="KHI13" s="338"/>
      <c r="KHJ13" s="338"/>
      <c r="KHK13" s="338"/>
      <c r="KHL13" s="338"/>
      <c r="KHM13" s="338"/>
      <c r="KHN13" s="338"/>
      <c r="KHO13" s="338"/>
      <c r="KHP13" s="338"/>
      <c r="KHQ13" s="338"/>
      <c r="KHR13" s="338"/>
      <c r="KHS13" s="338"/>
      <c r="KHT13" s="338"/>
      <c r="KHU13" s="338"/>
      <c r="KHV13" s="338"/>
      <c r="KHW13" s="338"/>
      <c r="KHX13" s="338"/>
      <c r="KHY13" s="338"/>
      <c r="KHZ13" s="338"/>
      <c r="KIA13" s="338"/>
      <c r="KIB13" s="338"/>
      <c r="KIC13" s="338"/>
      <c r="KID13" s="338"/>
      <c r="KIE13" s="338"/>
      <c r="KIF13" s="338"/>
      <c r="KIG13" s="338"/>
      <c r="KIH13" s="338"/>
      <c r="KII13" s="338"/>
      <c r="KIJ13" s="338"/>
      <c r="KIK13" s="338"/>
      <c r="KIL13" s="338"/>
      <c r="KIM13" s="338"/>
      <c r="KIN13" s="338"/>
      <c r="KIO13" s="338"/>
      <c r="KIP13" s="338"/>
      <c r="KIQ13" s="338"/>
      <c r="KIR13" s="338"/>
      <c r="KIS13" s="338"/>
      <c r="KIT13" s="338"/>
      <c r="KIU13" s="338"/>
      <c r="KIV13" s="338"/>
      <c r="KIW13" s="338"/>
      <c r="KIX13" s="338"/>
      <c r="KIY13" s="338"/>
      <c r="KIZ13" s="338"/>
      <c r="KJA13" s="338"/>
      <c r="KJB13" s="338"/>
      <c r="KJC13" s="338"/>
      <c r="KJD13" s="338"/>
      <c r="KJE13" s="338"/>
      <c r="KJF13" s="338"/>
      <c r="KJG13" s="338"/>
      <c r="KJH13" s="338"/>
      <c r="KJI13" s="338"/>
      <c r="KJJ13" s="338"/>
      <c r="KJK13" s="338"/>
      <c r="KJL13" s="338"/>
      <c r="KJM13" s="338"/>
      <c r="KJN13" s="338"/>
      <c r="KJO13" s="338"/>
      <c r="KJP13" s="338"/>
      <c r="KJQ13" s="338"/>
      <c r="KJR13" s="338"/>
      <c r="KJS13" s="338"/>
      <c r="KJT13" s="338"/>
      <c r="KJU13" s="338"/>
      <c r="KJV13" s="338"/>
      <c r="KJW13" s="338"/>
      <c r="KJX13" s="338"/>
      <c r="KJY13" s="338"/>
      <c r="KJZ13" s="338"/>
      <c r="KKA13" s="338"/>
      <c r="KKB13" s="338"/>
      <c r="KKC13" s="338"/>
      <c r="KKD13" s="338"/>
      <c r="KKE13" s="338"/>
      <c r="KKF13" s="338"/>
      <c r="KKG13" s="338"/>
      <c r="KKH13" s="338"/>
      <c r="KKI13" s="338"/>
      <c r="KKJ13" s="338"/>
      <c r="KKK13" s="338"/>
      <c r="KKL13" s="338"/>
      <c r="KKM13" s="338"/>
      <c r="KKN13" s="338"/>
      <c r="KKO13" s="338"/>
      <c r="KKP13" s="338"/>
      <c r="KKQ13" s="338"/>
      <c r="KKR13" s="338"/>
      <c r="KKS13" s="338"/>
      <c r="KKT13" s="338"/>
      <c r="KKU13" s="338"/>
      <c r="KKV13" s="338"/>
      <c r="KKW13" s="338"/>
      <c r="KKX13" s="338"/>
      <c r="KKY13" s="338"/>
      <c r="KKZ13" s="338"/>
      <c r="KLA13" s="338"/>
      <c r="KLB13" s="338"/>
      <c r="KLC13" s="338"/>
      <c r="KLD13" s="338"/>
      <c r="KLE13" s="338"/>
      <c r="KLF13" s="338"/>
      <c r="KLG13" s="338"/>
      <c r="KLH13" s="338"/>
      <c r="KLI13" s="338"/>
      <c r="KLJ13" s="338"/>
      <c r="KLK13" s="338"/>
      <c r="KLL13" s="338"/>
      <c r="KLM13" s="338"/>
      <c r="KLN13" s="338"/>
      <c r="KLO13" s="338"/>
      <c r="KLP13" s="338"/>
      <c r="KLQ13" s="338"/>
      <c r="KLR13" s="338"/>
      <c r="KLS13" s="338"/>
      <c r="KLT13" s="338"/>
      <c r="KLU13" s="338"/>
      <c r="KLV13" s="338"/>
      <c r="KLW13" s="338"/>
      <c r="KLX13" s="338"/>
      <c r="KLY13" s="338"/>
      <c r="KLZ13" s="338"/>
      <c r="KMA13" s="338"/>
      <c r="KMB13" s="338"/>
      <c r="KMC13" s="338"/>
      <c r="KMD13" s="338"/>
      <c r="KME13" s="338"/>
      <c r="KMF13" s="338"/>
      <c r="KMG13" s="338"/>
      <c r="KMH13" s="338"/>
      <c r="KMI13" s="338"/>
      <c r="KMJ13" s="338"/>
      <c r="KMK13" s="338"/>
      <c r="KML13" s="338"/>
      <c r="KMM13" s="338"/>
      <c r="KMN13" s="338"/>
      <c r="KMO13" s="338"/>
      <c r="KMP13" s="338"/>
      <c r="KMQ13" s="338"/>
      <c r="KMR13" s="338"/>
      <c r="KMS13" s="338"/>
      <c r="KMT13" s="338"/>
      <c r="KMU13" s="338"/>
      <c r="KMV13" s="338"/>
      <c r="KMW13" s="338"/>
      <c r="KMX13" s="338"/>
      <c r="KMY13" s="338"/>
      <c r="KMZ13" s="338"/>
      <c r="KNA13" s="338"/>
      <c r="KNB13" s="338"/>
      <c r="KNC13" s="338"/>
      <c r="KND13" s="338"/>
      <c r="KNE13" s="338"/>
      <c r="KNF13" s="338"/>
      <c r="KNG13" s="338"/>
      <c r="KNH13" s="338"/>
      <c r="KNI13" s="338"/>
      <c r="KNJ13" s="338"/>
      <c r="KNK13" s="338"/>
      <c r="KNL13" s="338"/>
      <c r="KNM13" s="338"/>
      <c r="KNN13" s="338"/>
      <c r="KNO13" s="338"/>
      <c r="KNP13" s="338"/>
      <c r="KNQ13" s="338"/>
      <c r="KNR13" s="338"/>
      <c r="KNS13" s="338"/>
      <c r="KNT13" s="338"/>
      <c r="KNU13" s="338"/>
      <c r="KNV13" s="338"/>
      <c r="KNW13" s="338"/>
      <c r="KNX13" s="338"/>
      <c r="KNY13" s="338"/>
      <c r="KNZ13" s="338"/>
      <c r="KOA13" s="338"/>
      <c r="KOB13" s="338"/>
      <c r="KOC13" s="338"/>
      <c r="KOD13" s="338"/>
      <c r="KOE13" s="338"/>
      <c r="KOF13" s="338"/>
      <c r="KOG13" s="338"/>
      <c r="KOH13" s="338"/>
      <c r="KOI13" s="338"/>
      <c r="KOJ13" s="338"/>
      <c r="KOK13" s="338"/>
      <c r="KOL13" s="338"/>
      <c r="KOM13" s="338"/>
      <c r="KON13" s="338"/>
      <c r="KOO13" s="338"/>
      <c r="KOP13" s="338"/>
      <c r="KOQ13" s="338"/>
      <c r="KOR13" s="338"/>
      <c r="KOS13" s="338"/>
      <c r="KOT13" s="338"/>
      <c r="KOU13" s="338"/>
      <c r="KOV13" s="338"/>
      <c r="KOW13" s="338"/>
      <c r="KOX13" s="338"/>
      <c r="KOY13" s="338"/>
      <c r="KOZ13" s="338"/>
      <c r="KPA13" s="338"/>
      <c r="KPB13" s="338"/>
      <c r="KPC13" s="338"/>
      <c r="KPD13" s="338"/>
      <c r="KPE13" s="338"/>
      <c r="KPF13" s="338"/>
      <c r="KPG13" s="338"/>
      <c r="KPH13" s="338"/>
      <c r="KPI13" s="338"/>
      <c r="KPJ13" s="338"/>
      <c r="KPK13" s="338"/>
      <c r="KPL13" s="338"/>
      <c r="KPM13" s="338"/>
      <c r="KPN13" s="338"/>
      <c r="KPO13" s="338"/>
      <c r="KPP13" s="338"/>
      <c r="KPQ13" s="338"/>
      <c r="KPR13" s="338"/>
      <c r="KPS13" s="338"/>
      <c r="KPT13" s="338"/>
      <c r="KPU13" s="338"/>
      <c r="KPV13" s="338"/>
      <c r="KPW13" s="338"/>
      <c r="KPX13" s="338"/>
      <c r="KPY13" s="338"/>
      <c r="KPZ13" s="338"/>
      <c r="KQA13" s="338"/>
      <c r="KQB13" s="338"/>
      <c r="KQC13" s="338"/>
      <c r="KQD13" s="338"/>
      <c r="KQE13" s="338"/>
      <c r="KQF13" s="338"/>
      <c r="KQG13" s="338"/>
      <c r="KQH13" s="338"/>
      <c r="KQI13" s="338"/>
      <c r="KQJ13" s="338"/>
      <c r="KQK13" s="338"/>
      <c r="KQL13" s="338"/>
      <c r="KQM13" s="338"/>
      <c r="KQN13" s="338"/>
      <c r="KQO13" s="338"/>
      <c r="KQP13" s="338"/>
      <c r="KQQ13" s="338"/>
      <c r="KQR13" s="338"/>
      <c r="KQS13" s="338"/>
      <c r="KQT13" s="338"/>
      <c r="KQU13" s="338"/>
      <c r="KQV13" s="338"/>
      <c r="KQW13" s="338"/>
      <c r="KQX13" s="338"/>
      <c r="KQY13" s="338"/>
      <c r="KQZ13" s="338"/>
      <c r="KRA13" s="338"/>
      <c r="KRB13" s="338"/>
      <c r="KRC13" s="338"/>
      <c r="KRD13" s="338"/>
      <c r="KRE13" s="338"/>
      <c r="KRF13" s="338"/>
      <c r="KRG13" s="338"/>
      <c r="KRH13" s="338"/>
      <c r="KRI13" s="338"/>
      <c r="KRJ13" s="338"/>
      <c r="KRK13" s="338"/>
      <c r="KRL13" s="338"/>
      <c r="KRM13" s="338"/>
      <c r="KRN13" s="338"/>
      <c r="KRO13" s="338"/>
      <c r="KRP13" s="338"/>
      <c r="KRQ13" s="338"/>
      <c r="KRR13" s="338"/>
      <c r="KRS13" s="338"/>
      <c r="KRT13" s="338"/>
      <c r="KRU13" s="338"/>
      <c r="KRV13" s="338"/>
      <c r="KRW13" s="338"/>
      <c r="KRX13" s="338"/>
      <c r="KRY13" s="338"/>
      <c r="KRZ13" s="338"/>
      <c r="KSA13" s="338"/>
      <c r="KSB13" s="338"/>
      <c r="KSC13" s="338"/>
      <c r="KSD13" s="338"/>
      <c r="KSE13" s="338"/>
      <c r="KSF13" s="338"/>
      <c r="KSG13" s="338"/>
      <c r="KSH13" s="338"/>
      <c r="KSI13" s="338"/>
      <c r="KSJ13" s="338"/>
      <c r="KSK13" s="338"/>
      <c r="KSL13" s="338"/>
      <c r="KSM13" s="338"/>
      <c r="KSN13" s="338"/>
      <c r="KSO13" s="338"/>
      <c r="KSP13" s="338"/>
      <c r="KSQ13" s="338"/>
      <c r="KSR13" s="338"/>
      <c r="KSS13" s="338"/>
      <c r="KST13" s="338"/>
      <c r="KSU13" s="338"/>
      <c r="KSV13" s="338"/>
      <c r="KSW13" s="338"/>
      <c r="KSX13" s="338"/>
      <c r="KSY13" s="338"/>
      <c r="KSZ13" s="338"/>
      <c r="KTA13" s="338"/>
      <c r="KTB13" s="338"/>
      <c r="KTC13" s="338"/>
      <c r="KTD13" s="338"/>
      <c r="KTE13" s="338"/>
      <c r="KTF13" s="338"/>
      <c r="KTG13" s="338"/>
      <c r="KTH13" s="338"/>
      <c r="KTI13" s="338"/>
      <c r="KTJ13" s="338"/>
      <c r="KTK13" s="338"/>
      <c r="KTL13" s="338"/>
      <c r="KTM13" s="338"/>
      <c r="KTN13" s="338"/>
      <c r="KTO13" s="338"/>
      <c r="KTP13" s="338"/>
      <c r="KTQ13" s="338"/>
      <c r="KTR13" s="338"/>
      <c r="KTS13" s="338"/>
      <c r="KTT13" s="338"/>
      <c r="KTU13" s="338"/>
      <c r="KTV13" s="338"/>
      <c r="KTW13" s="338"/>
      <c r="KTX13" s="338"/>
      <c r="KTY13" s="338"/>
      <c r="KTZ13" s="338"/>
      <c r="KUA13" s="338"/>
      <c r="KUB13" s="338"/>
      <c r="KUC13" s="338"/>
      <c r="KUD13" s="338"/>
      <c r="KUE13" s="338"/>
      <c r="KUF13" s="338"/>
      <c r="KUG13" s="338"/>
      <c r="KUH13" s="338"/>
      <c r="KUI13" s="338"/>
      <c r="KUJ13" s="338"/>
      <c r="KUK13" s="338"/>
      <c r="KUL13" s="338"/>
      <c r="KUM13" s="338"/>
      <c r="KUN13" s="338"/>
      <c r="KUO13" s="338"/>
      <c r="KUP13" s="338"/>
      <c r="KUQ13" s="338"/>
      <c r="KUR13" s="338"/>
      <c r="KUS13" s="338"/>
      <c r="KUT13" s="338"/>
      <c r="KUU13" s="338"/>
      <c r="KUV13" s="338"/>
      <c r="KUW13" s="338"/>
      <c r="KUX13" s="338"/>
      <c r="KUY13" s="338"/>
      <c r="KUZ13" s="338"/>
      <c r="KVA13" s="338"/>
      <c r="KVB13" s="338"/>
      <c r="KVC13" s="338"/>
      <c r="KVD13" s="338"/>
      <c r="KVE13" s="338"/>
      <c r="KVF13" s="338"/>
      <c r="KVG13" s="338"/>
      <c r="KVH13" s="338"/>
      <c r="KVI13" s="338"/>
      <c r="KVJ13" s="338"/>
      <c r="KVK13" s="338"/>
      <c r="KVL13" s="338"/>
      <c r="KVM13" s="338"/>
      <c r="KVN13" s="338"/>
      <c r="KVO13" s="338"/>
      <c r="KVP13" s="338"/>
      <c r="KVQ13" s="338"/>
      <c r="KVR13" s="338"/>
      <c r="KVS13" s="338"/>
      <c r="KVT13" s="338"/>
      <c r="KVU13" s="338"/>
      <c r="KVV13" s="338"/>
      <c r="KVW13" s="338"/>
      <c r="KVX13" s="338"/>
      <c r="KVY13" s="338"/>
      <c r="KVZ13" s="338"/>
      <c r="KWA13" s="338"/>
      <c r="KWB13" s="338"/>
      <c r="KWC13" s="338"/>
      <c r="KWD13" s="338"/>
      <c r="KWE13" s="338"/>
      <c r="KWF13" s="338"/>
      <c r="KWG13" s="338"/>
      <c r="KWH13" s="338"/>
      <c r="KWI13" s="338"/>
      <c r="KWJ13" s="338"/>
      <c r="KWK13" s="338"/>
      <c r="KWL13" s="338"/>
      <c r="KWM13" s="338"/>
      <c r="KWN13" s="338"/>
      <c r="KWO13" s="338"/>
      <c r="KWP13" s="338"/>
      <c r="KWQ13" s="338"/>
      <c r="KWR13" s="338"/>
      <c r="KWS13" s="338"/>
      <c r="KWT13" s="338"/>
      <c r="KWU13" s="338"/>
      <c r="KWV13" s="338"/>
      <c r="KWW13" s="338"/>
      <c r="KWX13" s="338"/>
      <c r="KWY13" s="338"/>
      <c r="KWZ13" s="338"/>
      <c r="KXA13" s="338"/>
      <c r="KXB13" s="338"/>
      <c r="KXC13" s="338"/>
      <c r="KXD13" s="338"/>
      <c r="KXE13" s="338"/>
      <c r="KXF13" s="338"/>
      <c r="KXG13" s="338"/>
      <c r="KXH13" s="338"/>
      <c r="KXI13" s="338"/>
      <c r="KXJ13" s="338"/>
      <c r="KXK13" s="338"/>
      <c r="KXL13" s="338"/>
      <c r="KXM13" s="338"/>
      <c r="KXN13" s="338"/>
      <c r="KXO13" s="338"/>
      <c r="KXP13" s="338"/>
      <c r="KXQ13" s="338"/>
      <c r="KXR13" s="338"/>
      <c r="KXS13" s="338"/>
      <c r="KXT13" s="338"/>
      <c r="KXU13" s="338"/>
      <c r="KXV13" s="338"/>
      <c r="KXW13" s="338"/>
      <c r="KXX13" s="338"/>
      <c r="KXY13" s="338"/>
      <c r="KXZ13" s="338"/>
      <c r="KYA13" s="338"/>
      <c r="KYB13" s="338"/>
      <c r="KYC13" s="338"/>
      <c r="KYD13" s="338"/>
      <c r="KYE13" s="338"/>
      <c r="KYF13" s="338"/>
      <c r="KYG13" s="338"/>
      <c r="KYH13" s="338"/>
      <c r="KYI13" s="338"/>
      <c r="KYJ13" s="338"/>
      <c r="KYK13" s="338"/>
      <c r="KYL13" s="338"/>
      <c r="KYM13" s="338"/>
      <c r="KYN13" s="338"/>
      <c r="KYO13" s="338"/>
      <c r="KYP13" s="338"/>
      <c r="KYQ13" s="338"/>
      <c r="KYR13" s="338"/>
      <c r="KYS13" s="338"/>
      <c r="KYT13" s="338"/>
      <c r="KYU13" s="338"/>
      <c r="KYV13" s="338"/>
      <c r="KYW13" s="338"/>
      <c r="KYX13" s="338"/>
      <c r="KYY13" s="338"/>
      <c r="KYZ13" s="338"/>
      <c r="KZA13" s="338"/>
      <c r="KZB13" s="338"/>
      <c r="KZC13" s="338"/>
      <c r="KZD13" s="338"/>
      <c r="KZE13" s="338"/>
      <c r="KZF13" s="338"/>
      <c r="KZG13" s="338"/>
      <c r="KZH13" s="338"/>
      <c r="KZI13" s="338"/>
      <c r="KZJ13" s="338"/>
      <c r="KZK13" s="338"/>
      <c r="KZL13" s="338"/>
      <c r="KZM13" s="338"/>
      <c r="KZN13" s="338"/>
      <c r="KZO13" s="338"/>
      <c r="KZP13" s="338"/>
      <c r="KZQ13" s="338"/>
      <c r="KZR13" s="338"/>
      <c r="KZS13" s="338"/>
      <c r="KZT13" s="338"/>
      <c r="KZU13" s="338"/>
      <c r="KZV13" s="338"/>
      <c r="KZW13" s="338"/>
      <c r="KZX13" s="338"/>
      <c r="KZY13" s="338"/>
      <c r="KZZ13" s="338"/>
      <c r="LAA13" s="338"/>
      <c r="LAB13" s="338"/>
      <c r="LAC13" s="338"/>
      <c r="LAD13" s="338"/>
      <c r="LAE13" s="338"/>
      <c r="LAF13" s="338"/>
      <c r="LAG13" s="338"/>
      <c r="LAH13" s="338"/>
      <c r="LAI13" s="338"/>
      <c r="LAJ13" s="338"/>
      <c r="LAK13" s="338"/>
      <c r="LAL13" s="338"/>
      <c r="LAM13" s="338"/>
      <c r="LAN13" s="338"/>
      <c r="LAO13" s="338"/>
      <c r="LAP13" s="338"/>
      <c r="LAQ13" s="338"/>
      <c r="LAR13" s="338"/>
      <c r="LAS13" s="338"/>
      <c r="LAT13" s="338"/>
      <c r="LAU13" s="338"/>
      <c r="LAV13" s="338"/>
      <c r="LAW13" s="338"/>
      <c r="LAX13" s="338"/>
      <c r="LAY13" s="338"/>
      <c r="LAZ13" s="338"/>
      <c r="LBA13" s="338"/>
      <c r="LBB13" s="338"/>
      <c r="LBC13" s="338"/>
      <c r="LBD13" s="338"/>
      <c r="LBE13" s="338"/>
      <c r="LBF13" s="338"/>
      <c r="LBG13" s="338"/>
      <c r="LBH13" s="338"/>
      <c r="LBI13" s="338"/>
      <c r="LBJ13" s="338"/>
      <c r="LBK13" s="338"/>
      <c r="LBL13" s="338"/>
      <c r="LBM13" s="338"/>
      <c r="LBN13" s="338"/>
      <c r="LBO13" s="338"/>
      <c r="LBP13" s="338"/>
      <c r="LBQ13" s="338"/>
      <c r="LBR13" s="338"/>
      <c r="LBS13" s="338"/>
      <c r="LBT13" s="338"/>
      <c r="LBU13" s="338"/>
      <c r="LBV13" s="338"/>
      <c r="LBW13" s="338"/>
      <c r="LBX13" s="338"/>
      <c r="LBY13" s="338"/>
      <c r="LBZ13" s="338"/>
      <c r="LCA13" s="338"/>
      <c r="LCB13" s="338"/>
      <c r="LCC13" s="338"/>
      <c r="LCD13" s="338"/>
      <c r="LCE13" s="338"/>
      <c r="LCF13" s="338"/>
      <c r="LCG13" s="338"/>
      <c r="LCH13" s="338"/>
      <c r="LCI13" s="338"/>
      <c r="LCJ13" s="338"/>
      <c r="LCK13" s="338"/>
      <c r="LCL13" s="338"/>
      <c r="LCM13" s="338"/>
      <c r="LCN13" s="338"/>
      <c r="LCO13" s="338"/>
      <c r="LCP13" s="338"/>
      <c r="LCQ13" s="338"/>
      <c r="LCR13" s="338"/>
      <c r="LCS13" s="338"/>
      <c r="LCT13" s="338"/>
      <c r="LCU13" s="338"/>
      <c r="LCV13" s="338"/>
      <c r="LCW13" s="338"/>
      <c r="LCX13" s="338"/>
      <c r="LCY13" s="338"/>
      <c r="LCZ13" s="338"/>
      <c r="LDA13" s="338"/>
      <c r="LDB13" s="338"/>
      <c r="LDC13" s="338"/>
      <c r="LDD13" s="338"/>
      <c r="LDE13" s="338"/>
      <c r="LDF13" s="338"/>
      <c r="LDG13" s="338"/>
      <c r="LDH13" s="338"/>
      <c r="LDI13" s="338"/>
      <c r="LDJ13" s="338"/>
      <c r="LDK13" s="338"/>
      <c r="LDL13" s="338"/>
      <c r="LDM13" s="338"/>
      <c r="LDN13" s="338"/>
      <c r="LDO13" s="338"/>
      <c r="LDP13" s="338"/>
      <c r="LDQ13" s="338"/>
      <c r="LDR13" s="338"/>
      <c r="LDS13" s="338"/>
      <c r="LDT13" s="338"/>
      <c r="LDU13" s="338"/>
      <c r="LDV13" s="338"/>
      <c r="LDW13" s="338"/>
      <c r="LDX13" s="338"/>
      <c r="LDY13" s="338"/>
      <c r="LDZ13" s="338"/>
      <c r="LEA13" s="338"/>
      <c r="LEB13" s="338"/>
      <c r="LEC13" s="338"/>
      <c r="LED13" s="338"/>
      <c r="LEE13" s="338"/>
      <c r="LEF13" s="338"/>
      <c r="LEG13" s="338"/>
      <c r="LEH13" s="338"/>
      <c r="LEI13" s="338"/>
      <c r="LEJ13" s="338"/>
      <c r="LEK13" s="338"/>
      <c r="LEL13" s="338"/>
      <c r="LEM13" s="338"/>
      <c r="LEN13" s="338"/>
      <c r="LEO13" s="338"/>
      <c r="LEP13" s="338"/>
      <c r="LEQ13" s="338"/>
      <c r="LER13" s="338"/>
      <c r="LES13" s="338"/>
      <c r="LET13" s="338"/>
      <c r="LEU13" s="338"/>
      <c r="LEV13" s="338"/>
      <c r="LEW13" s="338"/>
      <c r="LEX13" s="338"/>
      <c r="LEY13" s="338"/>
      <c r="LEZ13" s="338"/>
      <c r="LFA13" s="338"/>
      <c r="LFB13" s="338"/>
      <c r="LFC13" s="338"/>
      <c r="LFD13" s="338"/>
      <c r="LFE13" s="338"/>
      <c r="LFF13" s="338"/>
      <c r="LFG13" s="338"/>
      <c r="LFH13" s="338"/>
      <c r="LFI13" s="338"/>
      <c r="LFJ13" s="338"/>
      <c r="LFK13" s="338"/>
      <c r="LFL13" s="338"/>
      <c r="LFM13" s="338"/>
      <c r="LFN13" s="338"/>
      <c r="LFO13" s="338"/>
      <c r="LFP13" s="338"/>
      <c r="LFQ13" s="338"/>
      <c r="LFR13" s="338"/>
      <c r="LFS13" s="338"/>
      <c r="LFT13" s="338"/>
      <c r="LFU13" s="338"/>
      <c r="LFV13" s="338"/>
      <c r="LFW13" s="338"/>
      <c r="LFX13" s="338"/>
      <c r="LFY13" s="338"/>
      <c r="LFZ13" s="338"/>
      <c r="LGA13" s="338"/>
      <c r="LGB13" s="338"/>
      <c r="LGC13" s="338"/>
      <c r="LGD13" s="338"/>
      <c r="LGE13" s="338"/>
      <c r="LGF13" s="338"/>
      <c r="LGG13" s="338"/>
      <c r="LGH13" s="338"/>
      <c r="LGI13" s="338"/>
      <c r="LGJ13" s="338"/>
      <c r="LGK13" s="338"/>
      <c r="LGL13" s="338"/>
      <c r="LGM13" s="338"/>
      <c r="LGN13" s="338"/>
      <c r="LGO13" s="338"/>
      <c r="LGP13" s="338"/>
      <c r="LGQ13" s="338"/>
      <c r="LGR13" s="338"/>
      <c r="LGS13" s="338"/>
      <c r="LGT13" s="338"/>
      <c r="LGU13" s="338"/>
      <c r="LGV13" s="338"/>
      <c r="LGW13" s="338"/>
      <c r="LGX13" s="338"/>
      <c r="LGY13" s="338"/>
      <c r="LGZ13" s="338"/>
      <c r="LHA13" s="338"/>
      <c r="LHB13" s="338"/>
      <c r="LHC13" s="338"/>
      <c r="LHD13" s="338"/>
      <c r="LHE13" s="338"/>
      <c r="LHF13" s="338"/>
      <c r="LHG13" s="338"/>
      <c r="LHH13" s="338"/>
      <c r="LHI13" s="338"/>
      <c r="LHJ13" s="338"/>
      <c r="LHK13" s="338"/>
      <c r="LHL13" s="338"/>
      <c r="LHM13" s="338"/>
      <c r="LHN13" s="338"/>
      <c r="LHO13" s="338"/>
      <c r="LHP13" s="338"/>
      <c r="LHQ13" s="338"/>
      <c r="LHR13" s="338"/>
      <c r="LHS13" s="338"/>
      <c r="LHT13" s="338"/>
      <c r="LHU13" s="338"/>
      <c r="LHV13" s="338"/>
      <c r="LHW13" s="338"/>
      <c r="LHX13" s="338"/>
      <c r="LHY13" s="338"/>
      <c r="LHZ13" s="338"/>
      <c r="LIA13" s="338"/>
      <c r="LIB13" s="338"/>
      <c r="LIC13" s="338"/>
      <c r="LID13" s="338"/>
      <c r="LIE13" s="338"/>
      <c r="LIF13" s="338"/>
      <c r="LIG13" s="338"/>
      <c r="LIH13" s="338"/>
      <c r="LII13" s="338"/>
      <c r="LIJ13" s="338"/>
      <c r="LIK13" s="338"/>
      <c r="LIL13" s="338"/>
      <c r="LIM13" s="338"/>
      <c r="LIN13" s="338"/>
      <c r="LIO13" s="338"/>
      <c r="LIP13" s="338"/>
      <c r="LIQ13" s="338"/>
      <c r="LIR13" s="338"/>
      <c r="LIS13" s="338"/>
      <c r="LIT13" s="338"/>
      <c r="LIU13" s="338"/>
      <c r="LIV13" s="338"/>
      <c r="LIW13" s="338"/>
      <c r="LIX13" s="338"/>
      <c r="LIY13" s="338"/>
      <c r="LIZ13" s="338"/>
      <c r="LJA13" s="338"/>
      <c r="LJB13" s="338"/>
      <c r="LJC13" s="338"/>
      <c r="LJD13" s="338"/>
      <c r="LJE13" s="338"/>
      <c r="LJF13" s="338"/>
      <c r="LJG13" s="338"/>
      <c r="LJH13" s="338"/>
      <c r="LJI13" s="338"/>
      <c r="LJJ13" s="338"/>
      <c r="LJK13" s="338"/>
      <c r="LJL13" s="338"/>
      <c r="LJM13" s="338"/>
      <c r="LJN13" s="338"/>
      <c r="LJO13" s="338"/>
      <c r="LJP13" s="338"/>
      <c r="LJQ13" s="338"/>
      <c r="LJR13" s="338"/>
      <c r="LJS13" s="338"/>
      <c r="LJT13" s="338"/>
      <c r="LJU13" s="338"/>
      <c r="LJV13" s="338"/>
      <c r="LJW13" s="338"/>
      <c r="LJX13" s="338"/>
      <c r="LJY13" s="338"/>
      <c r="LJZ13" s="338"/>
      <c r="LKA13" s="338"/>
      <c r="LKB13" s="338"/>
      <c r="LKC13" s="338"/>
      <c r="LKD13" s="338"/>
      <c r="LKE13" s="338"/>
      <c r="LKF13" s="338"/>
      <c r="LKG13" s="338"/>
      <c r="LKH13" s="338"/>
      <c r="LKI13" s="338"/>
      <c r="LKJ13" s="338"/>
      <c r="LKK13" s="338"/>
      <c r="LKL13" s="338"/>
      <c r="LKM13" s="338"/>
      <c r="LKN13" s="338"/>
      <c r="LKO13" s="338"/>
      <c r="LKP13" s="338"/>
      <c r="LKQ13" s="338"/>
      <c r="LKR13" s="338"/>
      <c r="LKS13" s="338"/>
      <c r="LKT13" s="338"/>
      <c r="LKU13" s="338"/>
      <c r="LKV13" s="338"/>
      <c r="LKW13" s="338"/>
      <c r="LKX13" s="338"/>
      <c r="LKY13" s="338"/>
      <c r="LKZ13" s="338"/>
      <c r="LLA13" s="338"/>
      <c r="LLB13" s="338"/>
      <c r="LLC13" s="338"/>
      <c r="LLD13" s="338"/>
      <c r="LLE13" s="338"/>
      <c r="LLF13" s="338"/>
      <c r="LLG13" s="338"/>
      <c r="LLH13" s="338"/>
      <c r="LLI13" s="338"/>
      <c r="LLJ13" s="338"/>
      <c r="LLK13" s="338"/>
      <c r="LLL13" s="338"/>
      <c r="LLM13" s="338"/>
      <c r="LLN13" s="338"/>
      <c r="LLO13" s="338"/>
      <c r="LLP13" s="338"/>
      <c r="LLQ13" s="338"/>
      <c r="LLR13" s="338"/>
      <c r="LLS13" s="338"/>
      <c r="LLT13" s="338"/>
      <c r="LLU13" s="338"/>
      <c r="LLV13" s="338"/>
      <c r="LLW13" s="338"/>
      <c r="LLX13" s="338"/>
      <c r="LLY13" s="338"/>
      <c r="LLZ13" s="338"/>
      <c r="LMA13" s="338"/>
      <c r="LMB13" s="338"/>
      <c r="LMC13" s="338"/>
      <c r="LMD13" s="338"/>
      <c r="LME13" s="338"/>
      <c r="LMF13" s="338"/>
      <c r="LMG13" s="338"/>
      <c r="LMH13" s="338"/>
      <c r="LMI13" s="338"/>
      <c r="LMJ13" s="338"/>
      <c r="LMK13" s="338"/>
      <c r="LML13" s="338"/>
      <c r="LMM13" s="338"/>
      <c r="LMN13" s="338"/>
      <c r="LMO13" s="338"/>
      <c r="LMP13" s="338"/>
      <c r="LMQ13" s="338"/>
      <c r="LMR13" s="338"/>
      <c r="LMS13" s="338"/>
      <c r="LMT13" s="338"/>
      <c r="LMU13" s="338"/>
      <c r="LMV13" s="338"/>
      <c r="LMW13" s="338"/>
      <c r="LMX13" s="338"/>
      <c r="LMY13" s="338"/>
      <c r="LMZ13" s="338"/>
      <c r="LNA13" s="338"/>
      <c r="LNB13" s="338"/>
      <c r="LNC13" s="338"/>
      <c r="LND13" s="338"/>
      <c r="LNE13" s="338"/>
      <c r="LNF13" s="338"/>
      <c r="LNG13" s="338"/>
      <c r="LNH13" s="338"/>
      <c r="LNI13" s="338"/>
      <c r="LNJ13" s="338"/>
      <c r="LNK13" s="338"/>
      <c r="LNL13" s="338"/>
      <c r="LNM13" s="338"/>
      <c r="LNN13" s="338"/>
      <c r="LNO13" s="338"/>
      <c r="LNP13" s="338"/>
      <c r="LNQ13" s="338"/>
      <c r="LNR13" s="338"/>
      <c r="LNS13" s="338"/>
      <c r="LNT13" s="338"/>
      <c r="LNU13" s="338"/>
      <c r="LNV13" s="338"/>
      <c r="LNW13" s="338"/>
      <c r="LNX13" s="338"/>
      <c r="LNY13" s="338"/>
      <c r="LNZ13" s="338"/>
      <c r="LOA13" s="338"/>
      <c r="LOB13" s="338"/>
      <c r="LOC13" s="338"/>
      <c r="LOD13" s="338"/>
      <c r="LOE13" s="338"/>
      <c r="LOF13" s="338"/>
      <c r="LOG13" s="338"/>
      <c r="LOH13" s="338"/>
      <c r="LOI13" s="338"/>
      <c r="LOJ13" s="338"/>
      <c r="LOK13" s="338"/>
      <c r="LOL13" s="338"/>
      <c r="LOM13" s="338"/>
      <c r="LON13" s="338"/>
      <c r="LOO13" s="338"/>
      <c r="LOP13" s="338"/>
      <c r="LOQ13" s="338"/>
      <c r="LOR13" s="338"/>
      <c r="LOS13" s="338"/>
      <c r="LOT13" s="338"/>
      <c r="LOU13" s="338"/>
      <c r="LOV13" s="338"/>
      <c r="LOW13" s="338"/>
      <c r="LOX13" s="338"/>
      <c r="LOY13" s="338"/>
      <c r="LOZ13" s="338"/>
      <c r="LPA13" s="338"/>
      <c r="LPB13" s="338"/>
      <c r="LPC13" s="338"/>
      <c r="LPD13" s="338"/>
      <c r="LPE13" s="338"/>
      <c r="LPF13" s="338"/>
      <c r="LPG13" s="338"/>
      <c r="LPH13" s="338"/>
      <c r="LPI13" s="338"/>
      <c r="LPJ13" s="338"/>
      <c r="LPK13" s="338"/>
      <c r="LPL13" s="338"/>
      <c r="LPM13" s="338"/>
      <c r="LPN13" s="338"/>
      <c r="LPO13" s="338"/>
      <c r="LPP13" s="338"/>
      <c r="LPQ13" s="338"/>
      <c r="LPR13" s="338"/>
      <c r="LPS13" s="338"/>
      <c r="LPT13" s="338"/>
      <c r="LPU13" s="338"/>
      <c r="LPV13" s="338"/>
      <c r="LPW13" s="338"/>
      <c r="LPX13" s="338"/>
      <c r="LPY13" s="338"/>
      <c r="LPZ13" s="338"/>
      <c r="LQA13" s="338"/>
      <c r="LQB13" s="338"/>
      <c r="LQC13" s="338"/>
      <c r="LQD13" s="338"/>
      <c r="LQE13" s="338"/>
      <c r="LQF13" s="338"/>
      <c r="LQG13" s="338"/>
      <c r="LQH13" s="338"/>
      <c r="LQI13" s="338"/>
      <c r="LQJ13" s="338"/>
      <c r="LQK13" s="338"/>
      <c r="LQL13" s="338"/>
      <c r="LQM13" s="338"/>
      <c r="LQN13" s="338"/>
      <c r="LQO13" s="338"/>
      <c r="LQP13" s="338"/>
      <c r="LQQ13" s="338"/>
      <c r="LQR13" s="338"/>
      <c r="LQS13" s="338"/>
      <c r="LQT13" s="338"/>
      <c r="LQU13" s="338"/>
      <c r="LQV13" s="338"/>
      <c r="LQW13" s="338"/>
      <c r="LQX13" s="338"/>
      <c r="LQY13" s="338"/>
      <c r="LQZ13" s="338"/>
      <c r="LRA13" s="338"/>
      <c r="LRB13" s="338"/>
      <c r="LRC13" s="338"/>
      <c r="LRD13" s="338"/>
      <c r="LRE13" s="338"/>
      <c r="LRF13" s="338"/>
      <c r="LRG13" s="338"/>
      <c r="LRH13" s="338"/>
      <c r="LRI13" s="338"/>
      <c r="LRJ13" s="338"/>
      <c r="LRK13" s="338"/>
      <c r="LRL13" s="338"/>
      <c r="LRM13" s="338"/>
      <c r="LRN13" s="338"/>
      <c r="LRO13" s="338"/>
      <c r="LRP13" s="338"/>
      <c r="LRQ13" s="338"/>
      <c r="LRR13" s="338"/>
      <c r="LRS13" s="338"/>
      <c r="LRT13" s="338"/>
      <c r="LRU13" s="338"/>
      <c r="LRV13" s="338"/>
      <c r="LRW13" s="338"/>
      <c r="LRX13" s="338"/>
      <c r="LRY13" s="338"/>
      <c r="LRZ13" s="338"/>
      <c r="LSA13" s="338"/>
      <c r="LSB13" s="338"/>
      <c r="LSC13" s="338"/>
      <c r="LSD13" s="338"/>
      <c r="LSE13" s="338"/>
      <c r="LSF13" s="338"/>
      <c r="LSG13" s="338"/>
      <c r="LSH13" s="338"/>
      <c r="LSI13" s="338"/>
      <c r="LSJ13" s="338"/>
      <c r="LSK13" s="338"/>
      <c r="LSL13" s="338"/>
      <c r="LSM13" s="338"/>
      <c r="LSN13" s="338"/>
      <c r="LSO13" s="338"/>
      <c r="LSP13" s="338"/>
      <c r="LSQ13" s="338"/>
      <c r="LSR13" s="338"/>
      <c r="LSS13" s="338"/>
      <c r="LST13" s="338"/>
      <c r="LSU13" s="338"/>
      <c r="LSV13" s="338"/>
      <c r="LSW13" s="338"/>
      <c r="LSX13" s="338"/>
      <c r="LSY13" s="338"/>
      <c r="LSZ13" s="338"/>
      <c r="LTA13" s="338"/>
      <c r="LTB13" s="338"/>
      <c r="LTC13" s="338"/>
      <c r="LTD13" s="338"/>
      <c r="LTE13" s="338"/>
      <c r="LTF13" s="338"/>
      <c r="LTG13" s="338"/>
      <c r="LTH13" s="338"/>
      <c r="LTI13" s="338"/>
      <c r="LTJ13" s="338"/>
      <c r="LTK13" s="338"/>
      <c r="LTL13" s="338"/>
      <c r="LTM13" s="338"/>
      <c r="LTN13" s="338"/>
      <c r="LTO13" s="338"/>
      <c r="LTP13" s="338"/>
      <c r="LTQ13" s="338"/>
      <c r="LTR13" s="338"/>
      <c r="LTS13" s="338"/>
      <c r="LTT13" s="338"/>
      <c r="LTU13" s="338"/>
      <c r="LTV13" s="338"/>
      <c r="LTW13" s="338"/>
      <c r="LTX13" s="338"/>
      <c r="LTY13" s="338"/>
      <c r="LTZ13" s="338"/>
      <c r="LUA13" s="338"/>
      <c r="LUB13" s="338"/>
      <c r="LUC13" s="338"/>
      <c r="LUD13" s="338"/>
      <c r="LUE13" s="338"/>
      <c r="LUF13" s="338"/>
      <c r="LUG13" s="338"/>
      <c r="LUH13" s="338"/>
      <c r="LUI13" s="338"/>
      <c r="LUJ13" s="338"/>
      <c r="LUK13" s="338"/>
      <c r="LUL13" s="338"/>
      <c r="LUM13" s="338"/>
      <c r="LUN13" s="338"/>
      <c r="LUO13" s="338"/>
      <c r="LUP13" s="338"/>
      <c r="LUQ13" s="338"/>
      <c r="LUR13" s="338"/>
      <c r="LUS13" s="338"/>
      <c r="LUT13" s="338"/>
      <c r="LUU13" s="338"/>
      <c r="LUV13" s="338"/>
      <c r="LUW13" s="338"/>
      <c r="LUX13" s="338"/>
      <c r="LUY13" s="338"/>
      <c r="LUZ13" s="338"/>
      <c r="LVA13" s="338"/>
      <c r="LVB13" s="338"/>
      <c r="LVC13" s="338"/>
      <c r="LVD13" s="338"/>
      <c r="LVE13" s="338"/>
      <c r="LVF13" s="338"/>
      <c r="LVG13" s="338"/>
      <c r="LVH13" s="338"/>
      <c r="LVI13" s="338"/>
      <c r="LVJ13" s="338"/>
      <c r="LVK13" s="338"/>
      <c r="LVL13" s="338"/>
      <c r="LVM13" s="338"/>
      <c r="LVN13" s="338"/>
      <c r="LVO13" s="338"/>
      <c r="LVP13" s="338"/>
      <c r="LVQ13" s="338"/>
      <c r="LVR13" s="338"/>
      <c r="LVS13" s="338"/>
      <c r="LVT13" s="338"/>
      <c r="LVU13" s="338"/>
      <c r="LVV13" s="338"/>
      <c r="LVW13" s="338"/>
      <c r="LVX13" s="338"/>
      <c r="LVY13" s="338"/>
      <c r="LVZ13" s="338"/>
      <c r="LWA13" s="338"/>
      <c r="LWB13" s="338"/>
      <c r="LWC13" s="338"/>
      <c r="LWD13" s="338"/>
      <c r="LWE13" s="338"/>
      <c r="LWF13" s="338"/>
      <c r="LWG13" s="338"/>
      <c r="LWH13" s="338"/>
      <c r="LWI13" s="338"/>
      <c r="LWJ13" s="338"/>
      <c r="LWK13" s="338"/>
      <c r="LWL13" s="338"/>
      <c r="LWM13" s="338"/>
      <c r="LWN13" s="338"/>
      <c r="LWO13" s="338"/>
      <c r="LWP13" s="338"/>
      <c r="LWQ13" s="338"/>
      <c r="LWR13" s="338"/>
      <c r="LWS13" s="338"/>
      <c r="LWT13" s="338"/>
      <c r="LWU13" s="338"/>
      <c r="LWV13" s="338"/>
      <c r="LWW13" s="338"/>
      <c r="LWX13" s="338"/>
      <c r="LWY13" s="338"/>
      <c r="LWZ13" s="338"/>
      <c r="LXA13" s="338"/>
      <c r="LXB13" s="338"/>
      <c r="LXC13" s="338"/>
      <c r="LXD13" s="338"/>
      <c r="LXE13" s="338"/>
      <c r="LXF13" s="338"/>
      <c r="LXG13" s="338"/>
      <c r="LXH13" s="338"/>
      <c r="LXI13" s="338"/>
      <c r="LXJ13" s="338"/>
      <c r="LXK13" s="338"/>
      <c r="LXL13" s="338"/>
      <c r="LXM13" s="338"/>
      <c r="LXN13" s="338"/>
      <c r="LXO13" s="338"/>
      <c r="LXP13" s="338"/>
      <c r="LXQ13" s="338"/>
      <c r="LXR13" s="338"/>
      <c r="LXS13" s="338"/>
      <c r="LXT13" s="338"/>
      <c r="LXU13" s="338"/>
      <c r="LXV13" s="338"/>
      <c r="LXW13" s="338"/>
      <c r="LXX13" s="338"/>
      <c r="LXY13" s="338"/>
      <c r="LXZ13" s="338"/>
      <c r="LYA13" s="338"/>
      <c r="LYB13" s="338"/>
      <c r="LYC13" s="338"/>
      <c r="LYD13" s="338"/>
      <c r="LYE13" s="338"/>
      <c r="LYF13" s="338"/>
      <c r="LYG13" s="338"/>
      <c r="LYH13" s="338"/>
      <c r="LYI13" s="338"/>
      <c r="LYJ13" s="338"/>
      <c r="LYK13" s="338"/>
      <c r="LYL13" s="338"/>
      <c r="LYM13" s="338"/>
      <c r="LYN13" s="338"/>
      <c r="LYO13" s="338"/>
      <c r="LYP13" s="338"/>
      <c r="LYQ13" s="338"/>
      <c r="LYR13" s="338"/>
      <c r="LYS13" s="338"/>
      <c r="LYT13" s="338"/>
      <c r="LYU13" s="338"/>
      <c r="LYV13" s="338"/>
      <c r="LYW13" s="338"/>
      <c r="LYX13" s="338"/>
      <c r="LYY13" s="338"/>
      <c r="LYZ13" s="338"/>
      <c r="LZA13" s="338"/>
      <c r="LZB13" s="338"/>
      <c r="LZC13" s="338"/>
      <c r="LZD13" s="338"/>
      <c r="LZE13" s="338"/>
      <c r="LZF13" s="338"/>
      <c r="LZG13" s="338"/>
      <c r="LZH13" s="338"/>
      <c r="LZI13" s="338"/>
      <c r="LZJ13" s="338"/>
      <c r="LZK13" s="338"/>
      <c r="LZL13" s="338"/>
      <c r="LZM13" s="338"/>
      <c r="LZN13" s="338"/>
      <c r="LZO13" s="338"/>
      <c r="LZP13" s="338"/>
      <c r="LZQ13" s="338"/>
      <c r="LZR13" s="338"/>
      <c r="LZS13" s="338"/>
      <c r="LZT13" s="338"/>
      <c r="LZU13" s="338"/>
      <c r="LZV13" s="338"/>
      <c r="LZW13" s="338"/>
      <c r="LZX13" s="338"/>
      <c r="LZY13" s="338"/>
      <c r="LZZ13" s="338"/>
      <c r="MAA13" s="338"/>
      <c r="MAB13" s="338"/>
      <c r="MAC13" s="338"/>
      <c r="MAD13" s="338"/>
      <c r="MAE13" s="338"/>
      <c r="MAF13" s="338"/>
      <c r="MAG13" s="338"/>
      <c r="MAH13" s="338"/>
      <c r="MAI13" s="338"/>
      <c r="MAJ13" s="338"/>
      <c r="MAK13" s="338"/>
      <c r="MAL13" s="338"/>
      <c r="MAM13" s="338"/>
      <c r="MAN13" s="338"/>
      <c r="MAO13" s="338"/>
      <c r="MAP13" s="338"/>
      <c r="MAQ13" s="338"/>
      <c r="MAR13" s="338"/>
      <c r="MAS13" s="338"/>
      <c r="MAT13" s="338"/>
      <c r="MAU13" s="338"/>
      <c r="MAV13" s="338"/>
      <c r="MAW13" s="338"/>
      <c r="MAX13" s="338"/>
      <c r="MAY13" s="338"/>
      <c r="MAZ13" s="338"/>
      <c r="MBA13" s="338"/>
      <c r="MBB13" s="338"/>
      <c r="MBC13" s="338"/>
      <c r="MBD13" s="338"/>
      <c r="MBE13" s="338"/>
      <c r="MBF13" s="338"/>
      <c r="MBG13" s="338"/>
      <c r="MBH13" s="338"/>
      <c r="MBI13" s="338"/>
      <c r="MBJ13" s="338"/>
      <c r="MBK13" s="338"/>
      <c r="MBL13" s="338"/>
      <c r="MBM13" s="338"/>
      <c r="MBN13" s="338"/>
      <c r="MBO13" s="338"/>
      <c r="MBP13" s="338"/>
      <c r="MBQ13" s="338"/>
      <c r="MBR13" s="338"/>
      <c r="MBS13" s="338"/>
      <c r="MBT13" s="338"/>
      <c r="MBU13" s="338"/>
      <c r="MBV13" s="338"/>
      <c r="MBW13" s="338"/>
      <c r="MBX13" s="338"/>
      <c r="MBY13" s="338"/>
      <c r="MBZ13" s="338"/>
      <c r="MCA13" s="338"/>
      <c r="MCB13" s="338"/>
      <c r="MCC13" s="338"/>
      <c r="MCD13" s="338"/>
      <c r="MCE13" s="338"/>
      <c r="MCF13" s="338"/>
      <c r="MCG13" s="338"/>
      <c r="MCH13" s="338"/>
      <c r="MCI13" s="338"/>
      <c r="MCJ13" s="338"/>
      <c r="MCK13" s="338"/>
      <c r="MCL13" s="338"/>
      <c r="MCM13" s="338"/>
      <c r="MCN13" s="338"/>
      <c r="MCO13" s="338"/>
      <c r="MCP13" s="338"/>
      <c r="MCQ13" s="338"/>
      <c r="MCR13" s="338"/>
      <c r="MCS13" s="338"/>
      <c r="MCT13" s="338"/>
      <c r="MCU13" s="338"/>
      <c r="MCV13" s="338"/>
      <c r="MCW13" s="338"/>
      <c r="MCX13" s="338"/>
      <c r="MCY13" s="338"/>
      <c r="MCZ13" s="338"/>
      <c r="MDA13" s="338"/>
      <c r="MDB13" s="338"/>
      <c r="MDC13" s="338"/>
      <c r="MDD13" s="338"/>
      <c r="MDE13" s="338"/>
      <c r="MDF13" s="338"/>
      <c r="MDG13" s="338"/>
      <c r="MDH13" s="338"/>
      <c r="MDI13" s="338"/>
      <c r="MDJ13" s="338"/>
      <c r="MDK13" s="338"/>
      <c r="MDL13" s="338"/>
      <c r="MDM13" s="338"/>
      <c r="MDN13" s="338"/>
      <c r="MDO13" s="338"/>
      <c r="MDP13" s="338"/>
      <c r="MDQ13" s="338"/>
      <c r="MDR13" s="338"/>
      <c r="MDS13" s="338"/>
      <c r="MDT13" s="338"/>
      <c r="MDU13" s="338"/>
      <c r="MDV13" s="338"/>
      <c r="MDW13" s="338"/>
      <c r="MDX13" s="338"/>
      <c r="MDY13" s="338"/>
      <c r="MDZ13" s="338"/>
      <c r="MEA13" s="338"/>
      <c r="MEB13" s="338"/>
      <c r="MEC13" s="338"/>
      <c r="MED13" s="338"/>
      <c r="MEE13" s="338"/>
      <c r="MEF13" s="338"/>
      <c r="MEG13" s="338"/>
      <c r="MEH13" s="338"/>
      <c r="MEI13" s="338"/>
      <c r="MEJ13" s="338"/>
      <c r="MEK13" s="338"/>
      <c r="MEL13" s="338"/>
      <c r="MEM13" s="338"/>
      <c r="MEN13" s="338"/>
      <c r="MEO13" s="338"/>
      <c r="MEP13" s="338"/>
      <c r="MEQ13" s="338"/>
      <c r="MER13" s="338"/>
      <c r="MES13" s="338"/>
      <c r="MET13" s="338"/>
      <c r="MEU13" s="338"/>
      <c r="MEV13" s="338"/>
      <c r="MEW13" s="338"/>
      <c r="MEX13" s="338"/>
      <c r="MEY13" s="338"/>
      <c r="MEZ13" s="338"/>
      <c r="MFA13" s="338"/>
      <c r="MFB13" s="338"/>
      <c r="MFC13" s="338"/>
      <c r="MFD13" s="338"/>
      <c r="MFE13" s="338"/>
      <c r="MFF13" s="338"/>
      <c r="MFG13" s="338"/>
      <c r="MFH13" s="338"/>
      <c r="MFI13" s="338"/>
      <c r="MFJ13" s="338"/>
      <c r="MFK13" s="338"/>
      <c r="MFL13" s="338"/>
      <c r="MFM13" s="338"/>
      <c r="MFN13" s="338"/>
      <c r="MFO13" s="338"/>
      <c r="MFP13" s="338"/>
      <c r="MFQ13" s="338"/>
      <c r="MFR13" s="338"/>
      <c r="MFS13" s="338"/>
      <c r="MFT13" s="338"/>
      <c r="MFU13" s="338"/>
      <c r="MFV13" s="338"/>
      <c r="MFW13" s="338"/>
      <c r="MFX13" s="338"/>
      <c r="MFY13" s="338"/>
      <c r="MFZ13" s="338"/>
      <c r="MGA13" s="338"/>
      <c r="MGB13" s="338"/>
      <c r="MGC13" s="338"/>
      <c r="MGD13" s="338"/>
      <c r="MGE13" s="338"/>
      <c r="MGF13" s="338"/>
      <c r="MGG13" s="338"/>
      <c r="MGH13" s="338"/>
      <c r="MGI13" s="338"/>
      <c r="MGJ13" s="338"/>
      <c r="MGK13" s="338"/>
      <c r="MGL13" s="338"/>
      <c r="MGM13" s="338"/>
      <c r="MGN13" s="338"/>
      <c r="MGO13" s="338"/>
      <c r="MGP13" s="338"/>
      <c r="MGQ13" s="338"/>
      <c r="MGR13" s="338"/>
      <c r="MGS13" s="338"/>
      <c r="MGT13" s="338"/>
      <c r="MGU13" s="338"/>
      <c r="MGV13" s="338"/>
      <c r="MGW13" s="338"/>
      <c r="MGX13" s="338"/>
      <c r="MGY13" s="338"/>
      <c r="MGZ13" s="338"/>
      <c r="MHA13" s="338"/>
      <c r="MHB13" s="338"/>
      <c r="MHC13" s="338"/>
      <c r="MHD13" s="338"/>
      <c r="MHE13" s="338"/>
      <c r="MHF13" s="338"/>
      <c r="MHG13" s="338"/>
      <c r="MHH13" s="338"/>
      <c r="MHI13" s="338"/>
      <c r="MHJ13" s="338"/>
      <c r="MHK13" s="338"/>
      <c r="MHL13" s="338"/>
      <c r="MHM13" s="338"/>
      <c r="MHN13" s="338"/>
      <c r="MHO13" s="338"/>
      <c r="MHP13" s="338"/>
      <c r="MHQ13" s="338"/>
      <c r="MHR13" s="338"/>
      <c r="MHS13" s="338"/>
      <c r="MHT13" s="338"/>
      <c r="MHU13" s="338"/>
      <c r="MHV13" s="338"/>
      <c r="MHW13" s="338"/>
      <c r="MHX13" s="338"/>
      <c r="MHY13" s="338"/>
      <c r="MHZ13" s="338"/>
      <c r="MIA13" s="338"/>
      <c r="MIB13" s="338"/>
      <c r="MIC13" s="338"/>
      <c r="MID13" s="338"/>
      <c r="MIE13" s="338"/>
      <c r="MIF13" s="338"/>
      <c r="MIG13" s="338"/>
      <c r="MIH13" s="338"/>
      <c r="MII13" s="338"/>
      <c r="MIJ13" s="338"/>
      <c r="MIK13" s="338"/>
      <c r="MIL13" s="338"/>
      <c r="MIM13" s="338"/>
      <c r="MIN13" s="338"/>
      <c r="MIO13" s="338"/>
      <c r="MIP13" s="338"/>
      <c r="MIQ13" s="338"/>
      <c r="MIR13" s="338"/>
      <c r="MIS13" s="338"/>
      <c r="MIT13" s="338"/>
      <c r="MIU13" s="338"/>
      <c r="MIV13" s="338"/>
      <c r="MIW13" s="338"/>
      <c r="MIX13" s="338"/>
      <c r="MIY13" s="338"/>
      <c r="MIZ13" s="338"/>
      <c r="MJA13" s="338"/>
      <c r="MJB13" s="338"/>
      <c r="MJC13" s="338"/>
      <c r="MJD13" s="338"/>
      <c r="MJE13" s="338"/>
      <c r="MJF13" s="338"/>
      <c r="MJG13" s="338"/>
      <c r="MJH13" s="338"/>
      <c r="MJI13" s="338"/>
      <c r="MJJ13" s="338"/>
      <c r="MJK13" s="338"/>
      <c r="MJL13" s="338"/>
      <c r="MJM13" s="338"/>
      <c r="MJN13" s="338"/>
      <c r="MJO13" s="338"/>
      <c r="MJP13" s="338"/>
      <c r="MJQ13" s="338"/>
      <c r="MJR13" s="338"/>
      <c r="MJS13" s="338"/>
      <c r="MJT13" s="338"/>
      <c r="MJU13" s="338"/>
      <c r="MJV13" s="338"/>
      <c r="MJW13" s="338"/>
      <c r="MJX13" s="338"/>
      <c r="MJY13" s="338"/>
      <c r="MJZ13" s="338"/>
      <c r="MKA13" s="338"/>
      <c r="MKB13" s="338"/>
      <c r="MKC13" s="338"/>
      <c r="MKD13" s="338"/>
      <c r="MKE13" s="338"/>
      <c r="MKF13" s="338"/>
      <c r="MKG13" s="338"/>
      <c r="MKH13" s="338"/>
      <c r="MKI13" s="338"/>
      <c r="MKJ13" s="338"/>
      <c r="MKK13" s="338"/>
      <c r="MKL13" s="338"/>
      <c r="MKM13" s="338"/>
      <c r="MKN13" s="338"/>
      <c r="MKO13" s="338"/>
      <c r="MKP13" s="338"/>
      <c r="MKQ13" s="338"/>
      <c r="MKR13" s="338"/>
      <c r="MKS13" s="338"/>
      <c r="MKT13" s="338"/>
      <c r="MKU13" s="338"/>
      <c r="MKV13" s="338"/>
      <c r="MKW13" s="338"/>
      <c r="MKX13" s="338"/>
      <c r="MKY13" s="338"/>
      <c r="MKZ13" s="338"/>
      <c r="MLA13" s="338"/>
      <c r="MLB13" s="338"/>
      <c r="MLC13" s="338"/>
      <c r="MLD13" s="338"/>
      <c r="MLE13" s="338"/>
      <c r="MLF13" s="338"/>
      <c r="MLG13" s="338"/>
      <c r="MLH13" s="338"/>
      <c r="MLI13" s="338"/>
      <c r="MLJ13" s="338"/>
      <c r="MLK13" s="338"/>
      <c r="MLL13" s="338"/>
      <c r="MLM13" s="338"/>
      <c r="MLN13" s="338"/>
      <c r="MLO13" s="338"/>
      <c r="MLP13" s="338"/>
      <c r="MLQ13" s="338"/>
      <c r="MLR13" s="338"/>
      <c r="MLS13" s="338"/>
      <c r="MLT13" s="338"/>
      <c r="MLU13" s="338"/>
      <c r="MLV13" s="338"/>
      <c r="MLW13" s="338"/>
      <c r="MLX13" s="338"/>
      <c r="MLY13" s="338"/>
      <c r="MLZ13" s="338"/>
      <c r="MMA13" s="338"/>
      <c r="MMB13" s="338"/>
      <c r="MMC13" s="338"/>
      <c r="MMD13" s="338"/>
      <c r="MME13" s="338"/>
      <c r="MMF13" s="338"/>
      <c r="MMG13" s="338"/>
      <c r="MMH13" s="338"/>
      <c r="MMI13" s="338"/>
      <c r="MMJ13" s="338"/>
      <c r="MMK13" s="338"/>
      <c r="MML13" s="338"/>
      <c r="MMM13" s="338"/>
      <c r="MMN13" s="338"/>
      <c r="MMO13" s="338"/>
      <c r="MMP13" s="338"/>
      <c r="MMQ13" s="338"/>
      <c r="MMR13" s="338"/>
      <c r="MMS13" s="338"/>
      <c r="MMT13" s="338"/>
      <c r="MMU13" s="338"/>
      <c r="MMV13" s="338"/>
      <c r="MMW13" s="338"/>
      <c r="MMX13" s="338"/>
      <c r="MMY13" s="338"/>
      <c r="MMZ13" s="338"/>
      <c r="MNA13" s="338"/>
      <c r="MNB13" s="338"/>
      <c r="MNC13" s="338"/>
      <c r="MND13" s="338"/>
      <c r="MNE13" s="338"/>
      <c r="MNF13" s="338"/>
      <c r="MNG13" s="338"/>
      <c r="MNH13" s="338"/>
      <c r="MNI13" s="338"/>
      <c r="MNJ13" s="338"/>
      <c r="MNK13" s="338"/>
      <c r="MNL13" s="338"/>
      <c r="MNM13" s="338"/>
      <c r="MNN13" s="338"/>
      <c r="MNO13" s="338"/>
      <c r="MNP13" s="338"/>
      <c r="MNQ13" s="338"/>
      <c r="MNR13" s="338"/>
      <c r="MNS13" s="338"/>
      <c r="MNT13" s="338"/>
      <c r="MNU13" s="338"/>
      <c r="MNV13" s="338"/>
      <c r="MNW13" s="338"/>
      <c r="MNX13" s="338"/>
      <c r="MNY13" s="338"/>
      <c r="MNZ13" s="338"/>
      <c r="MOA13" s="338"/>
      <c r="MOB13" s="338"/>
      <c r="MOC13" s="338"/>
      <c r="MOD13" s="338"/>
      <c r="MOE13" s="338"/>
      <c r="MOF13" s="338"/>
      <c r="MOG13" s="338"/>
      <c r="MOH13" s="338"/>
      <c r="MOI13" s="338"/>
      <c r="MOJ13" s="338"/>
      <c r="MOK13" s="338"/>
      <c r="MOL13" s="338"/>
      <c r="MOM13" s="338"/>
      <c r="MON13" s="338"/>
      <c r="MOO13" s="338"/>
      <c r="MOP13" s="338"/>
      <c r="MOQ13" s="338"/>
      <c r="MOR13" s="338"/>
      <c r="MOS13" s="338"/>
      <c r="MOT13" s="338"/>
      <c r="MOU13" s="338"/>
      <c r="MOV13" s="338"/>
      <c r="MOW13" s="338"/>
      <c r="MOX13" s="338"/>
      <c r="MOY13" s="338"/>
      <c r="MOZ13" s="338"/>
      <c r="MPA13" s="338"/>
      <c r="MPB13" s="338"/>
      <c r="MPC13" s="338"/>
      <c r="MPD13" s="338"/>
      <c r="MPE13" s="338"/>
      <c r="MPF13" s="338"/>
      <c r="MPG13" s="338"/>
      <c r="MPH13" s="338"/>
      <c r="MPI13" s="338"/>
      <c r="MPJ13" s="338"/>
      <c r="MPK13" s="338"/>
      <c r="MPL13" s="338"/>
      <c r="MPM13" s="338"/>
      <c r="MPN13" s="338"/>
      <c r="MPO13" s="338"/>
      <c r="MPP13" s="338"/>
      <c r="MPQ13" s="338"/>
      <c r="MPR13" s="338"/>
      <c r="MPS13" s="338"/>
      <c r="MPT13" s="338"/>
      <c r="MPU13" s="338"/>
      <c r="MPV13" s="338"/>
      <c r="MPW13" s="338"/>
      <c r="MPX13" s="338"/>
      <c r="MPY13" s="338"/>
      <c r="MPZ13" s="338"/>
      <c r="MQA13" s="338"/>
      <c r="MQB13" s="338"/>
      <c r="MQC13" s="338"/>
      <c r="MQD13" s="338"/>
      <c r="MQE13" s="338"/>
      <c r="MQF13" s="338"/>
      <c r="MQG13" s="338"/>
      <c r="MQH13" s="338"/>
      <c r="MQI13" s="338"/>
      <c r="MQJ13" s="338"/>
      <c r="MQK13" s="338"/>
      <c r="MQL13" s="338"/>
      <c r="MQM13" s="338"/>
      <c r="MQN13" s="338"/>
      <c r="MQO13" s="338"/>
      <c r="MQP13" s="338"/>
      <c r="MQQ13" s="338"/>
      <c r="MQR13" s="338"/>
      <c r="MQS13" s="338"/>
      <c r="MQT13" s="338"/>
      <c r="MQU13" s="338"/>
      <c r="MQV13" s="338"/>
      <c r="MQW13" s="338"/>
      <c r="MQX13" s="338"/>
      <c r="MQY13" s="338"/>
      <c r="MQZ13" s="338"/>
      <c r="MRA13" s="338"/>
      <c r="MRB13" s="338"/>
      <c r="MRC13" s="338"/>
      <c r="MRD13" s="338"/>
      <c r="MRE13" s="338"/>
      <c r="MRF13" s="338"/>
      <c r="MRG13" s="338"/>
      <c r="MRH13" s="338"/>
      <c r="MRI13" s="338"/>
      <c r="MRJ13" s="338"/>
      <c r="MRK13" s="338"/>
      <c r="MRL13" s="338"/>
      <c r="MRM13" s="338"/>
      <c r="MRN13" s="338"/>
      <c r="MRO13" s="338"/>
      <c r="MRP13" s="338"/>
      <c r="MRQ13" s="338"/>
      <c r="MRR13" s="338"/>
      <c r="MRS13" s="338"/>
      <c r="MRT13" s="338"/>
      <c r="MRU13" s="338"/>
      <c r="MRV13" s="338"/>
      <c r="MRW13" s="338"/>
      <c r="MRX13" s="338"/>
      <c r="MRY13" s="338"/>
      <c r="MRZ13" s="338"/>
      <c r="MSA13" s="338"/>
      <c r="MSB13" s="338"/>
      <c r="MSC13" s="338"/>
      <c r="MSD13" s="338"/>
      <c r="MSE13" s="338"/>
      <c r="MSF13" s="338"/>
      <c r="MSG13" s="338"/>
      <c r="MSH13" s="338"/>
      <c r="MSI13" s="338"/>
      <c r="MSJ13" s="338"/>
      <c r="MSK13" s="338"/>
      <c r="MSL13" s="338"/>
      <c r="MSM13" s="338"/>
      <c r="MSN13" s="338"/>
      <c r="MSO13" s="338"/>
      <c r="MSP13" s="338"/>
      <c r="MSQ13" s="338"/>
      <c r="MSR13" s="338"/>
      <c r="MSS13" s="338"/>
      <c r="MST13" s="338"/>
      <c r="MSU13" s="338"/>
      <c r="MSV13" s="338"/>
      <c r="MSW13" s="338"/>
      <c r="MSX13" s="338"/>
      <c r="MSY13" s="338"/>
      <c r="MSZ13" s="338"/>
      <c r="MTA13" s="338"/>
      <c r="MTB13" s="338"/>
      <c r="MTC13" s="338"/>
      <c r="MTD13" s="338"/>
      <c r="MTE13" s="338"/>
      <c r="MTF13" s="338"/>
      <c r="MTG13" s="338"/>
      <c r="MTH13" s="338"/>
      <c r="MTI13" s="338"/>
      <c r="MTJ13" s="338"/>
      <c r="MTK13" s="338"/>
      <c r="MTL13" s="338"/>
      <c r="MTM13" s="338"/>
      <c r="MTN13" s="338"/>
      <c r="MTO13" s="338"/>
      <c r="MTP13" s="338"/>
      <c r="MTQ13" s="338"/>
      <c r="MTR13" s="338"/>
      <c r="MTS13" s="338"/>
      <c r="MTT13" s="338"/>
      <c r="MTU13" s="338"/>
      <c r="MTV13" s="338"/>
      <c r="MTW13" s="338"/>
      <c r="MTX13" s="338"/>
      <c r="MTY13" s="338"/>
      <c r="MTZ13" s="338"/>
      <c r="MUA13" s="338"/>
      <c r="MUB13" s="338"/>
      <c r="MUC13" s="338"/>
      <c r="MUD13" s="338"/>
      <c r="MUE13" s="338"/>
      <c r="MUF13" s="338"/>
      <c r="MUG13" s="338"/>
      <c r="MUH13" s="338"/>
      <c r="MUI13" s="338"/>
      <c r="MUJ13" s="338"/>
      <c r="MUK13" s="338"/>
      <c r="MUL13" s="338"/>
      <c r="MUM13" s="338"/>
      <c r="MUN13" s="338"/>
      <c r="MUO13" s="338"/>
      <c r="MUP13" s="338"/>
      <c r="MUQ13" s="338"/>
      <c r="MUR13" s="338"/>
      <c r="MUS13" s="338"/>
      <c r="MUT13" s="338"/>
      <c r="MUU13" s="338"/>
      <c r="MUV13" s="338"/>
      <c r="MUW13" s="338"/>
      <c r="MUX13" s="338"/>
      <c r="MUY13" s="338"/>
      <c r="MUZ13" s="338"/>
      <c r="MVA13" s="338"/>
      <c r="MVB13" s="338"/>
      <c r="MVC13" s="338"/>
      <c r="MVD13" s="338"/>
      <c r="MVE13" s="338"/>
      <c r="MVF13" s="338"/>
      <c r="MVG13" s="338"/>
      <c r="MVH13" s="338"/>
      <c r="MVI13" s="338"/>
      <c r="MVJ13" s="338"/>
      <c r="MVK13" s="338"/>
      <c r="MVL13" s="338"/>
      <c r="MVM13" s="338"/>
      <c r="MVN13" s="338"/>
      <c r="MVO13" s="338"/>
      <c r="MVP13" s="338"/>
      <c r="MVQ13" s="338"/>
      <c r="MVR13" s="338"/>
      <c r="MVS13" s="338"/>
      <c r="MVT13" s="338"/>
      <c r="MVU13" s="338"/>
      <c r="MVV13" s="338"/>
      <c r="MVW13" s="338"/>
      <c r="MVX13" s="338"/>
      <c r="MVY13" s="338"/>
      <c r="MVZ13" s="338"/>
      <c r="MWA13" s="338"/>
      <c r="MWB13" s="338"/>
      <c r="MWC13" s="338"/>
      <c r="MWD13" s="338"/>
      <c r="MWE13" s="338"/>
      <c r="MWF13" s="338"/>
      <c r="MWG13" s="338"/>
      <c r="MWH13" s="338"/>
      <c r="MWI13" s="338"/>
      <c r="MWJ13" s="338"/>
      <c r="MWK13" s="338"/>
      <c r="MWL13" s="338"/>
      <c r="MWM13" s="338"/>
      <c r="MWN13" s="338"/>
      <c r="MWO13" s="338"/>
      <c r="MWP13" s="338"/>
      <c r="MWQ13" s="338"/>
      <c r="MWR13" s="338"/>
      <c r="MWS13" s="338"/>
      <c r="MWT13" s="338"/>
      <c r="MWU13" s="338"/>
      <c r="MWV13" s="338"/>
      <c r="MWW13" s="338"/>
      <c r="MWX13" s="338"/>
      <c r="MWY13" s="338"/>
      <c r="MWZ13" s="338"/>
      <c r="MXA13" s="338"/>
      <c r="MXB13" s="338"/>
      <c r="MXC13" s="338"/>
      <c r="MXD13" s="338"/>
      <c r="MXE13" s="338"/>
      <c r="MXF13" s="338"/>
      <c r="MXG13" s="338"/>
      <c r="MXH13" s="338"/>
      <c r="MXI13" s="338"/>
      <c r="MXJ13" s="338"/>
      <c r="MXK13" s="338"/>
      <c r="MXL13" s="338"/>
      <c r="MXM13" s="338"/>
      <c r="MXN13" s="338"/>
      <c r="MXO13" s="338"/>
      <c r="MXP13" s="338"/>
      <c r="MXQ13" s="338"/>
      <c r="MXR13" s="338"/>
      <c r="MXS13" s="338"/>
      <c r="MXT13" s="338"/>
      <c r="MXU13" s="338"/>
      <c r="MXV13" s="338"/>
      <c r="MXW13" s="338"/>
      <c r="MXX13" s="338"/>
      <c r="MXY13" s="338"/>
      <c r="MXZ13" s="338"/>
      <c r="MYA13" s="338"/>
      <c r="MYB13" s="338"/>
      <c r="MYC13" s="338"/>
      <c r="MYD13" s="338"/>
      <c r="MYE13" s="338"/>
      <c r="MYF13" s="338"/>
      <c r="MYG13" s="338"/>
      <c r="MYH13" s="338"/>
      <c r="MYI13" s="338"/>
      <c r="MYJ13" s="338"/>
      <c r="MYK13" s="338"/>
      <c r="MYL13" s="338"/>
      <c r="MYM13" s="338"/>
      <c r="MYN13" s="338"/>
      <c r="MYO13" s="338"/>
      <c r="MYP13" s="338"/>
      <c r="MYQ13" s="338"/>
      <c r="MYR13" s="338"/>
      <c r="MYS13" s="338"/>
      <c r="MYT13" s="338"/>
      <c r="MYU13" s="338"/>
      <c r="MYV13" s="338"/>
      <c r="MYW13" s="338"/>
      <c r="MYX13" s="338"/>
      <c r="MYY13" s="338"/>
      <c r="MYZ13" s="338"/>
      <c r="MZA13" s="338"/>
      <c r="MZB13" s="338"/>
      <c r="MZC13" s="338"/>
      <c r="MZD13" s="338"/>
      <c r="MZE13" s="338"/>
      <c r="MZF13" s="338"/>
      <c r="MZG13" s="338"/>
      <c r="MZH13" s="338"/>
      <c r="MZI13" s="338"/>
      <c r="MZJ13" s="338"/>
      <c r="MZK13" s="338"/>
      <c r="MZL13" s="338"/>
      <c r="MZM13" s="338"/>
      <c r="MZN13" s="338"/>
      <c r="MZO13" s="338"/>
      <c r="MZP13" s="338"/>
      <c r="MZQ13" s="338"/>
      <c r="MZR13" s="338"/>
      <c r="MZS13" s="338"/>
      <c r="MZT13" s="338"/>
      <c r="MZU13" s="338"/>
      <c r="MZV13" s="338"/>
      <c r="MZW13" s="338"/>
      <c r="MZX13" s="338"/>
      <c r="MZY13" s="338"/>
      <c r="MZZ13" s="338"/>
      <c r="NAA13" s="338"/>
      <c r="NAB13" s="338"/>
      <c r="NAC13" s="338"/>
      <c r="NAD13" s="338"/>
      <c r="NAE13" s="338"/>
      <c r="NAF13" s="338"/>
      <c r="NAG13" s="338"/>
      <c r="NAH13" s="338"/>
      <c r="NAI13" s="338"/>
      <c r="NAJ13" s="338"/>
      <c r="NAK13" s="338"/>
      <c r="NAL13" s="338"/>
      <c r="NAM13" s="338"/>
      <c r="NAN13" s="338"/>
      <c r="NAO13" s="338"/>
      <c r="NAP13" s="338"/>
      <c r="NAQ13" s="338"/>
      <c r="NAR13" s="338"/>
      <c r="NAS13" s="338"/>
      <c r="NAT13" s="338"/>
      <c r="NAU13" s="338"/>
      <c r="NAV13" s="338"/>
      <c r="NAW13" s="338"/>
      <c r="NAX13" s="338"/>
      <c r="NAY13" s="338"/>
      <c r="NAZ13" s="338"/>
      <c r="NBA13" s="338"/>
      <c r="NBB13" s="338"/>
      <c r="NBC13" s="338"/>
      <c r="NBD13" s="338"/>
      <c r="NBE13" s="338"/>
      <c r="NBF13" s="338"/>
      <c r="NBG13" s="338"/>
      <c r="NBH13" s="338"/>
      <c r="NBI13" s="338"/>
      <c r="NBJ13" s="338"/>
      <c r="NBK13" s="338"/>
      <c r="NBL13" s="338"/>
      <c r="NBM13" s="338"/>
      <c r="NBN13" s="338"/>
      <c r="NBO13" s="338"/>
      <c r="NBP13" s="338"/>
      <c r="NBQ13" s="338"/>
      <c r="NBR13" s="338"/>
      <c r="NBS13" s="338"/>
      <c r="NBT13" s="338"/>
      <c r="NBU13" s="338"/>
      <c r="NBV13" s="338"/>
      <c r="NBW13" s="338"/>
      <c r="NBX13" s="338"/>
      <c r="NBY13" s="338"/>
      <c r="NBZ13" s="338"/>
      <c r="NCA13" s="338"/>
      <c r="NCB13" s="338"/>
      <c r="NCC13" s="338"/>
      <c r="NCD13" s="338"/>
      <c r="NCE13" s="338"/>
      <c r="NCF13" s="338"/>
      <c r="NCG13" s="338"/>
      <c r="NCH13" s="338"/>
      <c r="NCI13" s="338"/>
      <c r="NCJ13" s="338"/>
      <c r="NCK13" s="338"/>
      <c r="NCL13" s="338"/>
      <c r="NCM13" s="338"/>
      <c r="NCN13" s="338"/>
      <c r="NCO13" s="338"/>
      <c r="NCP13" s="338"/>
      <c r="NCQ13" s="338"/>
      <c r="NCR13" s="338"/>
      <c r="NCS13" s="338"/>
      <c r="NCT13" s="338"/>
      <c r="NCU13" s="338"/>
      <c r="NCV13" s="338"/>
      <c r="NCW13" s="338"/>
      <c r="NCX13" s="338"/>
      <c r="NCY13" s="338"/>
      <c r="NCZ13" s="338"/>
      <c r="NDA13" s="338"/>
      <c r="NDB13" s="338"/>
      <c r="NDC13" s="338"/>
      <c r="NDD13" s="338"/>
      <c r="NDE13" s="338"/>
      <c r="NDF13" s="338"/>
      <c r="NDG13" s="338"/>
      <c r="NDH13" s="338"/>
      <c r="NDI13" s="338"/>
      <c r="NDJ13" s="338"/>
      <c r="NDK13" s="338"/>
      <c r="NDL13" s="338"/>
      <c r="NDM13" s="338"/>
      <c r="NDN13" s="338"/>
      <c r="NDO13" s="338"/>
      <c r="NDP13" s="338"/>
      <c r="NDQ13" s="338"/>
      <c r="NDR13" s="338"/>
      <c r="NDS13" s="338"/>
      <c r="NDT13" s="338"/>
      <c r="NDU13" s="338"/>
      <c r="NDV13" s="338"/>
      <c r="NDW13" s="338"/>
      <c r="NDX13" s="338"/>
      <c r="NDY13" s="338"/>
      <c r="NDZ13" s="338"/>
      <c r="NEA13" s="338"/>
      <c r="NEB13" s="338"/>
      <c r="NEC13" s="338"/>
      <c r="NED13" s="338"/>
      <c r="NEE13" s="338"/>
      <c r="NEF13" s="338"/>
      <c r="NEG13" s="338"/>
      <c r="NEH13" s="338"/>
      <c r="NEI13" s="338"/>
      <c r="NEJ13" s="338"/>
      <c r="NEK13" s="338"/>
      <c r="NEL13" s="338"/>
      <c r="NEM13" s="338"/>
      <c r="NEN13" s="338"/>
      <c r="NEO13" s="338"/>
      <c r="NEP13" s="338"/>
      <c r="NEQ13" s="338"/>
      <c r="NER13" s="338"/>
      <c r="NES13" s="338"/>
      <c r="NET13" s="338"/>
      <c r="NEU13" s="338"/>
      <c r="NEV13" s="338"/>
      <c r="NEW13" s="338"/>
      <c r="NEX13" s="338"/>
      <c r="NEY13" s="338"/>
      <c r="NEZ13" s="338"/>
      <c r="NFA13" s="338"/>
      <c r="NFB13" s="338"/>
      <c r="NFC13" s="338"/>
      <c r="NFD13" s="338"/>
      <c r="NFE13" s="338"/>
      <c r="NFF13" s="338"/>
      <c r="NFG13" s="338"/>
      <c r="NFH13" s="338"/>
      <c r="NFI13" s="338"/>
      <c r="NFJ13" s="338"/>
      <c r="NFK13" s="338"/>
      <c r="NFL13" s="338"/>
      <c r="NFM13" s="338"/>
      <c r="NFN13" s="338"/>
      <c r="NFO13" s="338"/>
      <c r="NFP13" s="338"/>
      <c r="NFQ13" s="338"/>
      <c r="NFR13" s="338"/>
      <c r="NFS13" s="338"/>
      <c r="NFT13" s="338"/>
      <c r="NFU13" s="338"/>
      <c r="NFV13" s="338"/>
      <c r="NFW13" s="338"/>
      <c r="NFX13" s="338"/>
      <c r="NFY13" s="338"/>
      <c r="NFZ13" s="338"/>
      <c r="NGA13" s="338"/>
      <c r="NGB13" s="338"/>
      <c r="NGC13" s="338"/>
      <c r="NGD13" s="338"/>
      <c r="NGE13" s="338"/>
      <c r="NGF13" s="338"/>
      <c r="NGG13" s="338"/>
      <c r="NGH13" s="338"/>
      <c r="NGI13" s="338"/>
      <c r="NGJ13" s="338"/>
      <c r="NGK13" s="338"/>
      <c r="NGL13" s="338"/>
      <c r="NGM13" s="338"/>
      <c r="NGN13" s="338"/>
      <c r="NGO13" s="338"/>
      <c r="NGP13" s="338"/>
      <c r="NGQ13" s="338"/>
      <c r="NGR13" s="338"/>
      <c r="NGS13" s="338"/>
      <c r="NGT13" s="338"/>
      <c r="NGU13" s="338"/>
      <c r="NGV13" s="338"/>
      <c r="NGW13" s="338"/>
      <c r="NGX13" s="338"/>
      <c r="NGY13" s="338"/>
      <c r="NGZ13" s="338"/>
      <c r="NHA13" s="338"/>
      <c r="NHB13" s="338"/>
      <c r="NHC13" s="338"/>
      <c r="NHD13" s="338"/>
      <c r="NHE13" s="338"/>
      <c r="NHF13" s="338"/>
      <c r="NHG13" s="338"/>
      <c r="NHH13" s="338"/>
      <c r="NHI13" s="338"/>
      <c r="NHJ13" s="338"/>
      <c r="NHK13" s="338"/>
      <c r="NHL13" s="338"/>
      <c r="NHM13" s="338"/>
      <c r="NHN13" s="338"/>
      <c r="NHO13" s="338"/>
      <c r="NHP13" s="338"/>
      <c r="NHQ13" s="338"/>
      <c r="NHR13" s="338"/>
      <c r="NHS13" s="338"/>
      <c r="NHT13" s="338"/>
      <c r="NHU13" s="338"/>
      <c r="NHV13" s="338"/>
      <c r="NHW13" s="338"/>
      <c r="NHX13" s="338"/>
      <c r="NHY13" s="338"/>
      <c r="NHZ13" s="338"/>
      <c r="NIA13" s="338"/>
      <c r="NIB13" s="338"/>
      <c r="NIC13" s="338"/>
      <c r="NID13" s="338"/>
      <c r="NIE13" s="338"/>
      <c r="NIF13" s="338"/>
      <c r="NIG13" s="338"/>
      <c r="NIH13" s="338"/>
      <c r="NII13" s="338"/>
      <c r="NIJ13" s="338"/>
      <c r="NIK13" s="338"/>
      <c r="NIL13" s="338"/>
      <c r="NIM13" s="338"/>
      <c r="NIN13" s="338"/>
      <c r="NIO13" s="338"/>
      <c r="NIP13" s="338"/>
      <c r="NIQ13" s="338"/>
      <c r="NIR13" s="338"/>
      <c r="NIS13" s="338"/>
      <c r="NIT13" s="338"/>
      <c r="NIU13" s="338"/>
      <c r="NIV13" s="338"/>
      <c r="NIW13" s="338"/>
      <c r="NIX13" s="338"/>
      <c r="NIY13" s="338"/>
      <c r="NIZ13" s="338"/>
      <c r="NJA13" s="338"/>
      <c r="NJB13" s="338"/>
      <c r="NJC13" s="338"/>
      <c r="NJD13" s="338"/>
      <c r="NJE13" s="338"/>
      <c r="NJF13" s="338"/>
      <c r="NJG13" s="338"/>
      <c r="NJH13" s="338"/>
      <c r="NJI13" s="338"/>
      <c r="NJJ13" s="338"/>
      <c r="NJK13" s="338"/>
      <c r="NJL13" s="338"/>
      <c r="NJM13" s="338"/>
      <c r="NJN13" s="338"/>
      <c r="NJO13" s="338"/>
      <c r="NJP13" s="338"/>
      <c r="NJQ13" s="338"/>
      <c r="NJR13" s="338"/>
      <c r="NJS13" s="338"/>
      <c r="NJT13" s="338"/>
      <c r="NJU13" s="338"/>
      <c r="NJV13" s="338"/>
      <c r="NJW13" s="338"/>
      <c r="NJX13" s="338"/>
      <c r="NJY13" s="338"/>
      <c r="NJZ13" s="338"/>
      <c r="NKA13" s="338"/>
      <c r="NKB13" s="338"/>
      <c r="NKC13" s="338"/>
      <c r="NKD13" s="338"/>
      <c r="NKE13" s="338"/>
      <c r="NKF13" s="338"/>
      <c r="NKG13" s="338"/>
      <c r="NKH13" s="338"/>
      <c r="NKI13" s="338"/>
      <c r="NKJ13" s="338"/>
      <c r="NKK13" s="338"/>
      <c r="NKL13" s="338"/>
      <c r="NKM13" s="338"/>
      <c r="NKN13" s="338"/>
      <c r="NKO13" s="338"/>
      <c r="NKP13" s="338"/>
      <c r="NKQ13" s="338"/>
      <c r="NKR13" s="338"/>
      <c r="NKS13" s="338"/>
      <c r="NKT13" s="338"/>
      <c r="NKU13" s="338"/>
      <c r="NKV13" s="338"/>
      <c r="NKW13" s="338"/>
      <c r="NKX13" s="338"/>
      <c r="NKY13" s="338"/>
      <c r="NKZ13" s="338"/>
      <c r="NLA13" s="338"/>
      <c r="NLB13" s="338"/>
      <c r="NLC13" s="338"/>
      <c r="NLD13" s="338"/>
      <c r="NLE13" s="338"/>
      <c r="NLF13" s="338"/>
      <c r="NLG13" s="338"/>
      <c r="NLH13" s="338"/>
      <c r="NLI13" s="338"/>
      <c r="NLJ13" s="338"/>
      <c r="NLK13" s="338"/>
      <c r="NLL13" s="338"/>
      <c r="NLM13" s="338"/>
      <c r="NLN13" s="338"/>
      <c r="NLO13" s="338"/>
      <c r="NLP13" s="338"/>
      <c r="NLQ13" s="338"/>
      <c r="NLR13" s="338"/>
      <c r="NLS13" s="338"/>
      <c r="NLT13" s="338"/>
      <c r="NLU13" s="338"/>
      <c r="NLV13" s="338"/>
      <c r="NLW13" s="338"/>
      <c r="NLX13" s="338"/>
      <c r="NLY13" s="338"/>
      <c r="NLZ13" s="338"/>
      <c r="NMA13" s="338"/>
      <c r="NMB13" s="338"/>
      <c r="NMC13" s="338"/>
      <c r="NMD13" s="338"/>
      <c r="NME13" s="338"/>
      <c r="NMF13" s="338"/>
      <c r="NMG13" s="338"/>
      <c r="NMH13" s="338"/>
      <c r="NMI13" s="338"/>
      <c r="NMJ13" s="338"/>
      <c r="NMK13" s="338"/>
      <c r="NML13" s="338"/>
      <c r="NMM13" s="338"/>
      <c r="NMN13" s="338"/>
      <c r="NMO13" s="338"/>
      <c r="NMP13" s="338"/>
      <c r="NMQ13" s="338"/>
      <c r="NMR13" s="338"/>
      <c r="NMS13" s="338"/>
      <c r="NMT13" s="338"/>
      <c r="NMU13" s="338"/>
      <c r="NMV13" s="338"/>
      <c r="NMW13" s="338"/>
      <c r="NMX13" s="338"/>
      <c r="NMY13" s="338"/>
      <c r="NMZ13" s="338"/>
      <c r="NNA13" s="338"/>
      <c r="NNB13" s="338"/>
      <c r="NNC13" s="338"/>
      <c r="NND13" s="338"/>
      <c r="NNE13" s="338"/>
      <c r="NNF13" s="338"/>
      <c r="NNG13" s="338"/>
      <c r="NNH13" s="338"/>
      <c r="NNI13" s="338"/>
      <c r="NNJ13" s="338"/>
      <c r="NNK13" s="338"/>
      <c r="NNL13" s="338"/>
      <c r="NNM13" s="338"/>
      <c r="NNN13" s="338"/>
      <c r="NNO13" s="338"/>
      <c r="NNP13" s="338"/>
      <c r="NNQ13" s="338"/>
      <c r="NNR13" s="338"/>
      <c r="NNS13" s="338"/>
      <c r="NNT13" s="338"/>
      <c r="NNU13" s="338"/>
      <c r="NNV13" s="338"/>
      <c r="NNW13" s="338"/>
      <c r="NNX13" s="338"/>
      <c r="NNY13" s="338"/>
      <c r="NNZ13" s="338"/>
      <c r="NOA13" s="338"/>
      <c r="NOB13" s="338"/>
      <c r="NOC13" s="338"/>
      <c r="NOD13" s="338"/>
      <c r="NOE13" s="338"/>
      <c r="NOF13" s="338"/>
      <c r="NOG13" s="338"/>
      <c r="NOH13" s="338"/>
      <c r="NOI13" s="338"/>
      <c r="NOJ13" s="338"/>
      <c r="NOK13" s="338"/>
      <c r="NOL13" s="338"/>
      <c r="NOM13" s="338"/>
      <c r="NON13" s="338"/>
      <c r="NOO13" s="338"/>
      <c r="NOP13" s="338"/>
      <c r="NOQ13" s="338"/>
      <c r="NOR13" s="338"/>
      <c r="NOS13" s="338"/>
      <c r="NOT13" s="338"/>
      <c r="NOU13" s="338"/>
      <c r="NOV13" s="338"/>
      <c r="NOW13" s="338"/>
      <c r="NOX13" s="338"/>
      <c r="NOY13" s="338"/>
      <c r="NOZ13" s="338"/>
      <c r="NPA13" s="338"/>
      <c r="NPB13" s="338"/>
      <c r="NPC13" s="338"/>
      <c r="NPD13" s="338"/>
      <c r="NPE13" s="338"/>
      <c r="NPF13" s="338"/>
      <c r="NPG13" s="338"/>
      <c r="NPH13" s="338"/>
      <c r="NPI13" s="338"/>
      <c r="NPJ13" s="338"/>
      <c r="NPK13" s="338"/>
      <c r="NPL13" s="338"/>
      <c r="NPM13" s="338"/>
      <c r="NPN13" s="338"/>
      <c r="NPO13" s="338"/>
      <c r="NPP13" s="338"/>
      <c r="NPQ13" s="338"/>
      <c r="NPR13" s="338"/>
      <c r="NPS13" s="338"/>
      <c r="NPT13" s="338"/>
      <c r="NPU13" s="338"/>
      <c r="NPV13" s="338"/>
      <c r="NPW13" s="338"/>
      <c r="NPX13" s="338"/>
      <c r="NPY13" s="338"/>
      <c r="NPZ13" s="338"/>
      <c r="NQA13" s="338"/>
      <c r="NQB13" s="338"/>
      <c r="NQC13" s="338"/>
      <c r="NQD13" s="338"/>
      <c r="NQE13" s="338"/>
      <c r="NQF13" s="338"/>
      <c r="NQG13" s="338"/>
      <c r="NQH13" s="338"/>
      <c r="NQI13" s="338"/>
      <c r="NQJ13" s="338"/>
      <c r="NQK13" s="338"/>
      <c r="NQL13" s="338"/>
      <c r="NQM13" s="338"/>
      <c r="NQN13" s="338"/>
      <c r="NQO13" s="338"/>
      <c r="NQP13" s="338"/>
      <c r="NQQ13" s="338"/>
      <c r="NQR13" s="338"/>
      <c r="NQS13" s="338"/>
      <c r="NQT13" s="338"/>
      <c r="NQU13" s="338"/>
      <c r="NQV13" s="338"/>
      <c r="NQW13" s="338"/>
      <c r="NQX13" s="338"/>
      <c r="NQY13" s="338"/>
      <c r="NQZ13" s="338"/>
      <c r="NRA13" s="338"/>
      <c r="NRB13" s="338"/>
      <c r="NRC13" s="338"/>
      <c r="NRD13" s="338"/>
      <c r="NRE13" s="338"/>
      <c r="NRF13" s="338"/>
      <c r="NRG13" s="338"/>
      <c r="NRH13" s="338"/>
      <c r="NRI13" s="338"/>
      <c r="NRJ13" s="338"/>
      <c r="NRK13" s="338"/>
      <c r="NRL13" s="338"/>
      <c r="NRM13" s="338"/>
      <c r="NRN13" s="338"/>
      <c r="NRO13" s="338"/>
      <c r="NRP13" s="338"/>
      <c r="NRQ13" s="338"/>
      <c r="NRR13" s="338"/>
      <c r="NRS13" s="338"/>
      <c r="NRT13" s="338"/>
      <c r="NRU13" s="338"/>
      <c r="NRV13" s="338"/>
      <c r="NRW13" s="338"/>
      <c r="NRX13" s="338"/>
      <c r="NRY13" s="338"/>
      <c r="NRZ13" s="338"/>
      <c r="NSA13" s="338"/>
      <c r="NSB13" s="338"/>
      <c r="NSC13" s="338"/>
      <c r="NSD13" s="338"/>
      <c r="NSE13" s="338"/>
      <c r="NSF13" s="338"/>
      <c r="NSG13" s="338"/>
      <c r="NSH13" s="338"/>
      <c r="NSI13" s="338"/>
      <c r="NSJ13" s="338"/>
      <c r="NSK13" s="338"/>
      <c r="NSL13" s="338"/>
      <c r="NSM13" s="338"/>
      <c r="NSN13" s="338"/>
      <c r="NSO13" s="338"/>
      <c r="NSP13" s="338"/>
      <c r="NSQ13" s="338"/>
      <c r="NSR13" s="338"/>
      <c r="NSS13" s="338"/>
      <c r="NST13" s="338"/>
      <c r="NSU13" s="338"/>
      <c r="NSV13" s="338"/>
      <c r="NSW13" s="338"/>
      <c r="NSX13" s="338"/>
      <c r="NSY13" s="338"/>
      <c r="NSZ13" s="338"/>
      <c r="NTA13" s="338"/>
      <c r="NTB13" s="338"/>
      <c r="NTC13" s="338"/>
      <c r="NTD13" s="338"/>
      <c r="NTE13" s="338"/>
      <c r="NTF13" s="338"/>
      <c r="NTG13" s="338"/>
      <c r="NTH13" s="338"/>
      <c r="NTI13" s="338"/>
      <c r="NTJ13" s="338"/>
      <c r="NTK13" s="338"/>
      <c r="NTL13" s="338"/>
      <c r="NTM13" s="338"/>
      <c r="NTN13" s="338"/>
      <c r="NTO13" s="338"/>
      <c r="NTP13" s="338"/>
      <c r="NTQ13" s="338"/>
      <c r="NTR13" s="338"/>
      <c r="NTS13" s="338"/>
      <c r="NTT13" s="338"/>
      <c r="NTU13" s="338"/>
      <c r="NTV13" s="338"/>
      <c r="NTW13" s="338"/>
      <c r="NTX13" s="338"/>
      <c r="NTY13" s="338"/>
      <c r="NTZ13" s="338"/>
      <c r="NUA13" s="338"/>
      <c r="NUB13" s="338"/>
      <c r="NUC13" s="338"/>
      <c r="NUD13" s="338"/>
      <c r="NUE13" s="338"/>
      <c r="NUF13" s="338"/>
      <c r="NUG13" s="338"/>
      <c r="NUH13" s="338"/>
      <c r="NUI13" s="338"/>
      <c r="NUJ13" s="338"/>
      <c r="NUK13" s="338"/>
      <c r="NUL13" s="338"/>
      <c r="NUM13" s="338"/>
      <c r="NUN13" s="338"/>
      <c r="NUO13" s="338"/>
      <c r="NUP13" s="338"/>
      <c r="NUQ13" s="338"/>
      <c r="NUR13" s="338"/>
      <c r="NUS13" s="338"/>
      <c r="NUT13" s="338"/>
      <c r="NUU13" s="338"/>
      <c r="NUV13" s="338"/>
      <c r="NUW13" s="338"/>
      <c r="NUX13" s="338"/>
      <c r="NUY13" s="338"/>
      <c r="NUZ13" s="338"/>
      <c r="NVA13" s="338"/>
      <c r="NVB13" s="338"/>
      <c r="NVC13" s="338"/>
      <c r="NVD13" s="338"/>
      <c r="NVE13" s="338"/>
      <c r="NVF13" s="338"/>
      <c r="NVG13" s="338"/>
      <c r="NVH13" s="338"/>
      <c r="NVI13" s="338"/>
      <c r="NVJ13" s="338"/>
      <c r="NVK13" s="338"/>
      <c r="NVL13" s="338"/>
      <c r="NVM13" s="338"/>
      <c r="NVN13" s="338"/>
      <c r="NVO13" s="338"/>
      <c r="NVP13" s="338"/>
      <c r="NVQ13" s="338"/>
      <c r="NVR13" s="338"/>
      <c r="NVS13" s="338"/>
      <c r="NVT13" s="338"/>
      <c r="NVU13" s="338"/>
      <c r="NVV13" s="338"/>
      <c r="NVW13" s="338"/>
      <c r="NVX13" s="338"/>
      <c r="NVY13" s="338"/>
      <c r="NVZ13" s="338"/>
      <c r="NWA13" s="338"/>
      <c r="NWB13" s="338"/>
      <c r="NWC13" s="338"/>
      <c r="NWD13" s="338"/>
      <c r="NWE13" s="338"/>
      <c r="NWF13" s="338"/>
      <c r="NWG13" s="338"/>
      <c r="NWH13" s="338"/>
      <c r="NWI13" s="338"/>
      <c r="NWJ13" s="338"/>
      <c r="NWK13" s="338"/>
      <c r="NWL13" s="338"/>
      <c r="NWM13" s="338"/>
      <c r="NWN13" s="338"/>
      <c r="NWO13" s="338"/>
      <c r="NWP13" s="338"/>
      <c r="NWQ13" s="338"/>
      <c r="NWR13" s="338"/>
      <c r="NWS13" s="338"/>
      <c r="NWT13" s="338"/>
      <c r="NWU13" s="338"/>
      <c r="NWV13" s="338"/>
      <c r="NWW13" s="338"/>
      <c r="NWX13" s="338"/>
      <c r="NWY13" s="338"/>
      <c r="NWZ13" s="338"/>
      <c r="NXA13" s="338"/>
      <c r="NXB13" s="338"/>
      <c r="NXC13" s="338"/>
      <c r="NXD13" s="338"/>
      <c r="NXE13" s="338"/>
      <c r="NXF13" s="338"/>
      <c r="NXG13" s="338"/>
      <c r="NXH13" s="338"/>
      <c r="NXI13" s="338"/>
      <c r="NXJ13" s="338"/>
      <c r="NXK13" s="338"/>
      <c r="NXL13" s="338"/>
      <c r="NXM13" s="338"/>
      <c r="NXN13" s="338"/>
      <c r="NXO13" s="338"/>
      <c r="NXP13" s="338"/>
      <c r="NXQ13" s="338"/>
      <c r="NXR13" s="338"/>
      <c r="NXS13" s="338"/>
      <c r="NXT13" s="338"/>
      <c r="NXU13" s="338"/>
      <c r="NXV13" s="338"/>
      <c r="NXW13" s="338"/>
      <c r="NXX13" s="338"/>
      <c r="NXY13" s="338"/>
      <c r="NXZ13" s="338"/>
      <c r="NYA13" s="338"/>
      <c r="NYB13" s="338"/>
      <c r="NYC13" s="338"/>
      <c r="NYD13" s="338"/>
      <c r="NYE13" s="338"/>
      <c r="NYF13" s="338"/>
      <c r="NYG13" s="338"/>
      <c r="NYH13" s="338"/>
      <c r="NYI13" s="338"/>
      <c r="NYJ13" s="338"/>
      <c r="NYK13" s="338"/>
      <c r="NYL13" s="338"/>
      <c r="NYM13" s="338"/>
      <c r="NYN13" s="338"/>
      <c r="NYO13" s="338"/>
      <c r="NYP13" s="338"/>
      <c r="NYQ13" s="338"/>
      <c r="NYR13" s="338"/>
      <c r="NYS13" s="338"/>
      <c r="NYT13" s="338"/>
      <c r="NYU13" s="338"/>
      <c r="NYV13" s="338"/>
      <c r="NYW13" s="338"/>
      <c r="NYX13" s="338"/>
      <c r="NYY13" s="338"/>
      <c r="NYZ13" s="338"/>
      <c r="NZA13" s="338"/>
      <c r="NZB13" s="338"/>
      <c r="NZC13" s="338"/>
      <c r="NZD13" s="338"/>
      <c r="NZE13" s="338"/>
      <c r="NZF13" s="338"/>
      <c r="NZG13" s="338"/>
      <c r="NZH13" s="338"/>
      <c r="NZI13" s="338"/>
      <c r="NZJ13" s="338"/>
      <c r="NZK13" s="338"/>
      <c r="NZL13" s="338"/>
      <c r="NZM13" s="338"/>
      <c r="NZN13" s="338"/>
      <c r="NZO13" s="338"/>
      <c r="NZP13" s="338"/>
      <c r="NZQ13" s="338"/>
      <c r="NZR13" s="338"/>
      <c r="NZS13" s="338"/>
      <c r="NZT13" s="338"/>
      <c r="NZU13" s="338"/>
      <c r="NZV13" s="338"/>
      <c r="NZW13" s="338"/>
      <c r="NZX13" s="338"/>
      <c r="NZY13" s="338"/>
      <c r="NZZ13" s="338"/>
      <c r="OAA13" s="338"/>
      <c r="OAB13" s="338"/>
      <c r="OAC13" s="338"/>
      <c r="OAD13" s="338"/>
      <c r="OAE13" s="338"/>
      <c r="OAF13" s="338"/>
      <c r="OAG13" s="338"/>
      <c r="OAH13" s="338"/>
      <c r="OAI13" s="338"/>
      <c r="OAJ13" s="338"/>
      <c r="OAK13" s="338"/>
      <c r="OAL13" s="338"/>
      <c r="OAM13" s="338"/>
      <c r="OAN13" s="338"/>
      <c r="OAO13" s="338"/>
      <c r="OAP13" s="338"/>
      <c r="OAQ13" s="338"/>
      <c r="OAR13" s="338"/>
      <c r="OAS13" s="338"/>
      <c r="OAT13" s="338"/>
      <c r="OAU13" s="338"/>
      <c r="OAV13" s="338"/>
      <c r="OAW13" s="338"/>
      <c r="OAX13" s="338"/>
      <c r="OAY13" s="338"/>
      <c r="OAZ13" s="338"/>
      <c r="OBA13" s="338"/>
      <c r="OBB13" s="338"/>
      <c r="OBC13" s="338"/>
      <c r="OBD13" s="338"/>
      <c r="OBE13" s="338"/>
      <c r="OBF13" s="338"/>
      <c r="OBG13" s="338"/>
      <c r="OBH13" s="338"/>
      <c r="OBI13" s="338"/>
      <c r="OBJ13" s="338"/>
      <c r="OBK13" s="338"/>
      <c r="OBL13" s="338"/>
      <c r="OBM13" s="338"/>
      <c r="OBN13" s="338"/>
      <c r="OBO13" s="338"/>
      <c r="OBP13" s="338"/>
      <c r="OBQ13" s="338"/>
      <c r="OBR13" s="338"/>
      <c r="OBS13" s="338"/>
      <c r="OBT13" s="338"/>
      <c r="OBU13" s="338"/>
      <c r="OBV13" s="338"/>
      <c r="OBW13" s="338"/>
      <c r="OBX13" s="338"/>
      <c r="OBY13" s="338"/>
      <c r="OBZ13" s="338"/>
      <c r="OCA13" s="338"/>
      <c r="OCB13" s="338"/>
      <c r="OCC13" s="338"/>
      <c r="OCD13" s="338"/>
      <c r="OCE13" s="338"/>
      <c r="OCF13" s="338"/>
      <c r="OCG13" s="338"/>
      <c r="OCH13" s="338"/>
      <c r="OCI13" s="338"/>
      <c r="OCJ13" s="338"/>
      <c r="OCK13" s="338"/>
      <c r="OCL13" s="338"/>
      <c r="OCM13" s="338"/>
      <c r="OCN13" s="338"/>
      <c r="OCO13" s="338"/>
      <c r="OCP13" s="338"/>
      <c r="OCQ13" s="338"/>
      <c r="OCR13" s="338"/>
      <c r="OCS13" s="338"/>
      <c r="OCT13" s="338"/>
      <c r="OCU13" s="338"/>
      <c r="OCV13" s="338"/>
      <c r="OCW13" s="338"/>
      <c r="OCX13" s="338"/>
      <c r="OCY13" s="338"/>
      <c r="OCZ13" s="338"/>
      <c r="ODA13" s="338"/>
      <c r="ODB13" s="338"/>
      <c r="ODC13" s="338"/>
      <c r="ODD13" s="338"/>
      <c r="ODE13" s="338"/>
      <c r="ODF13" s="338"/>
      <c r="ODG13" s="338"/>
      <c r="ODH13" s="338"/>
      <c r="ODI13" s="338"/>
      <c r="ODJ13" s="338"/>
      <c r="ODK13" s="338"/>
      <c r="ODL13" s="338"/>
      <c r="ODM13" s="338"/>
      <c r="ODN13" s="338"/>
      <c r="ODO13" s="338"/>
      <c r="ODP13" s="338"/>
      <c r="ODQ13" s="338"/>
      <c r="ODR13" s="338"/>
      <c r="ODS13" s="338"/>
      <c r="ODT13" s="338"/>
      <c r="ODU13" s="338"/>
      <c r="ODV13" s="338"/>
      <c r="ODW13" s="338"/>
      <c r="ODX13" s="338"/>
      <c r="ODY13" s="338"/>
      <c r="ODZ13" s="338"/>
      <c r="OEA13" s="338"/>
      <c r="OEB13" s="338"/>
      <c r="OEC13" s="338"/>
      <c r="OED13" s="338"/>
      <c r="OEE13" s="338"/>
      <c r="OEF13" s="338"/>
      <c r="OEG13" s="338"/>
      <c r="OEH13" s="338"/>
      <c r="OEI13" s="338"/>
      <c r="OEJ13" s="338"/>
      <c r="OEK13" s="338"/>
      <c r="OEL13" s="338"/>
      <c r="OEM13" s="338"/>
      <c r="OEN13" s="338"/>
      <c r="OEO13" s="338"/>
      <c r="OEP13" s="338"/>
      <c r="OEQ13" s="338"/>
      <c r="OER13" s="338"/>
      <c r="OES13" s="338"/>
      <c r="OET13" s="338"/>
      <c r="OEU13" s="338"/>
      <c r="OEV13" s="338"/>
      <c r="OEW13" s="338"/>
      <c r="OEX13" s="338"/>
      <c r="OEY13" s="338"/>
      <c r="OEZ13" s="338"/>
      <c r="OFA13" s="338"/>
      <c r="OFB13" s="338"/>
      <c r="OFC13" s="338"/>
      <c r="OFD13" s="338"/>
      <c r="OFE13" s="338"/>
      <c r="OFF13" s="338"/>
      <c r="OFG13" s="338"/>
      <c r="OFH13" s="338"/>
      <c r="OFI13" s="338"/>
      <c r="OFJ13" s="338"/>
      <c r="OFK13" s="338"/>
      <c r="OFL13" s="338"/>
      <c r="OFM13" s="338"/>
      <c r="OFN13" s="338"/>
      <c r="OFO13" s="338"/>
      <c r="OFP13" s="338"/>
      <c r="OFQ13" s="338"/>
      <c r="OFR13" s="338"/>
      <c r="OFS13" s="338"/>
      <c r="OFT13" s="338"/>
      <c r="OFU13" s="338"/>
      <c r="OFV13" s="338"/>
      <c r="OFW13" s="338"/>
      <c r="OFX13" s="338"/>
      <c r="OFY13" s="338"/>
      <c r="OFZ13" s="338"/>
      <c r="OGA13" s="338"/>
      <c r="OGB13" s="338"/>
      <c r="OGC13" s="338"/>
      <c r="OGD13" s="338"/>
      <c r="OGE13" s="338"/>
      <c r="OGF13" s="338"/>
      <c r="OGG13" s="338"/>
      <c r="OGH13" s="338"/>
      <c r="OGI13" s="338"/>
      <c r="OGJ13" s="338"/>
      <c r="OGK13" s="338"/>
      <c r="OGL13" s="338"/>
      <c r="OGM13" s="338"/>
      <c r="OGN13" s="338"/>
      <c r="OGO13" s="338"/>
      <c r="OGP13" s="338"/>
      <c r="OGQ13" s="338"/>
      <c r="OGR13" s="338"/>
      <c r="OGS13" s="338"/>
      <c r="OGT13" s="338"/>
      <c r="OGU13" s="338"/>
      <c r="OGV13" s="338"/>
      <c r="OGW13" s="338"/>
      <c r="OGX13" s="338"/>
      <c r="OGY13" s="338"/>
      <c r="OGZ13" s="338"/>
      <c r="OHA13" s="338"/>
      <c r="OHB13" s="338"/>
      <c r="OHC13" s="338"/>
      <c r="OHD13" s="338"/>
      <c r="OHE13" s="338"/>
      <c r="OHF13" s="338"/>
      <c r="OHG13" s="338"/>
      <c r="OHH13" s="338"/>
      <c r="OHI13" s="338"/>
      <c r="OHJ13" s="338"/>
      <c r="OHK13" s="338"/>
      <c r="OHL13" s="338"/>
      <c r="OHM13" s="338"/>
      <c r="OHN13" s="338"/>
      <c r="OHO13" s="338"/>
      <c r="OHP13" s="338"/>
      <c r="OHQ13" s="338"/>
      <c r="OHR13" s="338"/>
      <c r="OHS13" s="338"/>
      <c r="OHT13" s="338"/>
      <c r="OHU13" s="338"/>
      <c r="OHV13" s="338"/>
      <c r="OHW13" s="338"/>
      <c r="OHX13" s="338"/>
      <c r="OHY13" s="338"/>
      <c r="OHZ13" s="338"/>
      <c r="OIA13" s="338"/>
      <c r="OIB13" s="338"/>
      <c r="OIC13" s="338"/>
      <c r="OID13" s="338"/>
      <c r="OIE13" s="338"/>
      <c r="OIF13" s="338"/>
      <c r="OIG13" s="338"/>
      <c r="OIH13" s="338"/>
      <c r="OII13" s="338"/>
      <c r="OIJ13" s="338"/>
      <c r="OIK13" s="338"/>
      <c r="OIL13" s="338"/>
      <c r="OIM13" s="338"/>
      <c r="OIN13" s="338"/>
      <c r="OIO13" s="338"/>
      <c r="OIP13" s="338"/>
      <c r="OIQ13" s="338"/>
      <c r="OIR13" s="338"/>
      <c r="OIS13" s="338"/>
      <c r="OIT13" s="338"/>
      <c r="OIU13" s="338"/>
      <c r="OIV13" s="338"/>
      <c r="OIW13" s="338"/>
      <c r="OIX13" s="338"/>
      <c r="OIY13" s="338"/>
      <c r="OIZ13" s="338"/>
      <c r="OJA13" s="338"/>
      <c r="OJB13" s="338"/>
      <c r="OJC13" s="338"/>
      <c r="OJD13" s="338"/>
      <c r="OJE13" s="338"/>
      <c r="OJF13" s="338"/>
      <c r="OJG13" s="338"/>
      <c r="OJH13" s="338"/>
      <c r="OJI13" s="338"/>
      <c r="OJJ13" s="338"/>
      <c r="OJK13" s="338"/>
      <c r="OJL13" s="338"/>
      <c r="OJM13" s="338"/>
      <c r="OJN13" s="338"/>
      <c r="OJO13" s="338"/>
      <c r="OJP13" s="338"/>
      <c r="OJQ13" s="338"/>
      <c r="OJR13" s="338"/>
      <c r="OJS13" s="338"/>
      <c r="OJT13" s="338"/>
      <c r="OJU13" s="338"/>
      <c r="OJV13" s="338"/>
      <c r="OJW13" s="338"/>
      <c r="OJX13" s="338"/>
      <c r="OJY13" s="338"/>
      <c r="OJZ13" s="338"/>
      <c r="OKA13" s="338"/>
      <c r="OKB13" s="338"/>
      <c r="OKC13" s="338"/>
      <c r="OKD13" s="338"/>
      <c r="OKE13" s="338"/>
      <c r="OKF13" s="338"/>
      <c r="OKG13" s="338"/>
      <c r="OKH13" s="338"/>
      <c r="OKI13" s="338"/>
      <c r="OKJ13" s="338"/>
      <c r="OKK13" s="338"/>
      <c r="OKL13" s="338"/>
      <c r="OKM13" s="338"/>
      <c r="OKN13" s="338"/>
      <c r="OKO13" s="338"/>
      <c r="OKP13" s="338"/>
      <c r="OKQ13" s="338"/>
      <c r="OKR13" s="338"/>
      <c r="OKS13" s="338"/>
      <c r="OKT13" s="338"/>
      <c r="OKU13" s="338"/>
      <c r="OKV13" s="338"/>
      <c r="OKW13" s="338"/>
      <c r="OKX13" s="338"/>
      <c r="OKY13" s="338"/>
      <c r="OKZ13" s="338"/>
      <c r="OLA13" s="338"/>
      <c r="OLB13" s="338"/>
      <c r="OLC13" s="338"/>
      <c r="OLD13" s="338"/>
      <c r="OLE13" s="338"/>
      <c r="OLF13" s="338"/>
      <c r="OLG13" s="338"/>
      <c r="OLH13" s="338"/>
      <c r="OLI13" s="338"/>
      <c r="OLJ13" s="338"/>
      <c r="OLK13" s="338"/>
      <c r="OLL13" s="338"/>
      <c r="OLM13" s="338"/>
      <c r="OLN13" s="338"/>
      <c r="OLO13" s="338"/>
      <c r="OLP13" s="338"/>
      <c r="OLQ13" s="338"/>
      <c r="OLR13" s="338"/>
      <c r="OLS13" s="338"/>
      <c r="OLT13" s="338"/>
      <c r="OLU13" s="338"/>
      <c r="OLV13" s="338"/>
      <c r="OLW13" s="338"/>
      <c r="OLX13" s="338"/>
      <c r="OLY13" s="338"/>
      <c r="OLZ13" s="338"/>
      <c r="OMA13" s="338"/>
      <c r="OMB13" s="338"/>
      <c r="OMC13" s="338"/>
      <c r="OMD13" s="338"/>
      <c r="OME13" s="338"/>
      <c r="OMF13" s="338"/>
      <c r="OMG13" s="338"/>
      <c r="OMH13" s="338"/>
      <c r="OMI13" s="338"/>
      <c r="OMJ13" s="338"/>
      <c r="OMK13" s="338"/>
      <c r="OML13" s="338"/>
      <c r="OMM13" s="338"/>
      <c r="OMN13" s="338"/>
      <c r="OMO13" s="338"/>
      <c r="OMP13" s="338"/>
      <c r="OMQ13" s="338"/>
      <c r="OMR13" s="338"/>
      <c r="OMS13" s="338"/>
      <c r="OMT13" s="338"/>
      <c r="OMU13" s="338"/>
      <c r="OMV13" s="338"/>
      <c r="OMW13" s="338"/>
      <c r="OMX13" s="338"/>
      <c r="OMY13" s="338"/>
      <c r="OMZ13" s="338"/>
      <c r="ONA13" s="338"/>
      <c r="ONB13" s="338"/>
      <c r="ONC13" s="338"/>
      <c r="OND13" s="338"/>
      <c r="ONE13" s="338"/>
      <c r="ONF13" s="338"/>
      <c r="ONG13" s="338"/>
      <c r="ONH13" s="338"/>
      <c r="ONI13" s="338"/>
      <c r="ONJ13" s="338"/>
      <c r="ONK13" s="338"/>
      <c r="ONL13" s="338"/>
      <c r="ONM13" s="338"/>
      <c r="ONN13" s="338"/>
      <c r="ONO13" s="338"/>
      <c r="ONP13" s="338"/>
      <c r="ONQ13" s="338"/>
      <c r="ONR13" s="338"/>
      <c r="ONS13" s="338"/>
      <c r="ONT13" s="338"/>
      <c r="ONU13" s="338"/>
      <c r="ONV13" s="338"/>
      <c r="ONW13" s="338"/>
      <c r="ONX13" s="338"/>
      <c r="ONY13" s="338"/>
      <c r="ONZ13" s="338"/>
      <c r="OOA13" s="338"/>
      <c r="OOB13" s="338"/>
      <c r="OOC13" s="338"/>
      <c r="OOD13" s="338"/>
      <c r="OOE13" s="338"/>
      <c r="OOF13" s="338"/>
      <c r="OOG13" s="338"/>
      <c r="OOH13" s="338"/>
      <c r="OOI13" s="338"/>
      <c r="OOJ13" s="338"/>
      <c r="OOK13" s="338"/>
      <c r="OOL13" s="338"/>
      <c r="OOM13" s="338"/>
      <c r="OON13" s="338"/>
      <c r="OOO13" s="338"/>
      <c r="OOP13" s="338"/>
      <c r="OOQ13" s="338"/>
      <c r="OOR13" s="338"/>
      <c r="OOS13" s="338"/>
      <c r="OOT13" s="338"/>
      <c r="OOU13" s="338"/>
      <c r="OOV13" s="338"/>
      <c r="OOW13" s="338"/>
      <c r="OOX13" s="338"/>
      <c r="OOY13" s="338"/>
      <c r="OOZ13" s="338"/>
      <c r="OPA13" s="338"/>
      <c r="OPB13" s="338"/>
      <c r="OPC13" s="338"/>
      <c r="OPD13" s="338"/>
      <c r="OPE13" s="338"/>
      <c r="OPF13" s="338"/>
      <c r="OPG13" s="338"/>
      <c r="OPH13" s="338"/>
      <c r="OPI13" s="338"/>
      <c r="OPJ13" s="338"/>
      <c r="OPK13" s="338"/>
      <c r="OPL13" s="338"/>
      <c r="OPM13" s="338"/>
      <c r="OPN13" s="338"/>
      <c r="OPO13" s="338"/>
      <c r="OPP13" s="338"/>
      <c r="OPQ13" s="338"/>
      <c r="OPR13" s="338"/>
      <c r="OPS13" s="338"/>
      <c r="OPT13" s="338"/>
      <c r="OPU13" s="338"/>
      <c r="OPV13" s="338"/>
      <c r="OPW13" s="338"/>
      <c r="OPX13" s="338"/>
      <c r="OPY13" s="338"/>
      <c r="OPZ13" s="338"/>
      <c r="OQA13" s="338"/>
      <c r="OQB13" s="338"/>
      <c r="OQC13" s="338"/>
      <c r="OQD13" s="338"/>
      <c r="OQE13" s="338"/>
      <c r="OQF13" s="338"/>
      <c r="OQG13" s="338"/>
      <c r="OQH13" s="338"/>
      <c r="OQI13" s="338"/>
      <c r="OQJ13" s="338"/>
      <c r="OQK13" s="338"/>
      <c r="OQL13" s="338"/>
      <c r="OQM13" s="338"/>
      <c r="OQN13" s="338"/>
      <c r="OQO13" s="338"/>
      <c r="OQP13" s="338"/>
      <c r="OQQ13" s="338"/>
      <c r="OQR13" s="338"/>
      <c r="OQS13" s="338"/>
      <c r="OQT13" s="338"/>
      <c r="OQU13" s="338"/>
      <c r="OQV13" s="338"/>
      <c r="OQW13" s="338"/>
      <c r="OQX13" s="338"/>
      <c r="OQY13" s="338"/>
      <c r="OQZ13" s="338"/>
      <c r="ORA13" s="338"/>
      <c r="ORB13" s="338"/>
      <c r="ORC13" s="338"/>
      <c r="ORD13" s="338"/>
      <c r="ORE13" s="338"/>
      <c r="ORF13" s="338"/>
      <c r="ORG13" s="338"/>
      <c r="ORH13" s="338"/>
      <c r="ORI13" s="338"/>
      <c r="ORJ13" s="338"/>
      <c r="ORK13" s="338"/>
      <c r="ORL13" s="338"/>
      <c r="ORM13" s="338"/>
      <c r="ORN13" s="338"/>
      <c r="ORO13" s="338"/>
      <c r="ORP13" s="338"/>
      <c r="ORQ13" s="338"/>
      <c r="ORR13" s="338"/>
      <c r="ORS13" s="338"/>
      <c r="ORT13" s="338"/>
      <c r="ORU13" s="338"/>
      <c r="ORV13" s="338"/>
      <c r="ORW13" s="338"/>
      <c r="ORX13" s="338"/>
      <c r="ORY13" s="338"/>
      <c r="ORZ13" s="338"/>
      <c r="OSA13" s="338"/>
      <c r="OSB13" s="338"/>
      <c r="OSC13" s="338"/>
      <c r="OSD13" s="338"/>
      <c r="OSE13" s="338"/>
      <c r="OSF13" s="338"/>
      <c r="OSG13" s="338"/>
      <c r="OSH13" s="338"/>
      <c r="OSI13" s="338"/>
      <c r="OSJ13" s="338"/>
      <c r="OSK13" s="338"/>
      <c r="OSL13" s="338"/>
      <c r="OSM13" s="338"/>
      <c r="OSN13" s="338"/>
      <c r="OSO13" s="338"/>
      <c r="OSP13" s="338"/>
      <c r="OSQ13" s="338"/>
      <c r="OSR13" s="338"/>
      <c r="OSS13" s="338"/>
      <c r="OST13" s="338"/>
      <c r="OSU13" s="338"/>
      <c r="OSV13" s="338"/>
      <c r="OSW13" s="338"/>
      <c r="OSX13" s="338"/>
      <c r="OSY13" s="338"/>
      <c r="OSZ13" s="338"/>
      <c r="OTA13" s="338"/>
      <c r="OTB13" s="338"/>
      <c r="OTC13" s="338"/>
      <c r="OTD13" s="338"/>
      <c r="OTE13" s="338"/>
      <c r="OTF13" s="338"/>
      <c r="OTG13" s="338"/>
      <c r="OTH13" s="338"/>
      <c r="OTI13" s="338"/>
      <c r="OTJ13" s="338"/>
      <c r="OTK13" s="338"/>
      <c r="OTL13" s="338"/>
      <c r="OTM13" s="338"/>
      <c r="OTN13" s="338"/>
      <c r="OTO13" s="338"/>
      <c r="OTP13" s="338"/>
      <c r="OTQ13" s="338"/>
      <c r="OTR13" s="338"/>
      <c r="OTS13" s="338"/>
      <c r="OTT13" s="338"/>
      <c r="OTU13" s="338"/>
      <c r="OTV13" s="338"/>
      <c r="OTW13" s="338"/>
      <c r="OTX13" s="338"/>
      <c r="OTY13" s="338"/>
      <c r="OTZ13" s="338"/>
      <c r="OUA13" s="338"/>
      <c r="OUB13" s="338"/>
      <c r="OUC13" s="338"/>
      <c r="OUD13" s="338"/>
      <c r="OUE13" s="338"/>
      <c r="OUF13" s="338"/>
      <c r="OUG13" s="338"/>
      <c r="OUH13" s="338"/>
      <c r="OUI13" s="338"/>
      <c r="OUJ13" s="338"/>
      <c r="OUK13" s="338"/>
      <c r="OUL13" s="338"/>
      <c r="OUM13" s="338"/>
      <c r="OUN13" s="338"/>
      <c r="OUO13" s="338"/>
      <c r="OUP13" s="338"/>
      <c r="OUQ13" s="338"/>
      <c r="OUR13" s="338"/>
      <c r="OUS13" s="338"/>
      <c r="OUT13" s="338"/>
      <c r="OUU13" s="338"/>
      <c r="OUV13" s="338"/>
      <c r="OUW13" s="338"/>
      <c r="OUX13" s="338"/>
      <c r="OUY13" s="338"/>
      <c r="OUZ13" s="338"/>
      <c r="OVA13" s="338"/>
      <c r="OVB13" s="338"/>
      <c r="OVC13" s="338"/>
      <c r="OVD13" s="338"/>
      <c r="OVE13" s="338"/>
      <c r="OVF13" s="338"/>
      <c r="OVG13" s="338"/>
      <c r="OVH13" s="338"/>
      <c r="OVI13" s="338"/>
      <c r="OVJ13" s="338"/>
      <c r="OVK13" s="338"/>
      <c r="OVL13" s="338"/>
      <c r="OVM13" s="338"/>
      <c r="OVN13" s="338"/>
      <c r="OVO13" s="338"/>
      <c r="OVP13" s="338"/>
      <c r="OVQ13" s="338"/>
      <c r="OVR13" s="338"/>
      <c r="OVS13" s="338"/>
      <c r="OVT13" s="338"/>
      <c r="OVU13" s="338"/>
      <c r="OVV13" s="338"/>
      <c r="OVW13" s="338"/>
      <c r="OVX13" s="338"/>
      <c r="OVY13" s="338"/>
      <c r="OVZ13" s="338"/>
      <c r="OWA13" s="338"/>
      <c r="OWB13" s="338"/>
      <c r="OWC13" s="338"/>
      <c r="OWD13" s="338"/>
      <c r="OWE13" s="338"/>
      <c r="OWF13" s="338"/>
      <c r="OWG13" s="338"/>
      <c r="OWH13" s="338"/>
      <c r="OWI13" s="338"/>
      <c r="OWJ13" s="338"/>
      <c r="OWK13" s="338"/>
      <c r="OWL13" s="338"/>
      <c r="OWM13" s="338"/>
      <c r="OWN13" s="338"/>
      <c r="OWO13" s="338"/>
      <c r="OWP13" s="338"/>
      <c r="OWQ13" s="338"/>
      <c r="OWR13" s="338"/>
      <c r="OWS13" s="338"/>
      <c r="OWT13" s="338"/>
      <c r="OWU13" s="338"/>
      <c r="OWV13" s="338"/>
      <c r="OWW13" s="338"/>
      <c r="OWX13" s="338"/>
      <c r="OWY13" s="338"/>
      <c r="OWZ13" s="338"/>
      <c r="OXA13" s="338"/>
      <c r="OXB13" s="338"/>
      <c r="OXC13" s="338"/>
      <c r="OXD13" s="338"/>
      <c r="OXE13" s="338"/>
      <c r="OXF13" s="338"/>
      <c r="OXG13" s="338"/>
      <c r="OXH13" s="338"/>
      <c r="OXI13" s="338"/>
      <c r="OXJ13" s="338"/>
      <c r="OXK13" s="338"/>
      <c r="OXL13" s="338"/>
      <c r="OXM13" s="338"/>
      <c r="OXN13" s="338"/>
      <c r="OXO13" s="338"/>
      <c r="OXP13" s="338"/>
      <c r="OXQ13" s="338"/>
      <c r="OXR13" s="338"/>
      <c r="OXS13" s="338"/>
      <c r="OXT13" s="338"/>
      <c r="OXU13" s="338"/>
      <c r="OXV13" s="338"/>
      <c r="OXW13" s="338"/>
      <c r="OXX13" s="338"/>
      <c r="OXY13" s="338"/>
      <c r="OXZ13" s="338"/>
      <c r="OYA13" s="338"/>
      <c r="OYB13" s="338"/>
      <c r="OYC13" s="338"/>
      <c r="OYD13" s="338"/>
      <c r="OYE13" s="338"/>
      <c r="OYF13" s="338"/>
      <c r="OYG13" s="338"/>
      <c r="OYH13" s="338"/>
      <c r="OYI13" s="338"/>
      <c r="OYJ13" s="338"/>
      <c r="OYK13" s="338"/>
      <c r="OYL13" s="338"/>
      <c r="OYM13" s="338"/>
      <c r="OYN13" s="338"/>
      <c r="OYO13" s="338"/>
      <c r="OYP13" s="338"/>
      <c r="OYQ13" s="338"/>
      <c r="OYR13" s="338"/>
      <c r="OYS13" s="338"/>
      <c r="OYT13" s="338"/>
      <c r="OYU13" s="338"/>
      <c r="OYV13" s="338"/>
      <c r="OYW13" s="338"/>
      <c r="OYX13" s="338"/>
      <c r="OYY13" s="338"/>
      <c r="OYZ13" s="338"/>
      <c r="OZA13" s="338"/>
      <c r="OZB13" s="338"/>
      <c r="OZC13" s="338"/>
      <c r="OZD13" s="338"/>
      <c r="OZE13" s="338"/>
      <c r="OZF13" s="338"/>
      <c r="OZG13" s="338"/>
      <c r="OZH13" s="338"/>
      <c r="OZI13" s="338"/>
      <c r="OZJ13" s="338"/>
      <c r="OZK13" s="338"/>
      <c r="OZL13" s="338"/>
      <c r="OZM13" s="338"/>
      <c r="OZN13" s="338"/>
      <c r="OZO13" s="338"/>
      <c r="OZP13" s="338"/>
      <c r="OZQ13" s="338"/>
      <c r="OZR13" s="338"/>
      <c r="OZS13" s="338"/>
      <c r="OZT13" s="338"/>
      <c r="OZU13" s="338"/>
      <c r="OZV13" s="338"/>
      <c r="OZW13" s="338"/>
      <c r="OZX13" s="338"/>
      <c r="OZY13" s="338"/>
      <c r="OZZ13" s="338"/>
      <c r="PAA13" s="338"/>
      <c r="PAB13" s="338"/>
      <c r="PAC13" s="338"/>
      <c r="PAD13" s="338"/>
      <c r="PAE13" s="338"/>
      <c r="PAF13" s="338"/>
      <c r="PAG13" s="338"/>
      <c r="PAH13" s="338"/>
      <c r="PAI13" s="338"/>
      <c r="PAJ13" s="338"/>
      <c r="PAK13" s="338"/>
      <c r="PAL13" s="338"/>
      <c r="PAM13" s="338"/>
      <c r="PAN13" s="338"/>
      <c r="PAO13" s="338"/>
      <c r="PAP13" s="338"/>
      <c r="PAQ13" s="338"/>
      <c r="PAR13" s="338"/>
      <c r="PAS13" s="338"/>
      <c r="PAT13" s="338"/>
      <c r="PAU13" s="338"/>
      <c r="PAV13" s="338"/>
      <c r="PAW13" s="338"/>
      <c r="PAX13" s="338"/>
      <c r="PAY13" s="338"/>
      <c r="PAZ13" s="338"/>
      <c r="PBA13" s="338"/>
      <c r="PBB13" s="338"/>
      <c r="PBC13" s="338"/>
      <c r="PBD13" s="338"/>
      <c r="PBE13" s="338"/>
      <c r="PBF13" s="338"/>
      <c r="PBG13" s="338"/>
      <c r="PBH13" s="338"/>
      <c r="PBI13" s="338"/>
      <c r="PBJ13" s="338"/>
      <c r="PBK13" s="338"/>
      <c r="PBL13" s="338"/>
      <c r="PBM13" s="338"/>
      <c r="PBN13" s="338"/>
      <c r="PBO13" s="338"/>
      <c r="PBP13" s="338"/>
      <c r="PBQ13" s="338"/>
      <c r="PBR13" s="338"/>
      <c r="PBS13" s="338"/>
      <c r="PBT13" s="338"/>
      <c r="PBU13" s="338"/>
      <c r="PBV13" s="338"/>
      <c r="PBW13" s="338"/>
      <c r="PBX13" s="338"/>
      <c r="PBY13" s="338"/>
      <c r="PBZ13" s="338"/>
      <c r="PCA13" s="338"/>
      <c r="PCB13" s="338"/>
      <c r="PCC13" s="338"/>
      <c r="PCD13" s="338"/>
      <c r="PCE13" s="338"/>
      <c r="PCF13" s="338"/>
      <c r="PCG13" s="338"/>
      <c r="PCH13" s="338"/>
      <c r="PCI13" s="338"/>
      <c r="PCJ13" s="338"/>
      <c r="PCK13" s="338"/>
      <c r="PCL13" s="338"/>
      <c r="PCM13" s="338"/>
      <c r="PCN13" s="338"/>
      <c r="PCO13" s="338"/>
      <c r="PCP13" s="338"/>
      <c r="PCQ13" s="338"/>
      <c r="PCR13" s="338"/>
      <c r="PCS13" s="338"/>
      <c r="PCT13" s="338"/>
      <c r="PCU13" s="338"/>
      <c r="PCV13" s="338"/>
      <c r="PCW13" s="338"/>
      <c r="PCX13" s="338"/>
      <c r="PCY13" s="338"/>
      <c r="PCZ13" s="338"/>
      <c r="PDA13" s="338"/>
      <c r="PDB13" s="338"/>
      <c r="PDC13" s="338"/>
      <c r="PDD13" s="338"/>
      <c r="PDE13" s="338"/>
      <c r="PDF13" s="338"/>
      <c r="PDG13" s="338"/>
      <c r="PDH13" s="338"/>
      <c r="PDI13" s="338"/>
      <c r="PDJ13" s="338"/>
      <c r="PDK13" s="338"/>
      <c r="PDL13" s="338"/>
      <c r="PDM13" s="338"/>
      <c r="PDN13" s="338"/>
      <c r="PDO13" s="338"/>
      <c r="PDP13" s="338"/>
      <c r="PDQ13" s="338"/>
      <c r="PDR13" s="338"/>
      <c r="PDS13" s="338"/>
      <c r="PDT13" s="338"/>
      <c r="PDU13" s="338"/>
      <c r="PDV13" s="338"/>
      <c r="PDW13" s="338"/>
      <c r="PDX13" s="338"/>
      <c r="PDY13" s="338"/>
      <c r="PDZ13" s="338"/>
      <c r="PEA13" s="338"/>
      <c r="PEB13" s="338"/>
      <c r="PEC13" s="338"/>
      <c r="PED13" s="338"/>
      <c r="PEE13" s="338"/>
      <c r="PEF13" s="338"/>
      <c r="PEG13" s="338"/>
      <c r="PEH13" s="338"/>
      <c r="PEI13" s="338"/>
      <c r="PEJ13" s="338"/>
      <c r="PEK13" s="338"/>
      <c r="PEL13" s="338"/>
      <c r="PEM13" s="338"/>
      <c r="PEN13" s="338"/>
      <c r="PEO13" s="338"/>
      <c r="PEP13" s="338"/>
      <c r="PEQ13" s="338"/>
      <c r="PER13" s="338"/>
      <c r="PES13" s="338"/>
      <c r="PET13" s="338"/>
      <c r="PEU13" s="338"/>
      <c r="PEV13" s="338"/>
      <c r="PEW13" s="338"/>
      <c r="PEX13" s="338"/>
      <c r="PEY13" s="338"/>
      <c r="PEZ13" s="338"/>
      <c r="PFA13" s="338"/>
      <c r="PFB13" s="338"/>
      <c r="PFC13" s="338"/>
      <c r="PFD13" s="338"/>
      <c r="PFE13" s="338"/>
      <c r="PFF13" s="338"/>
      <c r="PFG13" s="338"/>
      <c r="PFH13" s="338"/>
      <c r="PFI13" s="338"/>
      <c r="PFJ13" s="338"/>
      <c r="PFK13" s="338"/>
      <c r="PFL13" s="338"/>
      <c r="PFM13" s="338"/>
      <c r="PFN13" s="338"/>
      <c r="PFO13" s="338"/>
      <c r="PFP13" s="338"/>
      <c r="PFQ13" s="338"/>
      <c r="PFR13" s="338"/>
      <c r="PFS13" s="338"/>
      <c r="PFT13" s="338"/>
      <c r="PFU13" s="338"/>
      <c r="PFV13" s="338"/>
      <c r="PFW13" s="338"/>
      <c r="PFX13" s="338"/>
      <c r="PFY13" s="338"/>
      <c r="PFZ13" s="338"/>
      <c r="PGA13" s="338"/>
      <c r="PGB13" s="338"/>
      <c r="PGC13" s="338"/>
      <c r="PGD13" s="338"/>
      <c r="PGE13" s="338"/>
      <c r="PGF13" s="338"/>
      <c r="PGG13" s="338"/>
      <c r="PGH13" s="338"/>
      <c r="PGI13" s="338"/>
      <c r="PGJ13" s="338"/>
      <c r="PGK13" s="338"/>
      <c r="PGL13" s="338"/>
      <c r="PGM13" s="338"/>
      <c r="PGN13" s="338"/>
      <c r="PGO13" s="338"/>
      <c r="PGP13" s="338"/>
      <c r="PGQ13" s="338"/>
      <c r="PGR13" s="338"/>
      <c r="PGS13" s="338"/>
      <c r="PGT13" s="338"/>
      <c r="PGU13" s="338"/>
      <c r="PGV13" s="338"/>
      <c r="PGW13" s="338"/>
      <c r="PGX13" s="338"/>
      <c r="PGY13" s="338"/>
      <c r="PGZ13" s="338"/>
      <c r="PHA13" s="338"/>
      <c r="PHB13" s="338"/>
      <c r="PHC13" s="338"/>
      <c r="PHD13" s="338"/>
      <c r="PHE13" s="338"/>
      <c r="PHF13" s="338"/>
      <c r="PHG13" s="338"/>
      <c r="PHH13" s="338"/>
      <c r="PHI13" s="338"/>
      <c r="PHJ13" s="338"/>
      <c r="PHK13" s="338"/>
      <c r="PHL13" s="338"/>
      <c r="PHM13" s="338"/>
      <c r="PHN13" s="338"/>
      <c r="PHO13" s="338"/>
      <c r="PHP13" s="338"/>
      <c r="PHQ13" s="338"/>
      <c r="PHR13" s="338"/>
      <c r="PHS13" s="338"/>
      <c r="PHT13" s="338"/>
      <c r="PHU13" s="338"/>
      <c r="PHV13" s="338"/>
      <c r="PHW13" s="338"/>
      <c r="PHX13" s="338"/>
      <c r="PHY13" s="338"/>
      <c r="PHZ13" s="338"/>
      <c r="PIA13" s="338"/>
      <c r="PIB13" s="338"/>
      <c r="PIC13" s="338"/>
      <c r="PID13" s="338"/>
      <c r="PIE13" s="338"/>
      <c r="PIF13" s="338"/>
      <c r="PIG13" s="338"/>
      <c r="PIH13" s="338"/>
      <c r="PII13" s="338"/>
      <c r="PIJ13" s="338"/>
      <c r="PIK13" s="338"/>
      <c r="PIL13" s="338"/>
      <c r="PIM13" s="338"/>
      <c r="PIN13" s="338"/>
      <c r="PIO13" s="338"/>
      <c r="PIP13" s="338"/>
      <c r="PIQ13" s="338"/>
      <c r="PIR13" s="338"/>
      <c r="PIS13" s="338"/>
      <c r="PIT13" s="338"/>
      <c r="PIU13" s="338"/>
      <c r="PIV13" s="338"/>
      <c r="PIW13" s="338"/>
      <c r="PIX13" s="338"/>
      <c r="PIY13" s="338"/>
      <c r="PIZ13" s="338"/>
      <c r="PJA13" s="338"/>
      <c r="PJB13" s="338"/>
      <c r="PJC13" s="338"/>
      <c r="PJD13" s="338"/>
      <c r="PJE13" s="338"/>
      <c r="PJF13" s="338"/>
      <c r="PJG13" s="338"/>
      <c r="PJH13" s="338"/>
      <c r="PJI13" s="338"/>
      <c r="PJJ13" s="338"/>
      <c r="PJK13" s="338"/>
      <c r="PJL13" s="338"/>
      <c r="PJM13" s="338"/>
      <c r="PJN13" s="338"/>
      <c r="PJO13" s="338"/>
      <c r="PJP13" s="338"/>
      <c r="PJQ13" s="338"/>
      <c r="PJR13" s="338"/>
      <c r="PJS13" s="338"/>
      <c r="PJT13" s="338"/>
      <c r="PJU13" s="338"/>
      <c r="PJV13" s="338"/>
      <c r="PJW13" s="338"/>
      <c r="PJX13" s="338"/>
      <c r="PJY13" s="338"/>
      <c r="PJZ13" s="338"/>
      <c r="PKA13" s="338"/>
      <c r="PKB13" s="338"/>
      <c r="PKC13" s="338"/>
      <c r="PKD13" s="338"/>
      <c r="PKE13" s="338"/>
      <c r="PKF13" s="338"/>
      <c r="PKG13" s="338"/>
      <c r="PKH13" s="338"/>
      <c r="PKI13" s="338"/>
      <c r="PKJ13" s="338"/>
      <c r="PKK13" s="338"/>
      <c r="PKL13" s="338"/>
      <c r="PKM13" s="338"/>
      <c r="PKN13" s="338"/>
      <c r="PKO13" s="338"/>
      <c r="PKP13" s="338"/>
      <c r="PKQ13" s="338"/>
      <c r="PKR13" s="338"/>
      <c r="PKS13" s="338"/>
      <c r="PKT13" s="338"/>
      <c r="PKU13" s="338"/>
      <c r="PKV13" s="338"/>
      <c r="PKW13" s="338"/>
      <c r="PKX13" s="338"/>
      <c r="PKY13" s="338"/>
      <c r="PKZ13" s="338"/>
      <c r="PLA13" s="338"/>
      <c r="PLB13" s="338"/>
      <c r="PLC13" s="338"/>
      <c r="PLD13" s="338"/>
      <c r="PLE13" s="338"/>
      <c r="PLF13" s="338"/>
      <c r="PLG13" s="338"/>
      <c r="PLH13" s="338"/>
      <c r="PLI13" s="338"/>
      <c r="PLJ13" s="338"/>
      <c r="PLK13" s="338"/>
      <c r="PLL13" s="338"/>
      <c r="PLM13" s="338"/>
      <c r="PLN13" s="338"/>
      <c r="PLO13" s="338"/>
      <c r="PLP13" s="338"/>
      <c r="PLQ13" s="338"/>
      <c r="PLR13" s="338"/>
      <c r="PLS13" s="338"/>
      <c r="PLT13" s="338"/>
      <c r="PLU13" s="338"/>
      <c r="PLV13" s="338"/>
      <c r="PLW13" s="338"/>
      <c r="PLX13" s="338"/>
      <c r="PLY13" s="338"/>
      <c r="PLZ13" s="338"/>
      <c r="PMA13" s="338"/>
      <c r="PMB13" s="338"/>
      <c r="PMC13" s="338"/>
      <c r="PMD13" s="338"/>
      <c r="PME13" s="338"/>
      <c r="PMF13" s="338"/>
      <c r="PMG13" s="338"/>
      <c r="PMH13" s="338"/>
      <c r="PMI13" s="338"/>
      <c r="PMJ13" s="338"/>
      <c r="PMK13" s="338"/>
      <c r="PML13" s="338"/>
      <c r="PMM13" s="338"/>
      <c r="PMN13" s="338"/>
      <c r="PMO13" s="338"/>
      <c r="PMP13" s="338"/>
      <c r="PMQ13" s="338"/>
      <c r="PMR13" s="338"/>
      <c r="PMS13" s="338"/>
      <c r="PMT13" s="338"/>
      <c r="PMU13" s="338"/>
      <c r="PMV13" s="338"/>
      <c r="PMW13" s="338"/>
      <c r="PMX13" s="338"/>
      <c r="PMY13" s="338"/>
      <c r="PMZ13" s="338"/>
      <c r="PNA13" s="338"/>
      <c r="PNB13" s="338"/>
      <c r="PNC13" s="338"/>
      <c r="PND13" s="338"/>
      <c r="PNE13" s="338"/>
      <c r="PNF13" s="338"/>
      <c r="PNG13" s="338"/>
      <c r="PNH13" s="338"/>
      <c r="PNI13" s="338"/>
      <c r="PNJ13" s="338"/>
      <c r="PNK13" s="338"/>
      <c r="PNL13" s="338"/>
      <c r="PNM13" s="338"/>
      <c r="PNN13" s="338"/>
      <c r="PNO13" s="338"/>
      <c r="PNP13" s="338"/>
      <c r="PNQ13" s="338"/>
      <c r="PNR13" s="338"/>
      <c r="PNS13" s="338"/>
      <c r="PNT13" s="338"/>
      <c r="PNU13" s="338"/>
      <c r="PNV13" s="338"/>
      <c r="PNW13" s="338"/>
      <c r="PNX13" s="338"/>
      <c r="PNY13" s="338"/>
      <c r="PNZ13" s="338"/>
      <c r="POA13" s="338"/>
      <c r="POB13" s="338"/>
      <c r="POC13" s="338"/>
      <c r="POD13" s="338"/>
      <c r="POE13" s="338"/>
      <c r="POF13" s="338"/>
      <c r="POG13" s="338"/>
      <c r="POH13" s="338"/>
      <c r="POI13" s="338"/>
      <c r="POJ13" s="338"/>
      <c r="POK13" s="338"/>
      <c r="POL13" s="338"/>
      <c r="POM13" s="338"/>
      <c r="PON13" s="338"/>
      <c r="POO13" s="338"/>
      <c r="POP13" s="338"/>
      <c r="POQ13" s="338"/>
      <c r="POR13" s="338"/>
      <c r="POS13" s="338"/>
      <c r="POT13" s="338"/>
      <c r="POU13" s="338"/>
      <c r="POV13" s="338"/>
      <c r="POW13" s="338"/>
      <c r="POX13" s="338"/>
      <c r="POY13" s="338"/>
      <c r="POZ13" s="338"/>
      <c r="PPA13" s="338"/>
      <c r="PPB13" s="338"/>
      <c r="PPC13" s="338"/>
      <c r="PPD13" s="338"/>
      <c r="PPE13" s="338"/>
      <c r="PPF13" s="338"/>
      <c r="PPG13" s="338"/>
      <c r="PPH13" s="338"/>
      <c r="PPI13" s="338"/>
      <c r="PPJ13" s="338"/>
      <c r="PPK13" s="338"/>
      <c r="PPL13" s="338"/>
      <c r="PPM13" s="338"/>
      <c r="PPN13" s="338"/>
      <c r="PPO13" s="338"/>
      <c r="PPP13" s="338"/>
      <c r="PPQ13" s="338"/>
      <c r="PPR13" s="338"/>
      <c r="PPS13" s="338"/>
      <c r="PPT13" s="338"/>
      <c r="PPU13" s="338"/>
      <c r="PPV13" s="338"/>
      <c r="PPW13" s="338"/>
      <c r="PPX13" s="338"/>
      <c r="PPY13" s="338"/>
      <c r="PPZ13" s="338"/>
      <c r="PQA13" s="338"/>
      <c r="PQB13" s="338"/>
      <c r="PQC13" s="338"/>
      <c r="PQD13" s="338"/>
      <c r="PQE13" s="338"/>
      <c r="PQF13" s="338"/>
      <c r="PQG13" s="338"/>
      <c r="PQH13" s="338"/>
      <c r="PQI13" s="338"/>
      <c r="PQJ13" s="338"/>
      <c r="PQK13" s="338"/>
      <c r="PQL13" s="338"/>
      <c r="PQM13" s="338"/>
      <c r="PQN13" s="338"/>
      <c r="PQO13" s="338"/>
      <c r="PQP13" s="338"/>
      <c r="PQQ13" s="338"/>
      <c r="PQR13" s="338"/>
      <c r="PQS13" s="338"/>
      <c r="PQT13" s="338"/>
      <c r="PQU13" s="338"/>
      <c r="PQV13" s="338"/>
      <c r="PQW13" s="338"/>
      <c r="PQX13" s="338"/>
      <c r="PQY13" s="338"/>
      <c r="PQZ13" s="338"/>
      <c r="PRA13" s="338"/>
      <c r="PRB13" s="338"/>
      <c r="PRC13" s="338"/>
      <c r="PRD13" s="338"/>
      <c r="PRE13" s="338"/>
      <c r="PRF13" s="338"/>
      <c r="PRG13" s="338"/>
      <c r="PRH13" s="338"/>
      <c r="PRI13" s="338"/>
      <c r="PRJ13" s="338"/>
      <c r="PRK13" s="338"/>
      <c r="PRL13" s="338"/>
      <c r="PRM13" s="338"/>
      <c r="PRN13" s="338"/>
      <c r="PRO13" s="338"/>
      <c r="PRP13" s="338"/>
      <c r="PRQ13" s="338"/>
      <c r="PRR13" s="338"/>
      <c r="PRS13" s="338"/>
      <c r="PRT13" s="338"/>
      <c r="PRU13" s="338"/>
      <c r="PRV13" s="338"/>
      <c r="PRW13" s="338"/>
      <c r="PRX13" s="338"/>
      <c r="PRY13" s="338"/>
      <c r="PRZ13" s="338"/>
      <c r="PSA13" s="338"/>
      <c r="PSB13" s="338"/>
      <c r="PSC13" s="338"/>
      <c r="PSD13" s="338"/>
      <c r="PSE13" s="338"/>
      <c r="PSF13" s="338"/>
      <c r="PSG13" s="338"/>
      <c r="PSH13" s="338"/>
      <c r="PSI13" s="338"/>
      <c r="PSJ13" s="338"/>
      <c r="PSK13" s="338"/>
      <c r="PSL13" s="338"/>
      <c r="PSM13" s="338"/>
      <c r="PSN13" s="338"/>
      <c r="PSO13" s="338"/>
      <c r="PSP13" s="338"/>
      <c r="PSQ13" s="338"/>
      <c r="PSR13" s="338"/>
      <c r="PSS13" s="338"/>
      <c r="PST13" s="338"/>
      <c r="PSU13" s="338"/>
      <c r="PSV13" s="338"/>
      <c r="PSW13" s="338"/>
      <c r="PSX13" s="338"/>
      <c r="PSY13" s="338"/>
      <c r="PSZ13" s="338"/>
      <c r="PTA13" s="338"/>
      <c r="PTB13" s="338"/>
      <c r="PTC13" s="338"/>
      <c r="PTD13" s="338"/>
      <c r="PTE13" s="338"/>
      <c r="PTF13" s="338"/>
      <c r="PTG13" s="338"/>
      <c r="PTH13" s="338"/>
      <c r="PTI13" s="338"/>
      <c r="PTJ13" s="338"/>
      <c r="PTK13" s="338"/>
      <c r="PTL13" s="338"/>
      <c r="PTM13" s="338"/>
      <c r="PTN13" s="338"/>
      <c r="PTO13" s="338"/>
      <c r="PTP13" s="338"/>
      <c r="PTQ13" s="338"/>
      <c r="PTR13" s="338"/>
      <c r="PTS13" s="338"/>
      <c r="PTT13" s="338"/>
      <c r="PTU13" s="338"/>
      <c r="PTV13" s="338"/>
      <c r="PTW13" s="338"/>
      <c r="PTX13" s="338"/>
      <c r="PTY13" s="338"/>
      <c r="PTZ13" s="338"/>
      <c r="PUA13" s="338"/>
      <c r="PUB13" s="338"/>
      <c r="PUC13" s="338"/>
      <c r="PUD13" s="338"/>
      <c r="PUE13" s="338"/>
      <c r="PUF13" s="338"/>
      <c r="PUG13" s="338"/>
      <c r="PUH13" s="338"/>
      <c r="PUI13" s="338"/>
      <c r="PUJ13" s="338"/>
      <c r="PUK13" s="338"/>
      <c r="PUL13" s="338"/>
      <c r="PUM13" s="338"/>
      <c r="PUN13" s="338"/>
      <c r="PUO13" s="338"/>
      <c r="PUP13" s="338"/>
      <c r="PUQ13" s="338"/>
      <c r="PUR13" s="338"/>
      <c r="PUS13" s="338"/>
      <c r="PUT13" s="338"/>
      <c r="PUU13" s="338"/>
      <c r="PUV13" s="338"/>
      <c r="PUW13" s="338"/>
      <c r="PUX13" s="338"/>
      <c r="PUY13" s="338"/>
      <c r="PUZ13" s="338"/>
      <c r="PVA13" s="338"/>
      <c r="PVB13" s="338"/>
      <c r="PVC13" s="338"/>
      <c r="PVD13" s="338"/>
      <c r="PVE13" s="338"/>
      <c r="PVF13" s="338"/>
      <c r="PVG13" s="338"/>
      <c r="PVH13" s="338"/>
      <c r="PVI13" s="338"/>
      <c r="PVJ13" s="338"/>
      <c r="PVK13" s="338"/>
      <c r="PVL13" s="338"/>
      <c r="PVM13" s="338"/>
      <c r="PVN13" s="338"/>
      <c r="PVO13" s="338"/>
      <c r="PVP13" s="338"/>
      <c r="PVQ13" s="338"/>
      <c r="PVR13" s="338"/>
      <c r="PVS13" s="338"/>
      <c r="PVT13" s="338"/>
      <c r="PVU13" s="338"/>
      <c r="PVV13" s="338"/>
      <c r="PVW13" s="338"/>
      <c r="PVX13" s="338"/>
      <c r="PVY13" s="338"/>
      <c r="PVZ13" s="338"/>
      <c r="PWA13" s="338"/>
      <c r="PWB13" s="338"/>
      <c r="PWC13" s="338"/>
      <c r="PWD13" s="338"/>
      <c r="PWE13" s="338"/>
      <c r="PWF13" s="338"/>
      <c r="PWG13" s="338"/>
      <c r="PWH13" s="338"/>
      <c r="PWI13" s="338"/>
      <c r="PWJ13" s="338"/>
      <c r="PWK13" s="338"/>
      <c r="PWL13" s="338"/>
      <c r="PWM13" s="338"/>
      <c r="PWN13" s="338"/>
      <c r="PWO13" s="338"/>
      <c r="PWP13" s="338"/>
      <c r="PWQ13" s="338"/>
      <c r="PWR13" s="338"/>
      <c r="PWS13" s="338"/>
      <c r="PWT13" s="338"/>
      <c r="PWU13" s="338"/>
      <c r="PWV13" s="338"/>
      <c r="PWW13" s="338"/>
      <c r="PWX13" s="338"/>
      <c r="PWY13" s="338"/>
      <c r="PWZ13" s="338"/>
      <c r="PXA13" s="338"/>
      <c r="PXB13" s="338"/>
      <c r="PXC13" s="338"/>
      <c r="PXD13" s="338"/>
      <c r="PXE13" s="338"/>
      <c r="PXF13" s="338"/>
      <c r="PXG13" s="338"/>
      <c r="PXH13" s="338"/>
      <c r="PXI13" s="338"/>
      <c r="PXJ13" s="338"/>
      <c r="PXK13" s="338"/>
      <c r="PXL13" s="338"/>
      <c r="PXM13" s="338"/>
      <c r="PXN13" s="338"/>
      <c r="PXO13" s="338"/>
      <c r="PXP13" s="338"/>
      <c r="PXQ13" s="338"/>
      <c r="PXR13" s="338"/>
      <c r="PXS13" s="338"/>
      <c r="PXT13" s="338"/>
      <c r="PXU13" s="338"/>
      <c r="PXV13" s="338"/>
      <c r="PXW13" s="338"/>
      <c r="PXX13" s="338"/>
      <c r="PXY13" s="338"/>
      <c r="PXZ13" s="338"/>
      <c r="PYA13" s="338"/>
      <c r="PYB13" s="338"/>
      <c r="PYC13" s="338"/>
      <c r="PYD13" s="338"/>
      <c r="PYE13" s="338"/>
      <c r="PYF13" s="338"/>
      <c r="PYG13" s="338"/>
      <c r="PYH13" s="338"/>
      <c r="PYI13" s="338"/>
      <c r="PYJ13" s="338"/>
      <c r="PYK13" s="338"/>
      <c r="PYL13" s="338"/>
      <c r="PYM13" s="338"/>
      <c r="PYN13" s="338"/>
      <c r="PYO13" s="338"/>
      <c r="PYP13" s="338"/>
      <c r="PYQ13" s="338"/>
      <c r="PYR13" s="338"/>
      <c r="PYS13" s="338"/>
      <c r="PYT13" s="338"/>
      <c r="PYU13" s="338"/>
      <c r="PYV13" s="338"/>
      <c r="PYW13" s="338"/>
      <c r="PYX13" s="338"/>
      <c r="PYY13" s="338"/>
      <c r="PYZ13" s="338"/>
      <c r="PZA13" s="338"/>
      <c r="PZB13" s="338"/>
      <c r="PZC13" s="338"/>
      <c r="PZD13" s="338"/>
      <c r="PZE13" s="338"/>
      <c r="PZF13" s="338"/>
      <c r="PZG13" s="338"/>
      <c r="PZH13" s="338"/>
      <c r="PZI13" s="338"/>
      <c r="PZJ13" s="338"/>
      <c r="PZK13" s="338"/>
      <c r="PZL13" s="338"/>
      <c r="PZM13" s="338"/>
      <c r="PZN13" s="338"/>
      <c r="PZO13" s="338"/>
      <c r="PZP13" s="338"/>
      <c r="PZQ13" s="338"/>
      <c r="PZR13" s="338"/>
      <c r="PZS13" s="338"/>
      <c r="PZT13" s="338"/>
      <c r="PZU13" s="338"/>
      <c r="PZV13" s="338"/>
      <c r="PZW13" s="338"/>
      <c r="PZX13" s="338"/>
      <c r="PZY13" s="338"/>
      <c r="PZZ13" s="338"/>
      <c r="QAA13" s="338"/>
      <c r="QAB13" s="338"/>
      <c r="QAC13" s="338"/>
      <c r="QAD13" s="338"/>
      <c r="QAE13" s="338"/>
      <c r="QAF13" s="338"/>
      <c r="QAG13" s="338"/>
      <c r="QAH13" s="338"/>
      <c r="QAI13" s="338"/>
      <c r="QAJ13" s="338"/>
      <c r="QAK13" s="338"/>
      <c r="QAL13" s="338"/>
      <c r="QAM13" s="338"/>
      <c r="QAN13" s="338"/>
      <c r="QAO13" s="338"/>
      <c r="QAP13" s="338"/>
      <c r="QAQ13" s="338"/>
      <c r="QAR13" s="338"/>
      <c r="QAS13" s="338"/>
      <c r="QAT13" s="338"/>
      <c r="QAU13" s="338"/>
      <c r="QAV13" s="338"/>
      <c r="QAW13" s="338"/>
      <c r="QAX13" s="338"/>
      <c r="QAY13" s="338"/>
      <c r="QAZ13" s="338"/>
      <c r="QBA13" s="338"/>
      <c r="QBB13" s="338"/>
      <c r="QBC13" s="338"/>
      <c r="QBD13" s="338"/>
      <c r="QBE13" s="338"/>
      <c r="QBF13" s="338"/>
      <c r="QBG13" s="338"/>
      <c r="QBH13" s="338"/>
      <c r="QBI13" s="338"/>
      <c r="QBJ13" s="338"/>
      <c r="QBK13" s="338"/>
      <c r="QBL13" s="338"/>
      <c r="QBM13" s="338"/>
      <c r="QBN13" s="338"/>
      <c r="QBO13" s="338"/>
      <c r="QBP13" s="338"/>
      <c r="QBQ13" s="338"/>
      <c r="QBR13" s="338"/>
      <c r="QBS13" s="338"/>
      <c r="QBT13" s="338"/>
      <c r="QBU13" s="338"/>
      <c r="QBV13" s="338"/>
      <c r="QBW13" s="338"/>
      <c r="QBX13" s="338"/>
      <c r="QBY13" s="338"/>
      <c r="QBZ13" s="338"/>
      <c r="QCA13" s="338"/>
      <c r="QCB13" s="338"/>
      <c r="QCC13" s="338"/>
      <c r="QCD13" s="338"/>
      <c r="QCE13" s="338"/>
      <c r="QCF13" s="338"/>
      <c r="QCG13" s="338"/>
      <c r="QCH13" s="338"/>
      <c r="QCI13" s="338"/>
      <c r="QCJ13" s="338"/>
      <c r="QCK13" s="338"/>
      <c r="QCL13" s="338"/>
      <c r="QCM13" s="338"/>
      <c r="QCN13" s="338"/>
      <c r="QCO13" s="338"/>
      <c r="QCP13" s="338"/>
      <c r="QCQ13" s="338"/>
      <c r="QCR13" s="338"/>
      <c r="QCS13" s="338"/>
      <c r="QCT13" s="338"/>
      <c r="QCU13" s="338"/>
      <c r="QCV13" s="338"/>
      <c r="QCW13" s="338"/>
      <c r="QCX13" s="338"/>
      <c r="QCY13" s="338"/>
      <c r="QCZ13" s="338"/>
      <c r="QDA13" s="338"/>
      <c r="QDB13" s="338"/>
      <c r="QDC13" s="338"/>
      <c r="QDD13" s="338"/>
      <c r="QDE13" s="338"/>
      <c r="QDF13" s="338"/>
      <c r="QDG13" s="338"/>
      <c r="QDH13" s="338"/>
      <c r="QDI13" s="338"/>
      <c r="QDJ13" s="338"/>
      <c r="QDK13" s="338"/>
      <c r="QDL13" s="338"/>
      <c r="QDM13" s="338"/>
      <c r="QDN13" s="338"/>
      <c r="QDO13" s="338"/>
      <c r="QDP13" s="338"/>
      <c r="QDQ13" s="338"/>
      <c r="QDR13" s="338"/>
      <c r="QDS13" s="338"/>
      <c r="QDT13" s="338"/>
      <c r="QDU13" s="338"/>
      <c r="QDV13" s="338"/>
      <c r="QDW13" s="338"/>
      <c r="QDX13" s="338"/>
      <c r="QDY13" s="338"/>
      <c r="QDZ13" s="338"/>
      <c r="QEA13" s="338"/>
      <c r="QEB13" s="338"/>
      <c r="QEC13" s="338"/>
      <c r="QED13" s="338"/>
      <c r="QEE13" s="338"/>
      <c r="QEF13" s="338"/>
      <c r="QEG13" s="338"/>
      <c r="QEH13" s="338"/>
      <c r="QEI13" s="338"/>
      <c r="QEJ13" s="338"/>
      <c r="QEK13" s="338"/>
      <c r="QEL13" s="338"/>
      <c r="QEM13" s="338"/>
      <c r="QEN13" s="338"/>
      <c r="QEO13" s="338"/>
      <c r="QEP13" s="338"/>
      <c r="QEQ13" s="338"/>
      <c r="QER13" s="338"/>
      <c r="QES13" s="338"/>
      <c r="QET13" s="338"/>
      <c r="QEU13" s="338"/>
      <c r="QEV13" s="338"/>
      <c r="QEW13" s="338"/>
      <c r="QEX13" s="338"/>
      <c r="QEY13" s="338"/>
      <c r="QEZ13" s="338"/>
      <c r="QFA13" s="338"/>
      <c r="QFB13" s="338"/>
      <c r="QFC13" s="338"/>
      <c r="QFD13" s="338"/>
      <c r="QFE13" s="338"/>
      <c r="QFF13" s="338"/>
      <c r="QFG13" s="338"/>
      <c r="QFH13" s="338"/>
      <c r="QFI13" s="338"/>
      <c r="QFJ13" s="338"/>
      <c r="QFK13" s="338"/>
      <c r="QFL13" s="338"/>
      <c r="QFM13" s="338"/>
      <c r="QFN13" s="338"/>
      <c r="QFO13" s="338"/>
      <c r="QFP13" s="338"/>
      <c r="QFQ13" s="338"/>
      <c r="QFR13" s="338"/>
      <c r="QFS13" s="338"/>
      <c r="QFT13" s="338"/>
      <c r="QFU13" s="338"/>
      <c r="QFV13" s="338"/>
      <c r="QFW13" s="338"/>
      <c r="QFX13" s="338"/>
      <c r="QFY13" s="338"/>
      <c r="QFZ13" s="338"/>
      <c r="QGA13" s="338"/>
      <c r="QGB13" s="338"/>
      <c r="QGC13" s="338"/>
      <c r="QGD13" s="338"/>
      <c r="QGE13" s="338"/>
      <c r="QGF13" s="338"/>
      <c r="QGG13" s="338"/>
      <c r="QGH13" s="338"/>
      <c r="QGI13" s="338"/>
      <c r="QGJ13" s="338"/>
      <c r="QGK13" s="338"/>
      <c r="QGL13" s="338"/>
      <c r="QGM13" s="338"/>
      <c r="QGN13" s="338"/>
      <c r="QGO13" s="338"/>
      <c r="QGP13" s="338"/>
      <c r="QGQ13" s="338"/>
      <c r="QGR13" s="338"/>
      <c r="QGS13" s="338"/>
      <c r="QGT13" s="338"/>
      <c r="QGU13" s="338"/>
      <c r="QGV13" s="338"/>
      <c r="QGW13" s="338"/>
      <c r="QGX13" s="338"/>
      <c r="QGY13" s="338"/>
      <c r="QGZ13" s="338"/>
      <c r="QHA13" s="338"/>
      <c r="QHB13" s="338"/>
      <c r="QHC13" s="338"/>
      <c r="QHD13" s="338"/>
      <c r="QHE13" s="338"/>
      <c r="QHF13" s="338"/>
      <c r="QHG13" s="338"/>
      <c r="QHH13" s="338"/>
      <c r="QHI13" s="338"/>
      <c r="QHJ13" s="338"/>
      <c r="QHK13" s="338"/>
      <c r="QHL13" s="338"/>
      <c r="QHM13" s="338"/>
      <c r="QHN13" s="338"/>
      <c r="QHO13" s="338"/>
      <c r="QHP13" s="338"/>
      <c r="QHQ13" s="338"/>
      <c r="QHR13" s="338"/>
      <c r="QHS13" s="338"/>
      <c r="QHT13" s="338"/>
      <c r="QHU13" s="338"/>
      <c r="QHV13" s="338"/>
      <c r="QHW13" s="338"/>
      <c r="QHX13" s="338"/>
      <c r="QHY13" s="338"/>
      <c r="QHZ13" s="338"/>
      <c r="QIA13" s="338"/>
      <c r="QIB13" s="338"/>
      <c r="QIC13" s="338"/>
      <c r="QID13" s="338"/>
      <c r="QIE13" s="338"/>
      <c r="QIF13" s="338"/>
      <c r="QIG13" s="338"/>
      <c r="QIH13" s="338"/>
      <c r="QII13" s="338"/>
      <c r="QIJ13" s="338"/>
      <c r="QIK13" s="338"/>
      <c r="QIL13" s="338"/>
      <c r="QIM13" s="338"/>
      <c r="QIN13" s="338"/>
      <c r="QIO13" s="338"/>
      <c r="QIP13" s="338"/>
      <c r="QIQ13" s="338"/>
      <c r="QIR13" s="338"/>
      <c r="QIS13" s="338"/>
      <c r="QIT13" s="338"/>
      <c r="QIU13" s="338"/>
      <c r="QIV13" s="338"/>
      <c r="QIW13" s="338"/>
      <c r="QIX13" s="338"/>
      <c r="QIY13" s="338"/>
      <c r="QIZ13" s="338"/>
      <c r="QJA13" s="338"/>
      <c r="QJB13" s="338"/>
      <c r="QJC13" s="338"/>
      <c r="QJD13" s="338"/>
      <c r="QJE13" s="338"/>
      <c r="QJF13" s="338"/>
      <c r="QJG13" s="338"/>
      <c r="QJH13" s="338"/>
      <c r="QJI13" s="338"/>
      <c r="QJJ13" s="338"/>
      <c r="QJK13" s="338"/>
      <c r="QJL13" s="338"/>
      <c r="QJM13" s="338"/>
      <c r="QJN13" s="338"/>
      <c r="QJO13" s="338"/>
      <c r="QJP13" s="338"/>
      <c r="QJQ13" s="338"/>
      <c r="QJR13" s="338"/>
      <c r="QJS13" s="338"/>
      <c r="QJT13" s="338"/>
      <c r="QJU13" s="338"/>
      <c r="QJV13" s="338"/>
      <c r="QJW13" s="338"/>
      <c r="QJX13" s="338"/>
      <c r="QJY13" s="338"/>
      <c r="QJZ13" s="338"/>
      <c r="QKA13" s="338"/>
      <c r="QKB13" s="338"/>
      <c r="QKC13" s="338"/>
      <c r="QKD13" s="338"/>
      <c r="QKE13" s="338"/>
      <c r="QKF13" s="338"/>
      <c r="QKG13" s="338"/>
      <c r="QKH13" s="338"/>
      <c r="QKI13" s="338"/>
      <c r="QKJ13" s="338"/>
      <c r="QKK13" s="338"/>
      <c r="QKL13" s="338"/>
      <c r="QKM13" s="338"/>
      <c r="QKN13" s="338"/>
      <c r="QKO13" s="338"/>
      <c r="QKP13" s="338"/>
      <c r="QKQ13" s="338"/>
      <c r="QKR13" s="338"/>
      <c r="QKS13" s="338"/>
      <c r="QKT13" s="338"/>
      <c r="QKU13" s="338"/>
      <c r="QKV13" s="338"/>
      <c r="QKW13" s="338"/>
      <c r="QKX13" s="338"/>
      <c r="QKY13" s="338"/>
      <c r="QKZ13" s="338"/>
      <c r="QLA13" s="338"/>
      <c r="QLB13" s="338"/>
      <c r="QLC13" s="338"/>
      <c r="QLD13" s="338"/>
      <c r="QLE13" s="338"/>
      <c r="QLF13" s="338"/>
      <c r="QLG13" s="338"/>
      <c r="QLH13" s="338"/>
      <c r="QLI13" s="338"/>
      <c r="QLJ13" s="338"/>
      <c r="QLK13" s="338"/>
      <c r="QLL13" s="338"/>
      <c r="QLM13" s="338"/>
      <c r="QLN13" s="338"/>
      <c r="QLO13" s="338"/>
      <c r="QLP13" s="338"/>
      <c r="QLQ13" s="338"/>
      <c r="QLR13" s="338"/>
      <c r="QLS13" s="338"/>
      <c r="QLT13" s="338"/>
      <c r="QLU13" s="338"/>
      <c r="QLV13" s="338"/>
      <c r="QLW13" s="338"/>
      <c r="QLX13" s="338"/>
      <c r="QLY13" s="338"/>
      <c r="QLZ13" s="338"/>
      <c r="QMA13" s="338"/>
      <c r="QMB13" s="338"/>
      <c r="QMC13" s="338"/>
      <c r="QMD13" s="338"/>
      <c r="QME13" s="338"/>
      <c r="QMF13" s="338"/>
      <c r="QMG13" s="338"/>
      <c r="QMH13" s="338"/>
      <c r="QMI13" s="338"/>
      <c r="QMJ13" s="338"/>
      <c r="QMK13" s="338"/>
      <c r="QML13" s="338"/>
      <c r="QMM13" s="338"/>
      <c r="QMN13" s="338"/>
      <c r="QMO13" s="338"/>
      <c r="QMP13" s="338"/>
      <c r="QMQ13" s="338"/>
      <c r="QMR13" s="338"/>
      <c r="QMS13" s="338"/>
      <c r="QMT13" s="338"/>
      <c r="QMU13" s="338"/>
      <c r="QMV13" s="338"/>
      <c r="QMW13" s="338"/>
      <c r="QMX13" s="338"/>
      <c r="QMY13" s="338"/>
      <c r="QMZ13" s="338"/>
      <c r="QNA13" s="338"/>
      <c r="QNB13" s="338"/>
      <c r="QNC13" s="338"/>
      <c r="QND13" s="338"/>
      <c r="QNE13" s="338"/>
      <c r="QNF13" s="338"/>
      <c r="QNG13" s="338"/>
      <c r="QNH13" s="338"/>
      <c r="QNI13" s="338"/>
      <c r="QNJ13" s="338"/>
      <c r="QNK13" s="338"/>
      <c r="QNL13" s="338"/>
      <c r="QNM13" s="338"/>
      <c r="QNN13" s="338"/>
      <c r="QNO13" s="338"/>
      <c r="QNP13" s="338"/>
      <c r="QNQ13" s="338"/>
      <c r="QNR13" s="338"/>
      <c r="QNS13" s="338"/>
      <c r="QNT13" s="338"/>
      <c r="QNU13" s="338"/>
      <c r="QNV13" s="338"/>
      <c r="QNW13" s="338"/>
      <c r="QNX13" s="338"/>
      <c r="QNY13" s="338"/>
      <c r="QNZ13" s="338"/>
      <c r="QOA13" s="338"/>
      <c r="QOB13" s="338"/>
      <c r="QOC13" s="338"/>
      <c r="QOD13" s="338"/>
      <c r="QOE13" s="338"/>
      <c r="QOF13" s="338"/>
      <c r="QOG13" s="338"/>
      <c r="QOH13" s="338"/>
      <c r="QOI13" s="338"/>
      <c r="QOJ13" s="338"/>
      <c r="QOK13" s="338"/>
      <c r="QOL13" s="338"/>
      <c r="QOM13" s="338"/>
      <c r="QON13" s="338"/>
      <c r="QOO13" s="338"/>
      <c r="QOP13" s="338"/>
      <c r="QOQ13" s="338"/>
      <c r="QOR13" s="338"/>
      <c r="QOS13" s="338"/>
      <c r="QOT13" s="338"/>
      <c r="QOU13" s="338"/>
      <c r="QOV13" s="338"/>
      <c r="QOW13" s="338"/>
      <c r="QOX13" s="338"/>
      <c r="QOY13" s="338"/>
      <c r="QOZ13" s="338"/>
      <c r="QPA13" s="338"/>
      <c r="QPB13" s="338"/>
      <c r="QPC13" s="338"/>
      <c r="QPD13" s="338"/>
      <c r="QPE13" s="338"/>
      <c r="QPF13" s="338"/>
      <c r="QPG13" s="338"/>
      <c r="QPH13" s="338"/>
      <c r="QPI13" s="338"/>
      <c r="QPJ13" s="338"/>
      <c r="QPK13" s="338"/>
      <c r="QPL13" s="338"/>
      <c r="QPM13" s="338"/>
      <c r="QPN13" s="338"/>
      <c r="QPO13" s="338"/>
      <c r="QPP13" s="338"/>
      <c r="QPQ13" s="338"/>
      <c r="QPR13" s="338"/>
      <c r="QPS13" s="338"/>
      <c r="QPT13" s="338"/>
      <c r="QPU13" s="338"/>
      <c r="QPV13" s="338"/>
      <c r="QPW13" s="338"/>
      <c r="QPX13" s="338"/>
      <c r="QPY13" s="338"/>
      <c r="QPZ13" s="338"/>
      <c r="QQA13" s="338"/>
      <c r="QQB13" s="338"/>
      <c r="QQC13" s="338"/>
      <c r="QQD13" s="338"/>
      <c r="QQE13" s="338"/>
      <c r="QQF13" s="338"/>
      <c r="QQG13" s="338"/>
      <c r="QQH13" s="338"/>
      <c r="QQI13" s="338"/>
      <c r="QQJ13" s="338"/>
      <c r="QQK13" s="338"/>
      <c r="QQL13" s="338"/>
      <c r="QQM13" s="338"/>
      <c r="QQN13" s="338"/>
      <c r="QQO13" s="338"/>
      <c r="QQP13" s="338"/>
      <c r="QQQ13" s="338"/>
      <c r="QQR13" s="338"/>
      <c r="QQS13" s="338"/>
      <c r="QQT13" s="338"/>
      <c r="QQU13" s="338"/>
      <c r="QQV13" s="338"/>
      <c r="QQW13" s="338"/>
      <c r="QQX13" s="338"/>
      <c r="QQY13" s="338"/>
      <c r="QQZ13" s="338"/>
      <c r="QRA13" s="338"/>
      <c r="QRB13" s="338"/>
      <c r="QRC13" s="338"/>
      <c r="QRD13" s="338"/>
      <c r="QRE13" s="338"/>
      <c r="QRF13" s="338"/>
      <c r="QRG13" s="338"/>
      <c r="QRH13" s="338"/>
      <c r="QRI13" s="338"/>
      <c r="QRJ13" s="338"/>
      <c r="QRK13" s="338"/>
      <c r="QRL13" s="338"/>
      <c r="QRM13" s="338"/>
      <c r="QRN13" s="338"/>
      <c r="QRO13" s="338"/>
      <c r="QRP13" s="338"/>
      <c r="QRQ13" s="338"/>
      <c r="QRR13" s="338"/>
      <c r="QRS13" s="338"/>
      <c r="QRT13" s="338"/>
      <c r="QRU13" s="338"/>
      <c r="QRV13" s="338"/>
      <c r="QRW13" s="338"/>
      <c r="QRX13" s="338"/>
      <c r="QRY13" s="338"/>
      <c r="QRZ13" s="338"/>
      <c r="QSA13" s="338"/>
      <c r="QSB13" s="338"/>
      <c r="QSC13" s="338"/>
      <c r="QSD13" s="338"/>
      <c r="QSE13" s="338"/>
      <c r="QSF13" s="338"/>
      <c r="QSG13" s="338"/>
      <c r="QSH13" s="338"/>
      <c r="QSI13" s="338"/>
      <c r="QSJ13" s="338"/>
      <c r="QSK13" s="338"/>
      <c r="QSL13" s="338"/>
      <c r="QSM13" s="338"/>
      <c r="QSN13" s="338"/>
      <c r="QSO13" s="338"/>
      <c r="QSP13" s="338"/>
      <c r="QSQ13" s="338"/>
      <c r="QSR13" s="338"/>
      <c r="QSS13" s="338"/>
      <c r="QST13" s="338"/>
      <c r="QSU13" s="338"/>
      <c r="QSV13" s="338"/>
      <c r="QSW13" s="338"/>
      <c r="QSX13" s="338"/>
      <c r="QSY13" s="338"/>
      <c r="QSZ13" s="338"/>
      <c r="QTA13" s="338"/>
      <c r="QTB13" s="338"/>
      <c r="QTC13" s="338"/>
      <c r="QTD13" s="338"/>
      <c r="QTE13" s="338"/>
      <c r="QTF13" s="338"/>
      <c r="QTG13" s="338"/>
      <c r="QTH13" s="338"/>
      <c r="QTI13" s="338"/>
      <c r="QTJ13" s="338"/>
      <c r="QTK13" s="338"/>
      <c r="QTL13" s="338"/>
      <c r="QTM13" s="338"/>
      <c r="QTN13" s="338"/>
      <c r="QTO13" s="338"/>
      <c r="QTP13" s="338"/>
      <c r="QTQ13" s="338"/>
      <c r="QTR13" s="338"/>
      <c r="QTS13" s="338"/>
      <c r="QTT13" s="338"/>
      <c r="QTU13" s="338"/>
      <c r="QTV13" s="338"/>
      <c r="QTW13" s="338"/>
      <c r="QTX13" s="338"/>
      <c r="QTY13" s="338"/>
      <c r="QTZ13" s="338"/>
      <c r="QUA13" s="338"/>
      <c r="QUB13" s="338"/>
      <c r="QUC13" s="338"/>
      <c r="QUD13" s="338"/>
      <c r="QUE13" s="338"/>
      <c r="QUF13" s="338"/>
      <c r="QUG13" s="338"/>
      <c r="QUH13" s="338"/>
      <c r="QUI13" s="338"/>
      <c r="QUJ13" s="338"/>
      <c r="QUK13" s="338"/>
      <c r="QUL13" s="338"/>
      <c r="QUM13" s="338"/>
      <c r="QUN13" s="338"/>
      <c r="QUO13" s="338"/>
      <c r="QUP13" s="338"/>
      <c r="QUQ13" s="338"/>
      <c r="QUR13" s="338"/>
      <c r="QUS13" s="338"/>
      <c r="QUT13" s="338"/>
      <c r="QUU13" s="338"/>
      <c r="QUV13" s="338"/>
      <c r="QUW13" s="338"/>
      <c r="QUX13" s="338"/>
      <c r="QUY13" s="338"/>
      <c r="QUZ13" s="338"/>
      <c r="QVA13" s="338"/>
      <c r="QVB13" s="338"/>
      <c r="QVC13" s="338"/>
      <c r="QVD13" s="338"/>
      <c r="QVE13" s="338"/>
      <c r="QVF13" s="338"/>
      <c r="QVG13" s="338"/>
      <c r="QVH13" s="338"/>
      <c r="QVI13" s="338"/>
      <c r="QVJ13" s="338"/>
      <c r="QVK13" s="338"/>
      <c r="QVL13" s="338"/>
      <c r="QVM13" s="338"/>
      <c r="QVN13" s="338"/>
      <c r="QVO13" s="338"/>
      <c r="QVP13" s="338"/>
      <c r="QVQ13" s="338"/>
      <c r="QVR13" s="338"/>
      <c r="QVS13" s="338"/>
      <c r="QVT13" s="338"/>
      <c r="QVU13" s="338"/>
      <c r="QVV13" s="338"/>
      <c r="QVW13" s="338"/>
      <c r="QVX13" s="338"/>
      <c r="QVY13" s="338"/>
      <c r="QVZ13" s="338"/>
      <c r="QWA13" s="338"/>
      <c r="QWB13" s="338"/>
      <c r="QWC13" s="338"/>
      <c r="QWD13" s="338"/>
      <c r="QWE13" s="338"/>
      <c r="QWF13" s="338"/>
      <c r="QWG13" s="338"/>
      <c r="QWH13" s="338"/>
      <c r="QWI13" s="338"/>
      <c r="QWJ13" s="338"/>
      <c r="QWK13" s="338"/>
      <c r="QWL13" s="338"/>
      <c r="QWM13" s="338"/>
      <c r="QWN13" s="338"/>
      <c r="QWO13" s="338"/>
      <c r="QWP13" s="338"/>
      <c r="QWQ13" s="338"/>
      <c r="QWR13" s="338"/>
      <c r="QWS13" s="338"/>
      <c r="QWT13" s="338"/>
      <c r="QWU13" s="338"/>
      <c r="QWV13" s="338"/>
      <c r="QWW13" s="338"/>
      <c r="QWX13" s="338"/>
      <c r="QWY13" s="338"/>
      <c r="QWZ13" s="338"/>
      <c r="QXA13" s="338"/>
      <c r="QXB13" s="338"/>
      <c r="QXC13" s="338"/>
      <c r="QXD13" s="338"/>
      <c r="QXE13" s="338"/>
      <c r="QXF13" s="338"/>
      <c r="QXG13" s="338"/>
      <c r="QXH13" s="338"/>
      <c r="QXI13" s="338"/>
      <c r="QXJ13" s="338"/>
      <c r="QXK13" s="338"/>
      <c r="QXL13" s="338"/>
      <c r="QXM13" s="338"/>
      <c r="QXN13" s="338"/>
      <c r="QXO13" s="338"/>
      <c r="QXP13" s="338"/>
      <c r="QXQ13" s="338"/>
      <c r="QXR13" s="338"/>
      <c r="QXS13" s="338"/>
      <c r="QXT13" s="338"/>
      <c r="QXU13" s="338"/>
      <c r="QXV13" s="338"/>
      <c r="QXW13" s="338"/>
      <c r="QXX13" s="338"/>
      <c r="QXY13" s="338"/>
      <c r="QXZ13" s="338"/>
      <c r="QYA13" s="338"/>
      <c r="QYB13" s="338"/>
      <c r="QYC13" s="338"/>
      <c r="QYD13" s="338"/>
      <c r="QYE13" s="338"/>
      <c r="QYF13" s="338"/>
      <c r="QYG13" s="338"/>
      <c r="QYH13" s="338"/>
      <c r="QYI13" s="338"/>
      <c r="QYJ13" s="338"/>
      <c r="QYK13" s="338"/>
      <c r="QYL13" s="338"/>
      <c r="QYM13" s="338"/>
      <c r="QYN13" s="338"/>
      <c r="QYO13" s="338"/>
      <c r="QYP13" s="338"/>
      <c r="QYQ13" s="338"/>
      <c r="QYR13" s="338"/>
      <c r="QYS13" s="338"/>
      <c r="QYT13" s="338"/>
      <c r="QYU13" s="338"/>
      <c r="QYV13" s="338"/>
      <c r="QYW13" s="338"/>
      <c r="QYX13" s="338"/>
      <c r="QYY13" s="338"/>
      <c r="QYZ13" s="338"/>
      <c r="QZA13" s="338"/>
      <c r="QZB13" s="338"/>
      <c r="QZC13" s="338"/>
      <c r="QZD13" s="338"/>
      <c r="QZE13" s="338"/>
      <c r="QZF13" s="338"/>
      <c r="QZG13" s="338"/>
      <c r="QZH13" s="338"/>
      <c r="QZI13" s="338"/>
      <c r="QZJ13" s="338"/>
      <c r="QZK13" s="338"/>
      <c r="QZL13" s="338"/>
      <c r="QZM13" s="338"/>
      <c r="QZN13" s="338"/>
      <c r="QZO13" s="338"/>
      <c r="QZP13" s="338"/>
      <c r="QZQ13" s="338"/>
      <c r="QZR13" s="338"/>
      <c r="QZS13" s="338"/>
      <c r="QZT13" s="338"/>
      <c r="QZU13" s="338"/>
      <c r="QZV13" s="338"/>
      <c r="QZW13" s="338"/>
      <c r="QZX13" s="338"/>
      <c r="QZY13" s="338"/>
      <c r="QZZ13" s="338"/>
      <c r="RAA13" s="338"/>
      <c r="RAB13" s="338"/>
      <c r="RAC13" s="338"/>
      <c r="RAD13" s="338"/>
      <c r="RAE13" s="338"/>
      <c r="RAF13" s="338"/>
      <c r="RAG13" s="338"/>
      <c r="RAH13" s="338"/>
      <c r="RAI13" s="338"/>
      <c r="RAJ13" s="338"/>
      <c r="RAK13" s="338"/>
      <c r="RAL13" s="338"/>
      <c r="RAM13" s="338"/>
      <c r="RAN13" s="338"/>
      <c r="RAO13" s="338"/>
      <c r="RAP13" s="338"/>
      <c r="RAQ13" s="338"/>
      <c r="RAR13" s="338"/>
      <c r="RAS13" s="338"/>
      <c r="RAT13" s="338"/>
      <c r="RAU13" s="338"/>
      <c r="RAV13" s="338"/>
      <c r="RAW13" s="338"/>
      <c r="RAX13" s="338"/>
      <c r="RAY13" s="338"/>
      <c r="RAZ13" s="338"/>
      <c r="RBA13" s="338"/>
      <c r="RBB13" s="338"/>
      <c r="RBC13" s="338"/>
      <c r="RBD13" s="338"/>
      <c r="RBE13" s="338"/>
      <c r="RBF13" s="338"/>
      <c r="RBG13" s="338"/>
      <c r="RBH13" s="338"/>
      <c r="RBI13" s="338"/>
      <c r="RBJ13" s="338"/>
      <c r="RBK13" s="338"/>
      <c r="RBL13" s="338"/>
      <c r="RBM13" s="338"/>
      <c r="RBN13" s="338"/>
      <c r="RBO13" s="338"/>
      <c r="RBP13" s="338"/>
      <c r="RBQ13" s="338"/>
      <c r="RBR13" s="338"/>
      <c r="RBS13" s="338"/>
      <c r="RBT13" s="338"/>
      <c r="RBU13" s="338"/>
      <c r="RBV13" s="338"/>
      <c r="RBW13" s="338"/>
      <c r="RBX13" s="338"/>
      <c r="RBY13" s="338"/>
      <c r="RBZ13" s="338"/>
      <c r="RCA13" s="338"/>
      <c r="RCB13" s="338"/>
      <c r="RCC13" s="338"/>
      <c r="RCD13" s="338"/>
      <c r="RCE13" s="338"/>
      <c r="RCF13" s="338"/>
      <c r="RCG13" s="338"/>
      <c r="RCH13" s="338"/>
      <c r="RCI13" s="338"/>
      <c r="RCJ13" s="338"/>
      <c r="RCK13" s="338"/>
      <c r="RCL13" s="338"/>
      <c r="RCM13" s="338"/>
      <c r="RCN13" s="338"/>
      <c r="RCO13" s="338"/>
      <c r="RCP13" s="338"/>
      <c r="RCQ13" s="338"/>
      <c r="RCR13" s="338"/>
      <c r="RCS13" s="338"/>
      <c r="RCT13" s="338"/>
      <c r="RCU13" s="338"/>
      <c r="RCV13" s="338"/>
      <c r="RCW13" s="338"/>
      <c r="RCX13" s="338"/>
      <c r="RCY13" s="338"/>
      <c r="RCZ13" s="338"/>
      <c r="RDA13" s="338"/>
      <c r="RDB13" s="338"/>
      <c r="RDC13" s="338"/>
      <c r="RDD13" s="338"/>
      <c r="RDE13" s="338"/>
      <c r="RDF13" s="338"/>
      <c r="RDG13" s="338"/>
      <c r="RDH13" s="338"/>
      <c r="RDI13" s="338"/>
      <c r="RDJ13" s="338"/>
      <c r="RDK13" s="338"/>
      <c r="RDL13" s="338"/>
      <c r="RDM13" s="338"/>
      <c r="RDN13" s="338"/>
      <c r="RDO13" s="338"/>
      <c r="RDP13" s="338"/>
      <c r="RDQ13" s="338"/>
      <c r="RDR13" s="338"/>
      <c r="RDS13" s="338"/>
      <c r="RDT13" s="338"/>
      <c r="RDU13" s="338"/>
      <c r="RDV13" s="338"/>
      <c r="RDW13" s="338"/>
      <c r="RDX13" s="338"/>
      <c r="RDY13" s="338"/>
      <c r="RDZ13" s="338"/>
      <c r="REA13" s="338"/>
      <c r="REB13" s="338"/>
      <c r="REC13" s="338"/>
      <c r="RED13" s="338"/>
      <c r="REE13" s="338"/>
      <c r="REF13" s="338"/>
      <c r="REG13" s="338"/>
      <c r="REH13" s="338"/>
      <c r="REI13" s="338"/>
      <c r="REJ13" s="338"/>
      <c r="REK13" s="338"/>
      <c r="REL13" s="338"/>
      <c r="REM13" s="338"/>
      <c r="REN13" s="338"/>
      <c r="REO13" s="338"/>
      <c r="REP13" s="338"/>
      <c r="REQ13" s="338"/>
      <c r="RER13" s="338"/>
      <c r="RES13" s="338"/>
      <c r="RET13" s="338"/>
      <c r="REU13" s="338"/>
      <c r="REV13" s="338"/>
      <c r="REW13" s="338"/>
      <c r="REX13" s="338"/>
      <c r="REY13" s="338"/>
      <c r="REZ13" s="338"/>
      <c r="RFA13" s="338"/>
      <c r="RFB13" s="338"/>
      <c r="RFC13" s="338"/>
      <c r="RFD13" s="338"/>
      <c r="RFE13" s="338"/>
      <c r="RFF13" s="338"/>
      <c r="RFG13" s="338"/>
      <c r="RFH13" s="338"/>
      <c r="RFI13" s="338"/>
      <c r="RFJ13" s="338"/>
      <c r="RFK13" s="338"/>
      <c r="RFL13" s="338"/>
      <c r="RFM13" s="338"/>
      <c r="RFN13" s="338"/>
      <c r="RFO13" s="338"/>
      <c r="RFP13" s="338"/>
      <c r="RFQ13" s="338"/>
      <c r="RFR13" s="338"/>
      <c r="RFS13" s="338"/>
      <c r="RFT13" s="338"/>
      <c r="RFU13" s="338"/>
      <c r="RFV13" s="338"/>
      <c r="RFW13" s="338"/>
      <c r="RFX13" s="338"/>
      <c r="RFY13" s="338"/>
      <c r="RFZ13" s="338"/>
      <c r="RGA13" s="338"/>
      <c r="RGB13" s="338"/>
      <c r="RGC13" s="338"/>
      <c r="RGD13" s="338"/>
      <c r="RGE13" s="338"/>
      <c r="RGF13" s="338"/>
      <c r="RGG13" s="338"/>
      <c r="RGH13" s="338"/>
      <c r="RGI13" s="338"/>
      <c r="RGJ13" s="338"/>
      <c r="RGK13" s="338"/>
      <c r="RGL13" s="338"/>
      <c r="RGM13" s="338"/>
      <c r="RGN13" s="338"/>
      <c r="RGO13" s="338"/>
      <c r="RGP13" s="338"/>
      <c r="RGQ13" s="338"/>
      <c r="RGR13" s="338"/>
      <c r="RGS13" s="338"/>
      <c r="RGT13" s="338"/>
      <c r="RGU13" s="338"/>
      <c r="RGV13" s="338"/>
      <c r="RGW13" s="338"/>
      <c r="RGX13" s="338"/>
      <c r="RGY13" s="338"/>
      <c r="RGZ13" s="338"/>
      <c r="RHA13" s="338"/>
      <c r="RHB13" s="338"/>
      <c r="RHC13" s="338"/>
      <c r="RHD13" s="338"/>
      <c r="RHE13" s="338"/>
      <c r="RHF13" s="338"/>
      <c r="RHG13" s="338"/>
      <c r="RHH13" s="338"/>
      <c r="RHI13" s="338"/>
      <c r="RHJ13" s="338"/>
      <c r="RHK13" s="338"/>
      <c r="RHL13" s="338"/>
      <c r="RHM13" s="338"/>
      <c r="RHN13" s="338"/>
      <c r="RHO13" s="338"/>
      <c r="RHP13" s="338"/>
      <c r="RHQ13" s="338"/>
      <c r="RHR13" s="338"/>
      <c r="RHS13" s="338"/>
      <c r="RHT13" s="338"/>
      <c r="RHU13" s="338"/>
      <c r="RHV13" s="338"/>
      <c r="RHW13" s="338"/>
      <c r="RHX13" s="338"/>
      <c r="RHY13" s="338"/>
      <c r="RHZ13" s="338"/>
      <c r="RIA13" s="338"/>
      <c r="RIB13" s="338"/>
      <c r="RIC13" s="338"/>
      <c r="RID13" s="338"/>
      <c r="RIE13" s="338"/>
      <c r="RIF13" s="338"/>
      <c r="RIG13" s="338"/>
      <c r="RIH13" s="338"/>
      <c r="RII13" s="338"/>
      <c r="RIJ13" s="338"/>
      <c r="RIK13" s="338"/>
      <c r="RIL13" s="338"/>
      <c r="RIM13" s="338"/>
      <c r="RIN13" s="338"/>
      <c r="RIO13" s="338"/>
      <c r="RIP13" s="338"/>
      <c r="RIQ13" s="338"/>
      <c r="RIR13" s="338"/>
      <c r="RIS13" s="338"/>
      <c r="RIT13" s="338"/>
      <c r="RIU13" s="338"/>
      <c r="RIV13" s="338"/>
      <c r="RIW13" s="338"/>
      <c r="RIX13" s="338"/>
      <c r="RIY13" s="338"/>
      <c r="RIZ13" s="338"/>
      <c r="RJA13" s="338"/>
      <c r="RJB13" s="338"/>
      <c r="RJC13" s="338"/>
      <c r="RJD13" s="338"/>
      <c r="RJE13" s="338"/>
      <c r="RJF13" s="338"/>
      <c r="RJG13" s="338"/>
      <c r="RJH13" s="338"/>
      <c r="RJI13" s="338"/>
      <c r="RJJ13" s="338"/>
      <c r="RJK13" s="338"/>
      <c r="RJL13" s="338"/>
      <c r="RJM13" s="338"/>
      <c r="RJN13" s="338"/>
      <c r="RJO13" s="338"/>
      <c r="RJP13" s="338"/>
      <c r="RJQ13" s="338"/>
      <c r="RJR13" s="338"/>
      <c r="RJS13" s="338"/>
      <c r="RJT13" s="338"/>
      <c r="RJU13" s="338"/>
      <c r="RJV13" s="338"/>
      <c r="RJW13" s="338"/>
      <c r="RJX13" s="338"/>
      <c r="RJY13" s="338"/>
      <c r="RJZ13" s="338"/>
      <c r="RKA13" s="338"/>
      <c r="RKB13" s="338"/>
      <c r="RKC13" s="338"/>
      <c r="RKD13" s="338"/>
      <c r="RKE13" s="338"/>
      <c r="RKF13" s="338"/>
      <c r="RKG13" s="338"/>
      <c r="RKH13" s="338"/>
      <c r="RKI13" s="338"/>
      <c r="RKJ13" s="338"/>
      <c r="RKK13" s="338"/>
      <c r="RKL13" s="338"/>
      <c r="RKM13" s="338"/>
      <c r="RKN13" s="338"/>
      <c r="RKO13" s="338"/>
      <c r="RKP13" s="338"/>
      <c r="RKQ13" s="338"/>
      <c r="RKR13" s="338"/>
      <c r="RKS13" s="338"/>
      <c r="RKT13" s="338"/>
      <c r="RKU13" s="338"/>
      <c r="RKV13" s="338"/>
      <c r="RKW13" s="338"/>
      <c r="RKX13" s="338"/>
      <c r="RKY13" s="338"/>
      <c r="RKZ13" s="338"/>
      <c r="RLA13" s="338"/>
      <c r="RLB13" s="338"/>
      <c r="RLC13" s="338"/>
      <c r="RLD13" s="338"/>
      <c r="RLE13" s="338"/>
      <c r="RLF13" s="338"/>
      <c r="RLG13" s="338"/>
      <c r="RLH13" s="338"/>
      <c r="RLI13" s="338"/>
      <c r="RLJ13" s="338"/>
      <c r="RLK13" s="338"/>
      <c r="RLL13" s="338"/>
      <c r="RLM13" s="338"/>
      <c r="RLN13" s="338"/>
      <c r="RLO13" s="338"/>
      <c r="RLP13" s="338"/>
      <c r="RLQ13" s="338"/>
      <c r="RLR13" s="338"/>
      <c r="RLS13" s="338"/>
      <c r="RLT13" s="338"/>
      <c r="RLU13" s="338"/>
      <c r="RLV13" s="338"/>
      <c r="RLW13" s="338"/>
      <c r="RLX13" s="338"/>
      <c r="RLY13" s="338"/>
      <c r="RLZ13" s="338"/>
      <c r="RMA13" s="338"/>
      <c r="RMB13" s="338"/>
      <c r="RMC13" s="338"/>
      <c r="RMD13" s="338"/>
      <c r="RME13" s="338"/>
      <c r="RMF13" s="338"/>
      <c r="RMG13" s="338"/>
      <c r="RMH13" s="338"/>
      <c r="RMI13" s="338"/>
      <c r="RMJ13" s="338"/>
      <c r="RMK13" s="338"/>
      <c r="RML13" s="338"/>
      <c r="RMM13" s="338"/>
      <c r="RMN13" s="338"/>
      <c r="RMO13" s="338"/>
      <c r="RMP13" s="338"/>
      <c r="RMQ13" s="338"/>
      <c r="RMR13" s="338"/>
      <c r="RMS13" s="338"/>
      <c r="RMT13" s="338"/>
      <c r="RMU13" s="338"/>
      <c r="RMV13" s="338"/>
      <c r="RMW13" s="338"/>
      <c r="RMX13" s="338"/>
      <c r="RMY13" s="338"/>
      <c r="RMZ13" s="338"/>
      <c r="RNA13" s="338"/>
      <c r="RNB13" s="338"/>
      <c r="RNC13" s="338"/>
      <c r="RND13" s="338"/>
      <c r="RNE13" s="338"/>
      <c r="RNF13" s="338"/>
      <c r="RNG13" s="338"/>
      <c r="RNH13" s="338"/>
      <c r="RNI13" s="338"/>
      <c r="RNJ13" s="338"/>
      <c r="RNK13" s="338"/>
      <c r="RNL13" s="338"/>
      <c r="RNM13" s="338"/>
      <c r="RNN13" s="338"/>
      <c r="RNO13" s="338"/>
      <c r="RNP13" s="338"/>
      <c r="RNQ13" s="338"/>
      <c r="RNR13" s="338"/>
      <c r="RNS13" s="338"/>
      <c r="RNT13" s="338"/>
      <c r="RNU13" s="338"/>
      <c r="RNV13" s="338"/>
      <c r="RNW13" s="338"/>
      <c r="RNX13" s="338"/>
      <c r="RNY13" s="338"/>
      <c r="RNZ13" s="338"/>
      <c r="ROA13" s="338"/>
      <c r="ROB13" s="338"/>
      <c r="ROC13" s="338"/>
      <c r="ROD13" s="338"/>
      <c r="ROE13" s="338"/>
      <c r="ROF13" s="338"/>
      <c r="ROG13" s="338"/>
      <c r="ROH13" s="338"/>
      <c r="ROI13" s="338"/>
      <c r="ROJ13" s="338"/>
      <c r="ROK13" s="338"/>
      <c r="ROL13" s="338"/>
      <c r="ROM13" s="338"/>
      <c r="RON13" s="338"/>
      <c r="ROO13" s="338"/>
      <c r="ROP13" s="338"/>
      <c r="ROQ13" s="338"/>
      <c r="ROR13" s="338"/>
      <c r="ROS13" s="338"/>
      <c r="ROT13" s="338"/>
      <c r="ROU13" s="338"/>
      <c r="ROV13" s="338"/>
      <c r="ROW13" s="338"/>
      <c r="ROX13" s="338"/>
      <c r="ROY13" s="338"/>
      <c r="ROZ13" s="338"/>
      <c r="RPA13" s="338"/>
      <c r="RPB13" s="338"/>
      <c r="RPC13" s="338"/>
      <c r="RPD13" s="338"/>
      <c r="RPE13" s="338"/>
      <c r="RPF13" s="338"/>
      <c r="RPG13" s="338"/>
      <c r="RPH13" s="338"/>
      <c r="RPI13" s="338"/>
      <c r="RPJ13" s="338"/>
      <c r="RPK13" s="338"/>
      <c r="RPL13" s="338"/>
      <c r="RPM13" s="338"/>
      <c r="RPN13" s="338"/>
      <c r="RPO13" s="338"/>
      <c r="RPP13" s="338"/>
      <c r="RPQ13" s="338"/>
      <c r="RPR13" s="338"/>
      <c r="RPS13" s="338"/>
      <c r="RPT13" s="338"/>
      <c r="RPU13" s="338"/>
      <c r="RPV13" s="338"/>
      <c r="RPW13" s="338"/>
      <c r="RPX13" s="338"/>
      <c r="RPY13" s="338"/>
      <c r="RPZ13" s="338"/>
      <c r="RQA13" s="338"/>
      <c r="RQB13" s="338"/>
      <c r="RQC13" s="338"/>
      <c r="RQD13" s="338"/>
      <c r="RQE13" s="338"/>
      <c r="RQF13" s="338"/>
      <c r="RQG13" s="338"/>
      <c r="RQH13" s="338"/>
      <c r="RQI13" s="338"/>
      <c r="RQJ13" s="338"/>
      <c r="RQK13" s="338"/>
      <c r="RQL13" s="338"/>
      <c r="RQM13" s="338"/>
      <c r="RQN13" s="338"/>
      <c r="RQO13" s="338"/>
      <c r="RQP13" s="338"/>
      <c r="RQQ13" s="338"/>
      <c r="RQR13" s="338"/>
      <c r="RQS13" s="338"/>
      <c r="RQT13" s="338"/>
      <c r="RQU13" s="338"/>
      <c r="RQV13" s="338"/>
      <c r="RQW13" s="338"/>
      <c r="RQX13" s="338"/>
      <c r="RQY13" s="338"/>
      <c r="RQZ13" s="338"/>
      <c r="RRA13" s="338"/>
      <c r="RRB13" s="338"/>
      <c r="RRC13" s="338"/>
      <c r="RRD13" s="338"/>
      <c r="RRE13" s="338"/>
      <c r="RRF13" s="338"/>
      <c r="RRG13" s="338"/>
      <c r="RRH13" s="338"/>
      <c r="RRI13" s="338"/>
      <c r="RRJ13" s="338"/>
      <c r="RRK13" s="338"/>
      <c r="RRL13" s="338"/>
      <c r="RRM13" s="338"/>
      <c r="RRN13" s="338"/>
      <c r="RRO13" s="338"/>
      <c r="RRP13" s="338"/>
      <c r="RRQ13" s="338"/>
      <c r="RRR13" s="338"/>
      <c r="RRS13" s="338"/>
      <c r="RRT13" s="338"/>
      <c r="RRU13" s="338"/>
      <c r="RRV13" s="338"/>
      <c r="RRW13" s="338"/>
      <c r="RRX13" s="338"/>
      <c r="RRY13" s="338"/>
      <c r="RRZ13" s="338"/>
      <c r="RSA13" s="338"/>
      <c r="RSB13" s="338"/>
      <c r="RSC13" s="338"/>
      <c r="RSD13" s="338"/>
      <c r="RSE13" s="338"/>
      <c r="RSF13" s="338"/>
      <c r="RSG13" s="338"/>
      <c r="RSH13" s="338"/>
      <c r="RSI13" s="338"/>
      <c r="RSJ13" s="338"/>
      <c r="RSK13" s="338"/>
      <c r="RSL13" s="338"/>
      <c r="RSM13" s="338"/>
      <c r="RSN13" s="338"/>
      <c r="RSO13" s="338"/>
      <c r="RSP13" s="338"/>
      <c r="RSQ13" s="338"/>
      <c r="RSR13" s="338"/>
      <c r="RSS13" s="338"/>
      <c r="RST13" s="338"/>
      <c r="RSU13" s="338"/>
      <c r="RSV13" s="338"/>
      <c r="RSW13" s="338"/>
      <c r="RSX13" s="338"/>
      <c r="RSY13" s="338"/>
      <c r="RSZ13" s="338"/>
      <c r="RTA13" s="338"/>
      <c r="RTB13" s="338"/>
      <c r="RTC13" s="338"/>
      <c r="RTD13" s="338"/>
      <c r="RTE13" s="338"/>
      <c r="RTF13" s="338"/>
      <c r="RTG13" s="338"/>
      <c r="RTH13" s="338"/>
      <c r="RTI13" s="338"/>
      <c r="RTJ13" s="338"/>
      <c r="RTK13" s="338"/>
      <c r="RTL13" s="338"/>
      <c r="RTM13" s="338"/>
      <c r="RTN13" s="338"/>
      <c r="RTO13" s="338"/>
      <c r="RTP13" s="338"/>
      <c r="RTQ13" s="338"/>
      <c r="RTR13" s="338"/>
      <c r="RTS13" s="338"/>
      <c r="RTT13" s="338"/>
      <c r="RTU13" s="338"/>
      <c r="RTV13" s="338"/>
      <c r="RTW13" s="338"/>
      <c r="RTX13" s="338"/>
      <c r="RTY13" s="338"/>
      <c r="RTZ13" s="338"/>
      <c r="RUA13" s="338"/>
      <c r="RUB13" s="338"/>
      <c r="RUC13" s="338"/>
      <c r="RUD13" s="338"/>
      <c r="RUE13" s="338"/>
      <c r="RUF13" s="338"/>
      <c r="RUG13" s="338"/>
      <c r="RUH13" s="338"/>
      <c r="RUI13" s="338"/>
      <c r="RUJ13" s="338"/>
      <c r="RUK13" s="338"/>
      <c r="RUL13" s="338"/>
      <c r="RUM13" s="338"/>
      <c r="RUN13" s="338"/>
      <c r="RUO13" s="338"/>
      <c r="RUP13" s="338"/>
      <c r="RUQ13" s="338"/>
      <c r="RUR13" s="338"/>
      <c r="RUS13" s="338"/>
      <c r="RUT13" s="338"/>
      <c r="RUU13" s="338"/>
      <c r="RUV13" s="338"/>
      <c r="RUW13" s="338"/>
      <c r="RUX13" s="338"/>
      <c r="RUY13" s="338"/>
      <c r="RUZ13" s="338"/>
      <c r="RVA13" s="338"/>
      <c r="RVB13" s="338"/>
      <c r="RVC13" s="338"/>
      <c r="RVD13" s="338"/>
      <c r="RVE13" s="338"/>
      <c r="RVF13" s="338"/>
      <c r="RVG13" s="338"/>
      <c r="RVH13" s="338"/>
      <c r="RVI13" s="338"/>
      <c r="RVJ13" s="338"/>
      <c r="RVK13" s="338"/>
      <c r="RVL13" s="338"/>
      <c r="RVM13" s="338"/>
      <c r="RVN13" s="338"/>
      <c r="RVO13" s="338"/>
      <c r="RVP13" s="338"/>
      <c r="RVQ13" s="338"/>
      <c r="RVR13" s="338"/>
      <c r="RVS13" s="338"/>
      <c r="RVT13" s="338"/>
      <c r="RVU13" s="338"/>
      <c r="RVV13" s="338"/>
      <c r="RVW13" s="338"/>
      <c r="RVX13" s="338"/>
      <c r="RVY13" s="338"/>
      <c r="RVZ13" s="338"/>
      <c r="RWA13" s="338"/>
      <c r="RWB13" s="338"/>
      <c r="RWC13" s="338"/>
      <c r="RWD13" s="338"/>
      <c r="RWE13" s="338"/>
      <c r="RWF13" s="338"/>
      <c r="RWG13" s="338"/>
      <c r="RWH13" s="338"/>
      <c r="RWI13" s="338"/>
      <c r="RWJ13" s="338"/>
      <c r="RWK13" s="338"/>
      <c r="RWL13" s="338"/>
      <c r="RWM13" s="338"/>
      <c r="RWN13" s="338"/>
      <c r="RWO13" s="338"/>
      <c r="RWP13" s="338"/>
      <c r="RWQ13" s="338"/>
      <c r="RWR13" s="338"/>
      <c r="RWS13" s="338"/>
      <c r="RWT13" s="338"/>
      <c r="RWU13" s="338"/>
      <c r="RWV13" s="338"/>
      <c r="RWW13" s="338"/>
      <c r="RWX13" s="338"/>
      <c r="RWY13" s="338"/>
      <c r="RWZ13" s="338"/>
      <c r="RXA13" s="338"/>
      <c r="RXB13" s="338"/>
      <c r="RXC13" s="338"/>
      <c r="RXD13" s="338"/>
      <c r="RXE13" s="338"/>
      <c r="RXF13" s="338"/>
      <c r="RXG13" s="338"/>
      <c r="RXH13" s="338"/>
      <c r="RXI13" s="338"/>
      <c r="RXJ13" s="338"/>
      <c r="RXK13" s="338"/>
      <c r="RXL13" s="338"/>
      <c r="RXM13" s="338"/>
      <c r="RXN13" s="338"/>
      <c r="RXO13" s="338"/>
      <c r="RXP13" s="338"/>
      <c r="RXQ13" s="338"/>
      <c r="RXR13" s="338"/>
      <c r="RXS13" s="338"/>
      <c r="RXT13" s="338"/>
      <c r="RXU13" s="338"/>
      <c r="RXV13" s="338"/>
      <c r="RXW13" s="338"/>
      <c r="RXX13" s="338"/>
      <c r="RXY13" s="338"/>
      <c r="RXZ13" s="338"/>
      <c r="RYA13" s="338"/>
      <c r="RYB13" s="338"/>
      <c r="RYC13" s="338"/>
      <c r="RYD13" s="338"/>
      <c r="RYE13" s="338"/>
      <c r="RYF13" s="338"/>
      <c r="RYG13" s="338"/>
      <c r="RYH13" s="338"/>
      <c r="RYI13" s="338"/>
      <c r="RYJ13" s="338"/>
      <c r="RYK13" s="338"/>
      <c r="RYL13" s="338"/>
      <c r="RYM13" s="338"/>
      <c r="RYN13" s="338"/>
      <c r="RYO13" s="338"/>
      <c r="RYP13" s="338"/>
      <c r="RYQ13" s="338"/>
      <c r="RYR13" s="338"/>
      <c r="RYS13" s="338"/>
      <c r="RYT13" s="338"/>
      <c r="RYU13" s="338"/>
      <c r="RYV13" s="338"/>
      <c r="RYW13" s="338"/>
      <c r="RYX13" s="338"/>
      <c r="RYY13" s="338"/>
      <c r="RYZ13" s="338"/>
      <c r="RZA13" s="338"/>
      <c r="RZB13" s="338"/>
      <c r="RZC13" s="338"/>
      <c r="RZD13" s="338"/>
      <c r="RZE13" s="338"/>
      <c r="RZF13" s="338"/>
      <c r="RZG13" s="338"/>
      <c r="RZH13" s="338"/>
      <c r="RZI13" s="338"/>
      <c r="RZJ13" s="338"/>
      <c r="RZK13" s="338"/>
      <c r="RZL13" s="338"/>
      <c r="RZM13" s="338"/>
      <c r="RZN13" s="338"/>
      <c r="RZO13" s="338"/>
      <c r="RZP13" s="338"/>
      <c r="RZQ13" s="338"/>
      <c r="RZR13" s="338"/>
      <c r="RZS13" s="338"/>
      <c r="RZT13" s="338"/>
      <c r="RZU13" s="338"/>
      <c r="RZV13" s="338"/>
      <c r="RZW13" s="338"/>
      <c r="RZX13" s="338"/>
      <c r="RZY13" s="338"/>
      <c r="RZZ13" s="338"/>
      <c r="SAA13" s="338"/>
      <c r="SAB13" s="338"/>
      <c r="SAC13" s="338"/>
      <c r="SAD13" s="338"/>
      <c r="SAE13" s="338"/>
      <c r="SAF13" s="338"/>
      <c r="SAG13" s="338"/>
      <c r="SAH13" s="338"/>
      <c r="SAI13" s="338"/>
      <c r="SAJ13" s="338"/>
      <c r="SAK13" s="338"/>
      <c r="SAL13" s="338"/>
      <c r="SAM13" s="338"/>
      <c r="SAN13" s="338"/>
      <c r="SAO13" s="338"/>
      <c r="SAP13" s="338"/>
      <c r="SAQ13" s="338"/>
      <c r="SAR13" s="338"/>
      <c r="SAS13" s="338"/>
      <c r="SAT13" s="338"/>
      <c r="SAU13" s="338"/>
      <c r="SAV13" s="338"/>
      <c r="SAW13" s="338"/>
      <c r="SAX13" s="338"/>
      <c r="SAY13" s="338"/>
      <c r="SAZ13" s="338"/>
      <c r="SBA13" s="338"/>
      <c r="SBB13" s="338"/>
      <c r="SBC13" s="338"/>
      <c r="SBD13" s="338"/>
      <c r="SBE13" s="338"/>
      <c r="SBF13" s="338"/>
      <c r="SBG13" s="338"/>
      <c r="SBH13" s="338"/>
      <c r="SBI13" s="338"/>
      <c r="SBJ13" s="338"/>
      <c r="SBK13" s="338"/>
      <c r="SBL13" s="338"/>
      <c r="SBM13" s="338"/>
      <c r="SBN13" s="338"/>
      <c r="SBO13" s="338"/>
      <c r="SBP13" s="338"/>
      <c r="SBQ13" s="338"/>
      <c r="SBR13" s="338"/>
      <c r="SBS13" s="338"/>
      <c r="SBT13" s="338"/>
      <c r="SBU13" s="338"/>
      <c r="SBV13" s="338"/>
      <c r="SBW13" s="338"/>
      <c r="SBX13" s="338"/>
      <c r="SBY13" s="338"/>
      <c r="SBZ13" s="338"/>
      <c r="SCA13" s="338"/>
      <c r="SCB13" s="338"/>
      <c r="SCC13" s="338"/>
      <c r="SCD13" s="338"/>
      <c r="SCE13" s="338"/>
      <c r="SCF13" s="338"/>
      <c r="SCG13" s="338"/>
      <c r="SCH13" s="338"/>
      <c r="SCI13" s="338"/>
      <c r="SCJ13" s="338"/>
      <c r="SCK13" s="338"/>
      <c r="SCL13" s="338"/>
      <c r="SCM13" s="338"/>
      <c r="SCN13" s="338"/>
      <c r="SCO13" s="338"/>
      <c r="SCP13" s="338"/>
      <c r="SCQ13" s="338"/>
      <c r="SCR13" s="338"/>
      <c r="SCS13" s="338"/>
      <c r="SCT13" s="338"/>
      <c r="SCU13" s="338"/>
      <c r="SCV13" s="338"/>
      <c r="SCW13" s="338"/>
      <c r="SCX13" s="338"/>
      <c r="SCY13" s="338"/>
      <c r="SCZ13" s="338"/>
      <c r="SDA13" s="338"/>
      <c r="SDB13" s="338"/>
      <c r="SDC13" s="338"/>
      <c r="SDD13" s="338"/>
      <c r="SDE13" s="338"/>
      <c r="SDF13" s="338"/>
      <c r="SDG13" s="338"/>
      <c r="SDH13" s="338"/>
      <c r="SDI13" s="338"/>
      <c r="SDJ13" s="338"/>
      <c r="SDK13" s="338"/>
      <c r="SDL13" s="338"/>
      <c r="SDM13" s="338"/>
      <c r="SDN13" s="338"/>
      <c r="SDO13" s="338"/>
      <c r="SDP13" s="338"/>
      <c r="SDQ13" s="338"/>
      <c r="SDR13" s="338"/>
      <c r="SDS13" s="338"/>
      <c r="SDT13" s="338"/>
      <c r="SDU13" s="338"/>
      <c r="SDV13" s="338"/>
      <c r="SDW13" s="338"/>
      <c r="SDX13" s="338"/>
      <c r="SDY13" s="338"/>
      <c r="SDZ13" s="338"/>
      <c r="SEA13" s="338"/>
      <c r="SEB13" s="338"/>
      <c r="SEC13" s="338"/>
      <c r="SED13" s="338"/>
      <c r="SEE13" s="338"/>
      <c r="SEF13" s="338"/>
      <c r="SEG13" s="338"/>
      <c r="SEH13" s="338"/>
      <c r="SEI13" s="338"/>
      <c r="SEJ13" s="338"/>
      <c r="SEK13" s="338"/>
      <c r="SEL13" s="338"/>
      <c r="SEM13" s="338"/>
      <c r="SEN13" s="338"/>
      <c r="SEO13" s="338"/>
      <c r="SEP13" s="338"/>
      <c r="SEQ13" s="338"/>
      <c r="SER13" s="338"/>
      <c r="SES13" s="338"/>
      <c r="SET13" s="338"/>
      <c r="SEU13" s="338"/>
      <c r="SEV13" s="338"/>
      <c r="SEW13" s="338"/>
      <c r="SEX13" s="338"/>
      <c r="SEY13" s="338"/>
      <c r="SEZ13" s="338"/>
      <c r="SFA13" s="338"/>
      <c r="SFB13" s="338"/>
      <c r="SFC13" s="338"/>
      <c r="SFD13" s="338"/>
      <c r="SFE13" s="338"/>
      <c r="SFF13" s="338"/>
      <c r="SFG13" s="338"/>
      <c r="SFH13" s="338"/>
      <c r="SFI13" s="338"/>
      <c r="SFJ13" s="338"/>
      <c r="SFK13" s="338"/>
      <c r="SFL13" s="338"/>
      <c r="SFM13" s="338"/>
      <c r="SFN13" s="338"/>
      <c r="SFO13" s="338"/>
      <c r="SFP13" s="338"/>
      <c r="SFQ13" s="338"/>
      <c r="SFR13" s="338"/>
      <c r="SFS13" s="338"/>
      <c r="SFT13" s="338"/>
      <c r="SFU13" s="338"/>
      <c r="SFV13" s="338"/>
      <c r="SFW13" s="338"/>
      <c r="SFX13" s="338"/>
      <c r="SFY13" s="338"/>
      <c r="SFZ13" s="338"/>
      <c r="SGA13" s="338"/>
      <c r="SGB13" s="338"/>
      <c r="SGC13" s="338"/>
      <c r="SGD13" s="338"/>
      <c r="SGE13" s="338"/>
      <c r="SGF13" s="338"/>
      <c r="SGG13" s="338"/>
      <c r="SGH13" s="338"/>
      <c r="SGI13" s="338"/>
      <c r="SGJ13" s="338"/>
      <c r="SGK13" s="338"/>
      <c r="SGL13" s="338"/>
      <c r="SGM13" s="338"/>
      <c r="SGN13" s="338"/>
      <c r="SGO13" s="338"/>
      <c r="SGP13" s="338"/>
      <c r="SGQ13" s="338"/>
      <c r="SGR13" s="338"/>
      <c r="SGS13" s="338"/>
      <c r="SGT13" s="338"/>
      <c r="SGU13" s="338"/>
      <c r="SGV13" s="338"/>
      <c r="SGW13" s="338"/>
      <c r="SGX13" s="338"/>
      <c r="SGY13" s="338"/>
      <c r="SGZ13" s="338"/>
      <c r="SHA13" s="338"/>
      <c r="SHB13" s="338"/>
      <c r="SHC13" s="338"/>
      <c r="SHD13" s="338"/>
      <c r="SHE13" s="338"/>
      <c r="SHF13" s="338"/>
      <c r="SHG13" s="338"/>
      <c r="SHH13" s="338"/>
      <c r="SHI13" s="338"/>
      <c r="SHJ13" s="338"/>
      <c r="SHK13" s="338"/>
      <c r="SHL13" s="338"/>
      <c r="SHM13" s="338"/>
      <c r="SHN13" s="338"/>
      <c r="SHO13" s="338"/>
      <c r="SHP13" s="338"/>
      <c r="SHQ13" s="338"/>
      <c r="SHR13" s="338"/>
      <c r="SHS13" s="338"/>
      <c r="SHT13" s="338"/>
      <c r="SHU13" s="338"/>
      <c r="SHV13" s="338"/>
      <c r="SHW13" s="338"/>
      <c r="SHX13" s="338"/>
      <c r="SHY13" s="338"/>
      <c r="SHZ13" s="338"/>
      <c r="SIA13" s="338"/>
      <c r="SIB13" s="338"/>
      <c r="SIC13" s="338"/>
      <c r="SID13" s="338"/>
      <c r="SIE13" s="338"/>
      <c r="SIF13" s="338"/>
      <c r="SIG13" s="338"/>
      <c r="SIH13" s="338"/>
      <c r="SII13" s="338"/>
      <c r="SIJ13" s="338"/>
      <c r="SIK13" s="338"/>
      <c r="SIL13" s="338"/>
      <c r="SIM13" s="338"/>
      <c r="SIN13" s="338"/>
      <c r="SIO13" s="338"/>
      <c r="SIP13" s="338"/>
      <c r="SIQ13" s="338"/>
      <c r="SIR13" s="338"/>
      <c r="SIS13" s="338"/>
      <c r="SIT13" s="338"/>
      <c r="SIU13" s="338"/>
      <c r="SIV13" s="338"/>
      <c r="SIW13" s="338"/>
      <c r="SIX13" s="338"/>
      <c r="SIY13" s="338"/>
      <c r="SIZ13" s="338"/>
      <c r="SJA13" s="338"/>
      <c r="SJB13" s="338"/>
      <c r="SJC13" s="338"/>
      <c r="SJD13" s="338"/>
      <c r="SJE13" s="338"/>
      <c r="SJF13" s="338"/>
      <c r="SJG13" s="338"/>
      <c r="SJH13" s="338"/>
      <c r="SJI13" s="338"/>
      <c r="SJJ13" s="338"/>
      <c r="SJK13" s="338"/>
      <c r="SJL13" s="338"/>
      <c r="SJM13" s="338"/>
      <c r="SJN13" s="338"/>
      <c r="SJO13" s="338"/>
      <c r="SJP13" s="338"/>
      <c r="SJQ13" s="338"/>
      <c r="SJR13" s="338"/>
      <c r="SJS13" s="338"/>
      <c r="SJT13" s="338"/>
      <c r="SJU13" s="338"/>
      <c r="SJV13" s="338"/>
      <c r="SJW13" s="338"/>
      <c r="SJX13" s="338"/>
      <c r="SJY13" s="338"/>
      <c r="SJZ13" s="338"/>
      <c r="SKA13" s="338"/>
      <c r="SKB13" s="338"/>
      <c r="SKC13" s="338"/>
      <c r="SKD13" s="338"/>
      <c r="SKE13" s="338"/>
      <c r="SKF13" s="338"/>
      <c r="SKG13" s="338"/>
      <c r="SKH13" s="338"/>
      <c r="SKI13" s="338"/>
      <c r="SKJ13" s="338"/>
      <c r="SKK13" s="338"/>
      <c r="SKL13" s="338"/>
      <c r="SKM13" s="338"/>
      <c r="SKN13" s="338"/>
      <c r="SKO13" s="338"/>
      <c r="SKP13" s="338"/>
      <c r="SKQ13" s="338"/>
      <c r="SKR13" s="338"/>
      <c r="SKS13" s="338"/>
      <c r="SKT13" s="338"/>
      <c r="SKU13" s="338"/>
      <c r="SKV13" s="338"/>
      <c r="SKW13" s="338"/>
      <c r="SKX13" s="338"/>
      <c r="SKY13" s="338"/>
      <c r="SKZ13" s="338"/>
      <c r="SLA13" s="338"/>
      <c r="SLB13" s="338"/>
      <c r="SLC13" s="338"/>
      <c r="SLD13" s="338"/>
      <c r="SLE13" s="338"/>
      <c r="SLF13" s="338"/>
      <c r="SLG13" s="338"/>
      <c r="SLH13" s="338"/>
      <c r="SLI13" s="338"/>
      <c r="SLJ13" s="338"/>
      <c r="SLK13" s="338"/>
      <c r="SLL13" s="338"/>
      <c r="SLM13" s="338"/>
      <c r="SLN13" s="338"/>
      <c r="SLO13" s="338"/>
      <c r="SLP13" s="338"/>
      <c r="SLQ13" s="338"/>
      <c r="SLR13" s="338"/>
      <c r="SLS13" s="338"/>
      <c r="SLT13" s="338"/>
      <c r="SLU13" s="338"/>
      <c r="SLV13" s="338"/>
      <c r="SLW13" s="338"/>
      <c r="SLX13" s="338"/>
      <c r="SLY13" s="338"/>
      <c r="SLZ13" s="338"/>
      <c r="SMA13" s="338"/>
      <c r="SMB13" s="338"/>
      <c r="SMC13" s="338"/>
      <c r="SMD13" s="338"/>
      <c r="SME13" s="338"/>
      <c r="SMF13" s="338"/>
      <c r="SMG13" s="338"/>
      <c r="SMH13" s="338"/>
      <c r="SMI13" s="338"/>
      <c r="SMJ13" s="338"/>
      <c r="SMK13" s="338"/>
      <c r="SML13" s="338"/>
      <c r="SMM13" s="338"/>
      <c r="SMN13" s="338"/>
      <c r="SMO13" s="338"/>
      <c r="SMP13" s="338"/>
      <c r="SMQ13" s="338"/>
      <c r="SMR13" s="338"/>
      <c r="SMS13" s="338"/>
      <c r="SMT13" s="338"/>
      <c r="SMU13" s="338"/>
      <c r="SMV13" s="338"/>
      <c r="SMW13" s="338"/>
      <c r="SMX13" s="338"/>
      <c r="SMY13" s="338"/>
      <c r="SMZ13" s="338"/>
      <c r="SNA13" s="338"/>
      <c r="SNB13" s="338"/>
      <c r="SNC13" s="338"/>
      <c r="SND13" s="338"/>
      <c r="SNE13" s="338"/>
      <c r="SNF13" s="338"/>
      <c r="SNG13" s="338"/>
      <c r="SNH13" s="338"/>
      <c r="SNI13" s="338"/>
      <c r="SNJ13" s="338"/>
      <c r="SNK13" s="338"/>
      <c r="SNL13" s="338"/>
      <c r="SNM13" s="338"/>
      <c r="SNN13" s="338"/>
      <c r="SNO13" s="338"/>
      <c r="SNP13" s="338"/>
      <c r="SNQ13" s="338"/>
      <c r="SNR13" s="338"/>
      <c r="SNS13" s="338"/>
      <c r="SNT13" s="338"/>
      <c r="SNU13" s="338"/>
      <c r="SNV13" s="338"/>
      <c r="SNW13" s="338"/>
      <c r="SNX13" s="338"/>
      <c r="SNY13" s="338"/>
      <c r="SNZ13" s="338"/>
      <c r="SOA13" s="338"/>
      <c r="SOB13" s="338"/>
      <c r="SOC13" s="338"/>
      <c r="SOD13" s="338"/>
      <c r="SOE13" s="338"/>
      <c r="SOF13" s="338"/>
      <c r="SOG13" s="338"/>
      <c r="SOH13" s="338"/>
      <c r="SOI13" s="338"/>
      <c r="SOJ13" s="338"/>
      <c r="SOK13" s="338"/>
      <c r="SOL13" s="338"/>
      <c r="SOM13" s="338"/>
      <c r="SON13" s="338"/>
      <c r="SOO13" s="338"/>
      <c r="SOP13" s="338"/>
      <c r="SOQ13" s="338"/>
      <c r="SOR13" s="338"/>
      <c r="SOS13" s="338"/>
      <c r="SOT13" s="338"/>
      <c r="SOU13" s="338"/>
      <c r="SOV13" s="338"/>
      <c r="SOW13" s="338"/>
      <c r="SOX13" s="338"/>
      <c r="SOY13" s="338"/>
      <c r="SOZ13" s="338"/>
      <c r="SPA13" s="338"/>
      <c r="SPB13" s="338"/>
      <c r="SPC13" s="338"/>
      <c r="SPD13" s="338"/>
      <c r="SPE13" s="338"/>
      <c r="SPF13" s="338"/>
      <c r="SPG13" s="338"/>
      <c r="SPH13" s="338"/>
      <c r="SPI13" s="338"/>
      <c r="SPJ13" s="338"/>
      <c r="SPK13" s="338"/>
      <c r="SPL13" s="338"/>
      <c r="SPM13" s="338"/>
      <c r="SPN13" s="338"/>
      <c r="SPO13" s="338"/>
      <c r="SPP13" s="338"/>
      <c r="SPQ13" s="338"/>
      <c r="SPR13" s="338"/>
      <c r="SPS13" s="338"/>
      <c r="SPT13" s="338"/>
      <c r="SPU13" s="338"/>
      <c r="SPV13" s="338"/>
      <c r="SPW13" s="338"/>
      <c r="SPX13" s="338"/>
      <c r="SPY13" s="338"/>
      <c r="SPZ13" s="338"/>
      <c r="SQA13" s="338"/>
      <c r="SQB13" s="338"/>
      <c r="SQC13" s="338"/>
      <c r="SQD13" s="338"/>
      <c r="SQE13" s="338"/>
      <c r="SQF13" s="338"/>
      <c r="SQG13" s="338"/>
      <c r="SQH13" s="338"/>
      <c r="SQI13" s="338"/>
      <c r="SQJ13" s="338"/>
      <c r="SQK13" s="338"/>
      <c r="SQL13" s="338"/>
      <c r="SQM13" s="338"/>
      <c r="SQN13" s="338"/>
      <c r="SQO13" s="338"/>
      <c r="SQP13" s="338"/>
      <c r="SQQ13" s="338"/>
      <c r="SQR13" s="338"/>
      <c r="SQS13" s="338"/>
      <c r="SQT13" s="338"/>
      <c r="SQU13" s="338"/>
      <c r="SQV13" s="338"/>
      <c r="SQW13" s="338"/>
      <c r="SQX13" s="338"/>
      <c r="SQY13" s="338"/>
      <c r="SQZ13" s="338"/>
      <c r="SRA13" s="338"/>
      <c r="SRB13" s="338"/>
      <c r="SRC13" s="338"/>
      <c r="SRD13" s="338"/>
      <c r="SRE13" s="338"/>
      <c r="SRF13" s="338"/>
      <c r="SRG13" s="338"/>
      <c r="SRH13" s="338"/>
      <c r="SRI13" s="338"/>
      <c r="SRJ13" s="338"/>
      <c r="SRK13" s="338"/>
      <c r="SRL13" s="338"/>
      <c r="SRM13" s="338"/>
      <c r="SRN13" s="338"/>
      <c r="SRO13" s="338"/>
      <c r="SRP13" s="338"/>
      <c r="SRQ13" s="338"/>
      <c r="SRR13" s="338"/>
      <c r="SRS13" s="338"/>
      <c r="SRT13" s="338"/>
      <c r="SRU13" s="338"/>
      <c r="SRV13" s="338"/>
      <c r="SRW13" s="338"/>
      <c r="SRX13" s="338"/>
      <c r="SRY13" s="338"/>
      <c r="SRZ13" s="338"/>
      <c r="SSA13" s="338"/>
      <c r="SSB13" s="338"/>
      <c r="SSC13" s="338"/>
      <c r="SSD13" s="338"/>
      <c r="SSE13" s="338"/>
      <c r="SSF13" s="338"/>
      <c r="SSG13" s="338"/>
      <c r="SSH13" s="338"/>
      <c r="SSI13" s="338"/>
      <c r="SSJ13" s="338"/>
      <c r="SSK13" s="338"/>
      <c r="SSL13" s="338"/>
      <c r="SSM13" s="338"/>
      <c r="SSN13" s="338"/>
      <c r="SSO13" s="338"/>
      <c r="SSP13" s="338"/>
      <c r="SSQ13" s="338"/>
      <c r="SSR13" s="338"/>
      <c r="SSS13" s="338"/>
      <c r="SST13" s="338"/>
      <c r="SSU13" s="338"/>
      <c r="SSV13" s="338"/>
      <c r="SSW13" s="338"/>
      <c r="SSX13" s="338"/>
      <c r="SSY13" s="338"/>
      <c r="SSZ13" s="338"/>
      <c r="STA13" s="338"/>
      <c r="STB13" s="338"/>
      <c r="STC13" s="338"/>
      <c r="STD13" s="338"/>
      <c r="STE13" s="338"/>
      <c r="STF13" s="338"/>
      <c r="STG13" s="338"/>
      <c r="STH13" s="338"/>
      <c r="STI13" s="338"/>
      <c r="STJ13" s="338"/>
      <c r="STK13" s="338"/>
      <c r="STL13" s="338"/>
      <c r="STM13" s="338"/>
      <c r="STN13" s="338"/>
      <c r="STO13" s="338"/>
      <c r="STP13" s="338"/>
      <c r="STQ13" s="338"/>
      <c r="STR13" s="338"/>
      <c r="STS13" s="338"/>
      <c r="STT13" s="338"/>
      <c r="STU13" s="338"/>
      <c r="STV13" s="338"/>
      <c r="STW13" s="338"/>
      <c r="STX13" s="338"/>
      <c r="STY13" s="338"/>
      <c r="STZ13" s="338"/>
      <c r="SUA13" s="338"/>
      <c r="SUB13" s="338"/>
      <c r="SUC13" s="338"/>
      <c r="SUD13" s="338"/>
      <c r="SUE13" s="338"/>
      <c r="SUF13" s="338"/>
      <c r="SUG13" s="338"/>
      <c r="SUH13" s="338"/>
      <c r="SUI13" s="338"/>
      <c r="SUJ13" s="338"/>
      <c r="SUK13" s="338"/>
      <c r="SUL13" s="338"/>
      <c r="SUM13" s="338"/>
      <c r="SUN13" s="338"/>
      <c r="SUO13" s="338"/>
      <c r="SUP13" s="338"/>
      <c r="SUQ13" s="338"/>
      <c r="SUR13" s="338"/>
      <c r="SUS13" s="338"/>
      <c r="SUT13" s="338"/>
      <c r="SUU13" s="338"/>
      <c r="SUV13" s="338"/>
      <c r="SUW13" s="338"/>
      <c r="SUX13" s="338"/>
      <c r="SUY13" s="338"/>
      <c r="SUZ13" s="338"/>
      <c r="SVA13" s="338"/>
      <c r="SVB13" s="338"/>
      <c r="SVC13" s="338"/>
      <c r="SVD13" s="338"/>
      <c r="SVE13" s="338"/>
      <c r="SVF13" s="338"/>
      <c r="SVG13" s="338"/>
      <c r="SVH13" s="338"/>
      <c r="SVI13" s="338"/>
      <c r="SVJ13" s="338"/>
      <c r="SVK13" s="338"/>
      <c r="SVL13" s="338"/>
      <c r="SVM13" s="338"/>
      <c r="SVN13" s="338"/>
      <c r="SVO13" s="338"/>
      <c r="SVP13" s="338"/>
      <c r="SVQ13" s="338"/>
      <c r="SVR13" s="338"/>
      <c r="SVS13" s="338"/>
      <c r="SVT13" s="338"/>
      <c r="SVU13" s="338"/>
      <c r="SVV13" s="338"/>
      <c r="SVW13" s="338"/>
      <c r="SVX13" s="338"/>
      <c r="SVY13" s="338"/>
      <c r="SVZ13" s="338"/>
      <c r="SWA13" s="338"/>
      <c r="SWB13" s="338"/>
      <c r="SWC13" s="338"/>
      <c r="SWD13" s="338"/>
      <c r="SWE13" s="338"/>
      <c r="SWF13" s="338"/>
      <c r="SWG13" s="338"/>
      <c r="SWH13" s="338"/>
      <c r="SWI13" s="338"/>
      <c r="SWJ13" s="338"/>
      <c r="SWK13" s="338"/>
      <c r="SWL13" s="338"/>
      <c r="SWM13" s="338"/>
      <c r="SWN13" s="338"/>
      <c r="SWO13" s="338"/>
      <c r="SWP13" s="338"/>
      <c r="SWQ13" s="338"/>
      <c r="SWR13" s="338"/>
      <c r="SWS13" s="338"/>
      <c r="SWT13" s="338"/>
      <c r="SWU13" s="338"/>
      <c r="SWV13" s="338"/>
      <c r="SWW13" s="338"/>
      <c r="SWX13" s="338"/>
      <c r="SWY13" s="338"/>
      <c r="SWZ13" s="338"/>
      <c r="SXA13" s="338"/>
      <c r="SXB13" s="338"/>
      <c r="SXC13" s="338"/>
      <c r="SXD13" s="338"/>
      <c r="SXE13" s="338"/>
      <c r="SXF13" s="338"/>
      <c r="SXG13" s="338"/>
      <c r="SXH13" s="338"/>
      <c r="SXI13" s="338"/>
      <c r="SXJ13" s="338"/>
      <c r="SXK13" s="338"/>
      <c r="SXL13" s="338"/>
      <c r="SXM13" s="338"/>
      <c r="SXN13" s="338"/>
      <c r="SXO13" s="338"/>
      <c r="SXP13" s="338"/>
      <c r="SXQ13" s="338"/>
      <c r="SXR13" s="338"/>
      <c r="SXS13" s="338"/>
      <c r="SXT13" s="338"/>
      <c r="SXU13" s="338"/>
      <c r="SXV13" s="338"/>
      <c r="SXW13" s="338"/>
      <c r="SXX13" s="338"/>
      <c r="SXY13" s="338"/>
      <c r="SXZ13" s="338"/>
      <c r="SYA13" s="338"/>
      <c r="SYB13" s="338"/>
      <c r="SYC13" s="338"/>
      <c r="SYD13" s="338"/>
      <c r="SYE13" s="338"/>
      <c r="SYF13" s="338"/>
      <c r="SYG13" s="338"/>
      <c r="SYH13" s="338"/>
      <c r="SYI13" s="338"/>
      <c r="SYJ13" s="338"/>
      <c r="SYK13" s="338"/>
      <c r="SYL13" s="338"/>
      <c r="SYM13" s="338"/>
      <c r="SYN13" s="338"/>
      <c r="SYO13" s="338"/>
      <c r="SYP13" s="338"/>
      <c r="SYQ13" s="338"/>
      <c r="SYR13" s="338"/>
      <c r="SYS13" s="338"/>
      <c r="SYT13" s="338"/>
      <c r="SYU13" s="338"/>
      <c r="SYV13" s="338"/>
      <c r="SYW13" s="338"/>
      <c r="SYX13" s="338"/>
      <c r="SYY13" s="338"/>
      <c r="SYZ13" s="338"/>
      <c r="SZA13" s="338"/>
      <c r="SZB13" s="338"/>
      <c r="SZC13" s="338"/>
      <c r="SZD13" s="338"/>
      <c r="SZE13" s="338"/>
      <c r="SZF13" s="338"/>
      <c r="SZG13" s="338"/>
      <c r="SZH13" s="338"/>
      <c r="SZI13" s="338"/>
      <c r="SZJ13" s="338"/>
      <c r="SZK13" s="338"/>
      <c r="SZL13" s="338"/>
      <c r="SZM13" s="338"/>
      <c r="SZN13" s="338"/>
      <c r="SZO13" s="338"/>
      <c r="SZP13" s="338"/>
      <c r="SZQ13" s="338"/>
      <c r="SZR13" s="338"/>
      <c r="SZS13" s="338"/>
      <c r="SZT13" s="338"/>
      <c r="SZU13" s="338"/>
      <c r="SZV13" s="338"/>
      <c r="SZW13" s="338"/>
      <c r="SZX13" s="338"/>
      <c r="SZY13" s="338"/>
      <c r="SZZ13" s="338"/>
      <c r="TAA13" s="338"/>
      <c r="TAB13" s="338"/>
      <c r="TAC13" s="338"/>
      <c r="TAD13" s="338"/>
      <c r="TAE13" s="338"/>
      <c r="TAF13" s="338"/>
      <c r="TAG13" s="338"/>
      <c r="TAH13" s="338"/>
      <c r="TAI13" s="338"/>
      <c r="TAJ13" s="338"/>
      <c r="TAK13" s="338"/>
      <c r="TAL13" s="338"/>
      <c r="TAM13" s="338"/>
      <c r="TAN13" s="338"/>
      <c r="TAO13" s="338"/>
      <c r="TAP13" s="338"/>
      <c r="TAQ13" s="338"/>
      <c r="TAR13" s="338"/>
      <c r="TAS13" s="338"/>
      <c r="TAT13" s="338"/>
      <c r="TAU13" s="338"/>
      <c r="TAV13" s="338"/>
      <c r="TAW13" s="338"/>
      <c r="TAX13" s="338"/>
      <c r="TAY13" s="338"/>
      <c r="TAZ13" s="338"/>
      <c r="TBA13" s="338"/>
      <c r="TBB13" s="338"/>
      <c r="TBC13" s="338"/>
      <c r="TBD13" s="338"/>
      <c r="TBE13" s="338"/>
      <c r="TBF13" s="338"/>
      <c r="TBG13" s="338"/>
      <c r="TBH13" s="338"/>
      <c r="TBI13" s="338"/>
      <c r="TBJ13" s="338"/>
      <c r="TBK13" s="338"/>
      <c r="TBL13" s="338"/>
      <c r="TBM13" s="338"/>
      <c r="TBN13" s="338"/>
      <c r="TBO13" s="338"/>
      <c r="TBP13" s="338"/>
      <c r="TBQ13" s="338"/>
      <c r="TBR13" s="338"/>
      <c r="TBS13" s="338"/>
      <c r="TBT13" s="338"/>
      <c r="TBU13" s="338"/>
      <c r="TBV13" s="338"/>
      <c r="TBW13" s="338"/>
      <c r="TBX13" s="338"/>
      <c r="TBY13" s="338"/>
      <c r="TBZ13" s="338"/>
      <c r="TCA13" s="338"/>
      <c r="TCB13" s="338"/>
      <c r="TCC13" s="338"/>
      <c r="TCD13" s="338"/>
      <c r="TCE13" s="338"/>
      <c r="TCF13" s="338"/>
      <c r="TCG13" s="338"/>
      <c r="TCH13" s="338"/>
      <c r="TCI13" s="338"/>
      <c r="TCJ13" s="338"/>
      <c r="TCK13" s="338"/>
      <c r="TCL13" s="338"/>
      <c r="TCM13" s="338"/>
      <c r="TCN13" s="338"/>
      <c r="TCO13" s="338"/>
      <c r="TCP13" s="338"/>
      <c r="TCQ13" s="338"/>
      <c r="TCR13" s="338"/>
      <c r="TCS13" s="338"/>
      <c r="TCT13" s="338"/>
      <c r="TCU13" s="338"/>
      <c r="TCV13" s="338"/>
      <c r="TCW13" s="338"/>
      <c r="TCX13" s="338"/>
      <c r="TCY13" s="338"/>
      <c r="TCZ13" s="338"/>
      <c r="TDA13" s="338"/>
      <c r="TDB13" s="338"/>
      <c r="TDC13" s="338"/>
      <c r="TDD13" s="338"/>
      <c r="TDE13" s="338"/>
      <c r="TDF13" s="338"/>
      <c r="TDG13" s="338"/>
      <c r="TDH13" s="338"/>
      <c r="TDI13" s="338"/>
      <c r="TDJ13" s="338"/>
      <c r="TDK13" s="338"/>
      <c r="TDL13" s="338"/>
      <c r="TDM13" s="338"/>
      <c r="TDN13" s="338"/>
      <c r="TDO13" s="338"/>
      <c r="TDP13" s="338"/>
      <c r="TDQ13" s="338"/>
      <c r="TDR13" s="338"/>
      <c r="TDS13" s="338"/>
      <c r="TDT13" s="338"/>
      <c r="TDU13" s="338"/>
      <c r="TDV13" s="338"/>
      <c r="TDW13" s="338"/>
      <c r="TDX13" s="338"/>
      <c r="TDY13" s="338"/>
      <c r="TDZ13" s="338"/>
      <c r="TEA13" s="338"/>
      <c r="TEB13" s="338"/>
      <c r="TEC13" s="338"/>
      <c r="TED13" s="338"/>
      <c r="TEE13" s="338"/>
      <c r="TEF13" s="338"/>
      <c r="TEG13" s="338"/>
      <c r="TEH13" s="338"/>
      <c r="TEI13" s="338"/>
      <c r="TEJ13" s="338"/>
      <c r="TEK13" s="338"/>
      <c r="TEL13" s="338"/>
      <c r="TEM13" s="338"/>
      <c r="TEN13" s="338"/>
      <c r="TEO13" s="338"/>
      <c r="TEP13" s="338"/>
      <c r="TEQ13" s="338"/>
      <c r="TER13" s="338"/>
      <c r="TES13" s="338"/>
      <c r="TET13" s="338"/>
      <c r="TEU13" s="338"/>
      <c r="TEV13" s="338"/>
      <c r="TEW13" s="338"/>
      <c r="TEX13" s="338"/>
      <c r="TEY13" s="338"/>
      <c r="TEZ13" s="338"/>
      <c r="TFA13" s="338"/>
      <c r="TFB13" s="338"/>
      <c r="TFC13" s="338"/>
      <c r="TFD13" s="338"/>
      <c r="TFE13" s="338"/>
      <c r="TFF13" s="338"/>
      <c r="TFG13" s="338"/>
      <c r="TFH13" s="338"/>
      <c r="TFI13" s="338"/>
      <c r="TFJ13" s="338"/>
      <c r="TFK13" s="338"/>
      <c r="TFL13" s="338"/>
      <c r="TFM13" s="338"/>
      <c r="TFN13" s="338"/>
      <c r="TFO13" s="338"/>
      <c r="TFP13" s="338"/>
      <c r="TFQ13" s="338"/>
      <c r="TFR13" s="338"/>
      <c r="TFS13" s="338"/>
      <c r="TFT13" s="338"/>
      <c r="TFU13" s="338"/>
      <c r="TFV13" s="338"/>
      <c r="TFW13" s="338"/>
      <c r="TFX13" s="338"/>
      <c r="TFY13" s="338"/>
      <c r="TFZ13" s="338"/>
      <c r="TGA13" s="338"/>
      <c r="TGB13" s="338"/>
      <c r="TGC13" s="338"/>
      <c r="TGD13" s="338"/>
      <c r="TGE13" s="338"/>
      <c r="TGF13" s="338"/>
      <c r="TGG13" s="338"/>
      <c r="TGH13" s="338"/>
      <c r="TGI13" s="338"/>
      <c r="TGJ13" s="338"/>
      <c r="TGK13" s="338"/>
      <c r="TGL13" s="338"/>
      <c r="TGM13" s="338"/>
      <c r="TGN13" s="338"/>
      <c r="TGO13" s="338"/>
      <c r="TGP13" s="338"/>
      <c r="TGQ13" s="338"/>
      <c r="TGR13" s="338"/>
      <c r="TGS13" s="338"/>
      <c r="TGT13" s="338"/>
      <c r="TGU13" s="338"/>
      <c r="TGV13" s="338"/>
      <c r="TGW13" s="338"/>
      <c r="TGX13" s="338"/>
      <c r="TGY13" s="338"/>
      <c r="TGZ13" s="338"/>
      <c r="THA13" s="338"/>
      <c r="THB13" s="338"/>
      <c r="THC13" s="338"/>
      <c r="THD13" s="338"/>
      <c r="THE13" s="338"/>
      <c r="THF13" s="338"/>
      <c r="THG13" s="338"/>
      <c r="THH13" s="338"/>
      <c r="THI13" s="338"/>
      <c r="THJ13" s="338"/>
      <c r="THK13" s="338"/>
      <c r="THL13" s="338"/>
      <c r="THM13" s="338"/>
      <c r="THN13" s="338"/>
      <c r="THO13" s="338"/>
      <c r="THP13" s="338"/>
      <c r="THQ13" s="338"/>
      <c r="THR13" s="338"/>
      <c r="THS13" s="338"/>
      <c r="THT13" s="338"/>
      <c r="THU13" s="338"/>
      <c r="THV13" s="338"/>
      <c r="THW13" s="338"/>
      <c r="THX13" s="338"/>
      <c r="THY13" s="338"/>
      <c r="THZ13" s="338"/>
      <c r="TIA13" s="338"/>
      <c r="TIB13" s="338"/>
      <c r="TIC13" s="338"/>
      <c r="TID13" s="338"/>
      <c r="TIE13" s="338"/>
      <c r="TIF13" s="338"/>
      <c r="TIG13" s="338"/>
      <c r="TIH13" s="338"/>
      <c r="TII13" s="338"/>
      <c r="TIJ13" s="338"/>
      <c r="TIK13" s="338"/>
      <c r="TIL13" s="338"/>
      <c r="TIM13" s="338"/>
      <c r="TIN13" s="338"/>
      <c r="TIO13" s="338"/>
      <c r="TIP13" s="338"/>
      <c r="TIQ13" s="338"/>
      <c r="TIR13" s="338"/>
      <c r="TIS13" s="338"/>
      <c r="TIT13" s="338"/>
      <c r="TIU13" s="338"/>
      <c r="TIV13" s="338"/>
      <c r="TIW13" s="338"/>
      <c r="TIX13" s="338"/>
      <c r="TIY13" s="338"/>
      <c r="TIZ13" s="338"/>
      <c r="TJA13" s="338"/>
      <c r="TJB13" s="338"/>
      <c r="TJC13" s="338"/>
      <c r="TJD13" s="338"/>
      <c r="TJE13" s="338"/>
      <c r="TJF13" s="338"/>
      <c r="TJG13" s="338"/>
      <c r="TJH13" s="338"/>
      <c r="TJI13" s="338"/>
      <c r="TJJ13" s="338"/>
      <c r="TJK13" s="338"/>
      <c r="TJL13" s="338"/>
      <c r="TJM13" s="338"/>
      <c r="TJN13" s="338"/>
      <c r="TJO13" s="338"/>
      <c r="TJP13" s="338"/>
      <c r="TJQ13" s="338"/>
      <c r="TJR13" s="338"/>
      <c r="TJS13" s="338"/>
      <c r="TJT13" s="338"/>
      <c r="TJU13" s="338"/>
      <c r="TJV13" s="338"/>
      <c r="TJW13" s="338"/>
      <c r="TJX13" s="338"/>
      <c r="TJY13" s="338"/>
      <c r="TJZ13" s="338"/>
      <c r="TKA13" s="338"/>
      <c r="TKB13" s="338"/>
      <c r="TKC13" s="338"/>
      <c r="TKD13" s="338"/>
      <c r="TKE13" s="338"/>
      <c r="TKF13" s="338"/>
      <c r="TKG13" s="338"/>
      <c r="TKH13" s="338"/>
      <c r="TKI13" s="338"/>
      <c r="TKJ13" s="338"/>
      <c r="TKK13" s="338"/>
      <c r="TKL13" s="338"/>
      <c r="TKM13" s="338"/>
      <c r="TKN13" s="338"/>
      <c r="TKO13" s="338"/>
      <c r="TKP13" s="338"/>
      <c r="TKQ13" s="338"/>
      <c r="TKR13" s="338"/>
      <c r="TKS13" s="338"/>
      <c r="TKT13" s="338"/>
      <c r="TKU13" s="338"/>
      <c r="TKV13" s="338"/>
      <c r="TKW13" s="338"/>
      <c r="TKX13" s="338"/>
      <c r="TKY13" s="338"/>
      <c r="TKZ13" s="338"/>
      <c r="TLA13" s="338"/>
      <c r="TLB13" s="338"/>
      <c r="TLC13" s="338"/>
      <c r="TLD13" s="338"/>
      <c r="TLE13" s="338"/>
      <c r="TLF13" s="338"/>
      <c r="TLG13" s="338"/>
      <c r="TLH13" s="338"/>
      <c r="TLI13" s="338"/>
      <c r="TLJ13" s="338"/>
      <c r="TLK13" s="338"/>
      <c r="TLL13" s="338"/>
      <c r="TLM13" s="338"/>
      <c r="TLN13" s="338"/>
      <c r="TLO13" s="338"/>
      <c r="TLP13" s="338"/>
      <c r="TLQ13" s="338"/>
      <c r="TLR13" s="338"/>
      <c r="TLS13" s="338"/>
      <c r="TLT13" s="338"/>
      <c r="TLU13" s="338"/>
      <c r="TLV13" s="338"/>
      <c r="TLW13" s="338"/>
      <c r="TLX13" s="338"/>
      <c r="TLY13" s="338"/>
      <c r="TLZ13" s="338"/>
      <c r="TMA13" s="338"/>
      <c r="TMB13" s="338"/>
      <c r="TMC13" s="338"/>
      <c r="TMD13" s="338"/>
      <c r="TME13" s="338"/>
      <c r="TMF13" s="338"/>
      <c r="TMG13" s="338"/>
      <c r="TMH13" s="338"/>
      <c r="TMI13" s="338"/>
      <c r="TMJ13" s="338"/>
      <c r="TMK13" s="338"/>
      <c r="TML13" s="338"/>
      <c r="TMM13" s="338"/>
      <c r="TMN13" s="338"/>
      <c r="TMO13" s="338"/>
      <c r="TMP13" s="338"/>
      <c r="TMQ13" s="338"/>
      <c r="TMR13" s="338"/>
      <c r="TMS13" s="338"/>
      <c r="TMT13" s="338"/>
      <c r="TMU13" s="338"/>
      <c r="TMV13" s="338"/>
      <c r="TMW13" s="338"/>
      <c r="TMX13" s="338"/>
      <c r="TMY13" s="338"/>
      <c r="TMZ13" s="338"/>
      <c r="TNA13" s="338"/>
      <c r="TNB13" s="338"/>
      <c r="TNC13" s="338"/>
      <c r="TND13" s="338"/>
      <c r="TNE13" s="338"/>
      <c r="TNF13" s="338"/>
      <c r="TNG13" s="338"/>
      <c r="TNH13" s="338"/>
      <c r="TNI13" s="338"/>
      <c r="TNJ13" s="338"/>
      <c r="TNK13" s="338"/>
      <c r="TNL13" s="338"/>
      <c r="TNM13" s="338"/>
      <c r="TNN13" s="338"/>
      <c r="TNO13" s="338"/>
      <c r="TNP13" s="338"/>
      <c r="TNQ13" s="338"/>
      <c r="TNR13" s="338"/>
      <c r="TNS13" s="338"/>
      <c r="TNT13" s="338"/>
      <c r="TNU13" s="338"/>
      <c r="TNV13" s="338"/>
      <c r="TNW13" s="338"/>
      <c r="TNX13" s="338"/>
      <c r="TNY13" s="338"/>
      <c r="TNZ13" s="338"/>
      <c r="TOA13" s="338"/>
      <c r="TOB13" s="338"/>
      <c r="TOC13" s="338"/>
      <c r="TOD13" s="338"/>
      <c r="TOE13" s="338"/>
      <c r="TOF13" s="338"/>
      <c r="TOG13" s="338"/>
      <c r="TOH13" s="338"/>
      <c r="TOI13" s="338"/>
      <c r="TOJ13" s="338"/>
      <c r="TOK13" s="338"/>
      <c r="TOL13" s="338"/>
      <c r="TOM13" s="338"/>
      <c r="TON13" s="338"/>
      <c r="TOO13" s="338"/>
      <c r="TOP13" s="338"/>
      <c r="TOQ13" s="338"/>
      <c r="TOR13" s="338"/>
      <c r="TOS13" s="338"/>
      <c r="TOT13" s="338"/>
      <c r="TOU13" s="338"/>
      <c r="TOV13" s="338"/>
      <c r="TOW13" s="338"/>
      <c r="TOX13" s="338"/>
      <c r="TOY13" s="338"/>
      <c r="TOZ13" s="338"/>
      <c r="TPA13" s="338"/>
      <c r="TPB13" s="338"/>
      <c r="TPC13" s="338"/>
      <c r="TPD13" s="338"/>
      <c r="TPE13" s="338"/>
      <c r="TPF13" s="338"/>
      <c r="TPG13" s="338"/>
      <c r="TPH13" s="338"/>
      <c r="TPI13" s="338"/>
      <c r="TPJ13" s="338"/>
      <c r="TPK13" s="338"/>
      <c r="TPL13" s="338"/>
      <c r="TPM13" s="338"/>
      <c r="TPN13" s="338"/>
      <c r="TPO13" s="338"/>
      <c r="TPP13" s="338"/>
      <c r="TPQ13" s="338"/>
      <c r="TPR13" s="338"/>
      <c r="TPS13" s="338"/>
      <c r="TPT13" s="338"/>
      <c r="TPU13" s="338"/>
      <c r="TPV13" s="338"/>
      <c r="TPW13" s="338"/>
      <c r="TPX13" s="338"/>
      <c r="TPY13" s="338"/>
      <c r="TPZ13" s="338"/>
      <c r="TQA13" s="338"/>
      <c r="TQB13" s="338"/>
      <c r="TQC13" s="338"/>
      <c r="TQD13" s="338"/>
      <c r="TQE13" s="338"/>
      <c r="TQF13" s="338"/>
      <c r="TQG13" s="338"/>
      <c r="TQH13" s="338"/>
      <c r="TQI13" s="338"/>
      <c r="TQJ13" s="338"/>
      <c r="TQK13" s="338"/>
      <c r="TQL13" s="338"/>
      <c r="TQM13" s="338"/>
      <c r="TQN13" s="338"/>
      <c r="TQO13" s="338"/>
      <c r="TQP13" s="338"/>
      <c r="TQQ13" s="338"/>
      <c r="TQR13" s="338"/>
      <c r="TQS13" s="338"/>
      <c r="TQT13" s="338"/>
      <c r="TQU13" s="338"/>
      <c r="TQV13" s="338"/>
      <c r="TQW13" s="338"/>
      <c r="TQX13" s="338"/>
      <c r="TQY13" s="338"/>
      <c r="TQZ13" s="338"/>
      <c r="TRA13" s="338"/>
      <c r="TRB13" s="338"/>
      <c r="TRC13" s="338"/>
      <c r="TRD13" s="338"/>
      <c r="TRE13" s="338"/>
      <c r="TRF13" s="338"/>
      <c r="TRG13" s="338"/>
      <c r="TRH13" s="338"/>
      <c r="TRI13" s="338"/>
      <c r="TRJ13" s="338"/>
      <c r="TRK13" s="338"/>
      <c r="TRL13" s="338"/>
      <c r="TRM13" s="338"/>
      <c r="TRN13" s="338"/>
      <c r="TRO13" s="338"/>
      <c r="TRP13" s="338"/>
      <c r="TRQ13" s="338"/>
      <c r="TRR13" s="338"/>
      <c r="TRS13" s="338"/>
      <c r="TRT13" s="338"/>
      <c r="TRU13" s="338"/>
      <c r="TRV13" s="338"/>
      <c r="TRW13" s="338"/>
      <c r="TRX13" s="338"/>
      <c r="TRY13" s="338"/>
      <c r="TRZ13" s="338"/>
      <c r="TSA13" s="338"/>
      <c r="TSB13" s="338"/>
      <c r="TSC13" s="338"/>
      <c r="TSD13" s="338"/>
      <c r="TSE13" s="338"/>
      <c r="TSF13" s="338"/>
      <c r="TSG13" s="338"/>
      <c r="TSH13" s="338"/>
      <c r="TSI13" s="338"/>
      <c r="TSJ13" s="338"/>
      <c r="TSK13" s="338"/>
      <c r="TSL13" s="338"/>
      <c r="TSM13" s="338"/>
      <c r="TSN13" s="338"/>
      <c r="TSO13" s="338"/>
      <c r="TSP13" s="338"/>
      <c r="TSQ13" s="338"/>
      <c r="TSR13" s="338"/>
      <c r="TSS13" s="338"/>
      <c r="TST13" s="338"/>
      <c r="TSU13" s="338"/>
      <c r="TSV13" s="338"/>
      <c r="TSW13" s="338"/>
      <c r="TSX13" s="338"/>
      <c r="TSY13" s="338"/>
      <c r="TSZ13" s="338"/>
      <c r="TTA13" s="338"/>
      <c r="TTB13" s="338"/>
      <c r="TTC13" s="338"/>
      <c r="TTD13" s="338"/>
      <c r="TTE13" s="338"/>
      <c r="TTF13" s="338"/>
      <c r="TTG13" s="338"/>
      <c r="TTH13" s="338"/>
      <c r="TTI13" s="338"/>
      <c r="TTJ13" s="338"/>
      <c r="TTK13" s="338"/>
      <c r="TTL13" s="338"/>
      <c r="TTM13" s="338"/>
      <c r="TTN13" s="338"/>
      <c r="TTO13" s="338"/>
      <c r="TTP13" s="338"/>
      <c r="TTQ13" s="338"/>
      <c r="TTR13" s="338"/>
      <c r="TTS13" s="338"/>
      <c r="TTT13" s="338"/>
      <c r="TTU13" s="338"/>
      <c r="TTV13" s="338"/>
      <c r="TTW13" s="338"/>
      <c r="TTX13" s="338"/>
      <c r="TTY13" s="338"/>
      <c r="TTZ13" s="338"/>
      <c r="TUA13" s="338"/>
      <c r="TUB13" s="338"/>
      <c r="TUC13" s="338"/>
      <c r="TUD13" s="338"/>
      <c r="TUE13" s="338"/>
      <c r="TUF13" s="338"/>
      <c r="TUG13" s="338"/>
      <c r="TUH13" s="338"/>
      <c r="TUI13" s="338"/>
      <c r="TUJ13" s="338"/>
      <c r="TUK13" s="338"/>
      <c r="TUL13" s="338"/>
      <c r="TUM13" s="338"/>
      <c r="TUN13" s="338"/>
      <c r="TUO13" s="338"/>
      <c r="TUP13" s="338"/>
      <c r="TUQ13" s="338"/>
      <c r="TUR13" s="338"/>
      <c r="TUS13" s="338"/>
      <c r="TUT13" s="338"/>
      <c r="TUU13" s="338"/>
      <c r="TUV13" s="338"/>
      <c r="TUW13" s="338"/>
      <c r="TUX13" s="338"/>
      <c r="TUY13" s="338"/>
      <c r="TUZ13" s="338"/>
      <c r="TVA13" s="338"/>
      <c r="TVB13" s="338"/>
      <c r="TVC13" s="338"/>
      <c r="TVD13" s="338"/>
      <c r="TVE13" s="338"/>
      <c r="TVF13" s="338"/>
      <c r="TVG13" s="338"/>
      <c r="TVH13" s="338"/>
      <c r="TVI13" s="338"/>
      <c r="TVJ13" s="338"/>
      <c r="TVK13" s="338"/>
      <c r="TVL13" s="338"/>
      <c r="TVM13" s="338"/>
      <c r="TVN13" s="338"/>
      <c r="TVO13" s="338"/>
      <c r="TVP13" s="338"/>
      <c r="TVQ13" s="338"/>
      <c r="TVR13" s="338"/>
      <c r="TVS13" s="338"/>
      <c r="TVT13" s="338"/>
      <c r="TVU13" s="338"/>
      <c r="TVV13" s="338"/>
      <c r="TVW13" s="338"/>
      <c r="TVX13" s="338"/>
      <c r="TVY13" s="338"/>
      <c r="TVZ13" s="338"/>
      <c r="TWA13" s="338"/>
      <c r="TWB13" s="338"/>
      <c r="TWC13" s="338"/>
      <c r="TWD13" s="338"/>
      <c r="TWE13" s="338"/>
      <c r="TWF13" s="338"/>
      <c r="TWG13" s="338"/>
      <c r="TWH13" s="338"/>
      <c r="TWI13" s="338"/>
      <c r="TWJ13" s="338"/>
      <c r="TWK13" s="338"/>
      <c r="TWL13" s="338"/>
      <c r="TWM13" s="338"/>
      <c r="TWN13" s="338"/>
      <c r="TWO13" s="338"/>
      <c r="TWP13" s="338"/>
      <c r="TWQ13" s="338"/>
      <c r="TWR13" s="338"/>
      <c r="TWS13" s="338"/>
      <c r="TWT13" s="338"/>
      <c r="TWU13" s="338"/>
      <c r="TWV13" s="338"/>
      <c r="TWW13" s="338"/>
      <c r="TWX13" s="338"/>
      <c r="TWY13" s="338"/>
      <c r="TWZ13" s="338"/>
      <c r="TXA13" s="338"/>
      <c r="TXB13" s="338"/>
      <c r="TXC13" s="338"/>
      <c r="TXD13" s="338"/>
      <c r="TXE13" s="338"/>
      <c r="TXF13" s="338"/>
      <c r="TXG13" s="338"/>
      <c r="TXH13" s="338"/>
      <c r="TXI13" s="338"/>
      <c r="TXJ13" s="338"/>
      <c r="TXK13" s="338"/>
      <c r="TXL13" s="338"/>
      <c r="TXM13" s="338"/>
      <c r="TXN13" s="338"/>
      <c r="TXO13" s="338"/>
      <c r="TXP13" s="338"/>
      <c r="TXQ13" s="338"/>
      <c r="TXR13" s="338"/>
      <c r="TXS13" s="338"/>
      <c r="TXT13" s="338"/>
      <c r="TXU13" s="338"/>
      <c r="TXV13" s="338"/>
      <c r="TXW13" s="338"/>
      <c r="TXX13" s="338"/>
      <c r="TXY13" s="338"/>
      <c r="TXZ13" s="338"/>
      <c r="TYA13" s="338"/>
      <c r="TYB13" s="338"/>
      <c r="TYC13" s="338"/>
      <c r="TYD13" s="338"/>
      <c r="TYE13" s="338"/>
      <c r="TYF13" s="338"/>
      <c r="TYG13" s="338"/>
      <c r="TYH13" s="338"/>
      <c r="TYI13" s="338"/>
      <c r="TYJ13" s="338"/>
      <c r="TYK13" s="338"/>
      <c r="TYL13" s="338"/>
      <c r="TYM13" s="338"/>
      <c r="TYN13" s="338"/>
      <c r="TYO13" s="338"/>
      <c r="TYP13" s="338"/>
      <c r="TYQ13" s="338"/>
      <c r="TYR13" s="338"/>
      <c r="TYS13" s="338"/>
      <c r="TYT13" s="338"/>
      <c r="TYU13" s="338"/>
      <c r="TYV13" s="338"/>
      <c r="TYW13" s="338"/>
      <c r="TYX13" s="338"/>
      <c r="TYY13" s="338"/>
      <c r="TYZ13" s="338"/>
      <c r="TZA13" s="338"/>
      <c r="TZB13" s="338"/>
      <c r="TZC13" s="338"/>
      <c r="TZD13" s="338"/>
      <c r="TZE13" s="338"/>
      <c r="TZF13" s="338"/>
      <c r="TZG13" s="338"/>
      <c r="TZH13" s="338"/>
      <c r="TZI13" s="338"/>
      <c r="TZJ13" s="338"/>
      <c r="TZK13" s="338"/>
      <c r="TZL13" s="338"/>
      <c r="TZM13" s="338"/>
      <c r="TZN13" s="338"/>
      <c r="TZO13" s="338"/>
      <c r="TZP13" s="338"/>
      <c r="TZQ13" s="338"/>
      <c r="TZR13" s="338"/>
      <c r="TZS13" s="338"/>
      <c r="TZT13" s="338"/>
      <c r="TZU13" s="338"/>
      <c r="TZV13" s="338"/>
      <c r="TZW13" s="338"/>
      <c r="TZX13" s="338"/>
      <c r="TZY13" s="338"/>
      <c r="TZZ13" s="338"/>
      <c r="UAA13" s="338"/>
      <c r="UAB13" s="338"/>
      <c r="UAC13" s="338"/>
      <c r="UAD13" s="338"/>
      <c r="UAE13" s="338"/>
      <c r="UAF13" s="338"/>
      <c r="UAG13" s="338"/>
      <c r="UAH13" s="338"/>
      <c r="UAI13" s="338"/>
      <c r="UAJ13" s="338"/>
      <c r="UAK13" s="338"/>
      <c r="UAL13" s="338"/>
      <c r="UAM13" s="338"/>
      <c r="UAN13" s="338"/>
      <c r="UAO13" s="338"/>
      <c r="UAP13" s="338"/>
      <c r="UAQ13" s="338"/>
      <c r="UAR13" s="338"/>
      <c r="UAS13" s="338"/>
      <c r="UAT13" s="338"/>
      <c r="UAU13" s="338"/>
      <c r="UAV13" s="338"/>
      <c r="UAW13" s="338"/>
      <c r="UAX13" s="338"/>
      <c r="UAY13" s="338"/>
      <c r="UAZ13" s="338"/>
      <c r="UBA13" s="338"/>
      <c r="UBB13" s="338"/>
      <c r="UBC13" s="338"/>
      <c r="UBD13" s="338"/>
      <c r="UBE13" s="338"/>
      <c r="UBF13" s="338"/>
      <c r="UBG13" s="338"/>
      <c r="UBH13" s="338"/>
      <c r="UBI13" s="338"/>
      <c r="UBJ13" s="338"/>
      <c r="UBK13" s="338"/>
      <c r="UBL13" s="338"/>
      <c r="UBM13" s="338"/>
      <c r="UBN13" s="338"/>
      <c r="UBO13" s="338"/>
      <c r="UBP13" s="338"/>
      <c r="UBQ13" s="338"/>
      <c r="UBR13" s="338"/>
      <c r="UBS13" s="338"/>
      <c r="UBT13" s="338"/>
      <c r="UBU13" s="338"/>
      <c r="UBV13" s="338"/>
      <c r="UBW13" s="338"/>
      <c r="UBX13" s="338"/>
      <c r="UBY13" s="338"/>
      <c r="UBZ13" s="338"/>
      <c r="UCA13" s="338"/>
      <c r="UCB13" s="338"/>
      <c r="UCC13" s="338"/>
      <c r="UCD13" s="338"/>
      <c r="UCE13" s="338"/>
      <c r="UCF13" s="338"/>
      <c r="UCG13" s="338"/>
      <c r="UCH13" s="338"/>
      <c r="UCI13" s="338"/>
      <c r="UCJ13" s="338"/>
      <c r="UCK13" s="338"/>
      <c r="UCL13" s="338"/>
      <c r="UCM13" s="338"/>
      <c r="UCN13" s="338"/>
      <c r="UCO13" s="338"/>
      <c r="UCP13" s="338"/>
      <c r="UCQ13" s="338"/>
      <c r="UCR13" s="338"/>
      <c r="UCS13" s="338"/>
      <c r="UCT13" s="338"/>
      <c r="UCU13" s="338"/>
      <c r="UCV13" s="338"/>
      <c r="UCW13" s="338"/>
      <c r="UCX13" s="338"/>
      <c r="UCY13" s="338"/>
      <c r="UCZ13" s="338"/>
      <c r="UDA13" s="338"/>
      <c r="UDB13" s="338"/>
      <c r="UDC13" s="338"/>
      <c r="UDD13" s="338"/>
      <c r="UDE13" s="338"/>
      <c r="UDF13" s="338"/>
      <c r="UDG13" s="338"/>
      <c r="UDH13" s="338"/>
      <c r="UDI13" s="338"/>
      <c r="UDJ13" s="338"/>
      <c r="UDK13" s="338"/>
      <c r="UDL13" s="338"/>
      <c r="UDM13" s="338"/>
      <c r="UDN13" s="338"/>
      <c r="UDO13" s="338"/>
      <c r="UDP13" s="338"/>
      <c r="UDQ13" s="338"/>
      <c r="UDR13" s="338"/>
      <c r="UDS13" s="338"/>
      <c r="UDT13" s="338"/>
      <c r="UDU13" s="338"/>
      <c r="UDV13" s="338"/>
      <c r="UDW13" s="338"/>
      <c r="UDX13" s="338"/>
      <c r="UDY13" s="338"/>
      <c r="UDZ13" s="338"/>
      <c r="UEA13" s="338"/>
      <c r="UEB13" s="338"/>
      <c r="UEC13" s="338"/>
      <c r="UED13" s="338"/>
      <c r="UEE13" s="338"/>
      <c r="UEF13" s="338"/>
      <c r="UEG13" s="338"/>
      <c r="UEH13" s="338"/>
      <c r="UEI13" s="338"/>
      <c r="UEJ13" s="338"/>
      <c r="UEK13" s="338"/>
      <c r="UEL13" s="338"/>
      <c r="UEM13" s="338"/>
      <c r="UEN13" s="338"/>
      <c r="UEO13" s="338"/>
      <c r="UEP13" s="338"/>
      <c r="UEQ13" s="338"/>
      <c r="UER13" s="338"/>
      <c r="UES13" s="338"/>
      <c r="UET13" s="338"/>
      <c r="UEU13" s="338"/>
      <c r="UEV13" s="338"/>
      <c r="UEW13" s="338"/>
      <c r="UEX13" s="338"/>
      <c r="UEY13" s="338"/>
      <c r="UEZ13" s="338"/>
      <c r="UFA13" s="338"/>
      <c r="UFB13" s="338"/>
      <c r="UFC13" s="338"/>
      <c r="UFD13" s="338"/>
      <c r="UFE13" s="338"/>
      <c r="UFF13" s="338"/>
      <c r="UFG13" s="338"/>
      <c r="UFH13" s="338"/>
      <c r="UFI13" s="338"/>
      <c r="UFJ13" s="338"/>
      <c r="UFK13" s="338"/>
      <c r="UFL13" s="338"/>
      <c r="UFM13" s="338"/>
      <c r="UFN13" s="338"/>
      <c r="UFO13" s="338"/>
      <c r="UFP13" s="338"/>
      <c r="UFQ13" s="338"/>
      <c r="UFR13" s="338"/>
      <c r="UFS13" s="338"/>
      <c r="UFT13" s="338"/>
      <c r="UFU13" s="338"/>
      <c r="UFV13" s="338"/>
      <c r="UFW13" s="338"/>
      <c r="UFX13" s="338"/>
      <c r="UFY13" s="338"/>
      <c r="UFZ13" s="338"/>
      <c r="UGA13" s="338"/>
      <c r="UGB13" s="338"/>
      <c r="UGC13" s="338"/>
      <c r="UGD13" s="338"/>
      <c r="UGE13" s="338"/>
      <c r="UGF13" s="338"/>
      <c r="UGG13" s="338"/>
      <c r="UGH13" s="338"/>
      <c r="UGI13" s="338"/>
      <c r="UGJ13" s="338"/>
      <c r="UGK13" s="338"/>
      <c r="UGL13" s="338"/>
      <c r="UGM13" s="338"/>
      <c r="UGN13" s="338"/>
      <c r="UGO13" s="338"/>
      <c r="UGP13" s="338"/>
      <c r="UGQ13" s="338"/>
      <c r="UGR13" s="338"/>
      <c r="UGS13" s="338"/>
      <c r="UGT13" s="338"/>
      <c r="UGU13" s="338"/>
      <c r="UGV13" s="338"/>
      <c r="UGW13" s="338"/>
      <c r="UGX13" s="338"/>
      <c r="UGY13" s="338"/>
      <c r="UGZ13" s="338"/>
      <c r="UHA13" s="338"/>
      <c r="UHB13" s="338"/>
      <c r="UHC13" s="338"/>
      <c r="UHD13" s="338"/>
      <c r="UHE13" s="338"/>
      <c r="UHF13" s="338"/>
      <c r="UHG13" s="338"/>
      <c r="UHH13" s="338"/>
      <c r="UHI13" s="338"/>
      <c r="UHJ13" s="338"/>
      <c r="UHK13" s="338"/>
      <c r="UHL13" s="338"/>
      <c r="UHM13" s="338"/>
      <c r="UHN13" s="338"/>
      <c r="UHO13" s="338"/>
      <c r="UHP13" s="338"/>
      <c r="UHQ13" s="338"/>
      <c r="UHR13" s="338"/>
      <c r="UHS13" s="338"/>
      <c r="UHT13" s="338"/>
      <c r="UHU13" s="338"/>
      <c r="UHV13" s="338"/>
      <c r="UHW13" s="338"/>
      <c r="UHX13" s="338"/>
      <c r="UHY13" s="338"/>
      <c r="UHZ13" s="338"/>
      <c r="UIA13" s="338"/>
      <c r="UIB13" s="338"/>
      <c r="UIC13" s="338"/>
      <c r="UID13" s="338"/>
      <c r="UIE13" s="338"/>
      <c r="UIF13" s="338"/>
      <c r="UIG13" s="338"/>
      <c r="UIH13" s="338"/>
      <c r="UII13" s="338"/>
      <c r="UIJ13" s="338"/>
      <c r="UIK13" s="338"/>
      <c r="UIL13" s="338"/>
      <c r="UIM13" s="338"/>
      <c r="UIN13" s="338"/>
      <c r="UIO13" s="338"/>
      <c r="UIP13" s="338"/>
      <c r="UIQ13" s="338"/>
      <c r="UIR13" s="338"/>
      <c r="UIS13" s="338"/>
      <c r="UIT13" s="338"/>
      <c r="UIU13" s="338"/>
      <c r="UIV13" s="338"/>
      <c r="UIW13" s="338"/>
      <c r="UIX13" s="338"/>
      <c r="UIY13" s="338"/>
      <c r="UIZ13" s="338"/>
      <c r="UJA13" s="338"/>
      <c r="UJB13" s="338"/>
      <c r="UJC13" s="338"/>
      <c r="UJD13" s="338"/>
      <c r="UJE13" s="338"/>
      <c r="UJF13" s="338"/>
      <c r="UJG13" s="338"/>
      <c r="UJH13" s="338"/>
      <c r="UJI13" s="338"/>
      <c r="UJJ13" s="338"/>
      <c r="UJK13" s="338"/>
      <c r="UJL13" s="338"/>
      <c r="UJM13" s="338"/>
      <c r="UJN13" s="338"/>
      <c r="UJO13" s="338"/>
      <c r="UJP13" s="338"/>
      <c r="UJQ13" s="338"/>
      <c r="UJR13" s="338"/>
      <c r="UJS13" s="338"/>
      <c r="UJT13" s="338"/>
      <c r="UJU13" s="338"/>
      <c r="UJV13" s="338"/>
      <c r="UJW13" s="338"/>
      <c r="UJX13" s="338"/>
      <c r="UJY13" s="338"/>
      <c r="UJZ13" s="338"/>
      <c r="UKA13" s="338"/>
      <c r="UKB13" s="338"/>
      <c r="UKC13" s="338"/>
      <c r="UKD13" s="338"/>
      <c r="UKE13" s="338"/>
      <c r="UKF13" s="338"/>
      <c r="UKG13" s="338"/>
      <c r="UKH13" s="338"/>
      <c r="UKI13" s="338"/>
      <c r="UKJ13" s="338"/>
      <c r="UKK13" s="338"/>
      <c r="UKL13" s="338"/>
      <c r="UKM13" s="338"/>
      <c r="UKN13" s="338"/>
      <c r="UKO13" s="338"/>
      <c r="UKP13" s="338"/>
      <c r="UKQ13" s="338"/>
      <c r="UKR13" s="338"/>
      <c r="UKS13" s="338"/>
      <c r="UKT13" s="338"/>
      <c r="UKU13" s="338"/>
      <c r="UKV13" s="338"/>
      <c r="UKW13" s="338"/>
      <c r="UKX13" s="338"/>
      <c r="UKY13" s="338"/>
      <c r="UKZ13" s="338"/>
      <c r="ULA13" s="338"/>
      <c r="ULB13" s="338"/>
      <c r="ULC13" s="338"/>
      <c r="ULD13" s="338"/>
      <c r="ULE13" s="338"/>
      <c r="ULF13" s="338"/>
      <c r="ULG13" s="338"/>
      <c r="ULH13" s="338"/>
      <c r="ULI13" s="338"/>
      <c r="ULJ13" s="338"/>
      <c r="ULK13" s="338"/>
      <c r="ULL13" s="338"/>
      <c r="ULM13" s="338"/>
      <c r="ULN13" s="338"/>
      <c r="ULO13" s="338"/>
      <c r="ULP13" s="338"/>
      <c r="ULQ13" s="338"/>
      <c r="ULR13" s="338"/>
      <c r="ULS13" s="338"/>
      <c r="ULT13" s="338"/>
      <c r="ULU13" s="338"/>
      <c r="ULV13" s="338"/>
      <c r="ULW13" s="338"/>
      <c r="ULX13" s="338"/>
      <c r="ULY13" s="338"/>
      <c r="ULZ13" s="338"/>
      <c r="UMA13" s="338"/>
      <c r="UMB13" s="338"/>
      <c r="UMC13" s="338"/>
      <c r="UMD13" s="338"/>
      <c r="UME13" s="338"/>
      <c r="UMF13" s="338"/>
      <c r="UMG13" s="338"/>
      <c r="UMH13" s="338"/>
      <c r="UMI13" s="338"/>
      <c r="UMJ13" s="338"/>
      <c r="UMK13" s="338"/>
      <c r="UML13" s="338"/>
      <c r="UMM13" s="338"/>
      <c r="UMN13" s="338"/>
      <c r="UMO13" s="338"/>
      <c r="UMP13" s="338"/>
      <c r="UMQ13" s="338"/>
      <c r="UMR13" s="338"/>
      <c r="UMS13" s="338"/>
      <c r="UMT13" s="338"/>
      <c r="UMU13" s="338"/>
      <c r="UMV13" s="338"/>
      <c r="UMW13" s="338"/>
      <c r="UMX13" s="338"/>
      <c r="UMY13" s="338"/>
      <c r="UMZ13" s="338"/>
      <c r="UNA13" s="338"/>
      <c r="UNB13" s="338"/>
      <c r="UNC13" s="338"/>
      <c r="UND13" s="338"/>
      <c r="UNE13" s="338"/>
      <c r="UNF13" s="338"/>
      <c r="UNG13" s="338"/>
      <c r="UNH13" s="338"/>
      <c r="UNI13" s="338"/>
      <c r="UNJ13" s="338"/>
      <c r="UNK13" s="338"/>
      <c r="UNL13" s="338"/>
      <c r="UNM13" s="338"/>
      <c r="UNN13" s="338"/>
      <c r="UNO13" s="338"/>
      <c r="UNP13" s="338"/>
      <c r="UNQ13" s="338"/>
      <c r="UNR13" s="338"/>
      <c r="UNS13" s="338"/>
      <c r="UNT13" s="338"/>
      <c r="UNU13" s="338"/>
      <c r="UNV13" s="338"/>
      <c r="UNW13" s="338"/>
      <c r="UNX13" s="338"/>
      <c r="UNY13" s="338"/>
      <c r="UNZ13" s="338"/>
      <c r="UOA13" s="338"/>
      <c r="UOB13" s="338"/>
      <c r="UOC13" s="338"/>
      <c r="UOD13" s="338"/>
      <c r="UOE13" s="338"/>
      <c r="UOF13" s="338"/>
      <c r="UOG13" s="338"/>
      <c r="UOH13" s="338"/>
      <c r="UOI13" s="338"/>
      <c r="UOJ13" s="338"/>
      <c r="UOK13" s="338"/>
      <c r="UOL13" s="338"/>
      <c r="UOM13" s="338"/>
      <c r="UON13" s="338"/>
      <c r="UOO13" s="338"/>
      <c r="UOP13" s="338"/>
      <c r="UOQ13" s="338"/>
      <c r="UOR13" s="338"/>
      <c r="UOS13" s="338"/>
      <c r="UOT13" s="338"/>
      <c r="UOU13" s="338"/>
      <c r="UOV13" s="338"/>
      <c r="UOW13" s="338"/>
      <c r="UOX13" s="338"/>
      <c r="UOY13" s="338"/>
      <c r="UOZ13" s="338"/>
      <c r="UPA13" s="338"/>
      <c r="UPB13" s="338"/>
      <c r="UPC13" s="338"/>
      <c r="UPD13" s="338"/>
      <c r="UPE13" s="338"/>
      <c r="UPF13" s="338"/>
      <c r="UPG13" s="338"/>
      <c r="UPH13" s="338"/>
      <c r="UPI13" s="338"/>
      <c r="UPJ13" s="338"/>
      <c r="UPK13" s="338"/>
      <c r="UPL13" s="338"/>
      <c r="UPM13" s="338"/>
      <c r="UPN13" s="338"/>
      <c r="UPO13" s="338"/>
      <c r="UPP13" s="338"/>
      <c r="UPQ13" s="338"/>
      <c r="UPR13" s="338"/>
      <c r="UPS13" s="338"/>
      <c r="UPT13" s="338"/>
      <c r="UPU13" s="338"/>
      <c r="UPV13" s="338"/>
      <c r="UPW13" s="338"/>
      <c r="UPX13" s="338"/>
      <c r="UPY13" s="338"/>
      <c r="UPZ13" s="338"/>
      <c r="UQA13" s="338"/>
      <c r="UQB13" s="338"/>
      <c r="UQC13" s="338"/>
      <c r="UQD13" s="338"/>
      <c r="UQE13" s="338"/>
      <c r="UQF13" s="338"/>
      <c r="UQG13" s="338"/>
      <c r="UQH13" s="338"/>
      <c r="UQI13" s="338"/>
      <c r="UQJ13" s="338"/>
      <c r="UQK13" s="338"/>
      <c r="UQL13" s="338"/>
      <c r="UQM13" s="338"/>
      <c r="UQN13" s="338"/>
      <c r="UQO13" s="338"/>
      <c r="UQP13" s="338"/>
      <c r="UQQ13" s="338"/>
      <c r="UQR13" s="338"/>
      <c r="UQS13" s="338"/>
      <c r="UQT13" s="338"/>
      <c r="UQU13" s="338"/>
      <c r="UQV13" s="338"/>
      <c r="UQW13" s="338"/>
      <c r="UQX13" s="338"/>
      <c r="UQY13" s="338"/>
      <c r="UQZ13" s="338"/>
      <c r="URA13" s="338"/>
      <c r="URB13" s="338"/>
      <c r="URC13" s="338"/>
      <c r="URD13" s="338"/>
      <c r="URE13" s="338"/>
      <c r="URF13" s="338"/>
      <c r="URG13" s="338"/>
      <c r="URH13" s="338"/>
      <c r="URI13" s="338"/>
      <c r="URJ13" s="338"/>
      <c r="URK13" s="338"/>
      <c r="URL13" s="338"/>
      <c r="URM13" s="338"/>
      <c r="URN13" s="338"/>
      <c r="URO13" s="338"/>
      <c r="URP13" s="338"/>
      <c r="URQ13" s="338"/>
      <c r="URR13" s="338"/>
      <c r="URS13" s="338"/>
      <c r="URT13" s="338"/>
      <c r="URU13" s="338"/>
      <c r="URV13" s="338"/>
      <c r="URW13" s="338"/>
      <c r="URX13" s="338"/>
      <c r="URY13" s="338"/>
      <c r="URZ13" s="338"/>
      <c r="USA13" s="338"/>
      <c r="USB13" s="338"/>
      <c r="USC13" s="338"/>
      <c r="USD13" s="338"/>
      <c r="USE13" s="338"/>
      <c r="USF13" s="338"/>
      <c r="USG13" s="338"/>
      <c r="USH13" s="338"/>
      <c r="USI13" s="338"/>
      <c r="USJ13" s="338"/>
      <c r="USK13" s="338"/>
      <c r="USL13" s="338"/>
      <c r="USM13" s="338"/>
      <c r="USN13" s="338"/>
      <c r="USO13" s="338"/>
      <c r="USP13" s="338"/>
      <c r="USQ13" s="338"/>
      <c r="USR13" s="338"/>
      <c r="USS13" s="338"/>
      <c r="UST13" s="338"/>
      <c r="USU13" s="338"/>
      <c r="USV13" s="338"/>
      <c r="USW13" s="338"/>
      <c r="USX13" s="338"/>
      <c r="USY13" s="338"/>
      <c r="USZ13" s="338"/>
      <c r="UTA13" s="338"/>
      <c r="UTB13" s="338"/>
      <c r="UTC13" s="338"/>
      <c r="UTD13" s="338"/>
      <c r="UTE13" s="338"/>
      <c r="UTF13" s="338"/>
      <c r="UTG13" s="338"/>
      <c r="UTH13" s="338"/>
      <c r="UTI13" s="338"/>
      <c r="UTJ13" s="338"/>
      <c r="UTK13" s="338"/>
      <c r="UTL13" s="338"/>
      <c r="UTM13" s="338"/>
      <c r="UTN13" s="338"/>
      <c r="UTO13" s="338"/>
      <c r="UTP13" s="338"/>
      <c r="UTQ13" s="338"/>
      <c r="UTR13" s="338"/>
      <c r="UTS13" s="338"/>
      <c r="UTT13" s="338"/>
      <c r="UTU13" s="338"/>
      <c r="UTV13" s="338"/>
      <c r="UTW13" s="338"/>
      <c r="UTX13" s="338"/>
      <c r="UTY13" s="338"/>
      <c r="UTZ13" s="338"/>
      <c r="UUA13" s="338"/>
      <c r="UUB13" s="338"/>
      <c r="UUC13" s="338"/>
      <c r="UUD13" s="338"/>
      <c r="UUE13" s="338"/>
      <c r="UUF13" s="338"/>
      <c r="UUG13" s="338"/>
      <c r="UUH13" s="338"/>
      <c r="UUI13" s="338"/>
      <c r="UUJ13" s="338"/>
      <c r="UUK13" s="338"/>
      <c r="UUL13" s="338"/>
      <c r="UUM13" s="338"/>
      <c r="UUN13" s="338"/>
      <c r="UUO13" s="338"/>
      <c r="UUP13" s="338"/>
      <c r="UUQ13" s="338"/>
      <c r="UUR13" s="338"/>
      <c r="UUS13" s="338"/>
      <c r="UUT13" s="338"/>
      <c r="UUU13" s="338"/>
      <c r="UUV13" s="338"/>
      <c r="UUW13" s="338"/>
      <c r="UUX13" s="338"/>
      <c r="UUY13" s="338"/>
      <c r="UUZ13" s="338"/>
      <c r="UVA13" s="338"/>
      <c r="UVB13" s="338"/>
      <c r="UVC13" s="338"/>
      <c r="UVD13" s="338"/>
      <c r="UVE13" s="338"/>
      <c r="UVF13" s="338"/>
      <c r="UVG13" s="338"/>
      <c r="UVH13" s="338"/>
      <c r="UVI13" s="338"/>
      <c r="UVJ13" s="338"/>
      <c r="UVK13" s="338"/>
      <c r="UVL13" s="338"/>
      <c r="UVM13" s="338"/>
      <c r="UVN13" s="338"/>
      <c r="UVO13" s="338"/>
      <c r="UVP13" s="338"/>
      <c r="UVQ13" s="338"/>
      <c r="UVR13" s="338"/>
      <c r="UVS13" s="338"/>
      <c r="UVT13" s="338"/>
      <c r="UVU13" s="338"/>
      <c r="UVV13" s="338"/>
      <c r="UVW13" s="338"/>
      <c r="UVX13" s="338"/>
      <c r="UVY13" s="338"/>
      <c r="UVZ13" s="338"/>
      <c r="UWA13" s="338"/>
      <c r="UWB13" s="338"/>
      <c r="UWC13" s="338"/>
      <c r="UWD13" s="338"/>
      <c r="UWE13" s="338"/>
      <c r="UWF13" s="338"/>
      <c r="UWG13" s="338"/>
      <c r="UWH13" s="338"/>
      <c r="UWI13" s="338"/>
      <c r="UWJ13" s="338"/>
      <c r="UWK13" s="338"/>
      <c r="UWL13" s="338"/>
      <c r="UWM13" s="338"/>
      <c r="UWN13" s="338"/>
      <c r="UWO13" s="338"/>
      <c r="UWP13" s="338"/>
      <c r="UWQ13" s="338"/>
      <c r="UWR13" s="338"/>
      <c r="UWS13" s="338"/>
      <c r="UWT13" s="338"/>
      <c r="UWU13" s="338"/>
      <c r="UWV13" s="338"/>
      <c r="UWW13" s="338"/>
      <c r="UWX13" s="338"/>
      <c r="UWY13" s="338"/>
      <c r="UWZ13" s="338"/>
      <c r="UXA13" s="338"/>
      <c r="UXB13" s="338"/>
      <c r="UXC13" s="338"/>
      <c r="UXD13" s="338"/>
      <c r="UXE13" s="338"/>
      <c r="UXF13" s="338"/>
      <c r="UXG13" s="338"/>
      <c r="UXH13" s="338"/>
      <c r="UXI13" s="338"/>
      <c r="UXJ13" s="338"/>
      <c r="UXK13" s="338"/>
      <c r="UXL13" s="338"/>
      <c r="UXM13" s="338"/>
      <c r="UXN13" s="338"/>
      <c r="UXO13" s="338"/>
      <c r="UXP13" s="338"/>
      <c r="UXQ13" s="338"/>
      <c r="UXR13" s="338"/>
      <c r="UXS13" s="338"/>
      <c r="UXT13" s="338"/>
      <c r="UXU13" s="338"/>
      <c r="UXV13" s="338"/>
      <c r="UXW13" s="338"/>
      <c r="UXX13" s="338"/>
      <c r="UXY13" s="338"/>
      <c r="UXZ13" s="338"/>
      <c r="UYA13" s="338"/>
      <c r="UYB13" s="338"/>
      <c r="UYC13" s="338"/>
      <c r="UYD13" s="338"/>
      <c r="UYE13" s="338"/>
      <c r="UYF13" s="338"/>
      <c r="UYG13" s="338"/>
      <c r="UYH13" s="338"/>
      <c r="UYI13" s="338"/>
      <c r="UYJ13" s="338"/>
      <c r="UYK13" s="338"/>
      <c r="UYL13" s="338"/>
      <c r="UYM13" s="338"/>
      <c r="UYN13" s="338"/>
      <c r="UYO13" s="338"/>
      <c r="UYP13" s="338"/>
      <c r="UYQ13" s="338"/>
      <c r="UYR13" s="338"/>
      <c r="UYS13" s="338"/>
      <c r="UYT13" s="338"/>
      <c r="UYU13" s="338"/>
      <c r="UYV13" s="338"/>
      <c r="UYW13" s="338"/>
      <c r="UYX13" s="338"/>
      <c r="UYY13" s="338"/>
      <c r="UYZ13" s="338"/>
      <c r="UZA13" s="338"/>
      <c r="UZB13" s="338"/>
      <c r="UZC13" s="338"/>
      <c r="UZD13" s="338"/>
      <c r="UZE13" s="338"/>
      <c r="UZF13" s="338"/>
      <c r="UZG13" s="338"/>
      <c r="UZH13" s="338"/>
      <c r="UZI13" s="338"/>
      <c r="UZJ13" s="338"/>
      <c r="UZK13" s="338"/>
      <c r="UZL13" s="338"/>
      <c r="UZM13" s="338"/>
      <c r="UZN13" s="338"/>
      <c r="UZO13" s="338"/>
      <c r="UZP13" s="338"/>
      <c r="UZQ13" s="338"/>
      <c r="UZR13" s="338"/>
      <c r="UZS13" s="338"/>
      <c r="UZT13" s="338"/>
      <c r="UZU13" s="338"/>
      <c r="UZV13" s="338"/>
      <c r="UZW13" s="338"/>
      <c r="UZX13" s="338"/>
      <c r="UZY13" s="338"/>
      <c r="UZZ13" s="338"/>
      <c r="VAA13" s="338"/>
      <c r="VAB13" s="338"/>
      <c r="VAC13" s="338"/>
      <c r="VAD13" s="338"/>
      <c r="VAE13" s="338"/>
      <c r="VAF13" s="338"/>
      <c r="VAG13" s="338"/>
      <c r="VAH13" s="338"/>
      <c r="VAI13" s="338"/>
      <c r="VAJ13" s="338"/>
      <c r="VAK13" s="338"/>
      <c r="VAL13" s="338"/>
      <c r="VAM13" s="338"/>
      <c r="VAN13" s="338"/>
      <c r="VAO13" s="338"/>
      <c r="VAP13" s="338"/>
      <c r="VAQ13" s="338"/>
      <c r="VAR13" s="338"/>
      <c r="VAS13" s="338"/>
      <c r="VAT13" s="338"/>
      <c r="VAU13" s="338"/>
      <c r="VAV13" s="338"/>
      <c r="VAW13" s="338"/>
      <c r="VAX13" s="338"/>
      <c r="VAY13" s="338"/>
      <c r="VAZ13" s="338"/>
      <c r="VBA13" s="338"/>
      <c r="VBB13" s="338"/>
      <c r="VBC13" s="338"/>
      <c r="VBD13" s="338"/>
      <c r="VBE13" s="338"/>
      <c r="VBF13" s="338"/>
      <c r="VBG13" s="338"/>
      <c r="VBH13" s="338"/>
      <c r="VBI13" s="338"/>
      <c r="VBJ13" s="338"/>
      <c r="VBK13" s="338"/>
      <c r="VBL13" s="338"/>
      <c r="VBM13" s="338"/>
      <c r="VBN13" s="338"/>
      <c r="VBO13" s="338"/>
      <c r="VBP13" s="338"/>
      <c r="VBQ13" s="338"/>
      <c r="VBR13" s="338"/>
      <c r="VBS13" s="338"/>
      <c r="VBT13" s="338"/>
      <c r="VBU13" s="338"/>
      <c r="VBV13" s="338"/>
      <c r="VBW13" s="338"/>
      <c r="VBX13" s="338"/>
      <c r="VBY13" s="338"/>
      <c r="VBZ13" s="338"/>
      <c r="VCA13" s="338"/>
      <c r="VCB13" s="338"/>
      <c r="VCC13" s="338"/>
      <c r="VCD13" s="338"/>
      <c r="VCE13" s="338"/>
      <c r="VCF13" s="338"/>
      <c r="VCG13" s="338"/>
      <c r="VCH13" s="338"/>
      <c r="VCI13" s="338"/>
      <c r="VCJ13" s="338"/>
      <c r="VCK13" s="338"/>
      <c r="VCL13" s="338"/>
      <c r="VCM13" s="338"/>
      <c r="VCN13" s="338"/>
      <c r="VCO13" s="338"/>
      <c r="VCP13" s="338"/>
      <c r="VCQ13" s="338"/>
      <c r="VCR13" s="338"/>
      <c r="VCS13" s="338"/>
      <c r="VCT13" s="338"/>
      <c r="VCU13" s="338"/>
      <c r="VCV13" s="338"/>
      <c r="VCW13" s="338"/>
      <c r="VCX13" s="338"/>
      <c r="VCY13" s="338"/>
      <c r="VCZ13" s="338"/>
      <c r="VDA13" s="338"/>
      <c r="VDB13" s="338"/>
      <c r="VDC13" s="338"/>
      <c r="VDD13" s="338"/>
      <c r="VDE13" s="338"/>
      <c r="VDF13" s="338"/>
      <c r="VDG13" s="338"/>
      <c r="VDH13" s="338"/>
      <c r="VDI13" s="338"/>
      <c r="VDJ13" s="338"/>
      <c r="VDK13" s="338"/>
      <c r="VDL13" s="338"/>
      <c r="VDM13" s="338"/>
      <c r="VDN13" s="338"/>
      <c r="VDO13" s="338"/>
      <c r="VDP13" s="338"/>
      <c r="VDQ13" s="338"/>
      <c r="VDR13" s="338"/>
      <c r="VDS13" s="338"/>
      <c r="VDT13" s="338"/>
      <c r="VDU13" s="338"/>
      <c r="VDV13" s="338"/>
      <c r="VDW13" s="338"/>
      <c r="VDX13" s="338"/>
      <c r="VDY13" s="338"/>
      <c r="VDZ13" s="338"/>
      <c r="VEA13" s="338"/>
      <c r="VEB13" s="338"/>
      <c r="VEC13" s="338"/>
      <c r="VED13" s="338"/>
      <c r="VEE13" s="338"/>
      <c r="VEF13" s="338"/>
      <c r="VEG13" s="338"/>
      <c r="VEH13" s="338"/>
      <c r="VEI13" s="338"/>
      <c r="VEJ13" s="338"/>
      <c r="VEK13" s="338"/>
      <c r="VEL13" s="338"/>
      <c r="VEM13" s="338"/>
      <c r="VEN13" s="338"/>
      <c r="VEO13" s="338"/>
      <c r="VEP13" s="338"/>
      <c r="VEQ13" s="338"/>
      <c r="VER13" s="338"/>
      <c r="VES13" s="338"/>
      <c r="VET13" s="338"/>
      <c r="VEU13" s="338"/>
      <c r="VEV13" s="338"/>
      <c r="VEW13" s="338"/>
      <c r="VEX13" s="338"/>
      <c r="VEY13" s="338"/>
      <c r="VEZ13" s="338"/>
      <c r="VFA13" s="338"/>
      <c r="VFB13" s="338"/>
      <c r="VFC13" s="338"/>
      <c r="VFD13" s="338"/>
      <c r="VFE13" s="338"/>
      <c r="VFF13" s="338"/>
      <c r="VFG13" s="338"/>
      <c r="VFH13" s="338"/>
      <c r="VFI13" s="338"/>
      <c r="VFJ13" s="338"/>
      <c r="VFK13" s="338"/>
      <c r="VFL13" s="338"/>
      <c r="VFM13" s="338"/>
      <c r="VFN13" s="338"/>
      <c r="VFO13" s="338"/>
      <c r="VFP13" s="338"/>
      <c r="VFQ13" s="338"/>
      <c r="VFR13" s="338"/>
      <c r="VFS13" s="338"/>
      <c r="VFT13" s="338"/>
      <c r="VFU13" s="338"/>
      <c r="VFV13" s="338"/>
      <c r="VFW13" s="338"/>
      <c r="VFX13" s="338"/>
      <c r="VFY13" s="338"/>
      <c r="VFZ13" s="338"/>
      <c r="VGA13" s="338"/>
      <c r="VGB13" s="338"/>
      <c r="VGC13" s="338"/>
      <c r="VGD13" s="338"/>
      <c r="VGE13" s="338"/>
      <c r="VGF13" s="338"/>
      <c r="VGG13" s="338"/>
      <c r="VGH13" s="338"/>
      <c r="VGI13" s="338"/>
      <c r="VGJ13" s="338"/>
      <c r="VGK13" s="338"/>
      <c r="VGL13" s="338"/>
      <c r="VGM13" s="338"/>
      <c r="VGN13" s="338"/>
      <c r="VGO13" s="338"/>
      <c r="VGP13" s="338"/>
      <c r="VGQ13" s="338"/>
      <c r="VGR13" s="338"/>
      <c r="VGS13" s="338"/>
      <c r="VGT13" s="338"/>
      <c r="VGU13" s="338"/>
      <c r="VGV13" s="338"/>
      <c r="VGW13" s="338"/>
      <c r="VGX13" s="338"/>
      <c r="VGY13" s="338"/>
      <c r="VGZ13" s="338"/>
      <c r="VHA13" s="338"/>
      <c r="VHB13" s="338"/>
      <c r="VHC13" s="338"/>
      <c r="VHD13" s="338"/>
      <c r="VHE13" s="338"/>
      <c r="VHF13" s="338"/>
      <c r="VHG13" s="338"/>
      <c r="VHH13" s="338"/>
      <c r="VHI13" s="338"/>
      <c r="VHJ13" s="338"/>
      <c r="VHK13" s="338"/>
      <c r="VHL13" s="338"/>
      <c r="VHM13" s="338"/>
      <c r="VHN13" s="338"/>
      <c r="VHO13" s="338"/>
      <c r="VHP13" s="338"/>
      <c r="VHQ13" s="338"/>
      <c r="VHR13" s="338"/>
      <c r="VHS13" s="338"/>
      <c r="VHT13" s="338"/>
      <c r="VHU13" s="338"/>
      <c r="VHV13" s="338"/>
      <c r="VHW13" s="338"/>
      <c r="VHX13" s="338"/>
      <c r="VHY13" s="338"/>
      <c r="VHZ13" s="338"/>
      <c r="VIA13" s="338"/>
      <c r="VIB13" s="338"/>
      <c r="VIC13" s="338"/>
      <c r="VID13" s="338"/>
      <c r="VIE13" s="338"/>
      <c r="VIF13" s="338"/>
      <c r="VIG13" s="338"/>
      <c r="VIH13" s="338"/>
      <c r="VII13" s="338"/>
      <c r="VIJ13" s="338"/>
      <c r="VIK13" s="338"/>
      <c r="VIL13" s="338"/>
      <c r="VIM13" s="338"/>
      <c r="VIN13" s="338"/>
      <c r="VIO13" s="338"/>
      <c r="VIP13" s="338"/>
      <c r="VIQ13" s="338"/>
      <c r="VIR13" s="338"/>
      <c r="VIS13" s="338"/>
      <c r="VIT13" s="338"/>
      <c r="VIU13" s="338"/>
      <c r="VIV13" s="338"/>
      <c r="VIW13" s="338"/>
      <c r="VIX13" s="338"/>
      <c r="VIY13" s="338"/>
      <c r="VIZ13" s="338"/>
      <c r="VJA13" s="338"/>
      <c r="VJB13" s="338"/>
      <c r="VJC13" s="338"/>
      <c r="VJD13" s="338"/>
      <c r="VJE13" s="338"/>
      <c r="VJF13" s="338"/>
      <c r="VJG13" s="338"/>
      <c r="VJH13" s="338"/>
      <c r="VJI13" s="338"/>
      <c r="VJJ13" s="338"/>
      <c r="VJK13" s="338"/>
      <c r="VJL13" s="338"/>
      <c r="VJM13" s="338"/>
      <c r="VJN13" s="338"/>
      <c r="VJO13" s="338"/>
      <c r="VJP13" s="338"/>
      <c r="VJQ13" s="338"/>
      <c r="VJR13" s="338"/>
      <c r="VJS13" s="338"/>
      <c r="VJT13" s="338"/>
      <c r="VJU13" s="338"/>
      <c r="VJV13" s="338"/>
      <c r="VJW13" s="338"/>
      <c r="VJX13" s="338"/>
      <c r="VJY13" s="338"/>
      <c r="VJZ13" s="338"/>
      <c r="VKA13" s="338"/>
      <c r="VKB13" s="338"/>
      <c r="VKC13" s="338"/>
      <c r="VKD13" s="338"/>
      <c r="VKE13" s="338"/>
      <c r="VKF13" s="338"/>
      <c r="VKG13" s="338"/>
      <c r="VKH13" s="338"/>
      <c r="VKI13" s="338"/>
      <c r="VKJ13" s="338"/>
      <c r="VKK13" s="338"/>
      <c r="VKL13" s="338"/>
      <c r="VKM13" s="338"/>
      <c r="VKN13" s="338"/>
      <c r="VKO13" s="338"/>
      <c r="VKP13" s="338"/>
      <c r="VKQ13" s="338"/>
      <c r="VKR13" s="338"/>
      <c r="VKS13" s="338"/>
      <c r="VKT13" s="338"/>
      <c r="VKU13" s="338"/>
      <c r="VKV13" s="338"/>
      <c r="VKW13" s="338"/>
      <c r="VKX13" s="338"/>
      <c r="VKY13" s="338"/>
      <c r="VKZ13" s="338"/>
      <c r="VLA13" s="338"/>
      <c r="VLB13" s="338"/>
      <c r="VLC13" s="338"/>
      <c r="VLD13" s="338"/>
      <c r="VLE13" s="338"/>
      <c r="VLF13" s="338"/>
      <c r="VLG13" s="338"/>
      <c r="VLH13" s="338"/>
      <c r="VLI13" s="338"/>
      <c r="VLJ13" s="338"/>
      <c r="VLK13" s="338"/>
      <c r="VLL13" s="338"/>
      <c r="VLM13" s="338"/>
      <c r="VLN13" s="338"/>
      <c r="VLO13" s="338"/>
      <c r="VLP13" s="338"/>
      <c r="VLQ13" s="338"/>
      <c r="VLR13" s="338"/>
      <c r="VLS13" s="338"/>
      <c r="VLT13" s="338"/>
      <c r="VLU13" s="338"/>
      <c r="VLV13" s="338"/>
      <c r="VLW13" s="338"/>
      <c r="VLX13" s="338"/>
      <c r="VLY13" s="338"/>
      <c r="VLZ13" s="338"/>
      <c r="VMA13" s="338"/>
      <c r="VMB13" s="338"/>
      <c r="VMC13" s="338"/>
      <c r="VMD13" s="338"/>
      <c r="VME13" s="338"/>
      <c r="VMF13" s="338"/>
      <c r="VMG13" s="338"/>
      <c r="VMH13" s="338"/>
      <c r="VMI13" s="338"/>
      <c r="VMJ13" s="338"/>
      <c r="VMK13" s="338"/>
      <c r="VML13" s="338"/>
      <c r="VMM13" s="338"/>
      <c r="VMN13" s="338"/>
      <c r="VMO13" s="338"/>
      <c r="VMP13" s="338"/>
      <c r="VMQ13" s="338"/>
      <c r="VMR13" s="338"/>
      <c r="VMS13" s="338"/>
      <c r="VMT13" s="338"/>
      <c r="VMU13" s="338"/>
      <c r="VMV13" s="338"/>
      <c r="VMW13" s="338"/>
      <c r="VMX13" s="338"/>
      <c r="VMY13" s="338"/>
      <c r="VMZ13" s="338"/>
      <c r="VNA13" s="338"/>
      <c r="VNB13" s="338"/>
      <c r="VNC13" s="338"/>
      <c r="VND13" s="338"/>
      <c r="VNE13" s="338"/>
      <c r="VNF13" s="338"/>
      <c r="VNG13" s="338"/>
      <c r="VNH13" s="338"/>
      <c r="VNI13" s="338"/>
      <c r="VNJ13" s="338"/>
      <c r="VNK13" s="338"/>
      <c r="VNL13" s="338"/>
      <c r="VNM13" s="338"/>
      <c r="VNN13" s="338"/>
      <c r="VNO13" s="338"/>
      <c r="VNP13" s="338"/>
      <c r="VNQ13" s="338"/>
      <c r="VNR13" s="338"/>
      <c r="VNS13" s="338"/>
      <c r="VNT13" s="338"/>
      <c r="VNU13" s="338"/>
      <c r="VNV13" s="338"/>
      <c r="VNW13" s="338"/>
      <c r="VNX13" s="338"/>
      <c r="VNY13" s="338"/>
      <c r="VNZ13" s="338"/>
      <c r="VOA13" s="338"/>
      <c r="VOB13" s="338"/>
      <c r="VOC13" s="338"/>
      <c r="VOD13" s="338"/>
      <c r="VOE13" s="338"/>
      <c r="VOF13" s="338"/>
      <c r="VOG13" s="338"/>
      <c r="VOH13" s="338"/>
      <c r="VOI13" s="338"/>
      <c r="VOJ13" s="338"/>
      <c r="VOK13" s="338"/>
      <c r="VOL13" s="338"/>
      <c r="VOM13" s="338"/>
      <c r="VON13" s="338"/>
      <c r="VOO13" s="338"/>
      <c r="VOP13" s="338"/>
      <c r="VOQ13" s="338"/>
      <c r="VOR13" s="338"/>
      <c r="VOS13" s="338"/>
      <c r="VOT13" s="338"/>
      <c r="VOU13" s="338"/>
      <c r="VOV13" s="338"/>
      <c r="VOW13" s="338"/>
      <c r="VOX13" s="338"/>
      <c r="VOY13" s="338"/>
      <c r="VOZ13" s="338"/>
      <c r="VPA13" s="338"/>
      <c r="VPB13" s="338"/>
      <c r="VPC13" s="338"/>
      <c r="VPD13" s="338"/>
      <c r="VPE13" s="338"/>
      <c r="VPF13" s="338"/>
      <c r="VPG13" s="338"/>
      <c r="VPH13" s="338"/>
      <c r="VPI13" s="338"/>
      <c r="VPJ13" s="338"/>
      <c r="VPK13" s="338"/>
      <c r="VPL13" s="338"/>
      <c r="VPM13" s="338"/>
      <c r="VPN13" s="338"/>
      <c r="VPO13" s="338"/>
      <c r="VPP13" s="338"/>
      <c r="VPQ13" s="338"/>
      <c r="VPR13" s="338"/>
      <c r="VPS13" s="338"/>
      <c r="VPT13" s="338"/>
      <c r="VPU13" s="338"/>
      <c r="VPV13" s="338"/>
      <c r="VPW13" s="338"/>
      <c r="VPX13" s="338"/>
      <c r="VPY13" s="338"/>
      <c r="VPZ13" s="338"/>
      <c r="VQA13" s="338"/>
      <c r="VQB13" s="338"/>
      <c r="VQC13" s="338"/>
      <c r="VQD13" s="338"/>
      <c r="VQE13" s="338"/>
      <c r="VQF13" s="338"/>
      <c r="VQG13" s="338"/>
      <c r="VQH13" s="338"/>
      <c r="VQI13" s="338"/>
      <c r="VQJ13" s="338"/>
      <c r="VQK13" s="338"/>
      <c r="VQL13" s="338"/>
      <c r="VQM13" s="338"/>
      <c r="VQN13" s="338"/>
      <c r="VQO13" s="338"/>
      <c r="VQP13" s="338"/>
      <c r="VQQ13" s="338"/>
      <c r="VQR13" s="338"/>
      <c r="VQS13" s="338"/>
      <c r="VQT13" s="338"/>
      <c r="VQU13" s="338"/>
      <c r="VQV13" s="338"/>
      <c r="VQW13" s="338"/>
      <c r="VQX13" s="338"/>
      <c r="VQY13" s="338"/>
      <c r="VQZ13" s="338"/>
      <c r="VRA13" s="338"/>
      <c r="VRB13" s="338"/>
      <c r="VRC13" s="338"/>
      <c r="VRD13" s="338"/>
      <c r="VRE13" s="338"/>
      <c r="VRF13" s="338"/>
      <c r="VRG13" s="338"/>
      <c r="VRH13" s="338"/>
      <c r="VRI13" s="338"/>
      <c r="VRJ13" s="338"/>
      <c r="VRK13" s="338"/>
      <c r="VRL13" s="338"/>
      <c r="VRM13" s="338"/>
      <c r="VRN13" s="338"/>
      <c r="VRO13" s="338"/>
      <c r="VRP13" s="338"/>
      <c r="VRQ13" s="338"/>
      <c r="VRR13" s="338"/>
      <c r="VRS13" s="338"/>
      <c r="VRT13" s="338"/>
      <c r="VRU13" s="338"/>
      <c r="VRV13" s="338"/>
      <c r="VRW13" s="338"/>
      <c r="VRX13" s="338"/>
      <c r="VRY13" s="338"/>
      <c r="VRZ13" s="338"/>
      <c r="VSA13" s="338"/>
      <c r="VSB13" s="338"/>
      <c r="VSC13" s="338"/>
      <c r="VSD13" s="338"/>
      <c r="VSE13" s="338"/>
      <c r="VSF13" s="338"/>
      <c r="VSG13" s="338"/>
      <c r="VSH13" s="338"/>
      <c r="VSI13" s="338"/>
      <c r="VSJ13" s="338"/>
      <c r="VSK13" s="338"/>
      <c r="VSL13" s="338"/>
      <c r="VSM13" s="338"/>
      <c r="VSN13" s="338"/>
      <c r="VSO13" s="338"/>
      <c r="VSP13" s="338"/>
      <c r="VSQ13" s="338"/>
      <c r="VSR13" s="338"/>
      <c r="VSS13" s="338"/>
      <c r="VST13" s="338"/>
      <c r="VSU13" s="338"/>
      <c r="VSV13" s="338"/>
      <c r="VSW13" s="338"/>
      <c r="VSX13" s="338"/>
      <c r="VSY13" s="338"/>
      <c r="VSZ13" s="338"/>
      <c r="VTA13" s="338"/>
      <c r="VTB13" s="338"/>
      <c r="VTC13" s="338"/>
      <c r="VTD13" s="338"/>
      <c r="VTE13" s="338"/>
      <c r="VTF13" s="338"/>
      <c r="VTG13" s="338"/>
      <c r="VTH13" s="338"/>
      <c r="VTI13" s="338"/>
      <c r="VTJ13" s="338"/>
      <c r="VTK13" s="338"/>
      <c r="VTL13" s="338"/>
      <c r="VTM13" s="338"/>
      <c r="VTN13" s="338"/>
      <c r="VTO13" s="338"/>
      <c r="VTP13" s="338"/>
      <c r="VTQ13" s="338"/>
      <c r="VTR13" s="338"/>
      <c r="VTS13" s="338"/>
      <c r="VTT13" s="338"/>
      <c r="VTU13" s="338"/>
      <c r="VTV13" s="338"/>
      <c r="VTW13" s="338"/>
      <c r="VTX13" s="338"/>
      <c r="VTY13" s="338"/>
      <c r="VTZ13" s="338"/>
      <c r="VUA13" s="338"/>
      <c r="VUB13" s="338"/>
      <c r="VUC13" s="338"/>
      <c r="VUD13" s="338"/>
      <c r="VUE13" s="338"/>
      <c r="VUF13" s="338"/>
      <c r="VUG13" s="338"/>
      <c r="VUH13" s="338"/>
      <c r="VUI13" s="338"/>
      <c r="VUJ13" s="338"/>
      <c r="VUK13" s="338"/>
      <c r="VUL13" s="338"/>
      <c r="VUM13" s="338"/>
      <c r="VUN13" s="338"/>
      <c r="VUO13" s="338"/>
      <c r="VUP13" s="338"/>
      <c r="VUQ13" s="338"/>
      <c r="VUR13" s="338"/>
      <c r="VUS13" s="338"/>
      <c r="VUT13" s="338"/>
      <c r="VUU13" s="338"/>
      <c r="VUV13" s="338"/>
      <c r="VUW13" s="338"/>
      <c r="VUX13" s="338"/>
      <c r="VUY13" s="338"/>
      <c r="VUZ13" s="338"/>
      <c r="VVA13" s="338"/>
      <c r="VVB13" s="338"/>
      <c r="VVC13" s="338"/>
      <c r="VVD13" s="338"/>
      <c r="VVE13" s="338"/>
      <c r="VVF13" s="338"/>
      <c r="VVG13" s="338"/>
      <c r="VVH13" s="338"/>
      <c r="VVI13" s="338"/>
      <c r="VVJ13" s="338"/>
      <c r="VVK13" s="338"/>
      <c r="VVL13" s="338"/>
      <c r="VVM13" s="338"/>
      <c r="VVN13" s="338"/>
      <c r="VVO13" s="338"/>
      <c r="VVP13" s="338"/>
      <c r="VVQ13" s="338"/>
      <c r="VVR13" s="338"/>
      <c r="VVS13" s="338"/>
      <c r="VVT13" s="338"/>
      <c r="VVU13" s="338"/>
      <c r="VVV13" s="338"/>
      <c r="VVW13" s="338"/>
      <c r="VVX13" s="338"/>
      <c r="VVY13" s="338"/>
      <c r="VVZ13" s="338"/>
      <c r="VWA13" s="338"/>
      <c r="VWB13" s="338"/>
      <c r="VWC13" s="338"/>
      <c r="VWD13" s="338"/>
      <c r="VWE13" s="338"/>
      <c r="VWF13" s="338"/>
      <c r="VWG13" s="338"/>
      <c r="VWH13" s="338"/>
      <c r="VWI13" s="338"/>
      <c r="VWJ13" s="338"/>
      <c r="VWK13" s="338"/>
      <c r="VWL13" s="338"/>
      <c r="VWM13" s="338"/>
      <c r="VWN13" s="338"/>
      <c r="VWO13" s="338"/>
      <c r="VWP13" s="338"/>
      <c r="VWQ13" s="338"/>
      <c r="VWR13" s="338"/>
      <c r="VWS13" s="338"/>
      <c r="VWT13" s="338"/>
      <c r="VWU13" s="338"/>
      <c r="VWV13" s="338"/>
      <c r="VWW13" s="338"/>
      <c r="VWX13" s="338"/>
      <c r="VWY13" s="338"/>
      <c r="VWZ13" s="338"/>
      <c r="VXA13" s="338"/>
      <c r="VXB13" s="338"/>
      <c r="VXC13" s="338"/>
      <c r="VXD13" s="338"/>
      <c r="VXE13" s="338"/>
      <c r="VXF13" s="338"/>
      <c r="VXG13" s="338"/>
      <c r="VXH13" s="338"/>
      <c r="VXI13" s="338"/>
      <c r="VXJ13" s="338"/>
      <c r="VXK13" s="338"/>
      <c r="VXL13" s="338"/>
      <c r="VXM13" s="338"/>
      <c r="VXN13" s="338"/>
      <c r="VXO13" s="338"/>
      <c r="VXP13" s="338"/>
      <c r="VXQ13" s="338"/>
      <c r="VXR13" s="338"/>
      <c r="VXS13" s="338"/>
      <c r="VXT13" s="338"/>
      <c r="VXU13" s="338"/>
      <c r="VXV13" s="338"/>
      <c r="VXW13" s="338"/>
      <c r="VXX13" s="338"/>
      <c r="VXY13" s="338"/>
      <c r="VXZ13" s="338"/>
      <c r="VYA13" s="338"/>
      <c r="VYB13" s="338"/>
      <c r="VYC13" s="338"/>
      <c r="VYD13" s="338"/>
      <c r="VYE13" s="338"/>
      <c r="VYF13" s="338"/>
      <c r="VYG13" s="338"/>
      <c r="VYH13" s="338"/>
      <c r="VYI13" s="338"/>
      <c r="VYJ13" s="338"/>
      <c r="VYK13" s="338"/>
      <c r="VYL13" s="338"/>
      <c r="VYM13" s="338"/>
      <c r="VYN13" s="338"/>
      <c r="VYO13" s="338"/>
      <c r="VYP13" s="338"/>
      <c r="VYQ13" s="338"/>
      <c r="VYR13" s="338"/>
      <c r="VYS13" s="338"/>
      <c r="VYT13" s="338"/>
      <c r="VYU13" s="338"/>
      <c r="VYV13" s="338"/>
      <c r="VYW13" s="338"/>
      <c r="VYX13" s="338"/>
      <c r="VYY13" s="338"/>
      <c r="VYZ13" s="338"/>
      <c r="VZA13" s="338"/>
      <c r="VZB13" s="338"/>
      <c r="VZC13" s="338"/>
      <c r="VZD13" s="338"/>
      <c r="VZE13" s="338"/>
      <c r="VZF13" s="338"/>
      <c r="VZG13" s="338"/>
      <c r="VZH13" s="338"/>
      <c r="VZI13" s="338"/>
      <c r="VZJ13" s="338"/>
      <c r="VZK13" s="338"/>
      <c r="VZL13" s="338"/>
      <c r="VZM13" s="338"/>
      <c r="VZN13" s="338"/>
      <c r="VZO13" s="338"/>
      <c r="VZP13" s="338"/>
      <c r="VZQ13" s="338"/>
      <c r="VZR13" s="338"/>
      <c r="VZS13" s="338"/>
      <c r="VZT13" s="338"/>
      <c r="VZU13" s="338"/>
      <c r="VZV13" s="338"/>
      <c r="VZW13" s="338"/>
      <c r="VZX13" s="338"/>
      <c r="VZY13" s="338"/>
      <c r="VZZ13" s="338"/>
      <c r="WAA13" s="338"/>
      <c r="WAB13" s="338"/>
      <c r="WAC13" s="338"/>
      <c r="WAD13" s="338"/>
      <c r="WAE13" s="338"/>
      <c r="WAF13" s="338"/>
      <c r="WAG13" s="338"/>
      <c r="WAH13" s="338"/>
      <c r="WAI13" s="338"/>
      <c r="WAJ13" s="338"/>
      <c r="WAK13" s="338"/>
      <c r="WAL13" s="338"/>
      <c r="WAM13" s="338"/>
      <c r="WAN13" s="338"/>
      <c r="WAO13" s="338"/>
      <c r="WAP13" s="338"/>
      <c r="WAQ13" s="338"/>
      <c r="WAR13" s="338"/>
      <c r="WAS13" s="338"/>
      <c r="WAT13" s="338"/>
      <c r="WAU13" s="338"/>
      <c r="WAV13" s="338"/>
      <c r="WAW13" s="338"/>
      <c r="WAX13" s="338"/>
      <c r="WAY13" s="338"/>
      <c r="WAZ13" s="338"/>
      <c r="WBA13" s="338"/>
      <c r="WBB13" s="338"/>
      <c r="WBC13" s="338"/>
      <c r="WBD13" s="338"/>
      <c r="WBE13" s="338"/>
      <c r="WBF13" s="338"/>
      <c r="WBG13" s="338"/>
      <c r="WBH13" s="338"/>
      <c r="WBI13" s="338"/>
      <c r="WBJ13" s="338"/>
      <c r="WBK13" s="338"/>
      <c r="WBL13" s="338"/>
      <c r="WBM13" s="338"/>
      <c r="WBN13" s="338"/>
      <c r="WBO13" s="338"/>
      <c r="WBP13" s="338"/>
      <c r="WBQ13" s="338"/>
      <c r="WBR13" s="338"/>
      <c r="WBS13" s="338"/>
      <c r="WBT13" s="338"/>
      <c r="WBU13" s="338"/>
      <c r="WBV13" s="338"/>
      <c r="WBW13" s="338"/>
      <c r="WBX13" s="338"/>
      <c r="WBY13" s="338"/>
      <c r="WBZ13" s="338"/>
      <c r="WCA13" s="338"/>
      <c r="WCB13" s="338"/>
      <c r="WCC13" s="338"/>
      <c r="WCD13" s="338"/>
      <c r="WCE13" s="338"/>
      <c r="WCF13" s="338"/>
      <c r="WCG13" s="338"/>
      <c r="WCH13" s="338"/>
      <c r="WCI13" s="338"/>
      <c r="WCJ13" s="338"/>
      <c r="WCK13" s="338"/>
      <c r="WCL13" s="338"/>
      <c r="WCM13" s="338"/>
      <c r="WCN13" s="338"/>
      <c r="WCO13" s="338"/>
      <c r="WCP13" s="338"/>
      <c r="WCQ13" s="338"/>
      <c r="WCR13" s="338"/>
      <c r="WCS13" s="338"/>
      <c r="WCT13" s="338"/>
      <c r="WCU13" s="338"/>
      <c r="WCV13" s="338"/>
      <c r="WCW13" s="338"/>
      <c r="WCX13" s="338"/>
      <c r="WCY13" s="338"/>
      <c r="WCZ13" s="338"/>
      <c r="WDA13" s="338"/>
      <c r="WDB13" s="338"/>
      <c r="WDC13" s="338"/>
      <c r="WDD13" s="338"/>
      <c r="WDE13" s="338"/>
      <c r="WDF13" s="338"/>
      <c r="WDG13" s="338"/>
      <c r="WDH13" s="338"/>
      <c r="WDI13" s="338"/>
      <c r="WDJ13" s="338"/>
      <c r="WDK13" s="338"/>
      <c r="WDL13" s="338"/>
      <c r="WDM13" s="338"/>
      <c r="WDN13" s="338"/>
      <c r="WDO13" s="338"/>
      <c r="WDP13" s="338"/>
      <c r="WDQ13" s="338"/>
      <c r="WDR13" s="338"/>
      <c r="WDS13" s="338"/>
      <c r="WDT13" s="338"/>
      <c r="WDU13" s="338"/>
      <c r="WDV13" s="338"/>
      <c r="WDW13" s="338"/>
      <c r="WDX13" s="338"/>
      <c r="WDY13" s="338"/>
      <c r="WDZ13" s="338"/>
      <c r="WEA13" s="338"/>
      <c r="WEB13" s="338"/>
      <c r="WEC13" s="338"/>
      <c r="WED13" s="338"/>
      <c r="WEE13" s="338"/>
      <c r="WEF13" s="338"/>
      <c r="WEG13" s="338"/>
      <c r="WEH13" s="338"/>
      <c r="WEI13" s="338"/>
      <c r="WEJ13" s="338"/>
      <c r="WEK13" s="338"/>
      <c r="WEL13" s="338"/>
      <c r="WEM13" s="338"/>
      <c r="WEN13" s="338"/>
      <c r="WEO13" s="338"/>
      <c r="WEP13" s="338"/>
      <c r="WEQ13" s="338"/>
      <c r="WER13" s="338"/>
      <c r="WES13" s="338"/>
      <c r="WET13" s="338"/>
      <c r="WEU13" s="338"/>
      <c r="WEV13" s="338"/>
      <c r="WEW13" s="338"/>
      <c r="WEX13" s="338"/>
      <c r="WEY13" s="338"/>
      <c r="WEZ13" s="338"/>
      <c r="WFA13" s="338"/>
      <c r="WFB13" s="338"/>
      <c r="WFC13" s="338"/>
      <c r="WFD13" s="338"/>
      <c r="WFE13" s="338"/>
      <c r="WFF13" s="338"/>
      <c r="WFG13" s="338"/>
      <c r="WFH13" s="338"/>
      <c r="WFI13" s="338"/>
      <c r="WFJ13" s="338"/>
      <c r="WFK13" s="338"/>
      <c r="WFL13" s="338"/>
      <c r="WFM13" s="338"/>
      <c r="WFN13" s="338"/>
      <c r="WFO13" s="338"/>
      <c r="WFP13" s="338"/>
      <c r="WFQ13" s="338"/>
      <c r="WFR13" s="338"/>
      <c r="WFS13" s="338"/>
      <c r="WFT13" s="338"/>
      <c r="WFU13" s="338"/>
      <c r="WFV13" s="338"/>
      <c r="WFW13" s="338"/>
      <c r="WFX13" s="338"/>
      <c r="WFY13" s="338"/>
      <c r="WFZ13" s="338"/>
      <c r="WGA13" s="338"/>
      <c r="WGB13" s="338"/>
      <c r="WGC13" s="338"/>
      <c r="WGD13" s="338"/>
      <c r="WGE13" s="338"/>
      <c r="WGF13" s="338"/>
      <c r="WGG13" s="338"/>
      <c r="WGH13" s="338"/>
      <c r="WGI13" s="338"/>
      <c r="WGJ13" s="338"/>
      <c r="WGK13" s="338"/>
      <c r="WGL13" s="338"/>
      <c r="WGM13" s="338"/>
      <c r="WGN13" s="338"/>
      <c r="WGO13" s="338"/>
      <c r="WGP13" s="338"/>
      <c r="WGQ13" s="338"/>
      <c r="WGR13" s="338"/>
      <c r="WGS13" s="338"/>
      <c r="WGT13" s="338"/>
      <c r="WGU13" s="338"/>
      <c r="WGV13" s="338"/>
      <c r="WGW13" s="338"/>
      <c r="WGX13" s="338"/>
      <c r="WGY13" s="338"/>
      <c r="WGZ13" s="338"/>
      <c r="WHA13" s="338"/>
      <c r="WHB13" s="338"/>
      <c r="WHC13" s="338"/>
      <c r="WHD13" s="338"/>
      <c r="WHE13" s="338"/>
      <c r="WHF13" s="338"/>
      <c r="WHG13" s="338"/>
      <c r="WHH13" s="338"/>
      <c r="WHI13" s="338"/>
      <c r="WHJ13" s="338"/>
      <c r="WHK13" s="338"/>
      <c r="WHL13" s="338"/>
      <c r="WHM13" s="338"/>
      <c r="WHN13" s="338"/>
      <c r="WHO13" s="338"/>
      <c r="WHP13" s="338"/>
      <c r="WHQ13" s="338"/>
      <c r="WHR13" s="338"/>
      <c r="WHS13" s="338"/>
      <c r="WHT13" s="338"/>
      <c r="WHU13" s="338"/>
      <c r="WHV13" s="338"/>
      <c r="WHW13" s="338"/>
      <c r="WHX13" s="338"/>
      <c r="WHY13" s="338"/>
      <c r="WHZ13" s="338"/>
      <c r="WIA13" s="338"/>
      <c r="WIB13" s="338"/>
      <c r="WIC13" s="338"/>
      <c r="WID13" s="338"/>
      <c r="WIE13" s="338"/>
      <c r="WIF13" s="338"/>
      <c r="WIG13" s="338"/>
      <c r="WIH13" s="338"/>
      <c r="WII13" s="338"/>
      <c r="WIJ13" s="338"/>
      <c r="WIK13" s="338"/>
      <c r="WIL13" s="338"/>
      <c r="WIM13" s="338"/>
      <c r="WIN13" s="338"/>
      <c r="WIO13" s="338"/>
      <c r="WIP13" s="338"/>
      <c r="WIQ13" s="338"/>
      <c r="WIR13" s="338"/>
      <c r="WIS13" s="338"/>
      <c r="WIT13" s="338"/>
      <c r="WIU13" s="338"/>
      <c r="WIV13" s="338"/>
      <c r="WIW13" s="338"/>
      <c r="WIX13" s="338"/>
      <c r="WIY13" s="338"/>
      <c r="WIZ13" s="338"/>
      <c r="WJA13" s="338"/>
      <c r="WJB13" s="338"/>
      <c r="WJC13" s="338"/>
      <c r="WJD13" s="338"/>
      <c r="WJE13" s="338"/>
      <c r="WJF13" s="338"/>
      <c r="WJG13" s="338"/>
      <c r="WJH13" s="338"/>
      <c r="WJI13" s="338"/>
      <c r="WJJ13" s="338"/>
      <c r="WJK13" s="338"/>
      <c r="WJL13" s="338"/>
      <c r="WJM13" s="338"/>
      <c r="WJN13" s="338"/>
      <c r="WJO13" s="338"/>
      <c r="WJP13" s="338"/>
      <c r="WJQ13" s="338"/>
      <c r="WJR13" s="338"/>
      <c r="WJS13" s="338"/>
      <c r="WJT13" s="338"/>
      <c r="WJU13" s="338"/>
      <c r="WJV13" s="338"/>
      <c r="WJW13" s="338"/>
      <c r="WJX13" s="338"/>
      <c r="WJY13" s="338"/>
      <c r="WJZ13" s="338"/>
      <c r="WKA13" s="338"/>
      <c r="WKB13" s="338"/>
      <c r="WKC13" s="338"/>
      <c r="WKD13" s="338"/>
      <c r="WKE13" s="338"/>
      <c r="WKF13" s="338"/>
      <c r="WKG13" s="338"/>
      <c r="WKH13" s="338"/>
      <c r="WKI13" s="338"/>
      <c r="WKJ13" s="338"/>
      <c r="WKK13" s="338"/>
      <c r="WKL13" s="338"/>
      <c r="WKM13" s="338"/>
      <c r="WKN13" s="338"/>
      <c r="WKO13" s="338"/>
      <c r="WKP13" s="338"/>
      <c r="WKQ13" s="338"/>
      <c r="WKR13" s="338"/>
      <c r="WKS13" s="338"/>
      <c r="WKT13" s="338"/>
      <c r="WKU13" s="338"/>
      <c r="WKV13" s="338"/>
      <c r="WKW13" s="338"/>
      <c r="WKX13" s="338"/>
      <c r="WKY13" s="338"/>
      <c r="WKZ13" s="338"/>
      <c r="WLA13" s="338"/>
      <c r="WLB13" s="338"/>
      <c r="WLC13" s="338"/>
      <c r="WLD13" s="338"/>
      <c r="WLE13" s="338"/>
      <c r="WLF13" s="338"/>
      <c r="WLG13" s="338"/>
      <c r="WLH13" s="338"/>
      <c r="WLI13" s="338"/>
      <c r="WLJ13" s="338"/>
      <c r="WLK13" s="338"/>
      <c r="WLL13" s="338"/>
      <c r="WLM13" s="338"/>
      <c r="WLN13" s="338"/>
      <c r="WLO13" s="338"/>
      <c r="WLP13" s="338"/>
      <c r="WLQ13" s="338"/>
      <c r="WLR13" s="338"/>
      <c r="WLS13" s="338"/>
      <c r="WLT13" s="338"/>
      <c r="WLU13" s="338"/>
      <c r="WLV13" s="338"/>
      <c r="WLW13" s="338"/>
      <c r="WLX13" s="338"/>
      <c r="WLY13" s="338"/>
      <c r="WLZ13" s="338"/>
      <c r="WMA13" s="338"/>
      <c r="WMB13" s="338"/>
      <c r="WMC13" s="338"/>
      <c r="WMD13" s="338"/>
      <c r="WME13" s="338"/>
      <c r="WMF13" s="338"/>
      <c r="WMG13" s="338"/>
      <c r="WMH13" s="338"/>
      <c r="WMI13" s="338"/>
      <c r="WMJ13" s="338"/>
      <c r="WMK13" s="338"/>
      <c r="WML13" s="338"/>
      <c r="WMM13" s="338"/>
      <c r="WMN13" s="338"/>
      <c r="WMO13" s="338"/>
      <c r="WMP13" s="338"/>
      <c r="WMQ13" s="338"/>
      <c r="WMR13" s="338"/>
      <c r="WMS13" s="338"/>
      <c r="WMT13" s="338"/>
      <c r="WMU13" s="338"/>
      <c r="WMV13" s="338"/>
      <c r="WMW13" s="338"/>
      <c r="WMX13" s="338"/>
      <c r="WMY13" s="338"/>
      <c r="WMZ13" s="338"/>
      <c r="WNA13" s="338"/>
      <c r="WNB13" s="338"/>
      <c r="WNC13" s="338"/>
      <c r="WND13" s="338"/>
      <c r="WNE13" s="338"/>
      <c r="WNF13" s="338"/>
      <c r="WNG13" s="338"/>
      <c r="WNH13" s="338"/>
      <c r="WNI13" s="338"/>
      <c r="WNJ13" s="338"/>
      <c r="WNK13" s="338"/>
      <c r="WNL13" s="338"/>
      <c r="WNM13" s="338"/>
      <c r="WNN13" s="338"/>
      <c r="WNO13" s="338"/>
      <c r="WNP13" s="338"/>
      <c r="WNQ13" s="338"/>
      <c r="WNR13" s="338"/>
      <c r="WNS13" s="338"/>
      <c r="WNT13" s="338"/>
      <c r="WNU13" s="338"/>
      <c r="WNV13" s="338"/>
      <c r="WNW13" s="338"/>
      <c r="WNX13" s="338"/>
      <c r="WNY13" s="338"/>
      <c r="WNZ13" s="338"/>
      <c r="WOA13" s="338"/>
      <c r="WOB13" s="338"/>
      <c r="WOC13" s="338"/>
      <c r="WOD13" s="338"/>
      <c r="WOE13" s="338"/>
      <c r="WOF13" s="338"/>
      <c r="WOG13" s="338"/>
      <c r="WOH13" s="338"/>
      <c r="WOI13" s="338"/>
      <c r="WOJ13" s="338"/>
      <c r="WOK13" s="338"/>
      <c r="WOL13" s="338"/>
      <c r="WOM13" s="338"/>
      <c r="WON13" s="338"/>
      <c r="WOO13" s="338"/>
      <c r="WOP13" s="338"/>
      <c r="WOQ13" s="338"/>
      <c r="WOR13" s="338"/>
      <c r="WOS13" s="338"/>
      <c r="WOT13" s="338"/>
      <c r="WOU13" s="338"/>
      <c r="WOV13" s="338"/>
      <c r="WOW13" s="338"/>
      <c r="WOX13" s="338"/>
      <c r="WOY13" s="338"/>
      <c r="WOZ13" s="338"/>
      <c r="WPA13" s="338"/>
      <c r="WPB13" s="338"/>
      <c r="WPC13" s="338"/>
      <c r="WPD13" s="338"/>
      <c r="WPE13" s="338"/>
      <c r="WPF13" s="338"/>
      <c r="WPG13" s="338"/>
      <c r="WPH13" s="338"/>
      <c r="WPI13" s="338"/>
      <c r="WPJ13" s="338"/>
      <c r="WPK13" s="338"/>
      <c r="WPL13" s="338"/>
      <c r="WPM13" s="338"/>
      <c r="WPN13" s="338"/>
      <c r="WPO13" s="338"/>
      <c r="WPP13" s="338"/>
      <c r="WPQ13" s="338"/>
      <c r="WPR13" s="338"/>
      <c r="WPS13" s="338"/>
      <c r="WPT13" s="338"/>
      <c r="WPU13" s="338"/>
      <c r="WPV13" s="338"/>
      <c r="WPW13" s="338"/>
      <c r="WPX13" s="338"/>
      <c r="WPY13" s="338"/>
      <c r="WPZ13" s="338"/>
      <c r="WQA13" s="338"/>
      <c r="WQB13" s="338"/>
      <c r="WQC13" s="338"/>
      <c r="WQD13" s="338"/>
      <c r="WQE13" s="338"/>
      <c r="WQF13" s="338"/>
      <c r="WQG13" s="338"/>
      <c r="WQH13" s="338"/>
      <c r="WQI13" s="338"/>
      <c r="WQJ13" s="338"/>
      <c r="WQK13" s="338"/>
      <c r="WQL13" s="338"/>
      <c r="WQM13" s="338"/>
      <c r="WQN13" s="338"/>
      <c r="WQO13" s="338"/>
      <c r="WQP13" s="338"/>
      <c r="WQQ13" s="338"/>
      <c r="WQR13" s="338"/>
      <c r="WQS13" s="338"/>
      <c r="WQT13" s="338"/>
      <c r="WQU13" s="338"/>
      <c r="WQV13" s="338"/>
      <c r="WQW13" s="338"/>
      <c r="WQX13" s="338"/>
      <c r="WQY13" s="338"/>
      <c r="WQZ13" s="338"/>
      <c r="WRA13" s="338"/>
      <c r="WRB13" s="338"/>
      <c r="WRC13" s="338"/>
      <c r="WRD13" s="338"/>
      <c r="WRE13" s="338"/>
      <c r="WRF13" s="338"/>
      <c r="WRG13" s="338"/>
      <c r="WRH13" s="338"/>
      <c r="WRI13" s="338"/>
      <c r="WRJ13" s="338"/>
      <c r="WRK13" s="338"/>
      <c r="WRL13" s="338"/>
      <c r="WRM13" s="338"/>
      <c r="WRN13" s="338"/>
      <c r="WRO13" s="338"/>
      <c r="WRP13" s="338"/>
      <c r="WRQ13" s="338"/>
      <c r="WRR13" s="338"/>
      <c r="WRS13" s="338"/>
      <c r="WRT13" s="338"/>
      <c r="WRU13" s="338"/>
      <c r="WRV13" s="338"/>
      <c r="WRW13" s="338"/>
      <c r="WRX13" s="338"/>
      <c r="WRY13" s="338"/>
      <c r="WRZ13" s="338"/>
      <c r="WSA13" s="338"/>
      <c r="WSB13" s="338"/>
      <c r="WSC13" s="338"/>
      <c r="WSD13" s="338"/>
      <c r="WSE13" s="338"/>
      <c r="WSF13" s="338"/>
      <c r="WSG13" s="338"/>
      <c r="WSH13" s="338"/>
      <c r="WSI13" s="338"/>
      <c r="WSJ13" s="338"/>
      <c r="WSK13" s="338"/>
      <c r="WSL13" s="338"/>
      <c r="WSM13" s="338"/>
      <c r="WSN13" s="338"/>
      <c r="WSO13" s="338"/>
      <c r="WSP13" s="338"/>
      <c r="WSQ13" s="338"/>
      <c r="WSR13" s="338"/>
      <c r="WSS13" s="338"/>
      <c r="WST13" s="338"/>
      <c r="WSU13" s="338"/>
      <c r="WSV13" s="338"/>
      <c r="WSW13" s="338"/>
      <c r="WSX13" s="338"/>
      <c r="WSY13" s="338"/>
      <c r="WSZ13" s="338"/>
      <c r="WTA13" s="338"/>
      <c r="WTB13" s="338"/>
      <c r="WTC13" s="338"/>
      <c r="WTD13" s="338"/>
      <c r="WTE13" s="338"/>
      <c r="WTF13" s="338"/>
      <c r="WTG13" s="338"/>
      <c r="WTH13" s="338"/>
      <c r="WTI13" s="338"/>
      <c r="WTJ13" s="338"/>
      <c r="WTK13" s="338"/>
      <c r="WTL13" s="338"/>
      <c r="WTM13" s="338"/>
      <c r="WTN13" s="338"/>
      <c r="WTO13" s="338"/>
      <c r="WTP13" s="338"/>
      <c r="WTQ13" s="338"/>
      <c r="WTR13" s="338"/>
      <c r="WTS13" s="338"/>
      <c r="WTT13" s="338"/>
      <c r="WTU13" s="338"/>
      <c r="WTV13" s="338"/>
      <c r="WTW13" s="338"/>
      <c r="WTX13" s="338"/>
      <c r="WTY13" s="338"/>
      <c r="WTZ13" s="338"/>
      <c r="WUA13" s="338"/>
      <c r="WUB13" s="338"/>
      <c r="WUC13" s="338"/>
      <c r="WUD13" s="338"/>
      <c r="WUE13" s="338"/>
      <c r="WUF13" s="338"/>
      <c r="WUG13" s="338"/>
      <c r="WUH13" s="338"/>
      <c r="WUI13" s="338"/>
      <c r="WUJ13" s="338"/>
      <c r="WUK13" s="338"/>
      <c r="WUL13" s="338"/>
      <c r="WUM13" s="338"/>
      <c r="WUN13" s="338"/>
      <c r="WUO13" s="338"/>
      <c r="WUP13" s="338"/>
      <c r="WUQ13" s="338"/>
      <c r="WUR13" s="338"/>
      <c r="WUS13" s="338"/>
      <c r="WUT13" s="338"/>
      <c r="WUU13" s="338"/>
      <c r="WUV13" s="338"/>
      <c r="WUW13" s="338"/>
      <c r="WUX13" s="338"/>
      <c r="WUY13" s="338"/>
      <c r="WUZ13" s="338"/>
      <c r="WVA13" s="338"/>
      <c r="WVB13" s="338"/>
      <c r="WVC13" s="338"/>
      <c r="WVD13" s="338"/>
      <c r="WVE13" s="338"/>
      <c r="WVF13" s="338"/>
      <c r="WVG13" s="338"/>
      <c r="WVH13" s="338"/>
      <c r="WVI13" s="338"/>
      <c r="WVJ13" s="338"/>
      <c r="WVK13" s="338"/>
      <c r="WVL13" s="338"/>
      <c r="WVM13" s="338"/>
      <c r="WVN13" s="338"/>
      <c r="WVO13" s="338"/>
      <c r="WVP13" s="338"/>
      <c r="WVQ13" s="338"/>
      <c r="WVR13" s="338"/>
      <c r="WVS13" s="338"/>
      <c r="WVT13" s="338"/>
      <c r="WVU13" s="338"/>
      <c r="WVV13" s="338"/>
      <c r="WVW13" s="338"/>
      <c r="WVX13" s="338"/>
      <c r="WVY13" s="338"/>
      <c r="WVZ13" s="338"/>
      <c r="WWA13" s="338"/>
      <c r="WWB13" s="338"/>
      <c r="WWC13" s="338"/>
      <c r="WWD13" s="338"/>
      <c r="WWE13" s="338"/>
      <c r="WWF13" s="338"/>
      <c r="WWG13" s="338"/>
      <c r="WWH13" s="338"/>
      <c r="WWI13" s="338"/>
      <c r="WWJ13" s="338"/>
      <c r="WWK13" s="338"/>
      <c r="WWL13" s="338"/>
      <c r="WWM13" s="338"/>
      <c r="WWN13" s="338"/>
      <c r="WWO13" s="338"/>
      <c r="WWP13" s="338"/>
      <c r="WWQ13" s="338"/>
      <c r="WWR13" s="338"/>
      <c r="WWS13" s="338"/>
      <c r="WWT13" s="338"/>
      <c r="WWU13" s="338"/>
      <c r="WWV13" s="338"/>
      <c r="WWW13" s="338"/>
      <c r="WWX13" s="338"/>
      <c r="WWY13" s="338"/>
      <c r="WWZ13" s="338"/>
      <c r="WXA13" s="338"/>
      <c r="WXB13" s="338"/>
      <c r="WXC13" s="338"/>
      <c r="WXD13" s="338"/>
      <c r="WXE13" s="338"/>
      <c r="WXF13" s="338"/>
      <c r="WXG13" s="338"/>
      <c r="WXH13" s="338"/>
      <c r="WXI13" s="338"/>
      <c r="WXJ13" s="338"/>
      <c r="WXK13" s="338"/>
      <c r="WXL13" s="338"/>
      <c r="WXM13" s="338"/>
      <c r="WXN13" s="338"/>
      <c r="WXO13" s="338"/>
      <c r="WXP13" s="338"/>
      <c r="WXQ13" s="338"/>
      <c r="WXR13" s="338"/>
      <c r="WXS13" s="338"/>
      <c r="WXT13" s="338"/>
      <c r="WXU13" s="338"/>
      <c r="WXV13" s="338"/>
      <c r="WXW13" s="338"/>
      <c r="WXX13" s="338"/>
      <c r="WXY13" s="338"/>
      <c r="WXZ13" s="338"/>
      <c r="WYA13" s="338"/>
      <c r="WYB13" s="338"/>
      <c r="WYC13" s="338"/>
      <c r="WYD13" s="338"/>
      <c r="WYE13" s="338"/>
      <c r="WYF13" s="338"/>
      <c r="WYG13" s="338"/>
      <c r="WYH13" s="338"/>
      <c r="WYI13" s="338"/>
      <c r="WYJ13" s="338"/>
      <c r="WYK13" s="338"/>
      <c r="WYL13" s="338"/>
      <c r="WYM13" s="338"/>
      <c r="WYN13" s="338"/>
      <c r="WYO13" s="338"/>
      <c r="WYP13" s="338"/>
      <c r="WYQ13" s="338"/>
      <c r="WYR13" s="338"/>
      <c r="WYS13" s="338"/>
      <c r="WYT13" s="338"/>
      <c r="WYU13" s="338"/>
      <c r="WYV13" s="338"/>
      <c r="WYW13" s="338"/>
      <c r="WYX13" s="338"/>
      <c r="WYY13" s="338"/>
      <c r="WYZ13" s="338"/>
      <c r="WZA13" s="338"/>
      <c r="WZB13" s="338"/>
      <c r="WZC13" s="338"/>
      <c r="WZD13" s="338"/>
      <c r="WZE13" s="338"/>
      <c r="WZF13" s="338"/>
      <c r="WZG13" s="338"/>
      <c r="WZH13" s="338"/>
      <c r="WZI13" s="338"/>
      <c r="WZJ13" s="338"/>
      <c r="WZK13" s="338"/>
      <c r="WZL13" s="338"/>
      <c r="WZM13" s="338"/>
      <c r="WZN13" s="338"/>
      <c r="WZO13" s="338"/>
      <c r="WZP13" s="338"/>
      <c r="WZQ13" s="338"/>
      <c r="WZR13" s="338"/>
      <c r="WZS13" s="338"/>
      <c r="WZT13" s="338"/>
      <c r="WZU13" s="338"/>
      <c r="WZV13" s="338"/>
      <c r="WZW13" s="338"/>
      <c r="WZX13" s="338"/>
      <c r="WZY13" s="338"/>
      <c r="WZZ13" s="338"/>
      <c r="XAA13" s="338"/>
      <c r="XAB13" s="338"/>
      <c r="XAC13" s="338"/>
      <c r="XAD13" s="338"/>
      <c r="XAE13" s="338"/>
      <c r="XAF13" s="338"/>
      <c r="XAG13" s="338"/>
      <c r="XAH13" s="338"/>
      <c r="XAI13" s="338"/>
      <c r="XAJ13" s="338"/>
      <c r="XAK13" s="338"/>
      <c r="XAL13" s="338"/>
      <c r="XAM13" s="338"/>
      <c r="XAN13" s="338"/>
      <c r="XAO13" s="338"/>
      <c r="XAP13" s="338"/>
      <c r="XAQ13" s="338"/>
      <c r="XAR13" s="338"/>
      <c r="XAS13" s="338"/>
      <c r="XAT13" s="338"/>
      <c r="XAU13" s="338"/>
      <c r="XAV13" s="338"/>
      <c r="XAW13" s="338"/>
      <c r="XAX13" s="338"/>
      <c r="XAY13" s="338"/>
      <c r="XAZ13" s="338"/>
      <c r="XBA13" s="338"/>
      <c r="XBB13" s="338"/>
      <c r="XBC13" s="338"/>
      <c r="XBD13" s="338"/>
      <c r="XBE13" s="338"/>
      <c r="XBF13" s="338"/>
      <c r="XBG13" s="338"/>
      <c r="XBH13" s="338"/>
      <c r="XBI13" s="338"/>
      <c r="XBJ13" s="338"/>
      <c r="XBK13" s="338"/>
      <c r="XBL13" s="338"/>
      <c r="XBM13" s="338"/>
      <c r="XBN13" s="338"/>
      <c r="XBO13" s="338"/>
      <c r="XBP13" s="338"/>
      <c r="XBQ13" s="338"/>
      <c r="XBR13" s="338"/>
      <c r="XBS13" s="338"/>
      <c r="XBT13" s="338"/>
      <c r="XBU13" s="338"/>
      <c r="XBV13" s="338"/>
      <c r="XBW13" s="338"/>
      <c r="XBX13" s="338"/>
      <c r="XBY13" s="338"/>
      <c r="XBZ13" s="338"/>
      <c r="XCA13" s="338"/>
      <c r="XCB13" s="338"/>
      <c r="XCC13" s="338"/>
      <c r="XCD13" s="338"/>
      <c r="XCE13" s="338"/>
      <c r="XCF13" s="338"/>
      <c r="XCG13" s="338"/>
      <c r="XCH13" s="338"/>
      <c r="XCI13" s="338"/>
      <c r="XCJ13" s="338"/>
      <c r="XCK13" s="338"/>
      <c r="XCL13" s="338"/>
      <c r="XCM13" s="338"/>
      <c r="XCN13" s="338"/>
      <c r="XCO13" s="338"/>
      <c r="XCP13" s="338"/>
      <c r="XCQ13" s="338"/>
      <c r="XCR13" s="338"/>
      <c r="XCS13" s="338"/>
      <c r="XCT13" s="338"/>
      <c r="XCU13" s="338"/>
      <c r="XCV13" s="338"/>
      <c r="XCW13" s="338"/>
      <c r="XCX13" s="338"/>
      <c r="XCY13" s="338"/>
      <c r="XCZ13" s="338"/>
      <c r="XDA13" s="338"/>
      <c r="XDB13" s="338"/>
      <c r="XDC13" s="338"/>
      <c r="XDD13" s="338"/>
      <c r="XDE13" s="338"/>
      <c r="XDF13" s="338"/>
      <c r="XDG13" s="338"/>
      <c r="XDH13" s="338"/>
      <c r="XDI13" s="338"/>
      <c r="XDJ13" s="338"/>
      <c r="XDK13" s="338"/>
      <c r="XDL13" s="338"/>
      <c r="XDM13" s="338"/>
      <c r="XDN13" s="338"/>
      <c r="XDO13" s="338"/>
      <c r="XDP13" s="338"/>
      <c r="XDQ13" s="338"/>
      <c r="XDR13" s="338"/>
      <c r="XDS13" s="338"/>
      <c r="XDT13" s="338"/>
      <c r="XDU13" s="338"/>
      <c r="XDV13" s="338"/>
      <c r="XDW13" s="338"/>
      <c r="XDX13" s="338"/>
      <c r="XDY13" s="338"/>
      <c r="XDZ13" s="338"/>
      <c r="XEA13" s="338"/>
      <c r="XEB13" s="338"/>
      <c r="XEC13" s="338"/>
      <c r="XED13" s="338"/>
      <c r="XEE13" s="338"/>
      <c r="XEF13" s="338"/>
      <c r="XEG13" s="338"/>
      <c r="XEH13" s="338"/>
      <c r="XEI13" s="338"/>
      <c r="XEJ13" s="338"/>
      <c r="XEK13" s="338"/>
      <c r="XEL13" s="338"/>
      <c r="XEM13" s="338"/>
      <c r="XEN13" s="338"/>
      <c r="XEO13" s="338"/>
      <c r="XEP13" s="338"/>
      <c r="XEQ13" s="338"/>
      <c r="XER13" s="338"/>
      <c r="XES13" s="338"/>
      <c r="XET13" s="338"/>
      <c r="XEU13" s="338"/>
      <c r="XEV13" s="338"/>
      <c r="XEW13" s="338"/>
      <c r="XEX13" s="338"/>
      <c r="XEY13" s="338"/>
      <c r="XEZ13" s="338"/>
      <c r="XFA13" s="338"/>
      <c r="XFB13" s="338"/>
      <c r="XFC13" s="338"/>
      <c r="XFD13" s="338"/>
    </row>
    <row r="15" spans="1:16384" s="11" customFormat="1" ht="55.9" customHeight="1" x14ac:dyDescent="0.2">
      <c r="B15" s="345" t="s">
        <v>223</v>
      </c>
      <c r="C15" s="344"/>
      <c r="D15" s="344"/>
      <c r="E15" s="344"/>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338"/>
      <c r="FM15" s="338"/>
      <c r="FN15" s="338"/>
      <c r="FO15" s="338"/>
      <c r="FP15" s="338"/>
      <c r="FQ15" s="338"/>
      <c r="FR15" s="338"/>
      <c r="FS15" s="338"/>
      <c r="FT15" s="338"/>
      <c r="FU15" s="338"/>
      <c r="FV15" s="338"/>
      <c r="FW15" s="338"/>
      <c r="FX15" s="338"/>
      <c r="FY15" s="338"/>
      <c r="FZ15" s="338"/>
      <c r="GA15" s="338"/>
      <c r="GB15" s="338"/>
      <c r="GC15" s="338"/>
      <c r="GD15" s="338"/>
      <c r="GE15" s="338"/>
      <c r="GF15" s="338"/>
      <c r="GG15" s="338"/>
      <c r="GH15" s="338"/>
      <c r="GI15" s="338"/>
      <c r="GJ15" s="338"/>
      <c r="GK15" s="338"/>
      <c r="GL15" s="338"/>
      <c r="GM15" s="338"/>
      <c r="GN15" s="338"/>
      <c r="GO15" s="338"/>
      <c r="GP15" s="338"/>
      <c r="GQ15" s="338"/>
      <c r="GR15" s="338"/>
      <c r="GS15" s="338"/>
      <c r="GT15" s="338"/>
      <c r="GU15" s="338"/>
      <c r="GV15" s="338"/>
      <c r="GW15" s="338"/>
      <c r="GX15" s="338"/>
      <c r="GY15" s="338"/>
      <c r="GZ15" s="338"/>
      <c r="HA15" s="338"/>
      <c r="HB15" s="338"/>
      <c r="HC15" s="338"/>
      <c r="HD15" s="338"/>
      <c r="HE15" s="338"/>
      <c r="HF15" s="338"/>
      <c r="HG15" s="338"/>
      <c r="HH15" s="338"/>
      <c r="HI15" s="338"/>
      <c r="HJ15" s="338"/>
      <c r="HK15" s="338"/>
      <c r="HL15" s="338"/>
      <c r="HM15" s="338"/>
      <c r="HN15" s="338"/>
      <c r="HO15" s="338"/>
      <c r="HP15" s="338"/>
      <c r="HQ15" s="338"/>
      <c r="HR15" s="338"/>
      <c r="HS15" s="338"/>
      <c r="HT15" s="338"/>
      <c r="HU15" s="338"/>
      <c r="HV15" s="338"/>
      <c r="HW15" s="338"/>
      <c r="HX15" s="338"/>
      <c r="HY15" s="338"/>
      <c r="HZ15" s="338"/>
      <c r="IA15" s="338"/>
      <c r="IB15" s="338"/>
      <c r="IC15" s="338"/>
      <c r="ID15" s="338"/>
      <c r="IE15" s="338"/>
      <c r="IF15" s="338"/>
      <c r="IG15" s="338"/>
      <c r="IH15" s="338"/>
      <c r="II15" s="338"/>
      <c r="IJ15" s="338"/>
      <c r="IK15" s="338"/>
      <c r="IL15" s="338"/>
      <c r="IM15" s="338"/>
      <c r="IN15" s="338"/>
      <c r="IO15" s="338"/>
      <c r="IP15" s="338"/>
      <c r="IQ15" s="338"/>
      <c r="IR15" s="338"/>
      <c r="IS15" s="338"/>
      <c r="IT15" s="338"/>
      <c r="IU15" s="338"/>
      <c r="IV15" s="338"/>
      <c r="IW15" s="338"/>
      <c r="IX15" s="338"/>
      <c r="IY15" s="338"/>
      <c r="IZ15" s="338"/>
      <c r="JA15" s="338"/>
      <c r="JB15" s="338"/>
      <c r="JC15" s="338"/>
      <c r="JD15" s="338"/>
      <c r="JE15" s="338"/>
      <c r="JF15" s="338"/>
      <c r="JG15" s="338"/>
      <c r="JH15" s="338"/>
      <c r="JI15" s="338"/>
      <c r="JJ15" s="338"/>
      <c r="JK15" s="338"/>
      <c r="JL15" s="338"/>
      <c r="JM15" s="338"/>
      <c r="JN15" s="338"/>
      <c r="JO15" s="338"/>
      <c r="JP15" s="338"/>
      <c r="JQ15" s="338"/>
      <c r="JR15" s="338"/>
      <c r="JS15" s="338"/>
      <c r="JT15" s="338"/>
      <c r="JU15" s="338"/>
      <c r="JV15" s="338"/>
      <c r="JW15" s="338"/>
      <c r="JX15" s="338"/>
      <c r="JY15" s="338"/>
      <c r="JZ15" s="338"/>
      <c r="KA15" s="338"/>
      <c r="KB15" s="338"/>
      <c r="KC15" s="338"/>
      <c r="KD15" s="338"/>
      <c r="KE15" s="338"/>
      <c r="KF15" s="338"/>
      <c r="KG15" s="338"/>
      <c r="KH15" s="338"/>
      <c r="KI15" s="338"/>
      <c r="KJ15" s="338"/>
      <c r="KK15" s="338"/>
      <c r="KL15" s="338"/>
      <c r="KM15" s="338"/>
      <c r="KN15" s="338"/>
      <c r="KO15" s="338"/>
      <c r="KP15" s="338"/>
      <c r="KQ15" s="338"/>
      <c r="KR15" s="338"/>
      <c r="KS15" s="338"/>
      <c r="KT15" s="338"/>
      <c r="KU15" s="338"/>
      <c r="KV15" s="338"/>
      <c r="KW15" s="338"/>
      <c r="KX15" s="338"/>
      <c r="KY15" s="338"/>
      <c r="KZ15" s="338"/>
      <c r="LA15" s="338"/>
      <c r="LB15" s="338"/>
      <c r="LC15" s="338"/>
      <c r="LD15" s="338"/>
      <c r="LE15" s="338"/>
      <c r="LF15" s="338"/>
      <c r="LG15" s="338"/>
      <c r="LH15" s="338"/>
      <c r="LI15" s="338"/>
      <c r="LJ15" s="338"/>
      <c r="LK15" s="338"/>
      <c r="LL15" s="338"/>
      <c r="LM15" s="338"/>
      <c r="LN15" s="338"/>
      <c r="LO15" s="338"/>
      <c r="LP15" s="338"/>
      <c r="LQ15" s="338"/>
      <c r="LR15" s="338"/>
      <c r="LS15" s="338"/>
      <c r="LT15" s="338"/>
      <c r="LU15" s="338"/>
      <c r="LV15" s="338"/>
      <c r="LW15" s="338"/>
      <c r="LX15" s="338"/>
      <c r="LY15" s="338"/>
      <c r="LZ15" s="338"/>
      <c r="MA15" s="338"/>
      <c r="MB15" s="338"/>
      <c r="MC15" s="338"/>
      <c r="MD15" s="338"/>
      <c r="ME15" s="338"/>
      <c r="MF15" s="338"/>
      <c r="MG15" s="338"/>
      <c r="MH15" s="338"/>
      <c r="MI15" s="338"/>
      <c r="MJ15" s="338"/>
      <c r="MK15" s="338"/>
      <c r="ML15" s="338"/>
      <c r="MM15" s="338"/>
      <c r="MN15" s="338"/>
      <c r="MO15" s="338"/>
      <c r="MP15" s="338"/>
      <c r="MQ15" s="338"/>
      <c r="MR15" s="338"/>
      <c r="MS15" s="338"/>
      <c r="MT15" s="338"/>
      <c r="MU15" s="338"/>
      <c r="MV15" s="338"/>
      <c r="MW15" s="338"/>
      <c r="MX15" s="338"/>
      <c r="MY15" s="338"/>
      <c r="MZ15" s="338"/>
      <c r="NA15" s="338"/>
      <c r="NB15" s="338"/>
      <c r="NC15" s="338"/>
      <c r="ND15" s="338"/>
      <c r="NE15" s="338"/>
      <c r="NF15" s="338"/>
      <c r="NG15" s="338"/>
      <c r="NH15" s="338"/>
      <c r="NI15" s="338"/>
      <c r="NJ15" s="338"/>
      <c r="NK15" s="338"/>
      <c r="NL15" s="338"/>
      <c r="NM15" s="338"/>
      <c r="NN15" s="338"/>
      <c r="NO15" s="338"/>
      <c r="NP15" s="338"/>
      <c r="NQ15" s="338"/>
      <c r="NR15" s="338"/>
      <c r="NS15" s="338"/>
      <c r="NT15" s="338"/>
      <c r="NU15" s="338"/>
      <c r="NV15" s="338"/>
      <c r="NW15" s="338"/>
      <c r="NX15" s="338"/>
      <c r="NY15" s="338"/>
      <c r="NZ15" s="338"/>
      <c r="OA15" s="338"/>
      <c r="OB15" s="338"/>
      <c r="OC15" s="338"/>
      <c r="OD15" s="338"/>
      <c r="OE15" s="338"/>
      <c r="OF15" s="338"/>
      <c r="OG15" s="338"/>
      <c r="OH15" s="338"/>
      <c r="OI15" s="338"/>
      <c r="OJ15" s="338"/>
      <c r="OK15" s="338"/>
      <c r="OL15" s="338"/>
      <c r="OM15" s="338"/>
      <c r="ON15" s="338"/>
      <c r="OO15" s="338"/>
      <c r="OP15" s="338"/>
      <c r="OQ15" s="338"/>
      <c r="OR15" s="338"/>
      <c r="OS15" s="338"/>
      <c r="OT15" s="338"/>
      <c r="OU15" s="338"/>
      <c r="OV15" s="338"/>
      <c r="OW15" s="338"/>
      <c r="OX15" s="338"/>
      <c r="OY15" s="338"/>
      <c r="OZ15" s="338"/>
      <c r="PA15" s="338"/>
      <c r="PB15" s="338"/>
      <c r="PC15" s="338"/>
      <c r="PD15" s="338"/>
      <c r="PE15" s="338"/>
      <c r="PF15" s="338"/>
      <c r="PG15" s="338"/>
      <c r="PH15" s="338"/>
      <c r="PI15" s="338"/>
      <c r="PJ15" s="338"/>
      <c r="PK15" s="338"/>
      <c r="PL15" s="338"/>
      <c r="PM15" s="338"/>
      <c r="PN15" s="338"/>
      <c r="PO15" s="338"/>
      <c r="PP15" s="338"/>
      <c r="PQ15" s="338"/>
      <c r="PR15" s="338"/>
      <c r="PS15" s="338"/>
      <c r="PT15" s="338"/>
      <c r="PU15" s="338"/>
      <c r="PV15" s="338"/>
      <c r="PW15" s="338"/>
      <c r="PX15" s="338"/>
      <c r="PY15" s="338"/>
      <c r="PZ15" s="338"/>
      <c r="QA15" s="338"/>
      <c r="QB15" s="338"/>
      <c r="QC15" s="338"/>
      <c r="QD15" s="338"/>
      <c r="QE15" s="338"/>
      <c r="QF15" s="338"/>
      <c r="QG15" s="338"/>
      <c r="QH15" s="338"/>
      <c r="QI15" s="338"/>
      <c r="QJ15" s="338"/>
      <c r="QK15" s="338"/>
      <c r="QL15" s="338"/>
      <c r="QM15" s="338"/>
      <c r="QN15" s="338"/>
      <c r="QO15" s="338"/>
      <c r="QP15" s="338"/>
      <c r="QQ15" s="338"/>
      <c r="QR15" s="338"/>
      <c r="QS15" s="338"/>
      <c r="QT15" s="338"/>
      <c r="QU15" s="338"/>
      <c r="QV15" s="338"/>
      <c r="QW15" s="338"/>
      <c r="QX15" s="338"/>
      <c r="QY15" s="338"/>
      <c r="QZ15" s="338"/>
      <c r="RA15" s="338"/>
      <c r="RB15" s="338"/>
      <c r="RC15" s="338"/>
      <c r="RD15" s="338"/>
      <c r="RE15" s="338"/>
      <c r="RF15" s="338"/>
      <c r="RG15" s="338"/>
      <c r="RH15" s="338"/>
      <c r="RI15" s="338"/>
      <c r="RJ15" s="338"/>
      <c r="RK15" s="338"/>
      <c r="RL15" s="338"/>
      <c r="RM15" s="338"/>
      <c r="RN15" s="338"/>
      <c r="RO15" s="338"/>
      <c r="RP15" s="338"/>
      <c r="RQ15" s="338"/>
      <c r="RR15" s="338"/>
      <c r="RS15" s="338"/>
      <c r="RT15" s="338"/>
      <c r="RU15" s="338"/>
      <c r="RV15" s="338"/>
      <c r="RW15" s="338"/>
      <c r="RX15" s="338"/>
      <c r="RY15" s="338"/>
      <c r="RZ15" s="338"/>
      <c r="SA15" s="338"/>
      <c r="SB15" s="338"/>
      <c r="SC15" s="338"/>
      <c r="SD15" s="338"/>
      <c r="SE15" s="338"/>
      <c r="SF15" s="338"/>
      <c r="SG15" s="338"/>
      <c r="SH15" s="338"/>
      <c r="SI15" s="338"/>
      <c r="SJ15" s="338"/>
      <c r="SK15" s="338"/>
      <c r="SL15" s="338"/>
      <c r="SM15" s="338"/>
      <c r="SN15" s="338"/>
      <c r="SO15" s="338"/>
      <c r="SP15" s="338"/>
      <c r="SQ15" s="338"/>
      <c r="SR15" s="338"/>
      <c r="SS15" s="338"/>
      <c r="ST15" s="338"/>
      <c r="SU15" s="338"/>
      <c r="SV15" s="338"/>
      <c r="SW15" s="338"/>
      <c r="SX15" s="338"/>
      <c r="SY15" s="338"/>
      <c r="SZ15" s="338"/>
      <c r="TA15" s="338"/>
      <c r="TB15" s="338"/>
      <c r="TC15" s="338"/>
      <c r="TD15" s="338"/>
      <c r="TE15" s="338"/>
      <c r="TF15" s="338"/>
      <c r="TG15" s="338"/>
      <c r="TH15" s="338"/>
      <c r="TI15" s="338"/>
      <c r="TJ15" s="338"/>
      <c r="TK15" s="338"/>
      <c r="TL15" s="338"/>
      <c r="TM15" s="338"/>
      <c r="TN15" s="338"/>
      <c r="TO15" s="338"/>
      <c r="TP15" s="338"/>
      <c r="TQ15" s="338"/>
      <c r="TR15" s="338"/>
      <c r="TS15" s="338"/>
      <c r="TT15" s="338"/>
      <c r="TU15" s="338"/>
      <c r="TV15" s="338"/>
      <c r="TW15" s="338"/>
      <c r="TX15" s="338"/>
      <c r="TY15" s="338"/>
      <c r="TZ15" s="338"/>
      <c r="UA15" s="338"/>
      <c r="UB15" s="338"/>
      <c r="UC15" s="338"/>
      <c r="UD15" s="338"/>
      <c r="UE15" s="338"/>
      <c r="UF15" s="338"/>
      <c r="UG15" s="338"/>
      <c r="UH15" s="338"/>
      <c r="UI15" s="338"/>
      <c r="UJ15" s="338"/>
      <c r="UK15" s="338"/>
      <c r="UL15" s="338"/>
      <c r="UM15" s="338"/>
      <c r="UN15" s="338"/>
      <c r="UO15" s="338"/>
      <c r="UP15" s="338"/>
      <c r="UQ15" s="338"/>
      <c r="UR15" s="338"/>
      <c r="US15" s="338"/>
      <c r="UT15" s="338"/>
      <c r="UU15" s="338"/>
      <c r="UV15" s="338"/>
      <c r="UW15" s="338"/>
      <c r="UX15" s="338"/>
      <c r="UY15" s="338"/>
      <c r="UZ15" s="338"/>
      <c r="VA15" s="338"/>
      <c r="VB15" s="338"/>
      <c r="VC15" s="338"/>
      <c r="VD15" s="338"/>
      <c r="VE15" s="338"/>
      <c r="VF15" s="338"/>
      <c r="VG15" s="338"/>
      <c r="VH15" s="338"/>
      <c r="VI15" s="338"/>
      <c r="VJ15" s="338"/>
      <c r="VK15" s="338"/>
      <c r="VL15" s="338"/>
      <c r="VM15" s="338"/>
      <c r="VN15" s="338"/>
      <c r="VO15" s="338"/>
      <c r="VP15" s="338"/>
      <c r="VQ15" s="338"/>
      <c r="VR15" s="338"/>
      <c r="VS15" s="338"/>
      <c r="VT15" s="338"/>
      <c r="VU15" s="338"/>
      <c r="VV15" s="338"/>
      <c r="VW15" s="338"/>
      <c r="VX15" s="338"/>
      <c r="VY15" s="338"/>
      <c r="VZ15" s="338"/>
      <c r="WA15" s="338"/>
      <c r="WB15" s="338"/>
      <c r="WC15" s="338"/>
      <c r="WD15" s="338"/>
      <c r="WE15" s="338"/>
      <c r="WF15" s="338"/>
      <c r="WG15" s="338"/>
      <c r="WH15" s="338"/>
      <c r="WI15" s="338"/>
      <c r="WJ15" s="338"/>
      <c r="WK15" s="338"/>
      <c r="WL15" s="338"/>
      <c r="WM15" s="338"/>
      <c r="WN15" s="338"/>
      <c r="WO15" s="338"/>
      <c r="WP15" s="338"/>
      <c r="WQ15" s="338"/>
      <c r="WR15" s="338"/>
      <c r="WS15" s="338"/>
      <c r="WT15" s="338"/>
      <c r="WU15" s="338"/>
      <c r="WV15" s="338"/>
      <c r="WW15" s="338"/>
      <c r="WX15" s="338"/>
      <c r="WY15" s="338"/>
      <c r="WZ15" s="338"/>
      <c r="XA15" s="338"/>
      <c r="XB15" s="338"/>
      <c r="XC15" s="338"/>
      <c r="XD15" s="338"/>
      <c r="XE15" s="338"/>
      <c r="XF15" s="338"/>
      <c r="XG15" s="338"/>
      <c r="XH15" s="338"/>
      <c r="XI15" s="338"/>
      <c r="XJ15" s="338"/>
      <c r="XK15" s="338"/>
      <c r="XL15" s="338"/>
      <c r="XM15" s="338"/>
      <c r="XN15" s="338"/>
      <c r="XO15" s="338"/>
      <c r="XP15" s="338"/>
      <c r="XQ15" s="338"/>
      <c r="XR15" s="338"/>
      <c r="XS15" s="338"/>
      <c r="XT15" s="338"/>
      <c r="XU15" s="338"/>
      <c r="XV15" s="338"/>
      <c r="XW15" s="338"/>
      <c r="XX15" s="338"/>
      <c r="XY15" s="338"/>
      <c r="XZ15" s="338"/>
      <c r="YA15" s="338"/>
      <c r="YB15" s="338"/>
      <c r="YC15" s="338"/>
      <c r="YD15" s="338"/>
      <c r="YE15" s="338"/>
      <c r="YF15" s="338"/>
      <c r="YG15" s="338"/>
      <c r="YH15" s="338"/>
      <c r="YI15" s="338"/>
      <c r="YJ15" s="338"/>
      <c r="YK15" s="338"/>
      <c r="YL15" s="338"/>
      <c r="YM15" s="338"/>
      <c r="YN15" s="338"/>
      <c r="YO15" s="338"/>
      <c r="YP15" s="338"/>
      <c r="YQ15" s="338"/>
      <c r="YR15" s="338"/>
      <c r="YS15" s="338"/>
      <c r="YT15" s="338"/>
      <c r="YU15" s="338"/>
      <c r="YV15" s="338"/>
      <c r="YW15" s="338"/>
      <c r="YX15" s="338"/>
      <c r="YY15" s="338"/>
      <c r="YZ15" s="338"/>
      <c r="ZA15" s="338"/>
      <c r="ZB15" s="338"/>
      <c r="ZC15" s="338"/>
      <c r="ZD15" s="338"/>
      <c r="ZE15" s="338"/>
      <c r="ZF15" s="338"/>
      <c r="ZG15" s="338"/>
      <c r="ZH15" s="338"/>
      <c r="ZI15" s="338"/>
      <c r="ZJ15" s="338"/>
      <c r="ZK15" s="338"/>
      <c r="ZL15" s="338"/>
      <c r="ZM15" s="338"/>
      <c r="ZN15" s="338"/>
      <c r="ZO15" s="338"/>
      <c r="ZP15" s="338"/>
      <c r="ZQ15" s="338"/>
      <c r="ZR15" s="338"/>
      <c r="ZS15" s="338"/>
      <c r="ZT15" s="338"/>
      <c r="ZU15" s="338"/>
      <c r="ZV15" s="338"/>
      <c r="ZW15" s="338"/>
      <c r="ZX15" s="338"/>
      <c r="ZY15" s="338"/>
      <c r="ZZ15" s="338"/>
      <c r="AAA15" s="338"/>
      <c r="AAB15" s="338"/>
      <c r="AAC15" s="338"/>
      <c r="AAD15" s="338"/>
      <c r="AAE15" s="338"/>
      <c r="AAF15" s="338"/>
      <c r="AAG15" s="338"/>
      <c r="AAH15" s="338"/>
      <c r="AAI15" s="338"/>
      <c r="AAJ15" s="338"/>
      <c r="AAK15" s="338"/>
      <c r="AAL15" s="338"/>
      <c r="AAM15" s="338"/>
      <c r="AAN15" s="338"/>
      <c r="AAO15" s="338"/>
      <c r="AAP15" s="338"/>
      <c r="AAQ15" s="338"/>
      <c r="AAR15" s="338"/>
      <c r="AAS15" s="338"/>
      <c r="AAT15" s="338"/>
      <c r="AAU15" s="338"/>
      <c r="AAV15" s="338"/>
      <c r="AAW15" s="338"/>
      <c r="AAX15" s="338"/>
      <c r="AAY15" s="338"/>
      <c r="AAZ15" s="338"/>
      <c r="ABA15" s="338"/>
      <c r="ABB15" s="338"/>
      <c r="ABC15" s="338"/>
      <c r="ABD15" s="338"/>
      <c r="ABE15" s="338"/>
      <c r="ABF15" s="338"/>
      <c r="ABG15" s="338"/>
      <c r="ABH15" s="338"/>
      <c r="ABI15" s="338"/>
      <c r="ABJ15" s="338"/>
      <c r="ABK15" s="338"/>
      <c r="ABL15" s="338"/>
      <c r="ABM15" s="338"/>
      <c r="ABN15" s="338"/>
      <c r="ABO15" s="338"/>
      <c r="ABP15" s="338"/>
      <c r="ABQ15" s="338"/>
      <c r="ABR15" s="338"/>
      <c r="ABS15" s="338"/>
      <c r="ABT15" s="338"/>
      <c r="ABU15" s="338"/>
      <c r="ABV15" s="338"/>
      <c r="ABW15" s="338"/>
      <c r="ABX15" s="338"/>
      <c r="ABY15" s="338"/>
      <c r="ABZ15" s="338"/>
      <c r="ACA15" s="338"/>
      <c r="ACB15" s="338"/>
      <c r="ACC15" s="338"/>
      <c r="ACD15" s="338"/>
      <c r="ACE15" s="338"/>
      <c r="ACF15" s="338"/>
      <c r="ACG15" s="338"/>
      <c r="ACH15" s="338"/>
      <c r="ACI15" s="338"/>
      <c r="ACJ15" s="338"/>
      <c r="ACK15" s="338"/>
      <c r="ACL15" s="338"/>
      <c r="ACM15" s="338"/>
      <c r="ACN15" s="338"/>
      <c r="ACO15" s="338"/>
      <c r="ACP15" s="338"/>
      <c r="ACQ15" s="338"/>
      <c r="ACR15" s="338"/>
      <c r="ACS15" s="338"/>
      <c r="ACT15" s="338"/>
      <c r="ACU15" s="338"/>
      <c r="ACV15" s="338"/>
      <c r="ACW15" s="338"/>
      <c r="ACX15" s="338"/>
      <c r="ACY15" s="338"/>
      <c r="ACZ15" s="338"/>
      <c r="ADA15" s="338"/>
      <c r="ADB15" s="338"/>
      <c r="ADC15" s="338"/>
      <c r="ADD15" s="338"/>
      <c r="ADE15" s="338"/>
      <c r="ADF15" s="338"/>
      <c r="ADG15" s="338"/>
      <c r="ADH15" s="338"/>
      <c r="ADI15" s="338"/>
      <c r="ADJ15" s="338"/>
      <c r="ADK15" s="338"/>
      <c r="ADL15" s="338"/>
      <c r="ADM15" s="338"/>
      <c r="ADN15" s="338"/>
      <c r="ADO15" s="338"/>
      <c r="ADP15" s="338"/>
      <c r="ADQ15" s="338"/>
      <c r="ADR15" s="338"/>
      <c r="ADS15" s="338"/>
      <c r="ADT15" s="338"/>
      <c r="ADU15" s="338"/>
      <c r="ADV15" s="338"/>
      <c r="ADW15" s="338"/>
      <c r="ADX15" s="338"/>
      <c r="ADY15" s="338"/>
      <c r="ADZ15" s="338"/>
      <c r="AEA15" s="338"/>
      <c r="AEB15" s="338"/>
      <c r="AEC15" s="338"/>
      <c r="AED15" s="338"/>
      <c r="AEE15" s="338"/>
      <c r="AEF15" s="338"/>
      <c r="AEG15" s="338"/>
      <c r="AEH15" s="338"/>
      <c r="AEI15" s="338"/>
      <c r="AEJ15" s="338"/>
      <c r="AEK15" s="338"/>
      <c r="AEL15" s="338"/>
      <c r="AEM15" s="338"/>
      <c r="AEN15" s="338"/>
      <c r="AEO15" s="338"/>
      <c r="AEP15" s="338"/>
      <c r="AEQ15" s="338"/>
      <c r="AER15" s="338"/>
      <c r="AES15" s="338"/>
      <c r="AET15" s="338"/>
      <c r="AEU15" s="338"/>
      <c r="AEV15" s="338"/>
      <c r="AEW15" s="338"/>
      <c r="AEX15" s="338"/>
      <c r="AEY15" s="338"/>
      <c r="AEZ15" s="338"/>
      <c r="AFA15" s="338"/>
      <c r="AFB15" s="338"/>
      <c r="AFC15" s="338"/>
      <c r="AFD15" s="338"/>
      <c r="AFE15" s="338"/>
      <c r="AFF15" s="338"/>
      <c r="AFG15" s="338"/>
      <c r="AFH15" s="338"/>
      <c r="AFI15" s="338"/>
      <c r="AFJ15" s="338"/>
      <c r="AFK15" s="338"/>
      <c r="AFL15" s="338"/>
      <c r="AFM15" s="338"/>
      <c r="AFN15" s="338"/>
      <c r="AFO15" s="338"/>
      <c r="AFP15" s="338"/>
      <c r="AFQ15" s="338"/>
      <c r="AFR15" s="338"/>
      <c r="AFS15" s="338"/>
      <c r="AFT15" s="338"/>
      <c r="AFU15" s="338"/>
      <c r="AFV15" s="338"/>
      <c r="AFW15" s="338"/>
      <c r="AFX15" s="338"/>
      <c r="AFY15" s="338"/>
      <c r="AFZ15" s="338"/>
      <c r="AGA15" s="338"/>
      <c r="AGB15" s="338"/>
      <c r="AGC15" s="338"/>
      <c r="AGD15" s="338"/>
      <c r="AGE15" s="338"/>
      <c r="AGF15" s="338"/>
      <c r="AGG15" s="338"/>
      <c r="AGH15" s="338"/>
      <c r="AGI15" s="338"/>
      <c r="AGJ15" s="338"/>
      <c r="AGK15" s="338"/>
      <c r="AGL15" s="338"/>
      <c r="AGM15" s="338"/>
      <c r="AGN15" s="338"/>
      <c r="AGO15" s="338"/>
      <c r="AGP15" s="338"/>
      <c r="AGQ15" s="338"/>
      <c r="AGR15" s="338"/>
      <c r="AGS15" s="338"/>
      <c r="AGT15" s="338"/>
      <c r="AGU15" s="338"/>
      <c r="AGV15" s="338"/>
      <c r="AGW15" s="338"/>
      <c r="AGX15" s="338"/>
      <c r="AGY15" s="338"/>
      <c r="AGZ15" s="338"/>
      <c r="AHA15" s="338"/>
      <c r="AHB15" s="338"/>
      <c r="AHC15" s="338"/>
      <c r="AHD15" s="338"/>
      <c r="AHE15" s="338"/>
      <c r="AHF15" s="338"/>
      <c r="AHG15" s="338"/>
      <c r="AHH15" s="338"/>
      <c r="AHI15" s="338"/>
      <c r="AHJ15" s="338"/>
      <c r="AHK15" s="338"/>
      <c r="AHL15" s="338"/>
      <c r="AHM15" s="338"/>
      <c r="AHN15" s="338"/>
      <c r="AHO15" s="338"/>
      <c r="AHP15" s="338"/>
      <c r="AHQ15" s="338"/>
      <c r="AHR15" s="338"/>
      <c r="AHS15" s="338"/>
      <c r="AHT15" s="338"/>
      <c r="AHU15" s="338"/>
      <c r="AHV15" s="338"/>
      <c r="AHW15" s="338"/>
      <c r="AHX15" s="338"/>
      <c r="AHY15" s="338"/>
      <c r="AHZ15" s="338"/>
      <c r="AIA15" s="338"/>
      <c r="AIB15" s="338"/>
      <c r="AIC15" s="338"/>
      <c r="AID15" s="338"/>
      <c r="AIE15" s="338"/>
      <c r="AIF15" s="338"/>
      <c r="AIG15" s="338"/>
      <c r="AIH15" s="338"/>
      <c r="AII15" s="338"/>
      <c r="AIJ15" s="338"/>
      <c r="AIK15" s="338"/>
      <c r="AIL15" s="338"/>
      <c r="AIM15" s="338"/>
      <c r="AIN15" s="338"/>
      <c r="AIO15" s="338"/>
      <c r="AIP15" s="338"/>
      <c r="AIQ15" s="338"/>
      <c r="AIR15" s="338"/>
      <c r="AIS15" s="338"/>
      <c r="AIT15" s="338"/>
      <c r="AIU15" s="338"/>
      <c r="AIV15" s="338"/>
      <c r="AIW15" s="338"/>
      <c r="AIX15" s="338"/>
      <c r="AIY15" s="338"/>
      <c r="AIZ15" s="338"/>
      <c r="AJA15" s="338"/>
      <c r="AJB15" s="338"/>
      <c r="AJC15" s="338"/>
      <c r="AJD15" s="338"/>
      <c r="AJE15" s="338"/>
      <c r="AJF15" s="338"/>
      <c r="AJG15" s="338"/>
      <c r="AJH15" s="338"/>
      <c r="AJI15" s="338"/>
      <c r="AJJ15" s="338"/>
      <c r="AJK15" s="338"/>
      <c r="AJL15" s="338"/>
      <c r="AJM15" s="338"/>
      <c r="AJN15" s="338"/>
      <c r="AJO15" s="338"/>
      <c r="AJP15" s="338"/>
      <c r="AJQ15" s="338"/>
      <c r="AJR15" s="338"/>
      <c r="AJS15" s="338"/>
      <c r="AJT15" s="338"/>
      <c r="AJU15" s="338"/>
      <c r="AJV15" s="338"/>
      <c r="AJW15" s="338"/>
      <c r="AJX15" s="338"/>
      <c r="AJY15" s="338"/>
      <c r="AJZ15" s="338"/>
      <c r="AKA15" s="338"/>
      <c r="AKB15" s="338"/>
      <c r="AKC15" s="338"/>
      <c r="AKD15" s="338"/>
      <c r="AKE15" s="338"/>
      <c r="AKF15" s="338"/>
      <c r="AKG15" s="338"/>
      <c r="AKH15" s="338"/>
      <c r="AKI15" s="338"/>
      <c r="AKJ15" s="338"/>
      <c r="AKK15" s="338"/>
      <c r="AKL15" s="338"/>
      <c r="AKM15" s="338"/>
      <c r="AKN15" s="338"/>
      <c r="AKO15" s="338"/>
      <c r="AKP15" s="338"/>
      <c r="AKQ15" s="338"/>
      <c r="AKR15" s="338"/>
      <c r="AKS15" s="338"/>
      <c r="AKT15" s="338"/>
      <c r="AKU15" s="338"/>
      <c r="AKV15" s="338"/>
      <c r="AKW15" s="338"/>
      <c r="AKX15" s="338"/>
      <c r="AKY15" s="338"/>
      <c r="AKZ15" s="338"/>
      <c r="ALA15" s="338"/>
      <c r="ALB15" s="338"/>
      <c r="ALC15" s="338"/>
      <c r="ALD15" s="338"/>
      <c r="ALE15" s="338"/>
      <c r="ALF15" s="338"/>
      <c r="ALG15" s="338"/>
      <c r="ALH15" s="338"/>
      <c r="ALI15" s="338"/>
      <c r="ALJ15" s="338"/>
      <c r="ALK15" s="338"/>
      <c r="ALL15" s="338"/>
      <c r="ALM15" s="338"/>
      <c r="ALN15" s="338"/>
      <c r="ALO15" s="338"/>
      <c r="ALP15" s="338"/>
      <c r="ALQ15" s="338"/>
      <c r="ALR15" s="338"/>
      <c r="ALS15" s="338"/>
      <c r="ALT15" s="338"/>
      <c r="ALU15" s="338"/>
      <c r="ALV15" s="338"/>
      <c r="ALW15" s="338"/>
      <c r="ALX15" s="338"/>
      <c r="ALY15" s="338"/>
      <c r="ALZ15" s="338"/>
      <c r="AMA15" s="338"/>
      <c r="AMB15" s="338"/>
      <c r="AMC15" s="338"/>
      <c r="AMD15" s="338"/>
      <c r="AME15" s="338"/>
      <c r="AMF15" s="338"/>
      <c r="AMG15" s="338"/>
      <c r="AMH15" s="338"/>
      <c r="AMI15" s="338"/>
      <c r="AMJ15" s="338"/>
      <c r="AMK15" s="338"/>
      <c r="AML15" s="338"/>
      <c r="AMM15" s="338"/>
      <c r="AMN15" s="338"/>
      <c r="AMO15" s="338"/>
      <c r="AMP15" s="338"/>
      <c r="AMQ15" s="338"/>
      <c r="AMR15" s="338"/>
      <c r="AMS15" s="338"/>
      <c r="AMT15" s="338"/>
      <c r="AMU15" s="338"/>
      <c r="AMV15" s="338"/>
      <c r="AMW15" s="338"/>
      <c r="AMX15" s="338"/>
      <c r="AMY15" s="338"/>
      <c r="AMZ15" s="338"/>
      <c r="ANA15" s="338"/>
      <c r="ANB15" s="338"/>
      <c r="ANC15" s="338"/>
      <c r="AND15" s="338"/>
      <c r="ANE15" s="338"/>
      <c r="ANF15" s="338"/>
      <c r="ANG15" s="338"/>
      <c r="ANH15" s="338"/>
      <c r="ANI15" s="338"/>
      <c r="ANJ15" s="338"/>
      <c r="ANK15" s="338"/>
      <c r="ANL15" s="338"/>
      <c r="ANM15" s="338"/>
      <c r="ANN15" s="338"/>
      <c r="ANO15" s="338"/>
      <c r="ANP15" s="338"/>
      <c r="ANQ15" s="338"/>
      <c r="ANR15" s="338"/>
      <c r="ANS15" s="338"/>
      <c r="ANT15" s="338"/>
      <c r="ANU15" s="338"/>
      <c r="ANV15" s="338"/>
      <c r="ANW15" s="338"/>
      <c r="ANX15" s="338"/>
      <c r="ANY15" s="338"/>
      <c r="ANZ15" s="338"/>
      <c r="AOA15" s="338"/>
      <c r="AOB15" s="338"/>
      <c r="AOC15" s="338"/>
      <c r="AOD15" s="338"/>
      <c r="AOE15" s="338"/>
      <c r="AOF15" s="338"/>
      <c r="AOG15" s="338"/>
      <c r="AOH15" s="338"/>
      <c r="AOI15" s="338"/>
      <c r="AOJ15" s="338"/>
      <c r="AOK15" s="338"/>
      <c r="AOL15" s="338"/>
      <c r="AOM15" s="338"/>
      <c r="AON15" s="338"/>
      <c r="AOO15" s="338"/>
      <c r="AOP15" s="338"/>
      <c r="AOQ15" s="338"/>
      <c r="AOR15" s="338"/>
      <c r="AOS15" s="338"/>
      <c r="AOT15" s="338"/>
      <c r="AOU15" s="338"/>
      <c r="AOV15" s="338"/>
      <c r="AOW15" s="338"/>
      <c r="AOX15" s="338"/>
      <c r="AOY15" s="338"/>
      <c r="AOZ15" s="338"/>
      <c r="APA15" s="338"/>
      <c r="APB15" s="338"/>
      <c r="APC15" s="338"/>
      <c r="APD15" s="338"/>
      <c r="APE15" s="338"/>
      <c r="APF15" s="338"/>
      <c r="APG15" s="338"/>
      <c r="APH15" s="338"/>
      <c r="API15" s="338"/>
      <c r="APJ15" s="338"/>
      <c r="APK15" s="338"/>
      <c r="APL15" s="338"/>
      <c r="APM15" s="338"/>
      <c r="APN15" s="338"/>
      <c r="APO15" s="338"/>
      <c r="APP15" s="338"/>
      <c r="APQ15" s="338"/>
      <c r="APR15" s="338"/>
      <c r="APS15" s="338"/>
      <c r="APT15" s="338"/>
      <c r="APU15" s="338"/>
      <c r="APV15" s="338"/>
      <c r="APW15" s="338"/>
      <c r="APX15" s="338"/>
      <c r="APY15" s="338"/>
      <c r="APZ15" s="338"/>
      <c r="AQA15" s="338"/>
      <c r="AQB15" s="338"/>
      <c r="AQC15" s="338"/>
      <c r="AQD15" s="338"/>
      <c r="AQE15" s="338"/>
      <c r="AQF15" s="338"/>
      <c r="AQG15" s="338"/>
      <c r="AQH15" s="338"/>
      <c r="AQI15" s="338"/>
      <c r="AQJ15" s="338"/>
      <c r="AQK15" s="338"/>
      <c r="AQL15" s="338"/>
      <c r="AQM15" s="338"/>
      <c r="AQN15" s="338"/>
      <c r="AQO15" s="338"/>
      <c r="AQP15" s="338"/>
      <c r="AQQ15" s="338"/>
      <c r="AQR15" s="338"/>
      <c r="AQS15" s="338"/>
      <c r="AQT15" s="338"/>
      <c r="AQU15" s="338"/>
      <c r="AQV15" s="338"/>
      <c r="AQW15" s="338"/>
      <c r="AQX15" s="338"/>
      <c r="AQY15" s="338"/>
      <c r="AQZ15" s="338"/>
      <c r="ARA15" s="338"/>
      <c r="ARB15" s="338"/>
      <c r="ARC15" s="338"/>
      <c r="ARD15" s="338"/>
      <c r="ARE15" s="338"/>
      <c r="ARF15" s="338"/>
      <c r="ARG15" s="338"/>
      <c r="ARH15" s="338"/>
      <c r="ARI15" s="338"/>
      <c r="ARJ15" s="338"/>
      <c r="ARK15" s="338"/>
      <c r="ARL15" s="338"/>
      <c r="ARM15" s="338"/>
      <c r="ARN15" s="338"/>
      <c r="ARO15" s="338"/>
      <c r="ARP15" s="338"/>
      <c r="ARQ15" s="338"/>
      <c r="ARR15" s="338"/>
      <c r="ARS15" s="338"/>
      <c r="ART15" s="338"/>
      <c r="ARU15" s="338"/>
      <c r="ARV15" s="338"/>
      <c r="ARW15" s="338"/>
      <c r="ARX15" s="338"/>
      <c r="ARY15" s="338"/>
      <c r="ARZ15" s="338"/>
      <c r="ASA15" s="338"/>
      <c r="ASB15" s="338"/>
      <c r="ASC15" s="338"/>
      <c r="ASD15" s="338"/>
      <c r="ASE15" s="338"/>
      <c r="ASF15" s="338"/>
      <c r="ASG15" s="338"/>
      <c r="ASH15" s="338"/>
      <c r="ASI15" s="338"/>
      <c r="ASJ15" s="338"/>
      <c r="ASK15" s="338"/>
      <c r="ASL15" s="338"/>
      <c r="ASM15" s="338"/>
      <c r="ASN15" s="338"/>
      <c r="ASO15" s="338"/>
      <c r="ASP15" s="338"/>
      <c r="ASQ15" s="338"/>
      <c r="ASR15" s="338"/>
      <c r="ASS15" s="338"/>
      <c r="AST15" s="338"/>
      <c r="ASU15" s="338"/>
      <c r="ASV15" s="338"/>
      <c r="ASW15" s="338"/>
      <c r="ASX15" s="338"/>
      <c r="ASY15" s="338"/>
      <c r="ASZ15" s="338"/>
      <c r="ATA15" s="338"/>
      <c r="ATB15" s="338"/>
      <c r="ATC15" s="338"/>
      <c r="ATD15" s="338"/>
      <c r="ATE15" s="338"/>
      <c r="ATF15" s="338"/>
      <c r="ATG15" s="338"/>
      <c r="ATH15" s="338"/>
      <c r="ATI15" s="338"/>
      <c r="ATJ15" s="338"/>
      <c r="ATK15" s="338"/>
      <c r="ATL15" s="338"/>
      <c r="ATM15" s="338"/>
      <c r="ATN15" s="338"/>
      <c r="ATO15" s="338"/>
      <c r="ATP15" s="338"/>
      <c r="ATQ15" s="338"/>
      <c r="ATR15" s="338"/>
      <c r="ATS15" s="338"/>
      <c r="ATT15" s="338"/>
      <c r="ATU15" s="338"/>
      <c r="ATV15" s="338"/>
      <c r="ATW15" s="338"/>
      <c r="ATX15" s="338"/>
      <c r="ATY15" s="338"/>
      <c r="ATZ15" s="338"/>
      <c r="AUA15" s="338"/>
      <c r="AUB15" s="338"/>
      <c r="AUC15" s="338"/>
      <c r="AUD15" s="338"/>
      <c r="AUE15" s="338"/>
      <c r="AUF15" s="338"/>
      <c r="AUG15" s="338"/>
      <c r="AUH15" s="338"/>
      <c r="AUI15" s="338"/>
      <c r="AUJ15" s="338"/>
      <c r="AUK15" s="338"/>
      <c r="AUL15" s="338"/>
      <c r="AUM15" s="338"/>
      <c r="AUN15" s="338"/>
      <c r="AUO15" s="338"/>
      <c r="AUP15" s="338"/>
      <c r="AUQ15" s="338"/>
      <c r="AUR15" s="338"/>
      <c r="AUS15" s="338"/>
      <c r="AUT15" s="338"/>
      <c r="AUU15" s="338"/>
      <c r="AUV15" s="338"/>
      <c r="AUW15" s="338"/>
      <c r="AUX15" s="338"/>
      <c r="AUY15" s="338"/>
      <c r="AUZ15" s="338"/>
      <c r="AVA15" s="338"/>
      <c r="AVB15" s="338"/>
      <c r="AVC15" s="338"/>
      <c r="AVD15" s="338"/>
      <c r="AVE15" s="338"/>
      <c r="AVF15" s="338"/>
      <c r="AVG15" s="338"/>
      <c r="AVH15" s="338"/>
      <c r="AVI15" s="338"/>
      <c r="AVJ15" s="338"/>
      <c r="AVK15" s="338"/>
      <c r="AVL15" s="338"/>
      <c r="AVM15" s="338"/>
      <c r="AVN15" s="338"/>
      <c r="AVO15" s="338"/>
      <c r="AVP15" s="338"/>
      <c r="AVQ15" s="338"/>
      <c r="AVR15" s="338"/>
      <c r="AVS15" s="338"/>
      <c r="AVT15" s="338"/>
      <c r="AVU15" s="338"/>
      <c r="AVV15" s="338"/>
      <c r="AVW15" s="338"/>
      <c r="AVX15" s="338"/>
      <c r="AVY15" s="338"/>
      <c r="AVZ15" s="338"/>
      <c r="AWA15" s="338"/>
      <c r="AWB15" s="338"/>
      <c r="AWC15" s="338"/>
      <c r="AWD15" s="338"/>
      <c r="AWE15" s="338"/>
      <c r="AWF15" s="338"/>
      <c r="AWG15" s="338"/>
      <c r="AWH15" s="338"/>
      <c r="AWI15" s="338"/>
      <c r="AWJ15" s="338"/>
      <c r="AWK15" s="338"/>
      <c r="AWL15" s="338"/>
      <c r="AWM15" s="338"/>
      <c r="AWN15" s="338"/>
      <c r="AWO15" s="338"/>
      <c r="AWP15" s="338"/>
      <c r="AWQ15" s="338"/>
      <c r="AWR15" s="338"/>
      <c r="AWS15" s="338"/>
      <c r="AWT15" s="338"/>
      <c r="AWU15" s="338"/>
      <c r="AWV15" s="338"/>
      <c r="AWW15" s="338"/>
      <c r="AWX15" s="338"/>
      <c r="AWY15" s="338"/>
      <c r="AWZ15" s="338"/>
      <c r="AXA15" s="338"/>
      <c r="AXB15" s="338"/>
      <c r="AXC15" s="338"/>
      <c r="AXD15" s="338"/>
      <c r="AXE15" s="338"/>
      <c r="AXF15" s="338"/>
      <c r="AXG15" s="338"/>
      <c r="AXH15" s="338"/>
      <c r="AXI15" s="338"/>
      <c r="AXJ15" s="338"/>
      <c r="AXK15" s="338"/>
      <c r="AXL15" s="338"/>
      <c r="AXM15" s="338"/>
      <c r="AXN15" s="338"/>
      <c r="AXO15" s="338"/>
      <c r="AXP15" s="338"/>
      <c r="AXQ15" s="338"/>
      <c r="AXR15" s="338"/>
      <c r="AXS15" s="338"/>
      <c r="AXT15" s="338"/>
      <c r="AXU15" s="338"/>
      <c r="AXV15" s="338"/>
      <c r="AXW15" s="338"/>
      <c r="AXX15" s="338"/>
      <c r="AXY15" s="338"/>
      <c r="AXZ15" s="338"/>
      <c r="AYA15" s="338"/>
      <c r="AYB15" s="338"/>
      <c r="AYC15" s="338"/>
      <c r="AYD15" s="338"/>
      <c r="AYE15" s="338"/>
      <c r="AYF15" s="338"/>
      <c r="AYG15" s="338"/>
      <c r="AYH15" s="338"/>
      <c r="AYI15" s="338"/>
      <c r="AYJ15" s="338"/>
      <c r="AYK15" s="338"/>
      <c r="AYL15" s="338"/>
      <c r="AYM15" s="338"/>
      <c r="AYN15" s="338"/>
      <c r="AYO15" s="338"/>
      <c r="AYP15" s="338"/>
      <c r="AYQ15" s="338"/>
      <c r="AYR15" s="338"/>
      <c r="AYS15" s="338"/>
      <c r="AYT15" s="338"/>
      <c r="AYU15" s="338"/>
      <c r="AYV15" s="338"/>
      <c r="AYW15" s="338"/>
      <c r="AYX15" s="338"/>
      <c r="AYY15" s="338"/>
      <c r="AYZ15" s="338"/>
      <c r="AZA15" s="338"/>
      <c r="AZB15" s="338"/>
      <c r="AZC15" s="338"/>
      <c r="AZD15" s="338"/>
      <c r="AZE15" s="338"/>
      <c r="AZF15" s="338"/>
      <c r="AZG15" s="338"/>
      <c r="AZH15" s="338"/>
      <c r="AZI15" s="338"/>
      <c r="AZJ15" s="338"/>
      <c r="AZK15" s="338"/>
      <c r="AZL15" s="338"/>
      <c r="AZM15" s="338"/>
      <c r="AZN15" s="338"/>
      <c r="AZO15" s="338"/>
      <c r="AZP15" s="338"/>
      <c r="AZQ15" s="338"/>
      <c r="AZR15" s="338"/>
      <c r="AZS15" s="338"/>
      <c r="AZT15" s="338"/>
      <c r="AZU15" s="338"/>
      <c r="AZV15" s="338"/>
      <c r="AZW15" s="338"/>
      <c r="AZX15" s="338"/>
      <c r="AZY15" s="338"/>
      <c r="AZZ15" s="338"/>
      <c r="BAA15" s="338"/>
      <c r="BAB15" s="338"/>
      <c r="BAC15" s="338"/>
      <c r="BAD15" s="338"/>
      <c r="BAE15" s="338"/>
      <c r="BAF15" s="338"/>
      <c r="BAG15" s="338"/>
      <c r="BAH15" s="338"/>
      <c r="BAI15" s="338"/>
      <c r="BAJ15" s="338"/>
      <c r="BAK15" s="338"/>
      <c r="BAL15" s="338"/>
      <c r="BAM15" s="338"/>
      <c r="BAN15" s="338"/>
      <c r="BAO15" s="338"/>
      <c r="BAP15" s="338"/>
      <c r="BAQ15" s="338"/>
      <c r="BAR15" s="338"/>
      <c r="BAS15" s="338"/>
      <c r="BAT15" s="338"/>
      <c r="BAU15" s="338"/>
      <c r="BAV15" s="338"/>
      <c r="BAW15" s="338"/>
      <c r="BAX15" s="338"/>
      <c r="BAY15" s="338"/>
      <c r="BAZ15" s="338"/>
      <c r="BBA15" s="338"/>
      <c r="BBB15" s="338"/>
      <c r="BBC15" s="338"/>
      <c r="BBD15" s="338"/>
      <c r="BBE15" s="338"/>
      <c r="BBF15" s="338"/>
      <c r="BBG15" s="338"/>
      <c r="BBH15" s="338"/>
      <c r="BBI15" s="338"/>
      <c r="BBJ15" s="338"/>
      <c r="BBK15" s="338"/>
      <c r="BBL15" s="338"/>
      <c r="BBM15" s="338"/>
      <c r="BBN15" s="338"/>
      <c r="BBO15" s="338"/>
      <c r="BBP15" s="338"/>
      <c r="BBQ15" s="338"/>
      <c r="BBR15" s="338"/>
      <c r="BBS15" s="338"/>
      <c r="BBT15" s="338"/>
      <c r="BBU15" s="338"/>
      <c r="BBV15" s="338"/>
      <c r="BBW15" s="338"/>
      <c r="BBX15" s="338"/>
      <c r="BBY15" s="338"/>
      <c r="BBZ15" s="338"/>
      <c r="BCA15" s="338"/>
      <c r="BCB15" s="338"/>
      <c r="BCC15" s="338"/>
      <c r="BCD15" s="338"/>
      <c r="BCE15" s="338"/>
      <c r="BCF15" s="338"/>
      <c r="BCG15" s="338"/>
      <c r="BCH15" s="338"/>
      <c r="BCI15" s="338"/>
      <c r="BCJ15" s="338"/>
      <c r="BCK15" s="338"/>
      <c r="BCL15" s="338"/>
      <c r="BCM15" s="338"/>
      <c r="BCN15" s="338"/>
      <c r="BCO15" s="338"/>
      <c r="BCP15" s="338"/>
      <c r="BCQ15" s="338"/>
      <c r="BCR15" s="338"/>
      <c r="BCS15" s="338"/>
      <c r="BCT15" s="338"/>
      <c r="BCU15" s="338"/>
      <c r="BCV15" s="338"/>
      <c r="BCW15" s="338"/>
      <c r="BCX15" s="338"/>
      <c r="BCY15" s="338"/>
      <c r="BCZ15" s="338"/>
      <c r="BDA15" s="338"/>
      <c r="BDB15" s="338"/>
      <c r="BDC15" s="338"/>
      <c r="BDD15" s="338"/>
      <c r="BDE15" s="338"/>
      <c r="BDF15" s="338"/>
      <c r="BDG15" s="338"/>
      <c r="BDH15" s="338"/>
      <c r="BDI15" s="338"/>
      <c r="BDJ15" s="338"/>
      <c r="BDK15" s="338"/>
      <c r="BDL15" s="338"/>
      <c r="BDM15" s="338"/>
      <c r="BDN15" s="338"/>
      <c r="BDO15" s="338"/>
      <c r="BDP15" s="338"/>
      <c r="BDQ15" s="338"/>
      <c r="BDR15" s="338"/>
      <c r="BDS15" s="338"/>
      <c r="BDT15" s="338"/>
      <c r="BDU15" s="338"/>
      <c r="BDV15" s="338"/>
      <c r="BDW15" s="338"/>
      <c r="BDX15" s="338"/>
      <c r="BDY15" s="338"/>
      <c r="BDZ15" s="338"/>
      <c r="BEA15" s="338"/>
      <c r="BEB15" s="338"/>
      <c r="BEC15" s="338"/>
      <c r="BED15" s="338"/>
      <c r="BEE15" s="338"/>
      <c r="BEF15" s="338"/>
      <c r="BEG15" s="338"/>
      <c r="BEH15" s="338"/>
      <c r="BEI15" s="338"/>
      <c r="BEJ15" s="338"/>
      <c r="BEK15" s="338"/>
      <c r="BEL15" s="338"/>
      <c r="BEM15" s="338"/>
      <c r="BEN15" s="338"/>
      <c r="BEO15" s="338"/>
      <c r="BEP15" s="338"/>
      <c r="BEQ15" s="338"/>
      <c r="BER15" s="338"/>
      <c r="BES15" s="338"/>
      <c r="BET15" s="338"/>
      <c r="BEU15" s="338"/>
      <c r="BEV15" s="338"/>
      <c r="BEW15" s="338"/>
      <c r="BEX15" s="338"/>
      <c r="BEY15" s="338"/>
      <c r="BEZ15" s="338"/>
      <c r="BFA15" s="338"/>
      <c r="BFB15" s="338"/>
      <c r="BFC15" s="338"/>
      <c r="BFD15" s="338"/>
      <c r="BFE15" s="338"/>
      <c r="BFF15" s="338"/>
      <c r="BFG15" s="338"/>
      <c r="BFH15" s="338"/>
      <c r="BFI15" s="338"/>
      <c r="BFJ15" s="338"/>
      <c r="BFK15" s="338"/>
      <c r="BFL15" s="338"/>
      <c r="BFM15" s="338"/>
      <c r="BFN15" s="338"/>
      <c r="BFO15" s="338"/>
      <c r="BFP15" s="338"/>
      <c r="BFQ15" s="338"/>
      <c r="BFR15" s="338"/>
      <c r="BFS15" s="338"/>
      <c r="BFT15" s="338"/>
      <c r="BFU15" s="338"/>
      <c r="BFV15" s="338"/>
      <c r="BFW15" s="338"/>
      <c r="BFX15" s="338"/>
      <c r="BFY15" s="338"/>
      <c r="BFZ15" s="338"/>
      <c r="BGA15" s="338"/>
      <c r="BGB15" s="338"/>
      <c r="BGC15" s="338"/>
      <c r="BGD15" s="338"/>
      <c r="BGE15" s="338"/>
      <c r="BGF15" s="338"/>
      <c r="BGG15" s="338"/>
      <c r="BGH15" s="338"/>
      <c r="BGI15" s="338"/>
      <c r="BGJ15" s="338"/>
      <c r="BGK15" s="338"/>
      <c r="BGL15" s="338"/>
      <c r="BGM15" s="338"/>
      <c r="BGN15" s="338"/>
      <c r="BGO15" s="338"/>
      <c r="BGP15" s="338"/>
      <c r="BGQ15" s="338"/>
      <c r="BGR15" s="338"/>
      <c r="BGS15" s="338"/>
      <c r="BGT15" s="338"/>
      <c r="BGU15" s="338"/>
      <c r="BGV15" s="338"/>
      <c r="BGW15" s="338"/>
      <c r="BGX15" s="338"/>
      <c r="BGY15" s="338"/>
      <c r="BGZ15" s="338"/>
      <c r="BHA15" s="338"/>
      <c r="BHB15" s="338"/>
      <c r="BHC15" s="338"/>
      <c r="BHD15" s="338"/>
      <c r="BHE15" s="338"/>
      <c r="BHF15" s="338"/>
      <c r="BHG15" s="338"/>
      <c r="BHH15" s="338"/>
      <c r="BHI15" s="338"/>
      <c r="BHJ15" s="338"/>
      <c r="BHK15" s="338"/>
      <c r="BHL15" s="338"/>
      <c r="BHM15" s="338"/>
      <c r="BHN15" s="338"/>
      <c r="BHO15" s="338"/>
      <c r="BHP15" s="338"/>
      <c r="BHQ15" s="338"/>
      <c r="BHR15" s="338"/>
      <c r="BHS15" s="338"/>
      <c r="BHT15" s="338"/>
      <c r="BHU15" s="338"/>
      <c r="BHV15" s="338"/>
      <c r="BHW15" s="338"/>
      <c r="BHX15" s="338"/>
      <c r="BHY15" s="338"/>
      <c r="BHZ15" s="338"/>
      <c r="BIA15" s="338"/>
      <c r="BIB15" s="338"/>
      <c r="BIC15" s="338"/>
      <c r="BID15" s="338"/>
      <c r="BIE15" s="338"/>
      <c r="BIF15" s="338"/>
      <c r="BIG15" s="338"/>
      <c r="BIH15" s="338"/>
      <c r="BII15" s="338"/>
      <c r="BIJ15" s="338"/>
      <c r="BIK15" s="338"/>
      <c r="BIL15" s="338"/>
      <c r="BIM15" s="338"/>
      <c r="BIN15" s="338"/>
      <c r="BIO15" s="338"/>
      <c r="BIP15" s="338"/>
      <c r="BIQ15" s="338"/>
      <c r="BIR15" s="338"/>
      <c r="BIS15" s="338"/>
      <c r="BIT15" s="338"/>
      <c r="BIU15" s="338"/>
      <c r="BIV15" s="338"/>
      <c r="BIW15" s="338"/>
      <c r="BIX15" s="338"/>
      <c r="BIY15" s="338"/>
      <c r="BIZ15" s="338"/>
      <c r="BJA15" s="338"/>
      <c r="BJB15" s="338"/>
      <c r="BJC15" s="338"/>
      <c r="BJD15" s="338"/>
      <c r="BJE15" s="338"/>
      <c r="BJF15" s="338"/>
      <c r="BJG15" s="338"/>
      <c r="BJH15" s="338"/>
      <c r="BJI15" s="338"/>
      <c r="BJJ15" s="338"/>
      <c r="BJK15" s="338"/>
      <c r="BJL15" s="338"/>
      <c r="BJM15" s="338"/>
      <c r="BJN15" s="338"/>
      <c r="BJO15" s="338"/>
      <c r="BJP15" s="338"/>
      <c r="BJQ15" s="338"/>
      <c r="BJR15" s="338"/>
      <c r="BJS15" s="338"/>
      <c r="BJT15" s="338"/>
      <c r="BJU15" s="338"/>
      <c r="BJV15" s="338"/>
      <c r="BJW15" s="338"/>
      <c r="BJX15" s="338"/>
      <c r="BJY15" s="338"/>
      <c r="BJZ15" s="338"/>
      <c r="BKA15" s="338"/>
      <c r="BKB15" s="338"/>
      <c r="BKC15" s="338"/>
      <c r="BKD15" s="338"/>
      <c r="BKE15" s="338"/>
      <c r="BKF15" s="338"/>
      <c r="BKG15" s="338"/>
      <c r="BKH15" s="338"/>
      <c r="BKI15" s="338"/>
      <c r="BKJ15" s="338"/>
      <c r="BKK15" s="338"/>
      <c r="BKL15" s="338"/>
      <c r="BKM15" s="338"/>
      <c r="BKN15" s="338"/>
      <c r="BKO15" s="338"/>
      <c r="BKP15" s="338"/>
      <c r="BKQ15" s="338"/>
      <c r="BKR15" s="338"/>
      <c r="BKS15" s="338"/>
      <c r="BKT15" s="338"/>
      <c r="BKU15" s="338"/>
      <c r="BKV15" s="338"/>
      <c r="BKW15" s="338"/>
      <c r="BKX15" s="338"/>
      <c r="BKY15" s="338"/>
      <c r="BKZ15" s="338"/>
      <c r="BLA15" s="338"/>
      <c r="BLB15" s="338"/>
      <c r="BLC15" s="338"/>
      <c r="BLD15" s="338"/>
      <c r="BLE15" s="338"/>
      <c r="BLF15" s="338"/>
      <c r="BLG15" s="338"/>
      <c r="BLH15" s="338"/>
      <c r="BLI15" s="338"/>
      <c r="BLJ15" s="338"/>
      <c r="BLK15" s="338"/>
      <c r="BLL15" s="338"/>
      <c r="BLM15" s="338"/>
      <c r="BLN15" s="338"/>
      <c r="BLO15" s="338"/>
      <c r="BLP15" s="338"/>
      <c r="BLQ15" s="338"/>
      <c r="BLR15" s="338"/>
      <c r="BLS15" s="338"/>
      <c r="BLT15" s="338"/>
      <c r="BLU15" s="338"/>
      <c r="BLV15" s="338"/>
      <c r="BLW15" s="338"/>
      <c r="BLX15" s="338"/>
      <c r="BLY15" s="338"/>
      <c r="BLZ15" s="338"/>
      <c r="BMA15" s="338"/>
      <c r="BMB15" s="338"/>
      <c r="BMC15" s="338"/>
      <c r="BMD15" s="338"/>
      <c r="BME15" s="338"/>
      <c r="BMF15" s="338"/>
      <c r="BMG15" s="338"/>
      <c r="BMH15" s="338"/>
      <c r="BMI15" s="338"/>
      <c r="BMJ15" s="338"/>
      <c r="BMK15" s="338"/>
      <c r="BML15" s="338"/>
      <c r="BMM15" s="338"/>
      <c r="BMN15" s="338"/>
      <c r="BMO15" s="338"/>
      <c r="BMP15" s="338"/>
      <c r="BMQ15" s="338"/>
      <c r="BMR15" s="338"/>
      <c r="BMS15" s="338"/>
      <c r="BMT15" s="338"/>
      <c r="BMU15" s="338"/>
      <c r="BMV15" s="338"/>
      <c r="BMW15" s="338"/>
      <c r="BMX15" s="338"/>
      <c r="BMY15" s="338"/>
      <c r="BMZ15" s="338"/>
      <c r="BNA15" s="338"/>
      <c r="BNB15" s="338"/>
      <c r="BNC15" s="338"/>
      <c r="BND15" s="338"/>
      <c r="BNE15" s="338"/>
      <c r="BNF15" s="338"/>
      <c r="BNG15" s="338"/>
      <c r="BNH15" s="338"/>
      <c r="BNI15" s="338"/>
      <c r="BNJ15" s="338"/>
      <c r="BNK15" s="338"/>
      <c r="BNL15" s="338"/>
      <c r="BNM15" s="338"/>
      <c r="BNN15" s="338"/>
      <c r="BNO15" s="338"/>
      <c r="BNP15" s="338"/>
      <c r="BNQ15" s="338"/>
      <c r="BNR15" s="338"/>
      <c r="BNS15" s="338"/>
      <c r="BNT15" s="338"/>
      <c r="BNU15" s="338"/>
      <c r="BNV15" s="338"/>
      <c r="BNW15" s="338"/>
      <c r="BNX15" s="338"/>
      <c r="BNY15" s="338"/>
      <c r="BNZ15" s="338"/>
      <c r="BOA15" s="338"/>
      <c r="BOB15" s="338"/>
      <c r="BOC15" s="338"/>
      <c r="BOD15" s="338"/>
      <c r="BOE15" s="338"/>
      <c r="BOF15" s="338"/>
      <c r="BOG15" s="338"/>
      <c r="BOH15" s="338"/>
      <c r="BOI15" s="338"/>
      <c r="BOJ15" s="338"/>
      <c r="BOK15" s="338"/>
      <c r="BOL15" s="338"/>
      <c r="BOM15" s="338"/>
      <c r="BON15" s="338"/>
      <c r="BOO15" s="338"/>
      <c r="BOP15" s="338"/>
      <c r="BOQ15" s="338"/>
      <c r="BOR15" s="338"/>
      <c r="BOS15" s="338"/>
      <c r="BOT15" s="338"/>
      <c r="BOU15" s="338"/>
      <c r="BOV15" s="338"/>
      <c r="BOW15" s="338"/>
      <c r="BOX15" s="338"/>
      <c r="BOY15" s="338"/>
      <c r="BOZ15" s="338"/>
      <c r="BPA15" s="338"/>
      <c r="BPB15" s="338"/>
      <c r="BPC15" s="338"/>
      <c r="BPD15" s="338"/>
      <c r="BPE15" s="338"/>
      <c r="BPF15" s="338"/>
      <c r="BPG15" s="338"/>
      <c r="BPH15" s="338"/>
      <c r="BPI15" s="338"/>
      <c r="BPJ15" s="338"/>
      <c r="BPK15" s="338"/>
      <c r="BPL15" s="338"/>
      <c r="BPM15" s="338"/>
      <c r="BPN15" s="338"/>
      <c r="BPO15" s="338"/>
      <c r="BPP15" s="338"/>
      <c r="BPQ15" s="338"/>
      <c r="BPR15" s="338"/>
      <c r="BPS15" s="338"/>
      <c r="BPT15" s="338"/>
      <c r="BPU15" s="338"/>
      <c r="BPV15" s="338"/>
      <c r="BPW15" s="338"/>
      <c r="BPX15" s="338"/>
      <c r="BPY15" s="338"/>
      <c r="BPZ15" s="338"/>
      <c r="BQA15" s="338"/>
      <c r="BQB15" s="338"/>
      <c r="BQC15" s="338"/>
      <c r="BQD15" s="338"/>
      <c r="BQE15" s="338"/>
      <c r="BQF15" s="338"/>
      <c r="BQG15" s="338"/>
      <c r="BQH15" s="338"/>
      <c r="BQI15" s="338"/>
      <c r="BQJ15" s="338"/>
      <c r="BQK15" s="338"/>
      <c r="BQL15" s="338"/>
      <c r="BQM15" s="338"/>
      <c r="BQN15" s="338"/>
      <c r="BQO15" s="338"/>
      <c r="BQP15" s="338"/>
      <c r="BQQ15" s="338"/>
      <c r="BQR15" s="338"/>
      <c r="BQS15" s="338"/>
      <c r="BQT15" s="338"/>
      <c r="BQU15" s="338"/>
      <c r="BQV15" s="338"/>
      <c r="BQW15" s="338"/>
      <c r="BQX15" s="338"/>
      <c r="BQY15" s="338"/>
      <c r="BQZ15" s="338"/>
      <c r="BRA15" s="338"/>
      <c r="BRB15" s="338"/>
      <c r="BRC15" s="338"/>
      <c r="BRD15" s="338"/>
      <c r="BRE15" s="338"/>
      <c r="BRF15" s="338"/>
      <c r="BRG15" s="338"/>
      <c r="BRH15" s="338"/>
      <c r="BRI15" s="338"/>
      <c r="BRJ15" s="338"/>
      <c r="BRK15" s="338"/>
      <c r="BRL15" s="338"/>
      <c r="BRM15" s="338"/>
      <c r="BRN15" s="338"/>
      <c r="BRO15" s="338"/>
      <c r="BRP15" s="338"/>
      <c r="BRQ15" s="338"/>
      <c r="BRR15" s="338"/>
      <c r="BRS15" s="338"/>
      <c r="BRT15" s="338"/>
      <c r="BRU15" s="338"/>
      <c r="BRV15" s="338"/>
      <c r="BRW15" s="338"/>
      <c r="BRX15" s="338"/>
      <c r="BRY15" s="338"/>
      <c r="BRZ15" s="338"/>
      <c r="BSA15" s="338"/>
      <c r="BSB15" s="338"/>
      <c r="BSC15" s="338"/>
      <c r="BSD15" s="338"/>
      <c r="BSE15" s="338"/>
      <c r="BSF15" s="338"/>
      <c r="BSG15" s="338"/>
      <c r="BSH15" s="338"/>
      <c r="BSI15" s="338"/>
      <c r="BSJ15" s="338"/>
      <c r="BSK15" s="338"/>
      <c r="BSL15" s="338"/>
      <c r="BSM15" s="338"/>
      <c r="BSN15" s="338"/>
      <c r="BSO15" s="338"/>
      <c r="BSP15" s="338"/>
      <c r="BSQ15" s="338"/>
      <c r="BSR15" s="338"/>
      <c r="BSS15" s="338"/>
      <c r="BST15" s="338"/>
      <c r="BSU15" s="338"/>
      <c r="BSV15" s="338"/>
      <c r="BSW15" s="338"/>
      <c r="BSX15" s="338"/>
      <c r="BSY15" s="338"/>
      <c r="BSZ15" s="338"/>
      <c r="BTA15" s="338"/>
      <c r="BTB15" s="338"/>
      <c r="BTC15" s="338"/>
      <c r="BTD15" s="338"/>
      <c r="BTE15" s="338"/>
      <c r="BTF15" s="338"/>
      <c r="BTG15" s="338"/>
      <c r="BTH15" s="338"/>
      <c r="BTI15" s="338"/>
      <c r="BTJ15" s="338"/>
      <c r="BTK15" s="338"/>
      <c r="BTL15" s="338"/>
      <c r="BTM15" s="338"/>
      <c r="BTN15" s="338"/>
      <c r="BTO15" s="338"/>
      <c r="BTP15" s="338"/>
      <c r="BTQ15" s="338"/>
      <c r="BTR15" s="338"/>
      <c r="BTS15" s="338"/>
      <c r="BTT15" s="338"/>
      <c r="BTU15" s="338"/>
      <c r="BTV15" s="338"/>
      <c r="BTW15" s="338"/>
      <c r="BTX15" s="338"/>
      <c r="BTY15" s="338"/>
      <c r="BTZ15" s="338"/>
      <c r="BUA15" s="338"/>
      <c r="BUB15" s="338"/>
      <c r="BUC15" s="338"/>
      <c r="BUD15" s="338"/>
      <c r="BUE15" s="338"/>
      <c r="BUF15" s="338"/>
      <c r="BUG15" s="338"/>
      <c r="BUH15" s="338"/>
      <c r="BUI15" s="338"/>
      <c r="BUJ15" s="338"/>
      <c r="BUK15" s="338"/>
      <c r="BUL15" s="338"/>
      <c r="BUM15" s="338"/>
      <c r="BUN15" s="338"/>
      <c r="BUO15" s="338"/>
      <c r="BUP15" s="338"/>
      <c r="BUQ15" s="338"/>
      <c r="BUR15" s="338"/>
      <c r="BUS15" s="338"/>
      <c r="BUT15" s="338"/>
      <c r="BUU15" s="338"/>
      <c r="BUV15" s="338"/>
      <c r="BUW15" s="338"/>
      <c r="BUX15" s="338"/>
      <c r="BUY15" s="338"/>
      <c r="BUZ15" s="338"/>
      <c r="BVA15" s="338"/>
      <c r="BVB15" s="338"/>
      <c r="BVC15" s="338"/>
      <c r="BVD15" s="338"/>
      <c r="BVE15" s="338"/>
      <c r="BVF15" s="338"/>
      <c r="BVG15" s="338"/>
      <c r="BVH15" s="338"/>
      <c r="BVI15" s="338"/>
      <c r="BVJ15" s="338"/>
      <c r="BVK15" s="338"/>
      <c r="BVL15" s="338"/>
      <c r="BVM15" s="338"/>
      <c r="BVN15" s="338"/>
      <c r="BVO15" s="338"/>
      <c r="BVP15" s="338"/>
      <c r="BVQ15" s="338"/>
      <c r="BVR15" s="338"/>
      <c r="BVS15" s="338"/>
      <c r="BVT15" s="338"/>
      <c r="BVU15" s="338"/>
      <c r="BVV15" s="338"/>
      <c r="BVW15" s="338"/>
      <c r="BVX15" s="338"/>
      <c r="BVY15" s="338"/>
      <c r="BVZ15" s="338"/>
      <c r="BWA15" s="338"/>
      <c r="BWB15" s="338"/>
      <c r="BWC15" s="338"/>
      <c r="BWD15" s="338"/>
      <c r="BWE15" s="338"/>
      <c r="BWF15" s="338"/>
      <c r="BWG15" s="338"/>
      <c r="BWH15" s="338"/>
      <c r="BWI15" s="338"/>
      <c r="BWJ15" s="338"/>
      <c r="BWK15" s="338"/>
      <c r="BWL15" s="338"/>
      <c r="BWM15" s="338"/>
      <c r="BWN15" s="338"/>
      <c r="BWO15" s="338"/>
      <c r="BWP15" s="338"/>
      <c r="BWQ15" s="338"/>
      <c r="BWR15" s="338"/>
      <c r="BWS15" s="338"/>
      <c r="BWT15" s="338"/>
      <c r="BWU15" s="338"/>
      <c r="BWV15" s="338"/>
      <c r="BWW15" s="338"/>
      <c r="BWX15" s="338"/>
      <c r="BWY15" s="338"/>
      <c r="BWZ15" s="338"/>
      <c r="BXA15" s="338"/>
      <c r="BXB15" s="338"/>
      <c r="BXC15" s="338"/>
      <c r="BXD15" s="338"/>
      <c r="BXE15" s="338"/>
      <c r="BXF15" s="338"/>
      <c r="BXG15" s="338"/>
      <c r="BXH15" s="338"/>
      <c r="BXI15" s="338"/>
      <c r="BXJ15" s="338"/>
      <c r="BXK15" s="338"/>
      <c r="BXL15" s="338"/>
      <c r="BXM15" s="338"/>
      <c r="BXN15" s="338"/>
      <c r="BXO15" s="338"/>
      <c r="BXP15" s="338"/>
      <c r="BXQ15" s="338"/>
      <c r="BXR15" s="338"/>
      <c r="BXS15" s="338"/>
      <c r="BXT15" s="338"/>
      <c r="BXU15" s="338"/>
      <c r="BXV15" s="338"/>
      <c r="BXW15" s="338"/>
      <c r="BXX15" s="338"/>
      <c r="BXY15" s="338"/>
      <c r="BXZ15" s="338"/>
      <c r="BYA15" s="338"/>
      <c r="BYB15" s="338"/>
      <c r="BYC15" s="338"/>
      <c r="BYD15" s="338"/>
      <c r="BYE15" s="338"/>
      <c r="BYF15" s="338"/>
      <c r="BYG15" s="338"/>
      <c r="BYH15" s="338"/>
      <c r="BYI15" s="338"/>
      <c r="BYJ15" s="338"/>
      <c r="BYK15" s="338"/>
      <c r="BYL15" s="338"/>
      <c r="BYM15" s="338"/>
      <c r="BYN15" s="338"/>
      <c r="BYO15" s="338"/>
      <c r="BYP15" s="338"/>
      <c r="BYQ15" s="338"/>
      <c r="BYR15" s="338"/>
      <c r="BYS15" s="338"/>
      <c r="BYT15" s="338"/>
      <c r="BYU15" s="338"/>
      <c r="BYV15" s="338"/>
      <c r="BYW15" s="338"/>
      <c r="BYX15" s="338"/>
      <c r="BYY15" s="338"/>
      <c r="BYZ15" s="338"/>
      <c r="BZA15" s="338"/>
      <c r="BZB15" s="338"/>
      <c r="BZC15" s="338"/>
      <c r="BZD15" s="338"/>
      <c r="BZE15" s="338"/>
      <c r="BZF15" s="338"/>
      <c r="BZG15" s="338"/>
      <c r="BZH15" s="338"/>
      <c r="BZI15" s="338"/>
      <c r="BZJ15" s="338"/>
      <c r="BZK15" s="338"/>
      <c r="BZL15" s="338"/>
      <c r="BZM15" s="338"/>
      <c r="BZN15" s="338"/>
      <c r="BZO15" s="338"/>
      <c r="BZP15" s="338"/>
      <c r="BZQ15" s="338"/>
      <c r="BZR15" s="338"/>
      <c r="BZS15" s="338"/>
      <c r="BZT15" s="338"/>
      <c r="BZU15" s="338"/>
      <c r="BZV15" s="338"/>
      <c r="BZW15" s="338"/>
      <c r="BZX15" s="338"/>
      <c r="BZY15" s="338"/>
      <c r="BZZ15" s="338"/>
      <c r="CAA15" s="338"/>
      <c r="CAB15" s="338"/>
      <c r="CAC15" s="338"/>
      <c r="CAD15" s="338"/>
      <c r="CAE15" s="338"/>
      <c r="CAF15" s="338"/>
      <c r="CAG15" s="338"/>
      <c r="CAH15" s="338"/>
      <c r="CAI15" s="338"/>
      <c r="CAJ15" s="338"/>
      <c r="CAK15" s="338"/>
      <c r="CAL15" s="338"/>
      <c r="CAM15" s="338"/>
      <c r="CAN15" s="338"/>
      <c r="CAO15" s="338"/>
      <c r="CAP15" s="338"/>
      <c r="CAQ15" s="338"/>
      <c r="CAR15" s="338"/>
      <c r="CAS15" s="338"/>
      <c r="CAT15" s="338"/>
      <c r="CAU15" s="338"/>
      <c r="CAV15" s="338"/>
      <c r="CAW15" s="338"/>
      <c r="CAX15" s="338"/>
      <c r="CAY15" s="338"/>
      <c r="CAZ15" s="338"/>
      <c r="CBA15" s="338"/>
      <c r="CBB15" s="338"/>
      <c r="CBC15" s="338"/>
      <c r="CBD15" s="338"/>
      <c r="CBE15" s="338"/>
      <c r="CBF15" s="338"/>
      <c r="CBG15" s="338"/>
      <c r="CBH15" s="338"/>
      <c r="CBI15" s="338"/>
      <c r="CBJ15" s="338"/>
      <c r="CBK15" s="338"/>
      <c r="CBL15" s="338"/>
      <c r="CBM15" s="338"/>
      <c r="CBN15" s="338"/>
      <c r="CBO15" s="338"/>
      <c r="CBP15" s="338"/>
      <c r="CBQ15" s="338"/>
      <c r="CBR15" s="338"/>
      <c r="CBS15" s="338"/>
      <c r="CBT15" s="338"/>
      <c r="CBU15" s="338"/>
      <c r="CBV15" s="338"/>
      <c r="CBW15" s="338"/>
      <c r="CBX15" s="338"/>
      <c r="CBY15" s="338"/>
      <c r="CBZ15" s="338"/>
      <c r="CCA15" s="338"/>
      <c r="CCB15" s="338"/>
      <c r="CCC15" s="338"/>
      <c r="CCD15" s="338"/>
      <c r="CCE15" s="338"/>
      <c r="CCF15" s="338"/>
      <c r="CCG15" s="338"/>
      <c r="CCH15" s="338"/>
      <c r="CCI15" s="338"/>
      <c r="CCJ15" s="338"/>
      <c r="CCK15" s="338"/>
      <c r="CCL15" s="338"/>
      <c r="CCM15" s="338"/>
      <c r="CCN15" s="338"/>
      <c r="CCO15" s="338"/>
      <c r="CCP15" s="338"/>
      <c r="CCQ15" s="338"/>
      <c r="CCR15" s="338"/>
      <c r="CCS15" s="338"/>
      <c r="CCT15" s="338"/>
      <c r="CCU15" s="338"/>
      <c r="CCV15" s="338"/>
      <c r="CCW15" s="338"/>
      <c r="CCX15" s="338"/>
      <c r="CCY15" s="338"/>
      <c r="CCZ15" s="338"/>
      <c r="CDA15" s="338"/>
      <c r="CDB15" s="338"/>
      <c r="CDC15" s="338"/>
      <c r="CDD15" s="338"/>
      <c r="CDE15" s="338"/>
      <c r="CDF15" s="338"/>
      <c r="CDG15" s="338"/>
      <c r="CDH15" s="338"/>
      <c r="CDI15" s="338"/>
      <c r="CDJ15" s="338"/>
      <c r="CDK15" s="338"/>
      <c r="CDL15" s="338"/>
      <c r="CDM15" s="338"/>
      <c r="CDN15" s="338"/>
      <c r="CDO15" s="338"/>
      <c r="CDP15" s="338"/>
      <c r="CDQ15" s="338"/>
      <c r="CDR15" s="338"/>
      <c r="CDS15" s="338"/>
      <c r="CDT15" s="338"/>
      <c r="CDU15" s="338"/>
      <c r="CDV15" s="338"/>
      <c r="CDW15" s="338"/>
      <c r="CDX15" s="338"/>
      <c r="CDY15" s="338"/>
      <c r="CDZ15" s="338"/>
      <c r="CEA15" s="338"/>
      <c r="CEB15" s="338"/>
      <c r="CEC15" s="338"/>
      <c r="CED15" s="338"/>
      <c r="CEE15" s="338"/>
      <c r="CEF15" s="338"/>
      <c r="CEG15" s="338"/>
      <c r="CEH15" s="338"/>
      <c r="CEI15" s="338"/>
      <c r="CEJ15" s="338"/>
      <c r="CEK15" s="338"/>
      <c r="CEL15" s="338"/>
      <c r="CEM15" s="338"/>
      <c r="CEN15" s="338"/>
      <c r="CEO15" s="338"/>
      <c r="CEP15" s="338"/>
      <c r="CEQ15" s="338"/>
      <c r="CER15" s="338"/>
      <c r="CES15" s="338"/>
      <c r="CET15" s="338"/>
      <c r="CEU15" s="338"/>
      <c r="CEV15" s="338"/>
      <c r="CEW15" s="338"/>
      <c r="CEX15" s="338"/>
      <c r="CEY15" s="338"/>
      <c r="CEZ15" s="338"/>
      <c r="CFA15" s="338"/>
      <c r="CFB15" s="338"/>
      <c r="CFC15" s="338"/>
      <c r="CFD15" s="338"/>
      <c r="CFE15" s="338"/>
      <c r="CFF15" s="338"/>
      <c r="CFG15" s="338"/>
      <c r="CFH15" s="338"/>
      <c r="CFI15" s="338"/>
      <c r="CFJ15" s="338"/>
      <c r="CFK15" s="338"/>
      <c r="CFL15" s="338"/>
      <c r="CFM15" s="338"/>
      <c r="CFN15" s="338"/>
      <c r="CFO15" s="338"/>
      <c r="CFP15" s="338"/>
      <c r="CFQ15" s="338"/>
      <c r="CFR15" s="338"/>
      <c r="CFS15" s="338"/>
      <c r="CFT15" s="338"/>
      <c r="CFU15" s="338"/>
      <c r="CFV15" s="338"/>
      <c r="CFW15" s="338"/>
      <c r="CFX15" s="338"/>
      <c r="CFY15" s="338"/>
      <c r="CFZ15" s="338"/>
      <c r="CGA15" s="338"/>
      <c r="CGB15" s="338"/>
      <c r="CGC15" s="338"/>
      <c r="CGD15" s="338"/>
      <c r="CGE15" s="338"/>
      <c r="CGF15" s="338"/>
      <c r="CGG15" s="338"/>
      <c r="CGH15" s="338"/>
      <c r="CGI15" s="338"/>
      <c r="CGJ15" s="338"/>
      <c r="CGK15" s="338"/>
      <c r="CGL15" s="338"/>
      <c r="CGM15" s="338"/>
      <c r="CGN15" s="338"/>
      <c r="CGO15" s="338"/>
      <c r="CGP15" s="338"/>
      <c r="CGQ15" s="338"/>
      <c r="CGR15" s="338"/>
      <c r="CGS15" s="338"/>
      <c r="CGT15" s="338"/>
      <c r="CGU15" s="338"/>
      <c r="CGV15" s="338"/>
      <c r="CGW15" s="338"/>
      <c r="CGX15" s="338"/>
      <c r="CGY15" s="338"/>
      <c r="CGZ15" s="338"/>
      <c r="CHA15" s="338"/>
      <c r="CHB15" s="338"/>
      <c r="CHC15" s="338"/>
      <c r="CHD15" s="338"/>
      <c r="CHE15" s="338"/>
      <c r="CHF15" s="338"/>
      <c r="CHG15" s="338"/>
      <c r="CHH15" s="338"/>
      <c r="CHI15" s="338"/>
      <c r="CHJ15" s="338"/>
      <c r="CHK15" s="338"/>
      <c r="CHL15" s="338"/>
      <c r="CHM15" s="338"/>
      <c r="CHN15" s="338"/>
      <c r="CHO15" s="338"/>
      <c r="CHP15" s="338"/>
      <c r="CHQ15" s="338"/>
      <c r="CHR15" s="338"/>
      <c r="CHS15" s="338"/>
      <c r="CHT15" s="338"/>
      <c r="CHU15" s="338"/>
      <c r="CHV15" s="338"/>
      <c r="CHW15" s="338"/>
      <c r="CHX15" s="338"/>
      <c r="CHY15" s="338"/>
      <c r="CHZ15" s="338"/>
      <c r="CIA15" s="338"/>
      <c r="CIB15" s="338"/>
      <c r="CIC15" s="338"/>
      <c r="CID15" s="338"/>
      <c r="CIE15" s="338"/>
      <c r="CIF15" s="338"/>
      <c r="CIG15" s="338"/>
      <c r="CIH15" s="338"/>
      <c r="CII15" s="338"/>
      <c r="CIJ15" s="338"/>
      <c r="CIK15" s="338"/>
      <c r="CIL15" s="338"/>
      <c r="CIM15" s="338"/>
      <c r="CIN15" s="338"/>
      <c r="CIO15" s="338"/>
      <c r="CIP15" s="338"/>
      <c r="CIQ15" s="338"/>
      <c r="CIR15" s="338"/>
      <c r="CIS15" s="338"/>
      <c r="CIT15" s="338"/>
      <c r="CIU15" s="338"/>
      <c r="CIV15" s="338"/>
      <c r="CIW15" s="338"/>
      <c r="CIX15" s="338"/>
      <c r="CIY15" s="338"/>
      <c r="CIZ15" s="338"/>
      <c r="CJA15" s="338"/>
      <c r="CJB15" s="338"/>
      <c r="CJC15" s="338"/>
      <c r="CJD15" s="338"/>
      <c r="CJE15" s="338"/>
      <c r="CJF15" s="338"/>
      <c r="CJG15" s="338"/>
      <c r="CJH15" s="338"/>
      <c r="CJI15" s="338"/>
      <c r="CJJ15" s="338"/>
      <c r="CJK15" s="338"/>
      <c r="CJL15" s="338"/>
      <c r="CJM15" s="338"/>
      <c r="CJN15" s="338"/>
      <c r="CJO15" s="338"/>
      <c r="CJP15" s="338"/>
      <c r="CJQ15" s="338"/>
      <c r="CJR15" s="338"/>
      <c r="CJS15" s="338"/>
      <c r="CJT15" s="338"/>
      <c r="CJU15" s="338"/>
      <c r="CJV15" s="338"/>
      <c r="CJW15" s="338"/>
      <c r="CJX15" s="338"/>
      <c r="CJY15" s="338"/>
      <c r="CJZ15" s="338"/>
      <c r="CKA15" s="338"/>
      <c r="CKB15" s="338"/>
      <c r="CKC15" s="338"/>
      <c r="CKD15" s="338"/>
      <c r="CKE15" s="338"/>
      <c r="CKF15" s="338"/>
      <c r="CKG15" s="338"/>
      <c r="CKH15" s="338"/>
      <c r="CKI15" s="338"/>
      <c r="CKJ15" s="338"/>
      <c r="CKK15" s="338"/>
      <c r="CKL15" s="338"/>
      <c r="CKM15" s="338"/>
      <c r="CKN15" s="338"/>
      <c r="CKO15" s="338"/>
      <c r="CKP15" s="338"/>
      <c r="CKQ15" s="338"/>
      <c r="CKR15" s="338"/>
      <c r="CKS15" s="338"/>
      <c r="CKT15" s="338"/>
      <c r="CKU15" s="338"/>
      <c r="CKV15" s="338"/>
      <c r="CKW15" s="338"/>
      <c r="CKX15" s="338"/>
      <c r="CKY15" s="338"/>
      <c r="CKZ15" s="338"/>
      <c r="CLA15" s="338"/>
      <c r="CLB15" s="338"/>
      <c r="CLC15" s="338"/>
      <c r="CLD15" s="338"/>
      <c r="CLE15" s="338"/>
      <c r="CLF15" s="338"/>
      <c r="CLG15" s="338"/>
      <c r="CLH15" s="338"/>
      <c r="CLI15" s="338"/>
      <c r="CLJ15" s="338"/>
      <c r="CLK15" s="338"/>
      <c r="CLL15" s="338"/>
      <c r="CLM15" s="338"/>
      <c r="CLN15" s="338"/>
      <c r="CLO15" s="338"/>
      <c r="CLP15" s="338"/>
      <c r="CLQ15" s="338"/>
      <c r="CLR15" s="338"/>
      <c r="CLS15" s="338"/>
      <c r="CLT15" s="338"/>
      <c r="CLU15" s="338"/>
      <c r="CLV15" s="338"/>
      <c r="CLW15" s="338"/>
      <c r="CLX15" s="338"/>
      <c r="CLY15" s="338"/>
      <c r="CLZ15" s="338"/>
      <c r="CMA15" s="338"/>
      <c r="CMB15" s="338"/>
      <c r="CMC15" s="338"/>
      <c r="CMD15" s="338"/>
      <c r="CME15" s="338"/>
      <c r="CMF15" s="338"/>
      <c r="CMG15" s="338"/>
      <c r="CMH15" s="338"/>
      <c r="CMI15" s="338"/>
      <c r="CMJ15" s="338"/>
      <c r="CMK15" s="338"/>
      <c r="CML15" s="338"/>
      <c r="CMM15" s="338"/>
      <c r="CMN15" s="338"/>
      <c r="CMO15" s="338"/>
      <c r="CMP15" s="338"/>
      <c r="CMQ15" s="338"/>
      <c r="CMR15" s="338"/>
      <c r="CMS15" s="338"/>
      <c r="CMT15" s="338"/>
      <c r="CMU15" s="338"/>
      <c r="CMV15" s="338"/>
      <c r="CMW15" s="338"/>
      <c r="CMX15" s="338"/>
      <c r="CMY15" s="338"/>
      <c r="CMZ15" s="338"/>
      <c r="CNA15" s="338"/>
      <c r="CNB15" s="338"/>
      <c r="CNC15" s="338"/>
      <c r="CND15" s="338"/>
      <c r="CNE15" s="338"/>
      <c r="CNF15" s="338"/>
      <c r="CNG15" s="338"/>
      <c r="CNH15" s="338"/>
      <c r="CNI15" s="338"/>
      <c r="CNJ15" s="338"/>
      <c r="CNK15" s="338"/>
      <c r="CNL15" s="338"/>
      <c r="CNM15" s="338"/>
      <c r="CNN15" s="338"/>
      <c r="CNO15" s="338"/>
      <c r="CNP15" s="338"/>
      <c r="CNQ15" s="338"/>
      <c r="CNR15" s="338"/>
      <c r="CNS15" s="338"/>
      <c r="CNT15" s="338"/>
      <c r="CNU15" s="338"/>
      <c r="CNV15" s="338"/>
      <c r="CNW15" s="338"/>
      <c r="CNX15" s="338"/>
      <c r="CNY15" s="338"/>
      <c r="CNZ15" s="338"/>
      <c r="COA15" s="338"/>
      <c r="COB15" s="338"/>
      <c r="COC15" s="338"/>
      <c r="COD15" s="338"/>
      <c r="COE15" s="338"/>
      <c r="COF15" s="338"/>
      <c r="COG15" s="338"/>
      <c r="COH15" s="338"/>
      <c r="COI15" s="338"/>
      <c r="COJ15" s="338"/>
      <c r="COK15" s="338"/>
      <c r="COL15" s="338"/>
      <c r="COM15" s="338"/>
      <c r="CON15" s="338"/>
      <c r="COO15" s="338"/>
      <c r="COP15" s="338"/>
      <c r="COQ15" s="338"/>
      <c r="COR15" s="338"/>
      <c r="COS15" s="338"/>
      <c r="COT15" s="338"/>
      <c r="COU15" s="338"/>
      <c r="COV15" s="338"/>
      <c r="COW15" s="338"/>
      <c r="COX15" s="338"/>
      <c r="COY15" s="338"/>
      <c r="COZ15" s="338"/>
      <c r="CPA15" s="338"/>
      <c r="CPB15" s="338"/>
      <c r="CPC15" s="338"/>
      <c r="CPD15" s="338"/>
      <c r="CPE15" s="338"/>
      <c r="CPF15" s="338"/>
      <c r="CPG15" s="338"/>
      <c r="CPH15" s="338"/>
      <c r="CPI15" s="338"/>
      <c r="CPJ15" s="338"/>
      <c r="CPK15" s="338"/>
      <c r="CPL15" s="338"/>
      <c r="CPM15" s="338"/>
      <c r="CPN15" s="338"/>
      <c r="CPO15" s="338"/>
      <c r="CPP15" s="338"/>
      <c r="CPQ15" s="338"/>
      <c r="CPR15" s="338"/>
      <c r="CPS15" s="338"/>
      <c r="CPT15" s="338"/>
      <c r="CPU15" s="338"/>
      <c r="CPV15" s="338"/>
      <c r="CPW15" s="338"/>
      <c r="CPX15" s="338"/>
      <c r="CPY15" s="338"/>
      <c r="CPZ15" s="338"/>
      <c r="CQA15" s="338"/>
      <c r="CQB15" s="338"/>
      <c r="CQC15" s="338"/>
      <c r="CQD15" s="338"/>
      <c r="CQE15" s="338"/>
      <c r="CQF15" s="338"/>
      <c r="CQG15" s="338"/>
      <c r="CQH15" s="338"/>
      <c r="CQI15" s="338"/>
      <c r="CQJ15" s="338"/>
      <c r="CQK15" s="338"/>
      <c r="CQL15" s="338"/>
      <c r="CQM15" s="338"/>
      <c r="CQN15" s="338"/>
      <c r="CQO15" s="338"/>
      <c r="CQP15" s="338"/>
      <c r="CQQ15" s="338"/>
      <c r="CQR15" s="338"/>
      <c r="CQS15" s="338"/>
      <c r="CQT15" s="338"/>
      <c r="CQU15" s="338"/>
      <c r="CQV15" s="338"/>
      <c r="CQW15" s="338"/>
      <c r="CQX15" s="338"/>
      <c r="CQY15" s="338"/>
      <c r="CQZ15" s="338"/>
      <c r="CRA15" s="338"/>
      <c r="CRB15" s="338"/>
      <c r="CRC15" s="338"/>
      <c r="CRD15" s="338"/>
      <c r="CRE15" s="338"/>
      <c r="CRF15" s="338"/>
      <c r="CRG15" s="338"/>
      <c r="CRH15" s="338"/>
      <c r="CRI15" s="338"/>
      <c r="CRJ15" s="338"/>
      <c r="CRK15" s="338"/>
      <c r="CRL15" s="338"/>
      <c r="CRM15" s="338"/>
      <c r="CRN15" s="338"/>
      <c r="CRO15" s="338"/>
      <c r="CRP15" s="338"/>
      <c r="CRQ15" s="338"/>
      <c r="CRR15" s="338"/>
      <c r="CRS15" s="338"/>
      <c r="CRT15" s="338"/>
      <c r="CRU15" s="338"/>
      <c r="CRV15" s="338"/>
      <c r="CRW15" s="338"/>
      <c r="CRX15" s="338"/>
      <c r="CRY15" s="338"/>
      <c r="CRZ15" s="338"/>
      <c r="CSA15" s="338"/>
      <c r="CSB15" s="338"/>
      <c r="CSC15" s="338"/>
      <c r="CSD15" s="338"/>
      <c r="CSE15" s="338"/>
      <c r="CSF15" s="338"/>
      <c r="CSG15" s="338"/>
      <c r="CSH15" s="338"/>
      <c r="CSI15" s="338"/>
      <c r="CSJ15" s="338"/>
      <c r="CSK15" s="338"/>
      <c r="CSL15" s="338"/>
      <c r="CSM15" s="338"/>
      <c r="CSN15" s="338"/>
      <c r="CSO15" s="338"/>
      <c r="CSP15" s="338"/>
      <c r="CSQ15" s="338"/>
      <c r="CSR15" s="338"/>
      <c r="CSS15" s="338"/>
      <c r="CST15" s="338"/>
      <c r="CSU15" s="338"/>
      <c r="CSV15" s="338"/>
      <c r="CSW15" s="338"/>
      <c r="CSX15" s="338"/>
      <c r="CSY15" s="338"/>
      <c r="CSZ15" s="338"/>
      <c r="CTA15" s="338"/>
      <c r="CTB15" s="338"/>
      <c r="CTC15" s="338"/>
      <c r="CTD15" s="338"/>
      <c r="CTE15" s="338"/>
      <c r="CTF15" s="338"/>
      <c r="CTG15" s="338"/>
      <c r="CTH15" s="338"/>
      <c r="CTI15" s="338"/>
      <c r="CTJ15" s="338"/>
      <c r="CTK15" s="338"/>
      <c r="CTL15" s="338"/>
      <c r="CTM15" s="338"/>
      <c r="CTN15" s="338"/>
      <c r="CTO15" s="338"/>
      <c r="CTP15" s="338"/>
      <c r="CTQ15" s="338"/>
      <c r="CTR15" s="338"/>
      <c r="CTS15" s="338"/>
      <c r="CTT15" s="338"/>
      <c r="CTU15" s="338"/>
      <c r="CTV15" s="338"/>
      <c r="CTW15" s="338"/>
      <c r="CTX15" s="338"/>
      <c r="CTY15" s="338"/>
      <c r="CTZ15" s="338"/>
      <c r="CUA15" s="338"/>
      <c r="CUB15" s="338"/>
      <c r="CUC15" s="338"/>
      <c r="CUD15" s="338"/>
      <c r="CUE15" s="338"/>
      <c r="CUF15" s="338"/>
      <c r="CUG15" s="338"/>
      <c r="CUH15" s="338"/>
      <c r="CUI15" s="338"/>
      <c r="CUJ15" s="338"/>
      <c r="CUK15" s="338"/>
      <c r="CUL15" s="338"/>
      <c r="CUM15" s="338"/>
      <c r="CUN15" s="338"/>
      <c r="CUO15" s="338"/>
      <c r="CUP15" s="338"/>
      <c r="CUQ15" s="338"/>
      <c r="CUR15" s="338"/>
      <c r="CUS15" s="338"/>
      <c r="CUT15" s="338"/>
      <c r="CUU15" s="338"/>
      <c r="CUV15" s="338"/>
      <c r="CUW15" s="338"/>
      <c r="CUX15" s="338"/>
      <c r="CUY15" s="338"/>
      <c r="CUZ15" s="338"/>
      <c r="CVA15" s="338"/>
      <c r="CVB15" s="338"/>
      <c r="CVC15" s="338"/>
      <c r="CVD15" s="338"/>
      <c r="CVE15" s="338"/>
      <c r="CVF15" s="338"/>
      <c r="CVG15" s="338"/>
      <c r="CVH15" s="338"/>
      <c r="CVI15" s="338"/>
      <c r="CVJ15" s="338"/>
      <c r="CVK15" s="338"/>
      <c r="CVL15" s="338"/>
      <c r="CVM15" s="338"/>
      <c r="CVN15" s="338"/>
      <c r="CVO15" s="338"/>
      <c r="CVP15" s="338"/>
      <c r="CVQ15" s="338"/>
      <c r="CVR15" s="338"/>
      <c r="CVS15" s="338"/>
      <c r="CVT15" s="338"/>
      <c r="CVU15" s="338"/>
      <c r="CVV15" s="338"/>
      <c r="CVW15" s="338"/>
      <c r="CVX15" s="338"/>
      <c r="CVY15" s="338"/>
      <c r="CVZ15" s="338"/>
      <c r="CWA15" s="338"/>
      <c r="CWB15" s="338"/>
      <c r="CWC15" s="338"/>
      <c r="CWD15" s="338"/>
      <c r="CWE15" s="338"/>
      <c r="CWF15" s="338"/>
      <c r="CWG15" s="338"/>
      <c r="CWH15" s="338"/>
      <c r="CWI15" s="338"/>
      <c r="CWJ15" s="338"/>
      <c r="CWK15" s="338"/>
      <c r="CWL15" s="338"/>
      <c r="CWM15" s="338"/>
      <c r="CWN15" s="338"/>
      <c r="CWO15" s="338"/>
      <c r="CWP15" s="338"/>
      <c r="CWQ15" s="338"/>
      <c r="CWR15" s="338"/>
      <c r="CWS15" s="338"/>
      <c r="CWT15" s="338"/>
      <c r="CWU15" s="338"/>
      <c r="CWV15" s="338"/>
      <c r="CWW15" s="338"/>
      <c r="CWX15" s="338"/>
      <c r="CWY15" s="338"/>
      <c r="CWZ15" s="338"/>
      <c r="CXA15" s="338"/>
      <c r="CXB15" s="338"/>
      <c r="CXC15" s="338"/>
      <c r="CXD15" s="338"/>
      <c r="CXE15" s="338"/>
      <c r="CXF15" s="338"/>
      <c r="CXG15" s="338"/>
      <c r="CXH15" s="338"/>
      <c r="CXI15" s="338"/>
      <c r="CXJ15" s="338"/>
      <c r="CXK15" s="338"/>
      <c r="CXL15" s="338"/>
      <c r="CXM15" s="338"/>
      <c r="CXN15" s="338"/>
      <c r="CXO15" s="338"/>
      <c r="CXP15" s="338"/>
      <c r="CXQ15" s="338"/>
      <c r="CXR15" s="338"/>
      <c r="CXS15" s="338"/>
      <c r="CXT15" s="338"/>
      <c r="CXU15" s="338"/>
      <c r="CXV15" s="338"/>
      <c r="CXW15" s="338"/>
      <c r="CXX15" s="338"/>
      <c r="CXY15" s="338"/>
      <c r="CXZ15" s="338"/>
      <c r="CYA15" s="338"/>
      <c r="CYB15" s="338"/>
      <c r="CYC15" s="338"/>
      <c r="CYD15" s="338"/>
      <c r="CYE15" s="338"/>
      <c r="CYF15" s="338"/>
      <c r="CYG15" s="338"/>
      <c r="CYH15" s="338"/>
      <c r="CYI15" s="338"/>
      <c r="CYJ15" s="338"/>
      <c r="CYK15" s="338"/>
      <c r="CYL15" s="338"/>
      <c r="CYM15" s="338"/>
      <c r="CYN15" s="338"/>
      <c r="CYO15" s="338"/>
      <c r="CYP15" s="338"/>
      <c r="CYQ15" s="338"/>
      <c r="CYR15" s="338"/>
      <c r="CYS15" s="338"/>
      <c r="CYT15" s="338"/>
      <c r="CYU15" s="338"/>
      <c r="CYV15" s="338"/>
      <c r="CYW15" s="338"/>
      <c r="CYX15" s="338"/>
      <c r="CYY15" s="338"/>
      <c r="CYZ15" s="338"/>
      <c r="CZA15" s="338"/>
      <c r="CZB15" s="338"/>
      <c r="CZC15" s="338"/>
      <c r="CZD15" s="338"/>
      <c r="CZE15" s="338"/>
      <c r="CZF15" s="338"/>
      <c r="CZG15" s="338"/>
      <c r="CZH15" s="338"/>
      <c r="CZI15" s="338"/>
      <c r="CZJ15" s="338"/>
      <c r="CZK15" s="338"/>
      <c r="CZL15" s="338"/>
      <c r="CZM15" s="338"/>
      <c r="CZN15" s="338"/>
      <c r="CZO15" s="338"/>
      <c r="CZP15" s="338"/>
      <c r="CZQ15" s="338"/>
      <c r="CZR15" s="338"/>
      <c r="CZS15" s="338"/>
      <c r="CZT15" s="338"/>
      <c r="CZU15" s="338"/>
      <c r="CZV15" s="338"/>
      <c r="CZW15" s="338"/>
      <c r="CZX15" s="338"/>
      <c r="CZY15" s="338"/>
      <c r="CZZ15" s="338"/>
      <c r="DAA15" s="338"/>
      <c r="DAB15" s="338"/>
      <c r="DAC15" s="338"/>
      <c r="DAD15" s="338"/>
      <c r="DAE15" s="338"/>
      <c r="DAF15" s="338"/>
      <c r="DAG15" s="338"/>
      <c r="DAH15" s="338"/>
      <c r="DAI15" s="338"/>
      <c r="DAJ15" s="338"/>
      <c r="DAK15" s="338"/>
      <c r="DAL15" s="338"/>
      <c r="DAM15" s="338"/>
      <c r="DAN15" s="338"/>
      <c r="DAO15" s="338"/>
      <c r="DAP15" s="338"/>
      <c r="DAQ15" s="338"/>
      <c r="DAR15" s="338"/>
      <c r="DAS15" s="338"/>
      <c r="DAT15" s="338"/>
      <c r="DAU15" s="338"/>
      <c r="DAV15" s="338"/>
      <c r="DAW15" s="338"/>
      <c r="DAX15" s="338"/>
      <c r="DAY15" s="338"/>
      <c r="DAZ15" s="338"/>
      <c r="DBA15" s="338"/>
      <c r="DBB15" s="338"/>
      <c r="DBC15" s="338"/>
      <c r="DBD15" s="338"/>
      <c r="DBE15" s="338"/>
      <c r="DBF15" s="338"/>
      <c r="DBG15" s="338"/>
      <c r="DBH15" s="338"/>
      <c r="DBI15" s="338"/>
      <c r="DBJ15" s="338"/>
      <c r="DBK15" s="338"/>
      <c r="DBL15" s="338"/>
      <c r="DBM15" s="338"/>
      <c r="DBN15" s="338"/>
      <c r="DBO15" s="338"/>
      <c r="DBP15" s="338"/>
      <c r="DBQ15" s="338"/>
      <c r="DBR15" s="338"/>
      <c r="DBS15" s="338"/>
      <c r="DBT15" s="338"/>
      <c r="DBU15" s="338"/>
      <c r="DBV15" s="338"/>
      <c r="DBW15" s="338"/>
      <c r="DBX15" s="338"/>
      <c r="DBY15" s="338"/>
      <c r="DBZ15" s="338"/>
      <c r="DCA15" s="338"/>
      <c r="DCB15" s="338"/>
      <c r="DCC15" s="338"/>
      <c r="DCD15" s="338"/>
      <c r="DCE15" s="338"/>
      <c r="DCF15" s="338"/>
      <c r="DCG15" s="338"/>
      <c r="DCH15" s="338"/>
      <c r="DCI15" s="338"/>
      <c r="DCJ15" s="338"/>
      <c r="DCK15" s="338"/>
      <c r="DCL15" s="338"/>
      <c r="DCM15" s="338"/>
      <c r="DCN15" s="338"/>
      <c r="DCO15" s="338"/>
      <c r="DCP15" s="338"/>
      <c r="DCQ15" s="338"/>
      <c r="DCR15" s="338"/>
      <c r="DCS15" s="338"/>
      <c r="DCT15" s="338"/>
      <c r="DCU15" s="338"/>
      <c r="DCV15" s="338"/>
      <c r="DCW15" s="338"/>
      <c r="DCX15" s="338"/>
      <c r="DCY15" s="338"/>
      <c r="DCZ15" s="338"/>
      <c r="DDA15" s="338"/>
      <c r="DDB15" s="338"/>
      <c r="DDC15" s="338"/>
      <c r="DDD15" s="338"/>
      <c r="DDE15" s="338"/>
      <c r="DDF15" s="338"/>
      <c r="DDG15" s="338"/>
      <c r="DDH15" s="338"/>
      <c r="DDI15" s="338"/>
      <c r="DDJ15" s="338"/>
      <c r="DDK15" s="338"/>
      <c r="DDL15" s="338"/>
      <c r="DDM15" s="338"/>
      <c r="DDN15" s="338"/>
      <c r="DDO15" s="338"/>
      <c r="DDP15" s="338"/>
      <c r="DDQ15" s="338"/>
      <c r="DDR15" s="338"/>
      <c r="DDS15" s="338"/>
      <c r="DDT15" s="338"/>
      <c r="DDU15" s="338"/>
      <c r="DDV15" s="338"/>
      <c r="DDW15" s="338"/>
      <c r="DDX15" s="338"/>
      <c r="DDY15" s="338"/>
      <c r="DDZ15" s="338"/>
      <c r="DEA15" s="338"/>
      <c r="DEB15" s="338"/>
      <c r="DEC15" s="338"/>
      <c r="DED15" s="338"/>
      <c r="DEE15" s="338"/>
      <c r="DEF15" s="338"/>
      <c r="DEG15" s="338"/>
      <c r="DEH15" s="338"/>
      <c r="DEI15" s="338"/>
      <c r="DEJ15" s="338"/>
      <c r="DEK15" s="338"/>
      <c r="DEL15" s="338"/>
      <c r="DEM15" s="338"/>
      <c r="DEN15" s="338"/>
      <c r="DEO15" s="338"/>
      <c r="DEP15" s="338"/>
      <c r="DEQ15" s="338"/>
      <c r="DER15" s="338"/>
      <c r="DES15" s="338"/>
      <c r="DET15" s="338"/>
      <c r="DEU15" s="338"/>
      <c r="DEV15" s="338"/>
      <c r="DEW15" s="338"/>
      <c r="DEX15" s="338"/>
      <c r="DEY15" s="338"/>
      <c r="DEZ15" s="338"/>
      <c r="DFA15" s="338"/>
      <c r="DFB15" s="338"/>
      <c r="DFC15" s="338"/>
      <c r="DFD15" s="338"/>
      <c r="DFE15" s="338"/>
      <c r="DFF15" s="338"/>
      <c r="DFG15" s="338"/>
      <c r="DFH15" s="338"/>
      <c r="DFI15" s="338"/>
      <c r="DFJ15" s="338"/>
      <c r="DFK15" s="338"/>
      <c r="DFL15" s="338"/>
      <c r="DFM15" s="338"/>
      <c r="DFN15" s="338"/>
      <c r="DFO15" s="338"/>
      <c r="DFP15" s="338"/>
      <c r="DFQ15" s="338"/>
      <c r="DFR15" s="338"/>
      <c r="DFS15" s="338"/>
      <c r="DFT15" s="338"/>
      <c r="DFU15" s="338"/>
      <c r="DFV15" s="338"/>
      <c r="DFW15" s="338"/>
      <c r="DFX15" s="338"/>
      <c r="DFY15" s="338"/>
      <c r="DFZ15" s="338"/>
      <c r="DGA15" s="338"/>
      <c r="DGB15" s="338"/>
      <c r="DGC15" s="338"/>
      <c r="DGD15" s="338"/>
      <c r="DGE15" s="338"/>
      <c r="DGF15" s="338"/>
      <c r="DGG15" s="338"/>
      <c r="DGH15" s="338"/>
      <c r="DGI15" s="338"/>
      <c r="DGJ15" s="338"/>
      <c r="DGK15" s="338"/>
      <c r="DGL15" s="338"/>
      <c r="DGM15" s="338"/>
      <c r="DGN15" s="338"/>
      <c r="DGO15" s="338"/>
      <c r="DGP15" s="338"/>
      <c r="DGQ15" s="338"/>
      <c r="DGR15" s="338"/>
      <c r="DGS15" s="338"/>
      <c r="DGT15" s="338"/>
      <c r="DGU15" s="338"/>
      <c r="DGV15" s="338"/>
      <c r="DGW15" s="338"/>
      <c r="DGX15" s="338"/>
      <c r="DGY15" s="338"/>
      <c r="DGZ15" s="338"/>
      <c r="DHA15" s="338"/>
      <c r="DHB15" s="338"/>
      <c r="DHC15" s="338"/>
      <c r="DHD15" s="338"/>
      <c r="DHE15" s="338"/>
      <c r="DHF15" s="338"/>
      <c r="DHG15" s="338"/>
      <c r="DHH15" s="338"/>
      <c r="DHI15" s="338"/>
      <c r="DHJ15" s="338"/>
      <c r="DHK15" s="338"/>
      <c r="DHL15" s="338"/>
      <c r="DHM15" s="338"/>
      <c r="DHN15" s="338"/>
      <c r="DHO15" s="338"/>
      <c r="DHP15" s="338"/>
      <c r="DHQ15" s="338"/>
      <c r="DHR15" s="338"/>
      <c r="DHS15" s="338"/>
      <c r="DHT15" s="338"/>
      <c r="DHU15" s="338"/>
      <c r="DHV15" s="338"/>
      <c r="DHW15" s="338"/>
      <c r="DHX15" s="338"/>
      <c r="DHY15" s="338"/>
      <c r="DHZ15" s="338"/>
      <c r="DIA15" s="338"/>
      <c r="DIB15" s="338"/>
      <c r="DIC15" s="338"/>
      <c r="DID15" s="338"/>
      <c r="DIE15" s="338"/>
      <c r="DIF15" s="338"/>
      <c r="DIG15" s="338"/>
      <c r="DIH15" s="338"/>
      <c r="DII15" s="338"/>
      <c r="DIJ15" s="338"/>
      <c r="DIK15" s="338"/>
      <c r="DIL15" s="338"/>
      <c r="DIM15" s="338"/>
      <c r="DIN15" s="338"/>
      <c r="DIO15" s="338"/>
      <c r="DIP15" s="338"/>
      <c r="DIQ15" s="338"/>
      <c r="DIR15" s="338"/>
      <c r="DIS15" s="338"/>
      <c r="DIT15" s="338"/>
      <c r="DIU15" s="338"/>
      <c r="DIV15" s="338"/>
      <c r="DIW15" s="338"/>
      <c r="DIX15" s="338"/>
      <c r="DIY15" s="338"/>
      <c r="DIZ15" s="338"/>
      <c r="DJA15" s="338"/>
      <c r="DJB15" s="338"/>
      <c r="DJC15" s="338"/>
      <c r="DJD15" s="338"/>
      <c r="DJE15" s="338"/>
      <c r="DJF15" s="338"/>
      <c r="DJG15" s="338"/>
      <c r="DJH15" s="338"/>
      <c r="DJI15" s="338"/>
      <c r="DJJ15" s="338"/>
      <c r="DJK15" s="338"/>
      <c r="DJL15" s="338"/>
      <c r="DJM15" s="338"/>
      <c r="DJN15" s="338"/>
      <c r="DJO15" s="338"/>
      <c r="DJP15" s="338"/>
      <c r="DJQ15" s="338"/>
      <c r="DJR15" s="338"/>
      <c r="DJS15" s="338"/>
      <c r="DJT15" s="338"/>
      <c r="DJU15" s="338"/>
      <c r="DJV15" s="338"/>
      <c r="DJW15" s="338"/>
      <c r="DJX15" s="338"/>
      <c r="DJY15" s="338"/>
      <c r="DJZ15" s="338"/>
      <c r="DKA15" s="338"/>
      <c r="DKB15" s="338"/>
      <c r="DKC15" s="338"/>
      <c r="DKD15" s="338"/>
      <c r="DKE15" s="338"/>
      <c r="DKF15" s="338"/>
      <c r="DKG15" s="338"/>
      <c r="DKH15" s="338"/>
      <c r="DKI15" s="338"/>
      <c r="DKJ15" s="338"/>
      <c r="DKK15" s="338"/>
      <c r="DKL15" s="338"/>
      <c r="DKM15" s="338"/>
      <c r="DKN15" s="338"/>
      <c r="DKO15" s="338"/>
      <c r="DKP15" s="338"/>
      <c r="DKQ15" s="338"/>
      <c r="DKR15" s="338"/>
      <c r="DKS15" s="338"/>
      <c r="DKT15" s="338"/>
      <c r="DKU15" s="338"/>
      <c r="DKV15" s="338"/>
      <c r="DKW15" s="338"/>
      <c r="DKX15" s="338"/>
      <c r="DKY15" s="338"/>
      <c r="DKZ15" s="338"/>
      <c r="DLA15" s="338"/>
      <c r="DLB15" s="338"/>
      <c r="DLC15" s="338"/>
      <c r="DLD15" s="338"/>
      <c r="DLE15" s="338"/>
      <c r="DLF15" s="338"/>
      <c r="DLG15" s="338"/>
      <c r="DLH15" s="338"/>
      <c r="DLI15" s="338"/>
      <c r="DLJ15" s="338"/>
      <c r="DLK15" s="338"/>
      <c r="DLL15" s="338"/>
      <c r="DLM15" s="338"/>
      <c r="DLN15" s="338"/>
      <c r="DLO15" s="338"/>
      <c r="DLP15" s="338"/>
      <c r="DLQ15" s="338"/>
      <c r="DLR15" s="338"/>
      <c r="DLS15" s="338"/>
      <c r="DLT15" s="338"/>
      <c r="DLU15" s="338"/>
      <c r="DLV15" s="338"/>
      <c r="DLW15" s="338"/>
      <c r="DLX15" s="338"/>
      <c r="DLY15" s="338"/>
      <c r="DLZ15" s="338"/>
      <c r="DMA15" s="338"/>
      <c r="DMB15" s="338"/>
      <c r="DMC15" s="338"/>
      <c r="DMD15" s="338"/>
      <c r="DME15" s="338"/>
      <c r="DMF15" s="338"/>
      <c r="DMG15" s="338"/>
      <c r="DMH15" s="338"/>
      <c r="DMI15" s="338"/>
      <c r="DMJ15" s="338"/>
      <c r="DMK15" s="338"/>
      <c r="DML15" s="338"/>
      <c r="DMM15" s="338"/>
      <c r="DMN15" s="338"/>
      <c r="DMO15" s="338"/>
      <c r="DMP15" s="338"/>
      <c r="DMQ15" s="338"/>
      <c r="DMR15" s="338"/>
      <c r="DMS15" s="338"/>
      <c r="DMT15" s="338"/>
      <c r="DMU15" s="338"/>
      <c r="DMV15" s="338"/>
      <c r="DMW15" s="338"/>
      <c r="DMX15" s="338"/>
      <c r="DMY15" s="338"/>
      <c r="DMZ15" s="338"/>
      <c r="DNA15" s="338"/>
      <c r="DNB15" s="338"/>
      <c r="DNC15" s="338"/>
      <c r="DND15" s="338"/>
      <c r="DNE15" s="338"/>
      <c r="DNF15" s="338"/>
      <c r="DNG15" s="338"/>
      <c r="DNH15" s="338"/>
      <c r="DNI15" s="338"/>
      <c r="DNJ15" s="338"/>
      <c r="DNK15" s="338"/>
      <c r="DNL15" s="338"/>
      <c r="DNM15" s="338"/>
      <c r="DNN15" s="338"/>
      <c r="DNO15" s="338"/>
      <c r="DNP15" s="338"/>
      <c r="DNQ15" s="338"/>
      <c r="DNR15" s="338"/>
      <c r="DNS15" s="338"/>
      <c r="DNT15" s="338"/>
      <c r="DNU15" s="338"/>
      <c r="DNV15" s="338"/>
      <c r="DNW15" s="338"/>
      <c r="DNX15" s="338"/>
      <c r="DNY15" s="338"/>
      <c r="DNZ15" s="338"/>
      <c r="DOA15" s="338"/>
      <c r="DOB15" s="338"/>
      <c r="DOC15" s="338"/>
      <c r="DOD15" s="338"/>
      <c r="DOE15" s="338"/>
      <c r="DOF15" s="338"/>
      <c r="DOG15" s="338"/>
      <c r="DOH15" s="338"/>
      <c r="DOI15" s="338"/>
      <c r="DOJ15" s="338"/>
      <c r="DOK15" s="338"/>
      <c r="DOL15" s="338"/>
      <c r="DOM15" s="338"/>
      <c r="DON15" s="338"/>
      <c r="DOO15" s="338"/>
      <c r="DOP15" s="338"/>
      <c r="DOQ15" s="338"/>
      <c r="DOR15" s="338"/>
      <c r="DOS15" s="338"/>
      <c r="DOT15" s="338"/>
      <c r="DOU15" s="338"/>
      <c r="DOV15" s="338"/>
      <c r="DOW15" s="338"/>
      <c r="DOX15" s="338"/>
      <c r="DOY15" s="338"/>
      <c r="DOZ15" s="338"/>
      <c r="DPA15" s="338"/>
      <c r="DPB15" s="338"/>
      <c r="DPC15" s="338"/>
      <c r="DPD15" s="338"/>
      <c r="DPE15" s="338"/>
      <c r="DPF15" s="338"/>
      <c r="DPG15" s="338"/>
      <c r="DPH15" s="338"/>
      <c r="DPI15" s="338"/>
      <c r="DPJ15" s="338"/>
      <c r="DPK15" s="338"/>
      <c r="DPL15" s="338"/>
      <c r="DPM15" s="338"/>
      <c r="DPN15" s="338"/>
      <c r="DPO15" s="338"/>
      <c r="DPP15" s="338"/>
      <c r="DPQ15" s="338"/>
      <c r="DPR15" s="338"/>
      <c r="DPS15" s="338"/>
      <c r="DPT15" s="338"/>
      <c r="DPU15" s="338"/>
      <c r="DPV15" s="338"/>
      <c r="DPW15" s="338"/>
      <c r="DPX15" s="338"/>
      <c r="DPY15" s="338"/>
      <c r="DPZ15" s="338"/>
      <c r="DQA15" s="338"/>
      <c r="DQB15" s="338"/>
      <c r="DQC15" s="338"/>
      <c r="DQD15" s="338"/>
      <c r="DQE15" s="338"/>
      <c r="DQF15" s="338"/>
      <c r="DQG15" s="338"/>
      <c r="DQH15" s="338"/>
      <c r="DQI15" s="338"/>
      <c r="DQJ15" s="338"/>
      <c r="DQK15" s="338"/>
      <c r="DQL15" s="338"/>
      <c r="DQM15" s="338"/>
      <c r="DQN15" s="338"/>
      <c r="DQO15" s="338"/>
      <c r="DQP15" s="338"/>
      <c r="DQQ15" s="338"/>
      <c r="DQR15" s="338"/>
      <c r="DQS15" s="338"/>
      <c r="DQT15" s="338"/>
      <c r="DQU15" s="338"/>
      <c r="DQV15" s="338"/>
      <c r="DQW15" s="338"/>
      <c r="DQX15" s="338"/>
      <c r="DQY15" s="338"/>
      <c r="DQZ15" s="338"/>
      <c r="DRA15" s="338"/>
      <c r="DRB15" s="338"/>
      <c r="DRC15" s="338"/>
      <c r="DRD15" s="338"/>
      <c r="DRE15" s="338"/>
      <c r="DRF15" s="338"/>
      <c r="DRG15" s="338"/>
      <c r="DRH15" s="338"/>
      <c r="DRI15" s="338"/>
      <c r="DRJ15" s="338"/>
      <c r="DRK15" s="338"/>
      <c r="DRL15" s="338"/>
      <c r="DRM15" s="338"/>
      <c r="DRN15" s="338"/>
      <c r="DRO15" s="338"/>
      <c r="DRP15" s="338"/>
      <c r="DRQ15" s="338"/>
      <c r="DRR15" s="338"/>
      <c r="DRS15" s="338"/>
      <c r="DRT15" s="338"/>
      <c r="DRU15" s="338"/>
      <c r="DRV15" s="338"/>
      <c r="DRW15" s="338"/>
      <c r="DRX15" s="338"/>
      <c r="DRY15" s="338"/>
      <c r="DRZ15" s="338"/>
      <c r="DSA15" s="338"/>
      <c r="DSB15" s="338"/>
      <c r="DSC15" s="338"/>
      <c r="DSD15" s="338"/>
      <c r="DSE15" s="338"/>
      <c r="DSF15" s="338"/>
      <c r="DSG15" s="338"/>
      <c r="DSH15" s="338"/>
      <c r="DSI15" s="338"/>
      <c r="DSJ15" s="338"/>
      <c r="DSK15" s="338"/>
      <c r="DSL15" s="338"/>
      <c r="DSM15" s="338"/>
      <c r="DSN15" s="338"/>
      <c r="DSO15" s="338"/>
      <c r="DSP15" s="338"/>
      <c r="DSQ15" s="338"/>
      <c r="DSR15" s="338"/>
      <c r="DSS15" s="338"/>
      <c r="DST15" s="338"/>
      <c r="DSU15" s="338"/>
      <c r="DSV15" s="338"/>
      <c r="DSW15" s="338"/>
      <c r="DSX15" s="338"/>
      <c r="DSY15" s="338"/>
      <c r="DSZ15" s="338"/>
      <c r="DTA15" s="338"/>
      <c r="DTB15" s="338"/>
      <c r="DTC15" s="338"/>
      <c r="DTD15" s="338"/>
      <c r="DTE15" s="338"/>
      <c r="DTF15" s="338"/>
      <c r="DTG15" s="338"/>
      <c r="DTH15" s="338"/>
      <c r="DTI15" s="338"/>
      <c r="DTJ15" s="338"/>
      <c r="DTK15" s="338"/>
      <c r="DTL15" s="338"/>
      <c r="DTM15" s="338"/>
      <c r="DTN15" s="338"/>
      <c r="DTO15" s="338"/>
      <c r="DTP15" s="338"/>
      <c r="DTQ15" s="338"/>
      <c r="DTR15" s="338"/>
      <c r="DTS15" s="338"/>
      <c r="DTT15" s="338"/>
      <c r="DTU15" s="338"/>
      <c r="DTV15" s="338"/>
      <c r="DTW15" s="338"/>
      <c r="DTX15" s="338"/>
      <c r="DTY15" s="338"/>
      <c r="DTZ15" s="338"/>
      <c r="DUA15" s="338"/>
      <c r="DUB15" s="338"/>
      <c r="DUC15" s="338"/>
      <c r="DUD15" s="338"/>
      <c r="DUE15" s="338"/>
      <c r="DUF15" s="338"/>
      <c r="DUG15" s="338"/>
      <c r="DUH15" s="338"/>
      <c r="DUI15" s="338"/>
      <c r="DUJ15" s="338"/>
      <c r="DUK15" s="338"/>
      <c r="DUL15" s="338"/>
      <c r="DUM15" s="338"/>
      <c r="DUN15" s="338"/>
      <c r="DUO15" s="338"/>
      <c r="DUP15" s="338"/>
      <c r="DUQ15" s="338"/>
      <c r="DUR15" s="338"/>
      <c r="DUS15" s="338"/>
      <c r="DUT15" s="338"/>
      <c r="DUU15" s="338"/>
      <c r="DUV15" s="338"/>
      <c r="DUW15" s="338"/>
      <c r="DUX15" s="338"/>
      <c r="DUY15" s="338"/>
      <c r="DUZ15" s="338"/>
      <c r="DVA15" s="338"/>
      <c r="DVB15" s="338"/>
      <c r="DVC15" s="338"/>
      <c r="DVD15" s="338"/>
      <c r="DVE15" s="338"/>
      <c r="DVF15" s="338"/>
      <c r="DVG15" s="338"/>
      <c r="DVH15" s="338"/>
      <c r="DVI15" s="338"/>
      <c r="DVJ15" s="338"/>
      <c r="DVK15" s="338"/>
      <c r="DVL15" s="338"/>
      <c r="DVM15" s="338"/>
      <c r="DVN15" s="338"/>
      <c r="DVO15" s="338"/>
      <c r="DVP15" s="338"/>
      <c r="DVQ15" s="338"/>
      <c r="DVR15" s="338"/>
      <c r="DVS15" s="338"/>
      <c r="DVT15" s="338"/>
      <c r="DVU15" s="338"/>
      <c r="DVV15" s="338"/>
      <c r="DVW15" s="338"/>
      <c r="DVX15" s="338"/>
      <c r="DVY15" s="338"/>
      <c r="DVZ15" s="338"/>
      <c r="DWA15" s="338"/>
      <c r="DWB15" s="338"/>
      <c r="DWC15" s="338"/>
      <c r="DWD15" s="338"/>
      <c r="DWE15" s="338"/>
      <c r="DWF15" s="338"/>
      <c r="DWG15" s="338"/>
      <c r="DWH15" s="338"/>
      <c r="DWI15" s="338"/>
      <c r="DWJ15" s="338"/>
      <c r="DWK15" s="338"/>
      <c r="DWL15" s="338"/>
      <c r="DWM15" s="338"/>
      <c r="DWN15" s="338"/>
      <c r="DWO15" s="338"/>
      <c r="DWP15" s="338"/>
      <c r="DWQ15" s="338"/>
      <c r="DWR15" s="338"/>
      <c r="DWS15" s="338"/>
      <c r="DWT15" s="338"/>
      <c r="DWU15" s="338"/>
      <c r="DWV15" s="338"/>
      <c r="DWW15" s="338"/>
      <c r="DWX15" s="338"/>
      <c r="DWY15" s="338"/>
      <c r="DWZ15" s="338"/>
      <c r="DXA15" s="338"/>
      <c r="DXB15" s="338"/>
      <c r="DXC15" s="338"/>
      <c r="DXD15" s="338"/>
      <c r="DXE15" s="338"/>
      <c r="DXF15" s="338"/>
      <c r="DXG15" s="338"/>
      <c r="DXH15" s="338"/>
      <c r="DXI15" s="338"/>
      <c r="DXJ15" s="338"/>
      <c r="DXK15" s="338"/>
      <c r="DXL15" s="338"/>
      <c r="DXM15" s="338"/>
      <c r="DXN15" s="338"/>
      <c r="DXO15" s="338"/>
      <c r="DXP15" s="338"/>
      <c r="DXQ15" s="338"/>
      <c r="DXR15" s="338"/>
      <c r="DXS15" s="338"/>
      <c r="DXT15" s="338"/>
      <c r="DXU15" s="338"/>
      <c r="DXV15" s="338"/>
      <c r="DXW15" s="338"/>
      <c r="DXX15" s="338"/>
      <c r="DXY15" s="338"/>
      <c r="DXZ15" s="338"/>
      <c r="DYA15" s="338"/>
      <c r="DYB15" s="338"/>
      <c r="DYC15" s="338"/>
      <c r="DYD15" s="338"/>
      <c r="DYE15" s="338"/>
      <c r="DYF15" s="338"/>
      <c r="DYG15" s="338"/>
      <c r="DYH15" s="338"/>
      <c r="DYI15" s="338"/>
      <c r="DYJ15" s="338"/>
      <c r="DYK15" s="338"/>
      <c r="DYL15" s="338"/>
      <c r="DYM15" s="338"/>
      <c r="DYN15" s="338"/>
      <c r="DYO15" s="338"/>
      <c r="DYP15" s="338"/>
      <c r="DYQ15" s="338"/>
      <c r="DYR15" s="338"/>
      <c r="DYS15" s="338"/>
      <c r="DYT15" s="338"/>
      <c r="DYU15" s="338"/>
      <c r="DYV15" s="338"/>
      <c r="DYW15" s="338"/>
      <c r="DYX15" s="338"/>
      <c r="DYY15" s="338"/>
      <c r="DYZ15" s="338"/>
      <c r="DZA15" s="338"/>
      <c r="DZB15" s="338"/>
      <c r="DZC15" s="338"/>
      <c r="DZD15" s="338"/>
      <c r="DZE15" s="338"/>
      <c r="DZF15" s="338"/>
      <c r="DZG15" s="338"/>
      <c r="DZH15" s="338"/>
      <c r="DZI15" s="338"/>
      <c r="DZJ15" s="338"/>
      <c r="DZK15" s="338"/>
      <c r="DZL15" s="338"/>
      <c r="DZM15" s="338"/>
      <c r="DZN15" s="338"/>
      <c r="DZO15" s="338"/>
      <c r="DZP15" s="338"/>
      <c r="DZQ15" s="338"/>
      <c r="DZR15" s="338"/>
      <c r="DZS15" s="338"/>
      <c r="DZT15" s="338"/>
      <c r="DZU15" s="338"/>
      <c r="DZV15" s="338"/>
      <c r="DZW15" s="338"/>
      <c r="DZX15" s="338"/>
      <c r="DZY15" s="338"/>
      <c r="DZZ15" s="338"/>
      <c r="EAA15" s="338"/>
      <c r="EAB15" s="338"/>
      <c r="EAC15" s="338"/>
      <c r="EAD15" s="338"/>
      <c r="EAE15" s="338"/>
      <c r="EAF15" s="338"/>
      <c r="EAG15" s="338"/>
      <c r="EAH15" s="338"/>
      <c r="EAI15" s="338"/>
      <c r="EAJ15" s="338"/>
      <c r="EAK15" s="338"/>
      <c r="EAL15" s="338"/>
      <c r="EAM15" s="338"/>
      <c r="EAN15" s="338"/>
      <c r="EAO15" s="338"/>
      <c r="EAP15" s="338"/>
      <c r="EAQ15" s="338"/>
      <c r="EAR15" s="338"/>
      <c r="EAS15" s="338"/>
      <c r="EAT15" s="338"/>
      <c r="EAU15" s="338"/>
      <c r="EAV15" s="338"/>
      <c r="EAW15" s="338"/>
      <c r="EAX15" s="338"/>
      <c r="EAY15" s="338"/>
      <c r="EAZ15" s="338"/>
      <c r="EBA15" s="338"/>
      <c r="EBB15" s="338"/>
      <c r="EBC15" s="338"/>
      <c r="EBD15" s="338"/>
      <c r="EBE15" s="338"/>
      <c r="EBF15" s="338"/>
      <c r="EBG15" s="338"/>
      <c r="EBH15" s="338"/>
      <c r="EBI15" s="338"/>
      <c r="EBJ15" s="338"/>
      <c r="EBK15" s="338"/>
      <c r="EBL15" s="338"/>
      <c r="EBM15" s="338"/>
      <c r="EBN15" s="338"/>
      <c r="EBO15" s="338"/>
      <c r="EBP15" s="338"/>
      <c r="EBQ15" s="338"/>
      <c r="EBR15" s="338"/>
      <c r="EBS15" s="338"/>
      <c r="EBT15" s="338"/>
      <c r="EBU15" s="338"/>
      <c r="EBV15" s="338"/>
      <c r="EBW15" s="338"/>
      <c r="EBX15" s="338"/>
      <c r="EBY15" s="338"/>
      <c r="EBZ15" s="338"/>
      <c r="ECA15" s="338"/>
      <c r="ECB15" s="338"/>
      <c r="ECC15" s="338"/>
      <c r="ECD15" s="338"/>
      <c r="ECE15" s="338"/>
      <c r="ECF15" s="338"/>
      <c r="ECG15" s="338"/>
      <c r="ECH15" s="338"/>
      <c r="ECI15" s="338"/>
      <c r="ECJ15" s="338"/>
      <c r="ECK15" s="338"/>
      <c r="ECL15" s="338"/>
      <c r="ECM15" s="338"/>
      <c r="ECN15" s="338"/>
      <c r="ECO15" s="338"/>
      <c r="ECP15" s="338"/>
      <c r="ECQ15" s="338"/>
      <c r="ECR15" s="338"/>
      <c r="ECS15" s="338"/>
      <c r="ECT15" s="338"/>
      <c r="ECU15" s="338"/>
      <c r="ECV15" s="338"/>
      <c r="ECW15" s="338"/>
      <c r="ECX15" s="338"/>
      <c r="ECY15" s="338"/>
      <c r="ECZ15" s="338"/>
      <c r="EDA15" s="338"/>
      <c r="EDB15" s="338"/>
      <c r="EDC15" s="338"/>
      <c r="EDD15" s="338"/>
      <c r="EDE15" s="338"/>
      <c r="EDF15" s="338"/>
      <c r="EDG15" s="338"/>
      <c r="EDH15" s="338"/>
      <c r="EDI15" s="338"/>
      <c r="EDJ15" s="338"/>
      <c r="EDK15" s="338"/>
      <c r="EDL15" s="338"/>
      <c r="EDM15" s="338"/>
      <c r="EDN15" s="338"/>
      <c r="EDO15" s="338"/>
      <c r="EDP15" s="338"/>
      <c r="EDQ15" s="338"/>
      <c r="EDR15" s="338"/>
      <c r="EDS15" s="338"/>
      <c r="EDT15" s="338"/>
      <c r="EDU15" s="338"/>
      <c r="EDV15" s="338"/>
      <c r="EDW15" s="338"/>
      <c r="EDX15" s="338"/>
      <c r="EDY15" s="338"/>
      <c r="EDZ15" s="338"/>
      <c r="EEA15" s="338"/>
      <c r="EEB15" s="338"/>
      <c r="EEC15" s="338"/>
      <c r="EED15" s="338"/>
      <c r="EEE15" s="338"/>
      <c r="EEF15" s="338"/>
      <c r="EEG15" s="338"/>
      <c r="EEH15" s="338"/>
      <c r="EEI15" s="338"/>
      <c r="EEJ15" s="338"/>
      <c r="EEK15" s="338"/>
      <c r="EEL15" s="338"/>
      <c r="EEM15" s="338"/>
      <c r="EEN15" s="338"/>
      <c r="EEO15" s="338"/>
      <c r="EEP15" s="338"/>
      <c r="EEQ15" s="338"/>
      <c r="EER15" s="338"/>
      <c r="EES15" s="338"/>
      <c r="EET15" s="338"/>
      <c r="EEU15" s="338"/>
      <c r="EEV15" s="338"/>
      <c r="EEW15" s="338"/>
      <c r="EEX15" s="338"/>
      <c r="EEY15" s="338"/>
      <c r="EEZ15" s="338"/>
      <c r="EFA15" s="338"/>
      <c r="EFB15" s="338"/>
      <c r="EFC15" s="338"/>
      <c r="EFD15" s="338"/>
      <c r="EFE15" s="338"/>
      <c r="EFF15" s="338"/>
      <c r="EFG15" s="338"/>
      <c r="EFH15" s="338"/>
      <c r="EFI15" s="338"/>
      <c r="EFJ15" s="338"/>
      <c r="EFK15" s="338"/>
      <c r="EFL15" s="338"/>
      <c r="EFM15" s="338"/>
      <c r="EFN15" s="338"/>
      <c r="EFO15" s="338"/>
      <c r="EFP15" s="338"/>
      <c r="EFQ15" s="338"/>
      <c r="EFR15" s="338"/>
      <c r="EFS15" s="338"/>
      <c r="EFT15" s="338"/>
      <c r="EFU15" s="338"/>
      <c r="EFV15" s="338"/>
      <c r="EFW15" s="338"/>
      <c r="EFX15" s="338"/>
      <c r="EFY15" s="338"/>
      <c r="EFZ15" s="338"/>
      <c r="EGA15" s="338"/>
      <c r="EGB15" s="338"/>
      <c r="EGC15" s="338"/>
      <c r="EGD15" s="338"/>
      <c r="EGE15" s="338"/>
      <c r="EGF15" s="338"/>
      <c r="EGG15" s="338"/>
      <c r="EGH15" s="338"/>
      <c r="EGI15" s="338"/>
      <c r="EGJ15" s="338"/>
      <c r="EGK15" s="338"/>
      <c r="EGL15" s="338"/>
      <c r="EGM15" s="338"/>
      <c r="EGN15" s="338"/>
      <c r="EGO15" s="338"/>
      <c r="EGP15" s="338"/>
      <c r="EGQ15" s="338"/>
      <c r="EGR15" s="338"/>
      <c r="EGS15" s="338"/>
      <c r="EGT15" s="338"/>
      <c r="EGU15" s="338"/>
      <c r="EGV15" s="338"/>
      <c r="EGW15" s="338"/>
      <c r="EGX15" s="338"/>
      <c r="EGY15" s="338"/>
      <c r="EGZ15" s="338"/>
      <c r="EHA15" s="338"/>
      <c r="EHB15" s="338"/>
      <c r="EHC15" s="338"/>
      <c r="EHD15" s="338"/>
      <c r="EHE15" s="338"/>
      <c r="EHF15" s="338"/>
      <c r="EHG15" s="338"/>
      <c r="EHH15" s="338"/>
      <c r="EHI15" s="338"/>
      <c r="EHJ15" s="338"/>
      <c r="EHK15" s="338"/>
      <c r="EHL15" s="338"/>
      <c r="EHM15" s="338"/>
      <c r="EHN15" s="338"/>
      <c r="EHO15" s="338"/>
      <c r="EHP15" s="338"/>
      <c r="EHQ15" s="338"/>
      <c r="EHR15" s="338"/>
      <c r="EHS15" s="338"/>
      <c r="EHT15" s="338"/>
      <c r="EHU15" s="338"/>
      <c r="EHV15" s="338"/>
      <c r="EHW15" s="338"/>
      <c r="EHX15" s="338"/>
      <c r="EHY15" s="338"/>
      <c r="EHZ15" s="338"/>
      <c r="EIA15" s="338"/>
      <c r="EIB15" s="338"/>
      <c r="EIC15" s="338"/>
      <c r="EID15" s="338"/>
      <c r="EIE15" s="338"/>
      <c r="EIF15" s="338"/>
      <c r="EIG15" s="338"/>
      <c r="EIH15" s="338"/>
      <c r="EII15" s="338"/>
      <c r="EIJ15" s="338"/>
      <c r="EIK15" s="338"/>
      <c r="EIL15" s="338"/>
      <c r="EIM15" s="338"/>
      <c r="EIN15" s="338"/>
      <c r="EIO15" s="338"/>
      <c r="EIP15" s="338"/>
      <c r="EIQ15" s="338"/>
      <c r="EIR15" s="338"/>
      <c r="EIS15" s="338"/>
      <c r="EIT15" s="338"/>
      <c r="EIU15" s="338"/>
      <c r="EIV15" s="338"/>
      <c r="EIW15" s="338"/>
      <c r="EIX15" s="338"/>
      <c r="EIY15" s="338"/>
      <c r="EIZ15" s="338"/>
      <c r="EJA15" s="338"/>
      <c r="EJB15" s="338"/>
      <c r="EJC15" s="338"/>
      <c r="EJD15" s="338"/>
      <c r="EJE15" s="338"/>
      <c r="EJF15" s="338"/>
      <c r="EJG15" s="338"/>
      <c r="EJH15" s="338"/>
      <c r="EJI15" s="338"/>
      <c r="EJJ15" s="338"/>
      <c r="EJK15" s="338"/>
      <c r="EJL15" s="338"/>
      <c r="EJM15" s="338"/>
      <c r="EJN15" s="338"/>
      <c r="EJO15" s="338"/>
      <c r="EJP15" s="338"/>
      <c r="EJQ15" s="338"/>
      <c r="EJR15" s="338"/>
      <c r="EJS15" s="338"/>
      <c r="EJT15" s="338"/>
      <c r="EJU15" s="338"/>
      <c r="EJV15" s="338"/>
      <c r="EJW15" s="338"/>
      <c r="EJX15" s="338"/>
      <c r="EJY15" s="338"/>
      <c r="EJZ15" s="338"/>
      <c r="EKA15" s="338"/>
      <c r="EKB15" s="338"/>
      <c r="EKC15" s="338"/>
      <c r="EKD15" s="338"/>
      <c r="EKE15" s="338"/>
      <c r="EKF15" s="338"/>
      <c r="EKG15" s="338"/>
      <c r="EKH15" s="338"/>
      <c r="EKI15" s="338"/>
      <c r="EKJ15" s="338"/>
      <c r="EKK15" s="338"/>
      <c r="EKL15" s="338"/>
      <c r="EKM15" s="338"/>
      <c r="EKN15" s="338"/>
      <c r="EKO15" s="338"/>
      <c r="EKP15" s="338"/>
      <c r="EKQ15" s="338"/>
      <c r="EKR15" s="338"/>
      <c r="EKS15" s="338"/>
      <c r="EKT15" s="338"/>
      <c r="EKU15" s="338"/>
      <c r="EKV15" s="338"/>
      <c r="EKW15" s="338"/>
      <c r="EKX15" s="338"/>
      <c r="EKY15" s="338"/>
      <c r="EKZ15" s="338"/>
      <c r="ELA15" s="338"/>
      <c r="ELB15" s="338"/>
      <c r="ELC15" s="338"/>
      <c r="ELD15" s="338"/>
      <c r="ELE15" s="338"/>
      <c r="ELF15" s="338"/>
      <c r="ELG15" s="338"/>
      <c r="ELH15" s="338"/>
      <c r="ELI15" s="338"/>
      <c r="ELJ15" s="338"/>
      <c r="ELK15" s="338"/>
      <c r="ELL15" s="338"/>
      <c r="ELM15" s="338"/>
      <c r="ELN15" s="338"/>
      <c r="ELO15" s="338"/>
      <c r="ELP15" s="338"/>
      <c r="ELQ15" s="338"/>
      <c r="ELR15" s="338"/>
      <c r="ELS15" s="338"/>
      <c r="ELT15" s="338"/>
      <c r="ELU15" s="338"/>
      <c r="ELV15" s="338"/>
      <c r="ELW15" s="338"/>
      <c r="ELX15" s="338"/>
      <c r="ELY15" s="338"/>
      <c r="ELZ15" s="338"/>
      <c r="EMA15" s="338"/>
      <c r="EMB15" s="338"/>
      <c r="EMC15" s="338"/>
      <c r="EMD15" s="338"/>
      <c r="EME15" s="338"/>
      <c r="EMF15" s="338"/>
      <c r="EMG15" s="338"/>
      <c r="EMH15" s="338"/>
      <c r="EMI15" s="338"/>
      <c r="EMJ15" s="338"/>
      <c r="EMK15" s="338"/>
      <c r="EML15" s="338"/>
      <c r="EMM15" s="338"/>
      <c r="EMN15" s="338"/>
      <c r="EMO15" s="338"/>
      <c r="EMP15" s="338"/>
      <c r="EMQ15" s="338"/>
      <c r="EMR15" s="338"/>
      <c r="EMS15" s="338"/>
      <c r="EMT15" s="338"/>
      <c r="EMU15" s="338"/>
      <c r="EMV15" s="338"/>
      <c r="EMW15" s="338"/>
      <c r="EMX15" s="338"/>
      <c r="EMY15" s="338"/>
      <c r="EMZ15" s="338"/>
      <c r="ENA15" s="338"/>
      <c r="ENB15" s="338"/>
      <c r="ENC15" s="338"/>
      <c r="END15" s="338"/>
      <c r="ENE15" s="338"/>
      <c r="ENF15" s="338"/>
      <c r="ENG15" s="338"/>
      <c r="ENH15" s="338"/>
      <c r="ENI15" s="338"/>
      <c r="ENJ15" s="338"/>
      <c r="ENK15" s="338"/>
      <c r="ENL15" s="338"/>
      <c r="ENM15" s="338"/>
      <c r="ENN15" s="338"/>
      <c r="ENO15" s="338"/>
      <c r="ENP15" s="338"/>
      <c r="ENQ15" s="338"/>
      <c r="ENR15" s="338"/>
      <c r="ENS15" s="338"/>
      <c r="ENT15" s="338"/>
      <c r="ENU15" s="338"/>
      <c r="ENV15" s="338"/>
      <c r="ENW15" s="338"/>
      <c r="ENX15" s="338"/>
      <c r="ENY15" s="338"/>
      <c r="ENZ15" s="338"/>
      <c r="EOA15" s="338"/>
      <c r="EOB15" s="338"/>
      <c r="EOC15" s="338"/>
      <c r="EOD15" s="338"/>
      <c r="EOE15" s="338"/>
      <c r="EOF15" s="338"/>
      <c r="EOG15" s="338"/>
      <c r="EOH15" s="338"/>
      <c r="EOI15" s="338"/>
      <c r="EOJ15" s="338"/>
      <c r="EOK15" s="338"/>
      <c r="EOL15" s="338"/>
      <c r="EOM15" s="338"/>
      <c r="EON15" s="338"/>
      <c r="EOO15" s="338"/>
      <c r="EOP15" s="338"/>
      <c r="EOQ15" s="338"/>
      <c r="EOR15" s="338"/>
      <c r="EOS15" s="338"/>
      <c r="EOT15" s="338"/>
      <c r="EOU15" s="338"/>
      <c r="EOV15" s="338"/>
      <c r="EOW15" s="338"/>
      <c r="EOX15" s="338"/>
      <c r="EOY15" s="338"/>
      <c r="EOZ15" s="338"/>
      <c r="EPA15" s="338"/>
      <c r="EPB15" s="338"/>
      <c r="EPC15" s="338"/>
      <c r="EPD15" s="338"/>
      <c r="EPE15" s="338"/>
      <c r="EPF15" s="338"/>
      <c r="EPG15" s="338"/>
      <c r="EPH15" s="338"/>
      <c r="EPI15" s="338"/>
      <c r="EPJ15" s="338"/>
      <c r="EPK15" s="338"/>
      <c r="EPL15" s="338"/>
      <c r="EPM15" s="338"/>
      <c r="EPN15" s="338"/>
      <c r="EPO15" s="338"/>
      <c r="EPP15" s="338"/>
      <c r="EPQ15" s="338"/>
      <c r="EPR15" s="338"/>
      <c r="EPS15" s="338"/>
      <c r="EPT15" s="338"/>
      <c r="EPU15" s="338"/>
      <c r="EPV15" s="338"/>
      <c r="EPW15" s="338"/>
      <c r="EPX15" s="338"/>
      <c r="EPY15" s="338"/>
      <c r="EPZ15" s="338"/>
      <c r="EQA15" s="338"/>
      <c r="EQB15" s="338"/>
      <c r="EQC15" s="338"/>
      <c r="EQD15" s="338"/>
      <c r="EQE15" s="338"/>
      <c r="EQF15" s="338"/>
      <c r="EQG15" s="338"/>
      <c r="EQH15" s="338"/>
      <c r="EQI15" s="338"/>
      <c r="EQJ15" s="338"/>
      <c r="EQK15" s="338"/>
      <c r="EQL15" s="338"/>
      <c r="EQM15" s="338"/>
      <c r="EQN15" s="338"/>
      <c r="EQO15" s="338"/>
      <c r="EQP15" s="338"/>
      <c r="EQQ15" s="338"/>
      <c r="EQR15" s="338"/>
      <c r="EQS15" s="338"/>
      <c r="EQT15" s="338"/>
      <c r="EQU15" s="338"/>
      <c r="EQV15" s="338"/>
      <c r="EQW15" s="338"/>
      <c r="EQX15" s="338"/>
      <c r="EQY15" s="338"/>
      <c r="EQZ15" s="338"/>
      <c r="ERA15" s="338"/>
      <c r="ERB15" s="338"/>
      <c r="ERC15" s="338"/>
      <c r="ERD15" s="338"/>
      <c r="ERE15" s="338"/>
      <c r="ERF15" s="338"/>
      <c r="ERG15" s="338"/>
      <c r="ERH15" s="338"/>
      <c r="ERI15" s="338"/>
      <c r="ERJ15" s="338"/>
      <c r="ERK15" s="338"/>
      <c r="ERL15" s="338"/>
      <c r="ERM15" s="338"/>
      <c r="ERN15" s="338"/>
      <c r="ERO15" s="338"/>
      <c r="ERP15" s="338"/>
      <c r="ERQ15" s="338"/>
      <c r="ERR15" s="338"/>
      <c r="ERS15" s="338"/>
      <c r="ERT15" s="338"/>
      <c r="ERU15" s="338"/>
      <c r="ERV15" s="338"/>
      <c r="ERW15" s="338"/>
      <c r="ERX15" s="338"/>
      <c r="ERY15" s="338"/>
      <c r="ERZ15" s="338"/>
      <c r="ESA15" s="338"/>
      <c r="ESB15" s="338"/>
      <c r="ESC15" s="338"/>
      <c r="ESD15" s="338"/>
      <c r="ESE15" s="338"/>
      <c r="ESF15" s="338"/>
      <c r="ESG15" s="338"/>
      <c r="ESH15" s="338"/>
      <c r="ESI15" s="338"/>
      <c r="ESJ15" s="338"/>
      <c r="ESK15" s="338"/>
      <c r="ESL15" s="338"/>
      <c r="ESM15" s="338"/>
      <c r="ESN15" s="338"/>
      <c r="ESO15" s="338"/>
      <c r="ESP15" s="338"/>
      <c r="ESQ15" s="338"/>
      <c r="ESR15" s="338"/>
      <c r="ESS15" s="338"/>
      <c r="EST15" s="338"/>
      <c r="ESU15" s="338"/>
      <c r="ESV15" s="338"/>
      <c r="ESW15" s="338"/>
      <c r="ESX15" s="338"/>
      <c r="ESY15" s="338"/>
      <c r="ESZ15" s="338"/>
      <c r="ETA15" s="338"/>
      <c r="ETB15" s="338"/>
      <c r="ETC15" s="338"/>
      <c r="ETD15" s="338"/>
      <c r="ETE15" s="338"/>
      <c r="ETF15" s="338"/>
      <c r="ETG15" s="338"/>
      <c r="ETH15" s="338"/>
      <c r="ETI15" s="338"/>
      <c r="ETJ15" s="338"/>
      <c r="ETK15" s="338"/>
      <c r="ETL15" s="338"/>
      <c r="ETM15" s="338"/>
      <c r="ETN15" s="338"/>
      <c r="ETO15" s="338"/>
      <c r="ETP15" s="338"/>
      <c r="ETQ15" s="338"/>
      <c r="ETR15" s="338"/>
      <c r="ETS15" s="338"/>
      <c r="ETT15" s="338"/>
      <c r="ETU15" s="338"/>
      <c r="ETV15" s="338"/>
      <c r="ETW15" s="338"/>
      <c r="ETX15" s="338"/>
      <c r="ETY15" s="338"/>
      <c r="ETZ15" s="338"/>
      <c r="EUA15" s="338"/>
      <c r="EUB15" s="338"/>
      <c r="EUC15" s="338"/>
      <c r="EUD15" s="338"/>
      <c r="EUE15" s="338"/>
      <c r="EUF15" s="338"/>
      <c r="EUG15" s="338"/>
      <c r="EUH15" s="338"/>
      <c r="EUI15" s="338"/>
      <c r="EUJ15" s="338"/>
      <c r="EUK15" s="338"/>
      <c r="EUL15" s="338"/>
      <c r="EUM15" s="338"/>
      <c r="EUN15" s="338"/>
      <c r="EUO15" s="338"/>
      <c r="EUP15" s="338"/>
      <c r="EUQ15" s="338"/>
      <c r="EUR15" s="338"/>
      <c r="EUS15" s="338"/>
      <c r="EUT15" s="338"/>
      <c r="EUU15" s="338"/>
      <c r="EUV15" s="338"/>
      <c r="EUW15" s="338"/>
      <c r="EUX15" s="338"/>
      <c r="EUY15" s="338"/>
      <c r="EUZ15" s="338"/>
      <c r="EVA15" s="338"/>
      <c r="EVB15" s="338"/>
      <c r="EVC15" s="338"/>
      <c r="EVD15" s="338"/>
      <c r="EVE15" s="338"/>
      <c r="EVF15" s="338"/>
      <c r="EVG15" s="338"/>
      <c r="EVH15" s="338"/>
      <c r="EVI15" s="338"/>
      <c r="EVJ15" s="338"/>
      <c r="EVK15" s="338"/>
      <c r="EVL15" s="338"/>
      <c r="EVM15" s="338"/>
      <c r="EVN15" s="338"/>
      <c r="EVO15" s="338"/>
      <c r="EVP15" s="338"/>
      <c r="EVQ15" s="338"/>
      <c r="EVR15" s="338"/>
      <c r="EVS15" s="338"/>
      <c r="EVT15" s="338"/>
      <c r="EVU15" s="338"/>
      <c r="EVV15" s="338"/>
      <c r="EVW15" s="338"/>
      <c r="EVX15" s="338"/>
      <c r="EVY15" s="338"/>
      <c r="EVZ15" s="338"/>
      <c r="EWA15" s="338"/>
      <c r="EWB15" s="338"/>
      <c r="EWC15" s="338"/>
      <c r="EWD15" s="338"/>
      <c r="EWE15" s="338"/>
      <c r="EWF15" s="338"/>
      <c r="EWG15" s="338"/>
      <c r="EWH15" s="338"/>
      <c r="EWI15" s="338"/>
      <c r="EWJ15" s="338"/>
      <c r="EWK15" s="338"/>
      <c r="EWL15" s="338"/>
      <c r="EWM15" s="338"/>
      <c r="EWN15" s="338"/>
      <c r="EWO15" s="338"/>
      <c r="EWP15" s="338"/>
      <c r="EWQ15" s="338"/>
      <c r="EWR15" s="338"/>
      <c r="EWS15" s="338"/>
      <c r="EWT15" s="338"/>
      <c r="EWU15" s="338"/>
      <c r="EWV15" s="338"/>
      <c r="EWW15" s="338"/>
      <c r="EWX15" s="338"/>
      <c r="EWY15" s="338"/>
      <c r="EWZ15" s="338"/>
      <c r="EXA15" s="338"/>
      <c r="EXB15" s="338"/>
      <c r="EXC15" s="338"/>
      <c r="EXD15" s="338"/>
      <c r="EXE15" s="338"/>
      <c r="EXF15" s="338"/>
      <c r="EXG15" s="338"/>
      <c r="EXH15" s="338"/>
      <c r="EXI15" s="338"/>
      <c r="EXJ15" s="338"/>
      <c r="EXK15" s="338"/>
      <c r="EXL15" s="338"/>
      <c r="EXM15" s="338"/>
      <c r="EXN15" s="338"/>
      <c r="EXO15" s="338"/>
      <c r="EXP15" s="338"/>
      <c r="EXQ15" s="338"/>
      <c r="EXR15" s="338"/>
      <c r="EXS15" s="338"/>
      <c r="EXT15" s="338"/>
      <c r="EXU15" s="338"/>
      <c r="EXV15" s="338"/>
      <c r="EXW15" s="338"/>
      <c r="EXX15" s="338"/>
      <c r="EXY15" s="338"/>
      <c r="EXZ15" s="338"/>
      <c r="EYA15" s="338"/>
      <c r="EYB15" s="338"/>
      <c r="EYC15" s="338"/>
      <c r="EYD15" s="338"/>
      <c r="EYE15" s="338"/>
      <c r="EYF15" s="338"/>
      <c r="EYG15" s="338"/>
      <c r="EYH15" s="338"/>
      <c r="EYI15" s="338"/>
      <c r="EYJ15" s="338"/>
      <c r="EYK15" s="338"/>
      <c r="EYL15" s="338"/>
      <c r="EYM15" s="338"/>
      <c r="EYN15" s="338"/>
      <c r="EYO15" s="338"/>
      <c r="EYP15" s="338"/>
      <c r="EYQ15" s="338"/>
      <c r="EYR15" s="338"/>
      <c r="EYS15" s="338"/>
      <c r="EYT15" s="338"/>
      <c r="EYU15" s="338"/>
      <c r="EYV15" s="338"/>
      <c r="EYW15" s="338"/>
      <c r="EYX15" s="338"/>
      <c r="EYY15" s="338"/>
      <c r="EYZ15" s="338"/>
      <c r="EZA15" s="338"/>
      <c r="EZB15" s="338"/>
      <c r="EZC15" s="338"/>
      <c r="EZD15" s="338"/>
      <c r="EZE15" s="338"/>
      <c r="EZF15" s="338"/>
      <c r="EZG15" s="338"/>
      <c r="EZH15" s="338"/>
      <c r="EZI15" s="338"/>
      <c r="EZJ15" s="338"/>
      <c r="EZK15" s="338"/>
      <c r="EZL15" s="338"/>
      <c r="EZM15" s="338"/>
      <c r="EZN15" s="338"/>
      <c r="EZO15" s="338"/>
      <c r="EZP15" s="338"/>
      <c r="EZQ15" s="338"/>
      <c r="EZR15" s="338"/>
      <c r="EZS15" s="338"/>
      <c r="EZT15" s="338"/>
      <c r="EZU15" s="338"/>
      <c r="EZV15" s="338"/>
      <c r="EZW15" s="338"/>
      <c r="EZX15" s="338"/>
      <c r="EZY15" s="338"/>
      <c r="EZZ15" s="338"/>
      <c r="FAA15" s="338"/>
      <c r="FAB15" s="338"/>
      <c r="FAC15" s="338"/>
      <c r="FAD15" s="338"/>
      <c r="FAE15" s="338"/>
      <c r="FAF15" s="338"/>
      <c r="FAG15" s="338"/>
      <c r="FAH15" s="338"/>
      <c r="FAI15" s="338"/>
      <c r="FAJ15" s="338"/>
      <c r="FAK15" s="338"/>
      <c r="FAL15" s="338"/>
      <c r="FAM15" s="338"/>
      <c r="FAN15" s="338"/>
      <c r="FAO15" s="338"/>
      <c r="FAP15" s="338"/>
      <c r="FAQ15" s="338"/>
      <c r="FAR15" s="338"/>
      <c r="FAS15" s="338"/>
      <c r="FAT15" s="338"/>
      <c r="FAU15" s="338"/>
      <c r="FAV15" s="338"/>
      <c r="FAW15" s="338"/>
      <c r="FAX15" s="338"/>
      <c r="FAY15" s="338"/>
      <c r="FAZ15" s="338"/>
      <c r="FBA15" s="338"/>
      <c r="FBB15" s="338"/>
      <c r="FBC15" s="338"/>
      <c r="FBD15" s="338"/>
      <c r="FBE15" s="338"/>
      <c r="FBF15" s="338"/>
      <c r="FBG15" s="338"/>
      <c r="FBH15" s="338"/>
      <c r="FBI15" s="338"/>
      <c r="FBJ15" s="338"/>
      <c r="FBK15" s="338"/>
      <c r="FBL15" s="338"/>
      <c r="FBM15" s="338"/>
      <c r="FBN15" s="338"/>
      <c r="FBO15" s="338"/>
      <c r="FBP15" s="338"/>
      <c r="FBQ15" s="338"/>
      <c r="FBR15" s="338"/>
      <c r="FBS15" s="338"/>
      <c r="FBT15" s="338"/>
      <c r="FBU15" s="338"/>
      <c r="FBV15" s="338"/>
      <c r="FBW15" s="338"/>
      <c r="FBX15" s="338"/>
      <c r="FBY15" s="338"/>
      <c r="FBZ15" s="338"/>
      <c r="FCA15" s="338"/>
      <c r="FCB15" s="338"/>
      <c r="FCC15" s="338"/>
      <c r="FCD15" s="338"/>
      <c r="FCE15" s="338"/>
      <c r="FCF15" s="338"/>
      <c r="FCG15" s="338"/>
      <c r="FCH15" s="338"/>
      <c r="FCI15" s="338"/>
      <c r="FCJ15" s="338"/>
      <c r="FCK15" s="338"/>
      <c r="FCL15" s="338"/>
      <c r="FCM15" s="338"/>
      <c r="FCN15" s="338"/>
      <c r="FCO15" s="338"/>
      <c r="FCP15" s="338"/>
      <c r="FCQ15" s="338"/>
      <c r="FCR15" s="338"/>
      <c r="FCS15" s="338"/>
      <c r="FCT15" s="338"/>
      <c r="FCU15" s="338"/>
      <c r="FCV15" s="338"/>
      <c r="FCW15" s="338"/>
      <c r="FCX15" s="338"/>
      <c r="FCY15" s="338"/>
      <c r="FCZ15" s="338"/>
      <c r="FDA15" s="338"/>
      <c r="FDB15" s="338"/>
      <c r="FDC15" s="338"/>
      <c r="FDD15" s="338"/>
      <c r="FDE15" s="338"/>
      <c r="FDF15" s="338"/>
      <c r="FDG15" s="338"/>
      <c r="FDH15" s="338"/>
      <c r="FDI15" s="338"/>
      <c r="FDJ15" s="338"/>
      <c r="FDK15" s="338"/>
      <c r="FDL15" s="338"/>
      <c r="FDM15" s="338"/>
      <c r="FDN15" s="338"/>
      <c r="FDO15" s="338"/>
      <c r="FDP15" s="338"/>
      <c r="FDQ15" s="338"/>
      <c r="FDR15" s="338"/>
      <c r="FDS15" s="338"/>
      <c r="FDT15" s="338"/>
      <c r="FDU15" s="338"/>
      <c r="FDV15" s="338"/>
      <c r="FDW15" s="338"/>
      <c r="FDX15" s="338"/>
      <c r="FDY15" s="338"/>
      <c r="FDZ15" s="338"/>
      <c r="FEA15" s="338"/>
      <c r="FEB15" s="338"/>
      <c r="FEC15" s="338"/>
      <c r="FED15" s="338"/>
      <c r="FEE15" s="338"/>
      <c r="FEF15" s="338"/>
      <c r="FEG15" s="338"/>
      <c r="FEH15" s="338"/>
      <c r="FEI15" s="338"/>
      <c r="FEJ15" s="338"/>
      <c r="FEK15" s="338"/>
      <c r="FEL15" s="338"/>
      <c r="FEM15" s="338"/>
      <c r="FEN15" s="338"/>
      <c r="FEO15" s="338"/>
      <c r="FEP15" s="338"/>
      <c r="FEQ15" s="338"/>
      <c r="FER15" s="338"/>
      <c r="FES15" s="338"/>
      <c r="FET15" s="338"/>
      <c r="FEU15" s="338"/>
      <c r="FEV15" s="338"/>
      <c r="FEW15" s="338"/>
      <c r="FEX15" s="338"/>
      <c r="FEY15" s="338"/>
      <c r="FEZ15" s="338"/>
      <c r="FFA15" s="338"/>
      <c r="FFB15" s="338"/>
      <c r="FFC15" s="338"/>
      <c r="FFD15" s="338"/>
      <c r="FFE15" s="338"/>
      <c r="FFF15" s="338"/>
      <c r="FFG15" s="338"/>
      <c r="FFH15" s="338"/>
      <c r="FFI15" s="338"/>
      <c r="FFJ15" s="338"/>
      <c r="FFK15" s="338"/>
      <c r="FFL15" s="338"/>
      <c r="FFM15" s="338"/>
      <c r="FFN15" s="338"/>
      <c r="FFO15" s="338"/>
      <c r="FFP15" s="338"/>
      <c r="FFQ15" s="338"/>
      <c r="FFR15" s="338"/>
      <c r="FFS15" s="338"/>
      <c r="FFT15" s="338"/>
      <c r="FFU15" s="338"/>
      <c r="FFV15" s="338"/>
      <c r="FFW15" s="338"/>
      <c r="FFX15" s="338"/>
      <c r="FFY15" s="338"/>
      <c r="FFZ15" s="338"/>
      <c r="FGA15" s="338"/>
      <c r="FGB15" s="338"/>
      <c r="FGC15" s="338"/>
      <c r="FGD15" s="338"/>
      <c r="FGE15" s="338"/>
      <c r="FGF15" s="338"/>
      <c r="FGG15" s="338"/>
      <c r="FGH15" s="338"/>
      <c r="FGI15" s="338"/>
      <c r="FGJ15" s="338"/>
      <c r="FGK15" s="338"/>
      <c r="FGL15" s="338"/>
      <c r="FGM15" s="338"/>
      <c r="FGN15" s="338"/>
      <c r="FGO15" s="338"/>
      <c r="FGP15" s="338"/>
      <c r="FGQ15" s="338"/>
      <c r="FGR15" s="338"/>
      <c r="FGS15" s="338"/>
      <c r="FGT15" s="338"/>
      <c r="FGU15" s="338"/>
      <c r="FGV15" s="338"/>
      <c r="FGW15" s="338"/>
      <c r="FGX15" s="338"/>
      <c r="FGY15" s="338"/>
      <c r="FGZ15" s="338"/>
      <c r="FHA15" s="338"/>
      <c r="FHB15" s="338"/>
      <c r="FHC15" s="338"/>
      <c r="FHD15" s="338"/>
      <c r="FHE15" s="338"/>
      <c r="FHF15" s="338"/>
      <c r="FHG15" s="338"/>
      <c r="FHH15" s="338"/>
      <c r="FHI15" s="338"/>
      <c r="FHJ15" s="338"/>
      <c r="FHK15" s="338"/>
      <c r="FHL15" s="338"/>
      <c r="FHM15" s="338"/>
      <c r="FHN15" s="338"/>
      <c r="FHO15" s="338"/>
      <c r="FHP15" s="338"/>
      <c r="FHQ15" s="338"/>
      <c r="FHR15" s="338"/>
      <c r="FHS15" s="338"/>
      <c r="FHT15" s="338"/>
      <c r="FHU15" s="338"/>
      <c r="FHV15" s="338"/>
      <c r="FHW15" s="338"/>
      <c r="FHX15" s="338"/>
      <c r="FHY15" s="338"/>
      <c r="FHZ15" s="338"/>
      <c r="FIA15" s="338"/>
      <c r="FIB15" s="338"/>
      <c r="FIC15" s="338"/>
      <c r="FID15" s="338"/>
      <c r="FIE15" s="338"/>
      <c r="FIF15" s="338"/>
      <c r="FIG15" s="338"/>
      <c r="FIH15" s="338"/>
      <c r="FII15" s="338"/>
      <c r="FIJ15" s="338"/>
      <c r="FIK15" s="338"/>
      <c r="FIL15" s="338"/>
      <c r="FIM15" s="338"/>
      <c r="FIN15" s="338"/>
      <c r="FIO15" s="338"/>
      <c r="FIP15" s="338"/>
      <c r="FIQ15" s="338"/>
      <c r="FIR15" s="338"/>
      <c r="FIS15" s="338"/>
      <c r="FIT15" s="338"/>
      <c r="FIU15" s="338"/>
      <c r="FIV15" s="338"/>
      <c r="FIW15" s="338"/>
      <c r="FIX15" s="338"/>
      <c r="FIY15" s="338"/>
      <c r="FIZ15" s="338"/>
      <c r="FJA15" s="338"/>
      <c r="FJB15" s="338"/>
      <c r="FJC15" s="338"/>
      <c r="FJD15" s="338"/>
      <c r="FJE15" s="338"/>
      <c r="FJF15" s="338"/>
      <c r="FJG15" s="338"/>
      <c r="FJH15" s="338"/>
      <c r="FJI15" s="338"/>
      <c r="FJJ15" s="338"/>
      <c r="FJK15" s="338"/>
      <c r="FJL15" s="338"/>
      <c r="FJM15" s="338"/>
      <c r="FJN15" s="338"/>
      <c r="FJO15" s="338"/>
      <c r="FJP15" s="338"/>
      <c r="FJQ15" s="338"/>
      <c r="FJR15" s="338"/>
      <c r="FJS15" s="338"/>
      <c r="FJT15" s="338"/>
      <c r="FJU15" s="338"/>
      <c r="FJV15" s="338"/>
      <c r="FJW15" s="338"/>
      <c r="FJX15" s="338"/>
      <c r="FJY15" s="338"/>
      <c r="FJZ15" s="338"/>
      <c r="FKA15" s="338"/>
      <c r="FKB15" s="338"/>
      <c r="FKC15" s="338"/>
      <c r="FKD15" s="338"/>
      <c r="FKE15" s="338"/>
      <c r="FKF15" s="338"/>
      <c r="FKG15" s="338"/>
      <c r="FKH15" s="338"/>
      <c r="FKI15" s="338"/>
      <c r="FKJ15" s="338"/>
      <c r="FKK15" s="338"/>
      <c r="FKL15" s="338"/>
      <c r="FKM15" s="338"/>
      <c r="FKN15" s="338"/>
      <c r="FKO15" s="338"/>
      <c r="FKP15" s="338"/>
      <c r="FKQ15" s="338"/>
      <c r="FKR15" s="338"/>
      <c r="FKS15" s="338"/>
      <c r="FKT15" s="338"/>
      <c r="FKU15" s="338"/>
      <c r="FKV15" s="338"/>
      <c r="FKW15" s="338"/>
      <c r="FKX15" s="338"/>
      <c r="FKY15" s="338"/>
      <c r="FKZ15" s="338"/>
      <c r="FLA15" s="338"/>
      <c r="FLB15" s="338"/>
      <c r="FLC15" s="338"/>
      <c r="FLD15" s="338"/>
      <c r="FLE15" s="338"/>
      <c r="FLF15" s="338"/>
      <c r="FLG15" s="338"/>
      <c r="FLH15" s="338"/>
      <c r="FLI15" s="338"/>
      <c r="FLJ15" s="338"/>
      <c r="FLK15" s="338"/>
      <c r="FLL15" s="338"/>
      <c r="FLM15" s="338"/>
      <c r="FLN15" s="338"/>
      <c r="FLO15" s="338"/>
      <c r="FLP15" s="338"/>
      <c r="FLQ15" s="338"/>
      <c r="FLR15" s="338"/>
      <c r="FLS15" s="338"/>
      <c r="FLT15" s="338"/>
      <c r="FLU15" s="338"/>
      <c r="FLV15" s="338"/>
      <c r="FLW15" s="338"/>
      <c r="FLX15" s="338"/>
      <c r="FLY15" s="338"/>
      <c r="FLZ15" s="338"/>
      <c r="FMA15" s="338"/>
      <c r="FMB15" s="338"/>
      <c r="FMC15" s="338"/>
      <c r="FMD15" s="338"/>
      <c r="FME15" s="338"/>
      <c r="FMF15" s="338"/>
      <c r="FMG15" s="338"/>
      <c r="FMH15" s="338"/>
      <c r="FMI15" s="338"/>
      <c r="FMJ15" s="338"/>
      <c r="FMK15" s="338"/>
      <c r="FML15" s="338"/>
      <c r="FMM15" s="338"/>
      <c r="FMN15" s="338"/>
      <c r="FMO15" s="338"/>
      <c r="FMP15" s="338"/>
      <c r="FMQ15" s="338"/>
      <c r="FMR15" s="338"/>
      <c r="FMS15" s="338"/>
      <c r="FMT15" s="338"/>
      <c r="FMU15" s="338"/>
      <c r="FMV15" s="338"/>
      <c r="FMW15" s="338"/>
      <c r="FMX15" s="338"/>
      <c r="FMY15" s="338"/>
      <c r="FMZ15" s="338"/>
      <c r="FNA15" s="338"/>
      <c r="FNB15" s="338"/>
      <c r="FNC15" s="338"/>
      <c r="FND15" s="338"/>
      <c r="FNE15" s="338"/>
      <c r="FNF15" s="338"/>
      <c r="FNG15" s="338"/>
      <c r="FNH15" s="338"/>
      <c r="FNI15" s="338"/>
      <c r="FNJ15" s="338"/>
      <c r="FNK15" s="338"/>
      <c r="FNL15" s="338"/>
      <c r="FNM15" s="338"/>
      <c r="FNN15" s="338"/>
      <c r="FNO15" s="338"/>
      <c r="FNP15" s="338"/>
      <c r="FNQ15" s="338"/>
      <c r="FNR15" s="338"/>
      <c r="FNS15" s="338"/>
      <c r="FNT15" s="338"/>
      <c r="FNU15" s="338"/>
      <c r="FNV15" s="338"/>
      <c r="FNW15" s="338"/>
      <c r="FNX15" s="338"/>
      <c r="FNY15" s="338"/>
      <c r="FNZ15" s="338"/>
      <c r="FOA15" s="338"/>
      <c r="FOB15" s="338"/>
      <c r="FOC15" s="338"/>
      <c r="FOD15" s="338"/>
      <c r="FOE15" s="338"/>
      <c r="FOF15" s="338"/>
      <c r="FOG15" s="338"/>
      <c r="FOH15" s="338"/>
      <c r="FOI15" s="338"/>
      <c r="FOJ15" s="338"/>
      <c r="FOK15" s="338"/>
      <c r="FOL15" s="338"/>
      <c r="FOM15" s="338"/>
      <c r="FON15" s="338"/>
      <c r="FOO15" s="338"/>
      <c r="FOP15" s="338"/>
      <c r="FOQ15" s="338"/>
      <c r="FOR15" s="338"/>
      <c r="FOS15" s="338"/>
      <c r="FOT15" s="338"/>
      <c r="FOU15" s="338"/>
      <c r="FOV15" s="338"/>
      <c r="FOW15" s="338"/>
      <c r="FOX15" s="338"/>
      <c r="FOY15" s="338"/>
      <c r="FOZ15" s="338"/>
      <c r="FPA15" s="338"/>
      <c r="FPB15" s="338"/>
      <c r="FPC15" s="338"/>
      <c r="FPD15" s="338"/>
      <c r="FPE15" s="338"/>
      <c r="FPF15" s="338"/>
      <c r="FPG15" s="338"/>
      <c r="FPH15" s="338"/>
      <c r="FPI15" s="338"/>
      <c r="FPJ15" s="338"/>
      <c r="FPK15" s="338"/>
      <c r="FPL15" s="338"/>
      <c r="FPM15" s="338"/>
      <c r="FPN15" s="338"/>
      <c r="FPO15" s="338"/>
      <c r="FPP15" s="338"/>
      <c r="FPQ15" s="338"/>
      <c r="FPR15" s="338"/>
      <c r="FPS15" s="338"/>
      <c r="FPT15" s="338"/>
      <c r="FPU15" s="338"/>
      <c r="FPV15" s="338"/>
      <c r="FPW15" s="338"/>
      <c r="FPX15" s="338"/>
      <c r="FPY15" s="338"/>
      <c r="FPZ15" s="338"/>
      <c r="FQA15" s="338"/>
      <c r="FQB15" s="338"/>
      <c r="FQC15" s="338"/>
      <c r="FQD15" s="338"/>
      <c r="FQE15" s="338"/>
      <c r="FQF15" s="338"/>
      <c r="FQG15" s="338"/>
      <c r="FQH15" s="338"/>
      <c r="FQI15" s="338"/>
      <c r="FQJ15" s="338"/>
      <c r="FQK15" s="338"/>
      <c r="FQL15" s="338"/>
      <c r="FQM15" s="338"/>
      <c r="FQN15" s="338"/>
      <c r="FQO15" s="338"/>
      <c r="FQP15" s="338"/>
      <c r="FQQ15" s="338"/>
      <c r="FQR15" s="338"/>
      <c r="FQS15" s="338"/>
      <c r="FQT15" s="338"/>
      <c r="FQU15" s="338"/>
      <c r="FQV15" s="338"/>
      <c r="FQW15" s="338"/>
      <c r="FQX15" s="338"/>
      <c r="FQY15" s="338"/>
      <c r="FQZ15" s="338"/>
      <c r="FRA15" s="338"/>
      <c r="FRB15" s="338"/>
      <c r="FRC15" s="338"/>
      <c r="FRD15" s="338"/>
      <c r="FRE15" s="338"/>
      <c r="FRF15" s="338"/>
      <c r="FRG15" s="338"/>
      <c r="FRH15" s="338"/>
      <c r="FRI15" s="338"/>
      <c r="FRJ15" s="338"/>
      <c r="FRK15" s="338"/>
      <c r="FRL15" s="338"/>
      <c r="FRM15" s="338"/>
      <c r="FRN15" s="338"/>
      <c r="FRO15" s="338"/>
      <c r="FRP15" s="338"/>
      <c r="FRQ15" s="338"/>
      <c r="FRR15" s="338"/>
      <c r="FRS15" s="338"/>
      <c r="FRT15" s="338"/>
      <c r="FRU15" s="338"/>
      <c r="FRV15" s="338"/>
      <c r="FRW15" s="338"/>
      <c r="FRX15" s="338"/>
      <c r="FRY15" s="338"/>
      <c r="FRZ15" s="338"/>
      <c r="FSA15" s="338"/>
      <c r="FSB15" s="338"/>
      <c r="FSC15" s="338"/>
      <c r="FSD15" s="338"/>
      <c r="FSE15" s="338"/>
      <c r="FSF15" s="338"/>
      <c r="FSG15" s="338"/>
      <c r="FSH15" s="338"/>
      <c r="FSI15" s="338"/>
      <c r="FSJ15" s="338"/>
      <c r="FSK15" s="338"/>
      <c r="FSL15" s="338"/>
      <c r="FSM15" s="338"/>
      <c r="FSN15" s="338"/>
      <c r="FSO15" s="338"/>
      <c r="FSP15" s="338"/>
      <c r="FSQ15" s="338"/>
      <c r="FSR15" s="338"/>
      <c r="FSS15" s="338"/>
      <c r="FST15" s="338"/>
      <c r="FSU15" s="338"/>
      <c r="FSV15" s="338"/>
      <c r="FSW15" s="338"/>
      <c r="FSX15" s="338"/>
      <c r="FSY15" s="338"/>
      <c r="FSZ15" s="338"/>
      <c r="FTA15" s="338"/>
      <c r="FTB15" s="338"/>
      <c r="FTC15" s="338"/>
      <c r="FTD15" s="338"/>
      <c r="FTE15" s="338"/>
      <c r="FTF15" s="338"/>
      <c r="FTG15" s="338"/>
      <c r="FTH15" s="338"/>
      <c r="FTI15" s="338"/>
      <c r="FTJ15" s="338"/>
      <c r="FTK15" s="338"/>
      <c r="FTL15" s="338"/>
      <c r="FTM15" s="338"/>
      <c r="FTN15" s="338"/>
      <c r="FTO15" s="338"/>
      <c r="FTP15" s="338"/>
      <c r="FTQ15" s="338"/>
      <c r="FTR15" s="338"/>
      <c r="FTS15" s="338"/>
      <c r="FTT15" s="338"/>
      <c r="FTU15" s="338"/>
      <c r="FTV15" s="338"/>
      <c r="FTW15" s="338"/>
      <c r="FTX15" s="338"/>
      <c r="FTY15" s="338"/>
      <c r="FTZ15" s="338"/>
      <c r="FUA15" s="338"/>
      <c r="FUB15" s="338"/>
      <c r="FUC15" s="338"/>
      <c r="FUD15" s="338"/>
      <c r="FUE15" s="338"/>
      <c r="FUF15" s="338"/>
      <c r="FUG15" s="338"/>
      <c r="FUH15" s="338"/>
      <c r="FUI15" s="338"/>
      <c r="FUJ15" s="338"/>
      <c r="FUK15" s="338"/>
      <c r="FUL15" s="338"/>
      <c r="FUM15" s="338"/>
      <c r="FUN15" s="338"/>
      <c r="FUO15" s="338"/>
      <c r="FUP15" s="338"/>
      <c r="FUQ15" s="338"/>
      <c r="FUR15" s="338"/>
      <c r="FUS15" s="338"/>
      <c r="FUT15" s="338"/>
      <c r="FUU15" s="338"/>
      <c r="FUV15" s="338"/>
      <c r="FUW15" s="338"/>
      <c r="FUX15" s="338"/>
      <c r="FUY15" s="338"/>
      <c r="FUZ15" s="338"/>
      <c r="FVA15" s="338"/>
      <c r="FVB15" s="338"/>
      <c r="FVC15" s="338"/>
      <c r="FVD15" s="338"/>
      <c r="FVE15" s="338"/>
      <c r="FVF15" s="338"/>
      <c r="FVG15" s="338"/>
      <c r="FVH15" s="338"/>
      <c r="FVI15" s="338"/>
      <c r="FVJ15" s="338"/>
      <c r="FVK15" s="338"/>
      <c r="FVL15" s="338"/>
      <c r="FVM15" s="338"/>
      <c r="FVN15" s="338"/>
      <c r="FVO15" s="338"/>
      <c r="FVP15" s="338"/>
      <c r="FVQ15" s="338"/>
      <c r="FVR15" s="338"/>
      <c r="FVS15" s="338"/>
      <c r="FVT15" s="338"/>
      <c r="FVU15" s="338"/>
      <c r="FVV15" s="338"/>
      <c r="FVW15" s="338"/>
      <c r="FVX15" s="338"/>
      <c r="FVY15" s="338"/>
      <c r="FVZ15" s="338"/>
      <c r="FWA15" s="338"/>
      <c r="FWB15" s="338"/>
      <c r="FWC15" s="338"/>
      <c r="FWD15" s="338"/>
      <c r="FWE15" s="338"/>
      <c r="FWF15" s="338"/>
      <c r="FWG15" s="338"/>
      <c r="FWH15" s="338"/>
      <c r="FWI15" s="338"/>
      <c r="FWJ15" s="338"/>
      <c r="FWK15" s="338"/>
      <c r="FWL15" s="338"/>
      <c r="FWM15" s="338"/>
      <c r="FWN15" s="338"/>
      <c r="FWO15" s="338"/>
      <c r="FWP15" s="338"/>
      <c r="FWQ15" s="338"/>
      <c r="FWR15" s="338"/>
      <c r="FWS15" s="338"/>
      <c r="FWT15" s="338"/>
      <c r="FWU15" s="338"/>
      <c r="FWV15" s="338"/>
      <c r="FWW15" s="338"/>
      <c r="FWX15" s="338"/>
      <c r="FWY15" s="338"/>
      <c r="FWZ15" s="338"/>
      <c r="FXA15" s="338"/>
      <c r="FXB15" s="338"/>
      <c r="FXC15" s="338"/>
      <c r="FXD15" s="338"/>
      <c r="FXE15" s="338"/>
      <c r="FXF15" s="338"/>
      <c r="FXG15" s="338"/>
      <c r="FXH15" s="338"/>
      <c r="FXI15" s="338"/>
      <c r="FXJ15" s="338"/>
      <c r="FXK15" s="338"/>
      <c r="FXL15" s="338"/>
      <c r="FXM15" s="338"/>
      <c r="FXN15" s="338"/>
      <c r="FXO15" s="338"/>
      <c r="FXP15" s="338"/>
      <c r="FXQ15" s="338"/>
      <c r="FXR15" s="338"/>
      <c r="FXS15" s="338"/>
      <c r="FXT15" s="338"/>
      <c r="FXU15" s="338"/>
      <c r="FXV15" s="338"/>
      <c r="FXW15" s="338"/>
      <c r="FXX15" s="338"/>
      <c r="FXY15" s="338"/>
      <c r="FXZ15" s="338"/>
      <c r="FYA15" s="338"/>
      <c r="FYB15" s="338"/>
      <c r="FYC15" s="338"/>
      <c r="FYD15" s="338"/>
      <c r="FYE15" s="338"/>
      <c r="FYF15" s="338"/>
      <c r="FYG15" s="338"/>
      <c r="FYH15" s="338"/>
      <c r="FYI15" s="338"/>
      <c r="FYJ15" s="338"/>
      <c r="FYK15" s="338"/>
      <c r="FYL15" s="338"/>
      <c r="FYM15" s="338"/>
      <c r="FYN15" s="338"/>
      <c r="FYO15" s="338"/>
      <c r="FYP15" s="338"/>
      <c r="FYQ15" s="338"/>
      <c r="FYR15" s="338"/>
      <c r="FYS15" s="338"/>
      <c r="FYT15" s="338"/>
      <c r="FYU15" s="338"/>
      <c r="FYV15" s="338"/>
      <c r="FYW15" s="338"/>
      <c r="FYX15" s="338"/>
      <c r="FYY15" s="338"/>
      <c r="FYZ15" s="338"/>
      <c r="FZA15" s="338"/>
      <c r="FZB15" s="338"/>
      <c r="FZC15" s="338"/>
      <c r="FZD15" s="338"/>
      <c r="FZE15" s="338"/>
      <c r="FZF15" s="338"/>
      <c r="FZG15" s="338"/>
      <c r="FZH15" s="338"/>
      <c r="FZI15" s="338"/>
      <c r="FZJ15" s="338"/>
      <c r="FZK15" s="338"/>
      <c r="FZL15" s="338"/>
      <c r="FZM15" s="338"/>
      <c r="FZN15" s="338"/>
      <c r="FZO15" s="338"/>
      <c r="FZP15" s="338"/>
      <c r="FZQ15" s="338"/>
      <c r="FZR15" s="338"/>
      <c r="FZS15" s="338"/>
      <c r="FZT15" s="338"/>
      <c r="FZU15" s="338"/>
      <c r="FZV15" s="338"/>
      <c r="FZW15" s="338"/>
      <c r="FZX15" s="338"/>
      <c r="FZY15" s="338"/>
      <c r="FZZ15" s="338"/>
      <c r="GAA15" s="338"/>
      <c r="GAB15" s="338"/>
      <c r="GAC15" s="338"/>
      <c r="GAD15" s="338"/>
      <c r="GAE15" s="338"/>
      <c r="GAF15" s="338"/>
      <c r="GAG15" s="338"/>
      <c r="GAH15" s="338"/>
      <c r="GAI15" s="338"/>
      <c r="GAJ15" s="338"/>
      <c r="GAK15" s="338"/>
      <c r="GAL15" s="338"/>
      <c r="GAM15" s="338"/>
      <c r="GAN15" s="338"/>
      <c r="GAO15" s="338"/>
      <c r="GAP15" s="338"/>
      <c r="GAQ15" s="338"/>
      <c r="GAR15" s="338"/>
      <c r="GAS15" s="338"/>
      <c r="GAT15" s="338"/>
      <c r="GAU15" s="338"/>
      <c r="GAV15" s="338"/>
      <c r="GAW15" s="338"/>
      <c r="GAX15" s="338"/>
      <c r="GAY15" s="338"/>
      <c r="GAZ15" s="338"/>
      <c r="GBA15" s="338"/>
      <c r="GBB15" s="338"/>
      <c r="GBC15" s="338"/>
      <c r="GBD15" s="338"/>
      <c r="GBE15" s="338"/>
      <c r="GBF15" s="338"/>
      <c r="GBG15" s="338"/>
      <c r="GBH15" s="338"/>
      <c r="GBI15" s="338"/>
      <c r="GBJ15" s="338"/>
      <c r="GBK15" s="338"/>
      <c r="GBL15" s="338"/>
      <c r="GBM15" s="338"/>
      <c r="GBN15" s="338"/>
      <c r="GBO15" s="338"/>
      <c r="GBP15" s="338"/>
      <c r="GBQ15" s="338"/>
      <c r="GBR15" s="338"/>
      <c r="GBS15" s="338"/>
      <c r="GBT15" s="338"/>
      <c r="GBU15" s="338"/>
      <c r="GBV15" s="338"/>
      <c r="GBW15" s="338"/>
      <c r="GBX15" s="338"/>
      <c r="GBY15" s="338"/>
      <c r="GBZ15" s="338"/>
      <c r="GCA15" s="338"/>
      <c r="GCB15" s="338"/>
      <c r="GCC15" s="338"/>
      <c r="GCD15" s="338"/>
      <c r="GCE15" s="338"/>
      <c r="GCF15" s="338"/>
      <c r="GCG15" s="338"/>
      <c r="GCH15" s="338"/>
      <c r="GCI15" s="338"/>
      <c r="GCJ15" s="338"/>
      <c r="GCK15" s="338"/>
      <c r="GCL15" s="338"/>
      <c r="GCM15" s="338"/>
      <c r="GCN15" s="338"/>
      <c r="GCO15" s="338"/>
      <c r="GCP15" s="338"/>
      <c r="GCQ15" s="338"/>
      <c r="GCR15" s="338"/>
      <c r="GCS15" s="338"/>
      <c r="GCT15" s="338"/>
      <c r="GCU15" s="338"/>
      <c r="GCV15" s="338"/>
      <c r="GCW15" s="338"/>
      <c r="GCX15" s="338"/>
      <c r="GCY15" s="338"/>
      <c r="GCZ15" s="338"/>
      <c r="GDA15" s="338"/>
      <c r="GDB15" s="338"/>
      <c r="GDC15" s="338"/>
      <c r="GDD15" s="338"/>
      <c r="GDE15" s="338"/>
      <c r="GDF15" s="338"/>
      <c r="GDG15" s="338"/>
      <c r="GDH15" s="338"/>
      <c r="GDI15" s="338"/>
      <c r="GDJ15" s="338"/>
      <c r="GDK15" s="338"/>
      <c r="GDL15" s="338"/>
      <c r="GDM15" s="338"/>
      <c r="GDN15" s="338"/>
      <c r="GDO15" s="338"/>
      <c r="GDP15" s="338"/>
      <c r="GDQ15" s="338"/>
      <c r="GDR15" s="338"/>
      <c r="GDS15" s="338"/>
      <c r="GDT15" s="338"/>
      <c r="GDU15" s="338"/>
      <c r="GDV15" s="338"/>
      <c r="GDW15" s="338"/>
      <c r="GDX15" s="338"/>
      <c r="GDY15" s="338"/>
      <c r="GDZ15" s="338"/>
      <c r="GEA15" s="338"/>
      <c r="GEB15" s="338"/>
      <c r="GEC15" s="338"/>
      <c r="GED15" s="338"/>
      <c r="GEE15" s="338"/>
      <c r="GEF15" s="338"/>
      <c r="GEG15" s="338"/>
      <c r="GEH15" s="338"/>
      <c r="GEI15" s="338"/>
      <c r="GEJ15" s="338"/>
      <c r="GEK15" s="338"/>
      <c r="GEL15" s="338"/>
      <c r="GEM15" s="338"/>
      <c r="GEN15" s="338"/>
      <c r="GEO15" s="338"/>
      <c r="GEP15" s="338"/>
      <c r="GEQ15" s="338"/>
      <c r="GER15" s="338"/>
      <c r="GES15" s="338"/>
      <c r="GET15" s="338"/>
      <c r="GEU15" s="338"/>
      <c r="GEV15" s="338"/>
      <c r="GEW15" s="338"/>
      <c r="GEX15" s="338"/>
      <c r="GEY15" s="338"/>
      <c r="GEZ15" s="338"/>
      <c r="GFA15" s="338"/>
      <c r="GFB15" s="338"/>
      <c r="GFC15" s="338"/>
      <c r="GFD15" s="338"/>
      <c r="GFE15" s="338"/>
      <c r="GFF15" s="338"/>
      <c r="GFG15" s="338"/>
      <c r="GFH15" s="338"/>
      <c r="GFI15" s="338"/>
      <c r="GFJ15" s="338"/>
      <c r="GFK15" s="338"/>
      <c r="GFL15" s="338"/>
      <c r="GFM15" s="338"/>
      <c r="GFN15" s="338"/>
      <c r="GFO15" s="338"/>
      <c r="GFP15" s="338"/>
      <c r="GFQ15" s="338"/>
      <c r="GFR15" s="338"/>
      <c r="GFS15" s="338"/>
      <c r="GFT15" s="338"/>
      <c r="GFU15" s="338"/>
      <c r="GFV15" s="338"/>
      <c r="GFW15" s="338"/>
      <c r="GFX15" s="338"/>
      <c r="GFY15" s="338"/>
      <c r="GFZ15" s="338"/>
      <c r="GGA15" s="338"/>
      <c r="GGB15" s="338"/>
      <c r="GGC15" s="338"/>
      <c r="GGD15" s="338"/>
      <c r="GGE15" s="338"/>
      <c r="GGF15" s="338"/>
      <c r="GGG15" s="338"/>
      <c r="GGH15" s="338"/>
      <c r="GGI15" s="338"/>
      <c r="GGJ15" s="338"/>
      <c r="GGK15" s="338"/>
      <c r="GGL15" s="338"/>
      <c r="GGM15" s="338"/>
      <c r="GGN15" s="338"/>
      <c r="GGO15" s="338"/>
      <c r="GGP15" s="338"/>
      <c r="GGQ15" s="338"/>
      <c r="GGR15" s="338"/>
      <c r="GGS15" s="338"/>
      <c r="GGT15" s="338"/>
      <c r="GGU15" s="338"/>
      <c r="GGV15" s="338"/>
      <c r="GGW15" s="338"/>
      <c r="GGX15" s="338"/>
      <c r="GGY15" s="338"/>
      <c r="GGZ15" s="338"/>
      <c r="GHA15" s="338"/>
      <c r="GHB15" s="338"/>
      <c r="GHC15" s="338"/>
      <c r="GHD15" s="338"/>
      <c r="GHE15" s="338"/>
      <c r="GHF15" s="338"/>
      <c r="GHG15" s="338"/>
      <c r="GHH15" s="338"/>
      <c r="GHI15" s="338"/>
      <c r="GHJ15" s="338"/>
      <c r="GHK15" s="338"/>
      <c r="GHL15" s="338"/>
      <c r="GHM15" s="338"/>
      <c r="GHN15" s="338"/>
      <c r="GHO15" s="338"/>
      <c r="GHP15" s="338"/>
      <c r="GHQ15" s="338"/>
      <c r="GHR15" s="338"/>
      <c r="GHS15" s="338"/>
      <c r="GHT15" s="338"/>
      <c r="GHU15" s="338"/>
      <c r="GHV15" s="338"/>
      <c r="GHW15" s="338"/>
      <c r="GHX15" s="338"/>
      <c r="GHY15" s="338"/>
      <c r="GHZ15" s="338"/>
      <c r="GIA15" s="338"/>
      <c r="GIB15" s="338"/>
      <c r="GIC15" s="338"/>
      <c r="GID15" s="338"/>
      <c r="GIE15" s="338"/>
      <c r="GIF15" s="338"/>
      <c r="GIG15" s="338"/>
      <c r="GIH15" s="338"/>
      <c r="GII15" s="338"/>
      <c r="GIJ15" s="338"/>
      <c r="GIK15" s="338"/>
      <c r="GIL15" s="338"/>
      <c r="GIM15" s="338"/>
      <c r="GIN15" s="338"/>
      <c r="GIO15" s="338"/>
      <c r="GIP15" s="338"/>
      <c r="GIQ15" s="338"/>
      <c r="GIR15" s="338"/>
      <c r="GIS15" s="338"/>
      <c r="GIT15" s="338"/>
      <c r="GIU15" s="338"/>
      <c r="GIV15" s="338"/>
      <c r="GIW15" s="338"/>
      <c r="GIX15" s="338"/>
      <c r="GIY15" s="338"/>
      <c r="GIZ15" s="338"/>
      <c r="GJA15" s="338"/>
      <c r="GJB15" s="338"/>
      <c r="GJC15" s="338"/>
      <c r="GJD15" s="338"/>
      <c r="GJE15" s="338"/>
      <c r="GJF15" s="338"/>
      <c r="GJG15" s="338"/>
      <c r="GJH15" s="338"/>
      <c r="GJI15" s="338"/>
      <c r="GJJ15" s="338"/>
      <c r="GJK15" s="338"/>
      <c r="GJL15" s="338"/>
      <c r="GJM15" s="338"/>
      <c r="GJN15" s="338"/>
      <c r="GJO15" s="338"/>
      <c r="GJP15" s="338"/>
      <c r="GJQ15" s="338"/>
      <c r="GJR15" s="338"/>
      <c r="GJS15" s="338"/>
      <c r="GJT15" s="338"/>
      <c r="GJU15" s="338"/>
      <c r="GJV15" s="338"/>
      <c r="GJW15" s="338"/>
      <c r="GJX15" s="338"/>
      <c r="GJY15" s="338"/>
      <c r="GJZ15" s="338"/>
      <c r="GKA15" s="338"/>
      <c r="GKB15" s="338"/>
      <c r="GKC15" s="338"/>
      <c r="GKD15" s="338"/>
      <c r="GKE15" s="338"/>
      <c r="GKF15" s="338"/>
      <c r="GKG15" s="338"/>
      <c r="GKH15" s="338"/>
      <c r="GKI15" s="338"/>
      <c r="GKJ15" s="338"/>
      <c r="GKK15" s="338"/>
      <c r="GKL15" s="338"/>
      <c r="GKM15" s="338"/>
      <c r="GKN15" s="338"/>
      <c r="GKO15" s="338"/>
      <c r="GKP15" s="338"/>
      <c r="GKQ15" s="338"/>
      <c r="GKR15" s="338"/>
      <c r="GKS15" s="338"/>
      <c r="GKT15" s="338"/>
      <c r="GKU15" s="338"/>
      <c r="GKV15" s="338"/>
      <c r="GKW15" s="338"/>
      <c r="GKX15" s="338"/>
      <c r="GKY15" s="338"/>
      <c r="GKZ15" s="338"/>
      <c r="GLA15" s="338"/>
      <c r="GLB15" s="338"/>
      <c r="GLC15" s="338"/>
      <c r="GLD15" s="338"/>
      <c r="GLE15" s="338"/>
      <c r="GLF15" s="338"/>
      <c r="GLG15" s="338"/>
      <c r="GLH15" s="338"/>
      <c r="GLI15" s="338"/>
      <c r="GLJ15" s="338"/>
      <c r="GLK15" s="338"/>
      <c r="GLL15" s="338"/>
      <c r="GLM15" s="338"/>
      <c r="GLN15" s="338"/>
      <c r="GLO15" s="338"/>
      <c r="GLP15" s="338"/>
      <c r="GLQ15" s="338"/>
      <c r="GLR15" s="338"/>
      <c r="GLS15" s="338"/>
      <c r="GLT15" s="338"/>
      <c r="GLU15" s="338"/>
      <c r="GLV15" s="338"/>
      <c r="GLW15" s="338"/>
      <c r="GLX15" s="338"/>
      <c r="GLY15" s="338"/>
      <c r="GLZ15" s="338"/>
      <c r="GMA15" s="338"/>
      <c r="GMB15" s="338"/>
      <c r="GMC15" s="338"/>
      <c r="GMD15" s="338"/>
      <c r="GME15" s="338"/>
      <c r="GMF15" s="338"/>
      <c r="GMG15" s="338"/>
      <c r="GMH15" s="338"/>
      <c r="GMI15" s="338"/>
      <c r="GMJ15" s="338"/>
      <c r="GMK15" s="338"/>
      <c r="GML15" s="338"/>
      <c r="GMM15" s="338"/>
      <c r="GMN15" s="338"/>
      <c r="GMO15" s="338"/>
      <c r="GMP15" s="338"/>
      <c r="GMQ15" s="338"/>
      <c r="GMR15" s="338"/>
      <c r="GMS15" s="338"/>
      <c r="GMT15" s="338"/>
      <c r="GMU15" s="338"/>
      <c r="GMV15" s="338"/>
      <c r="GMW15" s="338"/>
      <c r="GMX15" s="338"/>
      <c r="GMY15" s="338"/>
      <c r="GMZ15" s="338"/>
      <c r="GNA15" s="338"/>
      <c r="GNB15" s="338"/>
      <c r="GNC15" s="338"/>
      <c r="GND15" s="338"/>
      <c r="GNE15" s="338"/>
      <c r="GNF15" s="338"/>
      <c r="GNG15" s="338"/>
      <c r="GNH15" s="338"/>
      <c r="GNI15" s="338"/>
      <c r="GNJ15" s="338"/>
      <c r="GNK15" s="338"/>
      <c r="GNL15" s="338"/>
      <c r="GNM15" s="338"/>
      <c r="GNN15" s="338"/>
      <c r="GNO15" s="338"/>
      <c r="GNP15" s="338"/>
      <c r="GNQ15" s="338"/>
      <c r="GNR15" s="338"/>
      <c r="GNS15" s="338"/>
      <c r="GNT15" s="338"/>
      <c r="GNU15" s="338"/>
      <c r="GNV15" s="338"/>
      <c r="GNW15" s="338"/>
      <c r="GNX15" s="338"/>
      <c r="GNY15" s="338"/>
      <c r="GNZ15" s="338"/>
      <c r="GOA15" s="338"/>
      <c r="GOB15" s="338"/>
      <c r="GOC15" s="338"/>
      <c r="GOD15" s="338"/>
      <c r="GOE15" s="338"/>
      <c r="GOF15" s="338"/>
      <c r="GOG15" s="338"/>
      <c r="GOH15" s="338"/>
      <c r="GOI15" s="338"/>
      <c r="GOJ15" s="338"/>
      <c r="GOK15" s="338"/>
      <c r="GOL15" s="338"/>
      <c r="GOM15" s="338"/>
      <c r="GON15" s="338"/>
      <c r="GOO15" s="338"/>
      <c r="GOP15" s="338"/>
      <c r="GOQ15" s="338"/>
      <c r="GOR15" s="338"/>
      <c r="GOS15" s="338"/>
      <c r="GOT15" s="338"/>
      <c r="GOU15" s="338"/>
      <c r="GOV15" s="338"/>
      <c r="GOW15" s="338"/>
      <c r="GOX15" s="338"/>
      <c r="GOY15" s="338"/>
      <c r="GOZ15" s="338"/>
      <c r="GPA15" s="338"/>
      <c r="GPB15" s="338"/>
      <c r="GPC15" s="338"/>
      <c r="GPD15" s="338"/>
      <c r="GPE15" s="338"/>
      <c r="GPF15" s="338"/>
      <c r="GPG15" s="338"/>
      <c r="GPH15" s="338"/>
      <c r="GPI15" s="338"/>
      <c r="GPJ15" s="338"/>
      <c r="GPK15" s="338"/>
      <c r="GPL15" s="338"/>
      <c r="GPM15" s="338"/>
      <c r="GPN15" s="338"/>
      <c r="GPO15" s="338"/>
      <c r="GPP15" s="338"/>
      <c r="GPQ15" s="338"/>
      <c r="GPR15" s="338"/>
      <c r="GPS15" s="338"/>
      <c r="GPT15" s="338"/>
      <c r="GPU15" s="338"/>
      <c r="GPV15" s="338"/>
      <c r="GPW15" s="338"/>
      <c r="GPX15" s="338"/>
      <c r="GPY15" s="338"/>
      <c r="GPZ15" s="338"/>
      <c r="GQA15" s="338"/>
      <c r="GQB15" s="338"/>
      <c r="GQC15" s="338"/>
      <c r="GQD15" s="338"/>
      <c r="GQE15" s="338"/>
      <c r="GQF15" s="338"/>
      <c r="GQG15" s="338"/>
      <c r="GQH15" s="338"/>
      <c r="GQI15" s="338"/>
      <c r="GQJ15" s="338"/>
      <c r="GQK15" s="338"/>
      <c r="GQL15" s="338"/>
      <c r="GQM15" s="338"/>
      <c r="GQN15" s="338"/>
      <c r="GQO15" s="338"/>
      <c r="GQP15" s="338"/>
      <c r="GQQ15" s="338"/>
      <c r="GQR15" s="338"/>
      <c r="GQS15" s="338"/>
      <c r="GQT15" s="338"/>
      <c r="GQU15" s="338"/>
      <c r="GQV15" s="338"/>
      <c r="GQW15" s="338"/>
      <c r="GQX15" s="338"/>
      <c r="GQY15" s="338"/>
      <c r="GQZ15" s="338"/>
      <c r="GRA15" s="338"/>
      <c r="GRB15" s="338"/>
      <c r="GRC15" s="338"/>
      <c r="GRD15" s="338"/>
      <c r="GRE15" s="338"/>
      <c r="GRF15" s="338"/>
      <c r="GRG15" s="338"/>
      <c r="GRH15" s="338"/>
      <c r="GRI15" s="338"/>
      <c r="GRJ15" s="338"/>
      <c r="GRK15" s="338"/>
      <c r="GRL15" s="338"/>
      <c r="GRM15" s="338"/>
      <c r="GRN15" s="338"/>
      <c r="GRO15" s="338"/>
      <c r="GRP15" s="338"/>
      <c r="GRQ15" s="338"/>
      <c r="GRR15" s="338"/>
      <c r="GRS15" s="338"/>
      <c r="GRT15" s="338"/>
      <c r="GRU15" s="338"/>
      <c r="GRV15" s="338"/>
      <c r="GRW15" s="338"/>
      <c r="GRX15" s="338"/>
      <c r="GRY15" s="338"/>
      <c r="GRZ15" s="338"/>
      <c r="GSA15" s="338"/>
      <c r="GSB15" s="338"/>
      <c r="GSC15" s="338"/>
      <c r="GSD15" s="338"/>
      <c r="GSE15" s="338"/>
      <c r="GSF15" s="338"/>
      <c r="GSG15" s="338"/>
      <c r="GSH15" s="338"/>
      <c r="GSI15" s="338"/>
      <c r="GSJ15" s="338"/>
      <c r="GSK15" s="338"/>
      <c r="GSL15" s="338"/>
      <c r="GSM15" s="338"/>
      <c r="GSN15" s="338"/>
      <c r="GSO15" s="338"/>
      <c r="GSP15" s="338"/>
      <c r="GSQ15" s="338"/>
      <c r="GSR15" s="338"/>
      <c r="GSS15" s="338"/>
      <c r="GST15" s="338"/>
      <c r="GSU15" s="338"/>
      <c r="GSV15" s="338"/>
      <c r="GSW15" s="338"/>
      <c r="GSX15" s="338"/>
      <c r="GSY15" s="338"/>
      <c r="GSZ15" s="338"/>
      <c r="GTA15" s="338"/>
      <c r="GTB15" s="338"/>
      <c r="GTC15" s="338"/>
      <c r="GTD15" s="338"/>
      <c r="GTE15" s="338"/>
      <c r="GTF15" s="338"/>
      <c r="GTG15" s="338"/>
      <c r="GTH15" s="338"/>
      <c r="GTI15" s="338"/>
      <c r="GTJ15" s="338"/>
      <c r="GTK15" s="338"/>
      <c r="GTL15" s="338"/>
      <c r="GTM15" s="338"/>
      <c r="GTN15" s="338"/>
      <c r="GTO15" s="338"/>
      <c r="GTP15" s="338"/>
      <c r="GTQ15" s="338"/>
      <c r="GTR15" s="338"/>
      <c r="GTS15" s="338"/>
      <c r="GTT15" s="338"/>
      <c r="GTU15" s="338"/>
      <c r="GTV15" s="338"/>
      <c r="GTW15" s="338"/>
      <c r="GTX15" s="338"/>
      <c r="GTY15" s="338"/>
      <c r="GTZ15" s="338"/>
      <c r="GUA15" s="338"/>
      <c r="GUB15" s="338"/>
      <c r="GUC15" s="338"/>
      <c r="GUD15" s="338"/>
      <c r="GUE15" s="338"/>
      <c r="GUF15" s="338"/>
      <c r="GUG15" s="338"/>
      <c r="GUH15" s="338"/>
      <c r="GUI15" s="338"/>
      <c r="GUJ15" s="338"/>
      <c r="GUK15" s="338"/>
      <c r="GUL15" s="338"/>
      <c r="GUM15" s="338"/>
      <c r="GUN15" s="338"/>
      <c r="GUO15" s="338"/>
      <c r="GUP15" s="338"/>
      <c r="GUQ15" s="338"/>
      <c r="GUR15" s="338"/>
      <c r="GUS15" s="338"/>
      <c r="GUT15" s="338"/>
      <c r="GUU15" s="338"/>
      <c r="GUV15" s="338"/>
      <c r="GUW15" s="338"/>
      <c r="GUX15" s="338"/>
      <c r="GUY15" s="338"/>
      <c r="GUZ15" s="338"/>
      <c r="GVA15" s="338"/>
      <c r="GVB15" s="338"/>
      <c r="GVC15" s="338"/>
      <c r="GVD15" s="338"/>
      <c r="GVE15" s="338"/>
      <c r="GVF15" s="338"/>
      <c r="GVG15" s="338"/>
      <c r="GVH15" s="338"/>
      <c r="GVI15" s="338"/>
      <c r="GVJ15" s="338"/>
      <c r="GVK15" s="338"/>
      <c r="GVL15" s="338"/>
      <c r="GVM15" s="338"/>
      <c r="GVN15" s="338"/>
      <c r="GVO15" s="338"/>
      <c r="GVP15" s="338"/>
      <c r="GVQ15" s="338"/>
      <c r="GVR15" s="338"/>
      <c r="GVS15" s="338"/>
      <c r="GVT15" s="338"/>
      <c r="GVU15" s="338"/>
      <c r="GVV15" s="338"/>
      <c r="GVW15" s="338"/>
      <c r="GVX15" s="338"/>
      <c r="GVY15" s="338"/>
      <c r="GVZ15" s="338"/>
      <c r="GWA15" s="338"/>
      <c r="GWB15" s="338"/>
      <c r="GWC15" s="338"/>
      <c r="GWD15" s="338"/>
      <c r="GWE15" s="338"/>
      <c r="GWF15" s="338"/>
      <c r="GWG15" s="338"/>
      <c r="GWH15" s="338"/>
      <c r="GWI15" s="338"/>
      <c r="GWJ15" s="338"/>
      <c r="GWK15" s="338"/>
      <c r="GWL15" s="338"/>
      <c r="GWM15" s="338"/>
      <c r="GWN15" s="338"/>
      <c r="GWO15" s="338"/>
      <c r="GWP15" s="338"/>
      <c r="GWQ15" s="338"/>
      <c r="GWR15" s="338"/>
      <c r="GWS15" s="338"/>
      <c r="GWT15" s="338"/>
      <c r="GWU15" s="338"/>
      <c r="GWV15" s="338"/>
      <c r="GWW15" s="338"/>
      <c r="GWX15" s="338"/>
      <c r="GWY15" s="338"/>
      <c r="GWZ15" s="338"/>
      <c r="GXA15" s="338"/>
      <c r="GXB15" s="338"/>
      <c r="GXC15" s="338"/>
      <c r="GXD15" s="338"/>
      <c r="GXE15" s="338"/>
      <c r="GXF15" s="338"/>
      <c r="GXG15" s="338"/>
      <c r="GXH15" s="338"/>
      <c r="GXI15" s="338"/>
      <c r="GXJ15" s="338"/>
      <c r="GXK15" s="338"/>
      <c r="GXL15" s="338"/>
      <c r="GXM15" s="338"/>
      <c r="GXN15" s="338"/>
      <c r="GXO15" s="338"/>
      <c r="GXP15" s="338"/>
      <c r="GXQ15" s="338"/>
      <c r="GXR15" s="338"/>
      <c r="GXS15" s="338"/>
      <c r="GXT15" s="338"/>
      <c r="GXU15" s="338"/>
      <c r="GXV15" s="338"/>
      <c r="GXW15" s="338"/>
      <c r="GXX15" s="338"/>
      <c r="GXY15" s="338"/>
      <c r="GXZ15" s="338"/>
      <c r="GYA15" s="338"/>
      <c r="GYB15" s="338"/>
      <c r="GYC15" s="338"/>
      <c r="GYD15" s="338"/>
      <c r="GYE15" s="338"/>
      <c r="GYF15" s="338"/>
      <c r="GYG15" s="338"/>
      <c r="GYH15" s="338"/>
      <c r="GYI15" s="338"/>
      <c r="GYJ15" s="338"/>
      <c r="GYK15" s="338"/>
      <c r="GYL15" s="338"/>
      <c r="GYM15" s="338"/>
      <c r="GYN15" s="338"/>
      <c r="GYO15" s="338"/>
      <c r="GYP15" s="338"/>
      <c r="GYQ15" s="338"/>
      <c r="GYR15" s="338"/>
      <c r="GYS15" s="338"/>
      <c r="GYT15" s="338"/>
      <c r="GYU15" s="338"/>
      <c r="GYV15" s="338"/>
      <c r="GYW15" s="338"/>
      <c r="GYX15" s="338"/>
      <c r="GYY15" s="338"/>
      <c r="GYZ15" s="338"/>
      <c r="GZA15" s="338"/>
      <c r="GZB15" s="338"/>
      <c r="GZC15" s="338"/>
      <c r="GZD15" s="338"/>
      <c r="GZE15" s="338"/>
      <c r="GZF15" s="338"/>
      <c r="GZG15" s="338"/>
      <c r="GZH15" s="338"/>
      <c r="GZI15" s="338"/>
      <c r="GZJ15" s="338"/>
      <c r="GZK15" s="338"/>
      <c r="GZL15" s="338"/>
      <c r="GZM15" s="338"/>
      <c r="GZN15" s="338"/>
      <c r="GZO15" s="338"/>
      <c r="GZP15" s="338"/>
      <c r="GZQ15" s="338"/>
      <c r="GZR15" s="338"/>
      <c r="GZS15" s="338"/>
      <c r="GZT15" s="338"/>
      <c r="GZU15" s="338"/>
      <c r="GZV15" s="338"/>
      <c r="GZW15" s="338"/>
      <c r="GZX15" s="338"/>
      <c r="GZY15" s="338"/>
      <c r="GZZ15" s="338"/>
      <c r="HAA15" s="338"/>
      <c r="HAB15" s="338"/>
      <c r="HAC15" s="338"/>
      <c r="HAD15" s="338"/>
      <c r="HAE15" s="338"/>
      <c r="HAF15" s="338"/>
      <c r="HAG15" s="338"/>
      <c r="HAH15" s="338"/>
      <c r="HAI15" s="338"/>
      <c r="HAJ15" s="338"/>
      <c r="HAK15" s="338"/>
      <c r="HAL15" s="338"/>
      <c r="HAM15" s="338"/>
      <c r="HAN15" s="338"/>
      <c r="HAO15" s="338"/>
      <c r="HAP15" s="338"/>
      <c r="HAQ15" s="338"/>
      <c r="HAR15" s="338"/>
      <c r="HAS15" s="338"/>
      <c r="HAT15" s="338"/>
      <c r="HAU15" s="338"/>
      <c r="HAV15" s="338"/>
      <c r="HAW15" s="338"/>
      <c r="HAX15" s="338"/>
      <c r="HAY15" s="338"/>
      <c r="HAZ15" s="338"/>
      <c r="HBA15" s="338"/>
      <c r="HBB15" s="338"/>
      <c r="HBC15" s="338"/>
      <c r="HBD15" s="338"/>
      <c r="HBE15" s="338"/>
      <c r="HBF15" s="338"/>
      <c r="HBG15" s="338"/>
      <c r="HBH15" s="338"/>
      <c r="HBI15" s="338"/>
      <c r="HBJ15" s="338"/>
      <c r="HBK15" s="338"/>
      <c r="HBL15" s="338"/>
      <c r="HBM15" s="338"/>
      <c r="HBN15" s="338"/>
      <c r="HBO15" s="338"/>
      <c r="HBP15" s="338"/>
      <c r="HBQ15" s="338"/>
      <c r="HBR15" s="338"/>
      <c r="HBS15" s="338"/>
      <c r="HBT15" s="338"/>
      <c r="HBU15" s="338"/>
      <c r="HBV15" s="338"/>
      <c r="HBW15" s="338"/>
      <c r="HBX15" s="338"/>
      <c r="HBY15" s="338"/>
      <c r="HBZ15" s="338"/>
      <c r="HCA15" s="338"/>
      <c r="HCB15" s="338"/>
      <c r="HCC15" s="338"/>
      <c r="HCD15" s="338"/>
      <c r="HCE15" s="338"/>
      <c r="HCF15" s="338"/>
      <c r="HCG15" s="338"/>
      <c r="HCH15" s="338"/>
      <c r="HCI15" s="338"/>
      <c r="HCJ15" s="338"/>
      <c r="HCK15" s="338"/>
      <c r="HCL15" s="338"/>
      <c r="HCM15" s="338"/>
      <c r="HCN15" s="338"/>
      <c r="HCO15" s="338"/>
      <c r="HCP15" s="338"/>
      <c r="HCQ15" s="338"/>
      <c r="HCR15" s="338"/>
      <c r="HCS15" s="338"/>
      <c r="HCT15" s="338"/>
      <c r="HCU15" s="338"/>
      <c r="HCV15" s="338"/>
      <c r="HCW15" s="338"/>
      <c r="HCX15" s="338"/>
      <c r="HCY15" s="338"/>
      <c r="HCZ15" s="338"/>
      <c r="HDA15" s="338"/>
      <c r="HDB15" s="338"/>
      <c r="HDC15" s="338"/>
      <c r="HDD15" s="338"/>
      <c r="HDE15" s="338"/>
      <c r="HDF15" s="338"/>
      <c r="HDG15" s="338"/>
      <c r="HDH15" s="338"/>
      <c r="HDI15" s="338"/>
      <c r="HDJ15" s="338"/>
      <c r="HDK15" s="338"/>
      <c r="HDL15" s="338"/>
      <c r="HDM15" s="338"/>
      <c r="HDN15" s="338"/>
      <c r="HDO15" s="338"/>
      <c r="HDP15" s="338"/>
      <c r="HDQ15" s="338"/>
      <c r="HDR15" s="338"/>
      <c r="HDS15" s="338"/>
      <c r="HDT15" s="338"/>
      <c r="HDU15" s="338"/>
      <c r="HDV15" s="338"/>
      <c r="HDW15" s="338"/>
      <c r="HDX15" s="338"/>
      <c r="HDY15" s="338"/>
      <c r="HDZ15" s="338"/>
      <c r="HEA15" s="338"/>
      <c r="HEB15" s="338"/>
      <c r="HEC15" s="338"/>
      <c r="HED15" s="338"/>
      <c r="HEE15" s="338"/>
      <c r="HEF15" s="338"/>
      <c r="HEG15" s="338"/>
      <c r="HEH15" s="338"/>
      <c r="HEI15" s="338"/>
      <c r="HEJ15" s="338"/>
      <c r="HEK15" s="338"/>
      <c r="HEL15" s="338"/>
      <c r="HEM15" s="338"/>
      <c r="HEN15" s="338"/>
      <c r="HEO15" s="338"/>
      <c r="HEP15" s="338"/>
      <c r="HEQ15" s="338"/>
      <c r="HER15" s="338"/>
      <c r="HES15" s="338"/>
      <c r="HET15" s="338"/>
      <c r="HEU15" s="338"/>
      <c r="HEV15" s="338"/>
      <c r="HEW15" s="338"/>
      <c r="HEX15" s="338"/>
      <c r="HEY15" s="338"/>
      <c r="HEZ15" s="338"/>
      <c r="HFA15" s="338"/>
      <c r="HFB15" s="338"/>
      <c r="HFC15" s="338"/>
      <c r="HFD15" s="338"/>
      <c r="HFE15" s="338"/>
      <c r="HFF15" s="338"/>
      <c r="HFG15" s="338"/>
      <c r="HFH15" s="338"/>
      <c r="HFI15" s="338"/>
      <c r="HFJ15" s="338"/>
      <c r="HFK15" s="338"/>
      <c r="HFL15" s="338"/>
      <c r="HFM15" s="338"/>
      <c r="HFN15" s="338"/>
      <c r="HFO15" s="338"/>
      <c r="HFP15" s="338"/>
      <c r="HFQ15" s="338"/>
      <c r="HFR15" s="338"/>
      <c r="HFS15" s="338"/>
      <c r="HFT15" s="338"/>
      <c r="HFU15" s="338"/>
      <c r="HFV15" s="338"/>
      <c r="HFW15" s="338"/>
      <c r="HFX15" s="338"/>
      <c r="HFY15" s="338"/>
      <c r="HFZ15" s="338"/>
      <c r="HGA15" s="338"/>
      <c r="HGB15" s="338"/>
      <c r="HGC15" s="338"/>
      <c r="HGD15" s="338"/>
      <c r="HGE15" s="338"/>
      <c r="HGF15" s="338"/>
      <c r="HGG15" s="338"/>
      <c r="HGH15" s="338"/>
      <c r="HGI15" s="338"/>
      <c r="HGJ15" s="338"/>
      <c r="HGK15" s="338"/>
      <c r="HGL15" s="338"/>
      <c r="HGM15" s="338"/>
      <c r="HGN15" s="338"/>
      <c r="HGO15" s="338"/>
      <c r="HGP15" s="338"/>
      <c r="HGQ15" s="338"/>
      <c r="HGR15" s="338"/>
      <c r="HGS15" s="338"/>
      <c r="HGT15" s="338"/>
      <c r="HGU15" s="338"/>
      <c r="HGV15" s="338"/>
      <c r="HGW15" s="338"/>
      <c r="HGX15" s="338"/>
      <c r="HGY15" s="338"/>
      <c r="HGZ15" s="338"/>
      <c r="HHA15" s="338"/>
      <c r="HHB15" s="338"/>
      <c r="HHC15" s="338"/>
      <c r="HHD15" s="338"/>
      <c r="HHE15" s="338"/>
      <c r="HHF15" s="338"/>
      <c r="HHG15" s="338"/>
      <c r="HHH15" s="338"/>
      <c r="HHI15" s="338"/>
      <c r="HHJ15" s="338"/>
      <c r="HHK15" s="338"/>
      <c r="HHL15" s="338"/>
      <c r="HHM15" s="338"/>
      <c r="HHN15" s="338"/>
      <c r="HHO15" s="338"/>
      <c r="HHP15" s="338"/>
      <c r="HHQ15" s="338"/>
      <c r="HHR15" s="338"/>
      <c r="HHS15" s="338"/>
      <c r="HHT15" s="338"/>
      <c r="HHU15" s="338"/>
      <c r="HHV15" s="338"/>
      <c r="HHW15" s="338"/>
      <c r="HHX15" s="338"/>
      <c r="HHY15" s="338"/>
      <c r="HHZ15" s="338"/>
      <c r="HIA15" s="338"/>
      <c r="HIB15" s="338"/>
      <c r="HIC15" s="338"/>
      <c r="HID15" s="338"/>
      <c r="HIE15" s="338"/>
      <c r="HIF15" s="338"/>
      <c r="HIG15" s="338"/>
      <c r="HIH15" s="338"/>
      <c r="HII15" s="338"/>
      <c r="HIJ15" s="338"/>
      <c r="HIK15" s="338"/>
      <c r="HIL15" s="338"/>
      <c r="HIM15" s="338"/>
      <c r="HIN15" s="338"/>
      <c r="HIO15" s="338"/>
      <c r="HIP15" s="338"/>
      <c r="HIQ15" s="338"/>
      <c r="HIR15" s="338"/>
      <c r="HIS15" s="338"/>
      <c r="HIT15" s="338"/>
      <c r="HIU15" s="338"/>
      <c r="HIV15" s="338"/>
      <c r="HIW15" s="338"/>
      <c r="HIX15" s="338"/>
      <c r="HIY15" s="338"/>
      <c r="HIZ15" s="338"/>
      <c r="HJA15" s="338"/>
      <c r="HJB15" s="338"/>
      <c r="HJC15" s="338"/>
      <c r="HJD15" s="338"/>
      <c r="HJE15" s="338"/>
      <c r="HJF15" s="338"/>
      <c r="HJG15" s="338"/>
      <c r="HJH15" s="338"/>
      <c r="HJI15" s="338"/>
      <c r="HJJ15" s="338"/>
      <c r="HJK15" s="338"/>
      <c r="HJL15" s="338"/>
      <c r="HJM15" s="338"/>
      <c r="HJN15" s="338"/>
      <c r="HJO15" s="338"/>
      <c r="HJP15" s="338"/>
      <c r="HJQ15" s="338"/>
      <c r="HJR15" s="338"/>
      <c r="HJS15" s="338"/>
      <c r="HJT15" s="338"/>
      <c r="HJU15" s="338"/>
      <c r="HJV15" s="338"/>
      <c r="HJW15" s="338"/>
      <c r="HJX15" s="338"/>
      <c r="HJY15" s="338"/>
      <c r="HJZ15" s="338"/>
      <c r="HKA15" s="338"/>
      <c r="HKB15" s="338"/>
      <c r="HKC15" s="338"/>
      <c r="HKD15" s="338"/>
      <c r="HKE15" s="338"/>
      <c r="HKF15" s="338"/>
      <c r="HKG15" s="338"/>
      <c r="HKH15" s="338"/>
      <c r="HKI15" s="338"/>
      <c r="HKJ15" s="338"/>
      <c r="HKK15" s="338"/>
      <c r="HKL15" s="338"/>
      <c r="HKM15" s="338"/>
      <c r="HKN15" s="338"/>
      <c r="HKO15" s="338"/>
      <c r="HKP15" s="338"/>
      <c r="HKQ15" s="338"/>
      <c r="HKR15" s="338"/>
      <c r="HKS15" s="338"/>
      <c r="HKT15" s="338"/>
      <c r="HKU15" s="338"/>
      <c r="HKV15" s="338"/>
      <c r="HKW15" s="338"/>
      <c r="HKX15" s="338"/>
      <c r="HKY15" s="338"/>
      <c r="HKZ15" s="338"/>
      <c r="HLA15" s="338"/>
      <c r="HLB15" s="338"/>
      <c r="HLC15" s="338"/>
      <c r="HLD15" s="338"/>
      <c r="HLE15" s="338"/>
      <c r="HLF15" s="338"/>
      <c r="HLG15" s="338"/>
      <c r="HLH15" s="338"/>
      <c r="HLI15" s="338"/>
      <c r="HLJ15" s="338"/>
      <c r="HLK15" s="338"/>
      <c r="HLL15" s="338"/>
      <c r="HLM15" s="338"/>
      <c r="HLN15" s="338"/>
      <c r="HLO15" s="338"/>
      <c r="HLP15" s="338"/>
      <c r="HLQ15" s="338"/>
      <c r="HLR15" s="338"/>
      <c r="HLS15" s="338"/>
      <c r="HLT15" s="338"/>
      <c r="HLU15" s="338"/>
      <c r="HLV15" s="338"/>
      <c r="HLW15" s="338"/>
      <c r="HLX15" s="338"/>
      <c r="HLY15" s="338"/>
      <c r="HLZ15" s="338"/>
      <c r="HMA15" s="338"/>
      <c r="HMB15" s="338"/>
      <c r="HMC15" s="338"/>
      <c r="HMD15" s="338"/>
      <c r="HME15" s="338"/>
      <c r="HMF15" s="338"/>
      <c r="HMG15" s="338"/>
      <c r="HMH15" s="338"/>
      <c r="HMI15" s="338"/>
      <c r="HMJ15" s="338"/>
      <c r="HMK15" s="338"/>
      <c r="HML15" s="338"/>
      <c r="HMM15" s="338"/>
      <c r="HMN15" s="338"/>
      <c r="HMO15" s="338"/>
      <c r="HMP15" s="338"/>
      <c r="HMQ15" s="338"/>
      <c r="HMR15" s="338"/>
      <c r="HMS15" s="338"/>
      <c r="HMT15" s="338"/>
      <c r="HMU15" s="338"/>
      <c r="HMV15" s="338"/>
      <c r="HMW15" s="338"/>
      <c r="HMX15" s="338"/>
      <c r="HMY15" s="338"/>
      <c r="HMZ15" s="338"/>
      <c r="HNA15" s="338"/>
      <c r="HNB15" s="338"/>
      <c r="HNC15" s="338"/>
      <c r="HND15" s="338"/>
      <c r="HNE15" s="338"/>
      <c r="HNF15" s="338"/>
      <c r="HNG15" s="338"/>
      <c r="HNH15" s="338"/>
      <c r="HNI15" s="338"/>
      <c r="HNJ15" s="338"/>
      <c r="HNK15" s="338"/>
      <c r="HNL15" s="338"/>
      <c r="HNM15" s="338"/>
      <c r="HNN15" s="338"/>
      <c r="HNO15" s="338"/>
      <c r="HNP15" s="338"/>
      <c r="HNQ15" s="338"/>
      <c r="HNR15" s="338"/>
      <c r="HNS15" s="338"/>
      <c r="HNT15" s="338"/>
      <c r="HNU15" s="338"/>
      <c r="HNV15" s="338"/>
      <c r="HNW15" s="338"/>
      <c r="HNX15" s="338"/>
      <c r="HNY15" s="338"/>
      <c r="HNZ15" s="338"/>
      <c r="HOA15" s="338"/>
      <c r="HOB15" s="338"/>
      <c r="HOC15" s="338"/>
      <c r="HOD15" s="338"/>
      <c r="HOE15" s="338"/>
      <c r="HOF15" s="338"/>
      <c r="HOG15" s="338"/>
      <c r="HOH15" s="338"/>
      <c r="HOI15" s="338"/>
      <c r="HOJ15" s="338"/>
      <c r="HOK15" s="338"/>
      <c r="HOL15" s="338"/>
      <c r="HOM15" s="338"/>
      <c r="HON15" s="338"/>
      <c r="HOO15" s="338"/>
      <c r="HOP15" s="338"/>
      <c r="HOQ15" s="338"/>
      <c r="HOR15" s="338"/>
      <c r="HOS15" s="338"/>
      <c r="HOT15" s="338"/>
      <c r="HOU15" s="338"/>
      <c r="HOV15" s="338"/>
      <c r="HOW15" s="338"/>
      <c r="HOX15" s="338"/>
      <c r="HOY15" s="338"/>
      <c r="HOZ15" s="338"/>
      <c r="HPA15" s="338"/>
      <c r="HPB15" s="338"/>
      <c r="HPC15" s="338"/>
      <c r="HPD15" s="338"/>
      <c r="HPE15" s="338"/>
      <c r="HPF15" s="338"/>
      <c r="HPG15" s="338"/>
      <c r="HPH15" s="338"/>
      <c r="HPI15" s="338"/>
      <c r="HPJ15" s="338"/>
      <c r="HPK15" s="338"/>
      <c r="HPL15" s="338"/>
      <c r="HPM15" s="338"/>
      <c r="HPN15" s="338"/>
      <c r="HPO15" s="338"/>
      <c r="HPP15" s="338"/>
      <c r="HPQ15" s="338"/>
      <c r="HPR15" s="338"/>
      <c r="HPS15" s="338"/>
      <c r="HPT15" s="338"/>
      <c r="HPU15" s="338"/>
      <c r="HPV15" s="338"/>
      <c r="HPW15" s="338"/>
      <c r="HPX15" s="338"/>
      <c r="HPY15" s="338"/>
      <c r="HPZ15" s="338"/>
      <c r="HQA15" s="338"/>
      <c r="HQB15" s="338"/>
      <c r="HQC15" s="338"/>
      <c r="HQD15" s="338"/>
      <c r="HQE15" s="338"/>
      <c r="HQF15" s="338"/>
      <c r="HQG15" s="338"/>
      <c r="HQH15" s="338"/>
      <c r="HQI15" s="338"/>
      <c r="HQJ15" s="338"/>
      <c r="HQK15" s="338"/>
      <c r="HQL15" s="338"/>
      <c r="HQM15" s="338"/>
      <c r="HQN15" s="338"/>
      <c r="HQO15" s="338"/>
      <c r="HQP15" s="338"/>
      <c r="HQQ15" s="338"/>
      <c r="HQR15" s="338"/>
      <c r="HQS15" s="338"/>
      <c r="HQT15" s="338"/>
      <c r="HQU15" s="338"/>
      <c r="HQV15" s="338"/>
      <c r="HQW15" s="338"/>
      <c r="HQX15" s="338"/>
      <c r="HQY15" s="338"/>
      <c r="HQZ15" s="338"/>
      <c r="HRA15" s="338"/>
      <c r="HRB15" s="338"/>
      <c r="HRC15" s="338"/>
      <c r="HRD15" s="338"/>
      <c r="HRE15" s="338"/>
      <c r="HRF15" s="338"/>
      <c r="HRG15" s="338"/>
      <c r="HRH15" s="338"/>
      <c r="HRI15" s="338"/>
      <c r="HRJ15" s="338"/>
      <c r="HRK15" s="338"/>
      <c r="HRL15" s="338"/>
      <c r="HRM15" s="338"/>
      <c r="HRN15" s="338"/>
      <c r="HRO15" s="338"/>
      <c r="HRP15" s="338"/>
      <c r="HRQ15" s="338"/>
      <c r="HRR15" s="338"/>
      <c r="HRS15" s="338"/>
      <c r="HRT15" s="338"/>
      <c r="HRU15" s="338"/>
      <c r="HRV15" s="338"/>
      <c r="HRW15" s="338"/>
      <c r="HRX15" s="338"/>
      <c r="HRY15" s="338"/>
      <c r="HRZ15" s="338"/>
      <c r="HSA15" s="338"/>
      <c r="HSB15" s="338"/>
      <c r="HSC15" s="338"/>
      <c r="HSD15" s="338"/>
      <c r="HSE15" s="338"/>
      <c r="HSF15" s="338"/>
      <c r="HSG15" s="338"/>
      <c r="HSH15" s="338"/>
      <c r="HSI15" s="338"/>
      <c r="HSJ15" s="338"/>
      <c r="HSK15" s="338"/>
      <c r="HSL15" s="338"/>
      <c r="HSM15" s="338"/>
      <c r="HSN15" s="338"/>
      <c r="HSO15" s="338"/>
      <c r="HSP15" s="338"/>
      <c r="HSQ15" s="338"/>
      <c r="HSR15" s="338"/>
      <c r="HSS15" s="338"/>
      <c r="HST15" s="338"/>
      <c r="HSU15" s="338"/>
      <c r="HSV15" s="338"/>
      <c r="HSW15" s="338"/>
      <c r="HSX15" s="338"/>
      <c r="HSY15" s="338"/>
      <c r="HSZ15" s="338"/>
      <c r="HTA15" s="338"/>
      <c r="HTB15" s="338"/>
      <c r="HTC15" s="338"/>
      <c r="HTD15" s="338"/>
      <c r="HTE15" s="338"/>
      <c r="HTF15" s="338"/>
      <c r="HTG15" s="338"/>
      <c r="HTH15" s="338"/>
      <c r="HTI15" s="338"/>
      <c r="HTJ15" s="338"/>
      <c r="HTK15" s="338"/>
      <c r="HTL15" s="338"/>
      <c r="HTM15" s="338"/>
      <c r="HTN15" s="338"/>
      <c r="HTO15" s="338"/>
      <c r="HTP15" s="338"/>
      <c r="HTQ15" s="338"/>
      <c r="HTR15" s="338"/>
      <c r="HTS15" s="338"/>
      <c r="HTT15" s="338"/>
      <c r="HTU15" s="338"/>
      <c r="HTV15" s="338"/>
      <c r="HTW15" s="338"/>
      <c r="HTX15" s="338"/>
      <c r="HTY15" s="338"/>
      <c r="HTZ15" s="338"/>
      <c r="HUA15" s="338"/>
      <c r="HUB15" s="338"/>
      <c r="HUC15" s="338"/>
      <c r="HUD15" s="338"/>
      <c r="HUE15" s="338"/>
      <c r="HUF15" s="338"/>
      <c r="HUG15" s="338"/>
      <c r="HUH15" s="338"/>
      <c r="HUI15" s="338"/>
      <c r="HUJ15" s="338"/>
      <c r="HUK15" s="338"/>
      <c r="HUL15" s="338"/>
      <c r="HUM15" s="338"/>
      <c r="HUN15" s="338"/>
      <c r="HUO15" s="338"/>
      <c r="HUP15" s="338"/>
      <c r="HUQ15" s="338"/>
      <c r="HUR15" s="338"/>
      <c r="HUS15" s="338"/>
      <c r="HUT15" s="338"/>
      <c r="HUU15" s="338"/>
      <c r="HUV15" s="338"/>
      <c r="HUW15" s="338"/>
      <c r="HUX15" s="338"/>
      <c r="HUY15" s="338"/>
      <c r="HUZ15" s="338"/>
      <c r="HVA15" s="338"/>
      <c r="HVB15" s="338"/>
      <c r="HVC15" s="338"/>
      <c r="HVD15" s="338"/>
      <c r="HVE15" s="338"/>
      <c r="HVF15" s="338"/>
      <c r="HVG15" s="338"/>
      <c r="HVH15" s="338"/>
      <c r="HVI15" s="338"/>
      <c r="HVJ15" s="338"/>
      <c r="HVK15" s="338"/>
      <c r="HVL15" s="338"/>
      <c r="HVM15" s="338"/>
      <c r="HVN15" s="338"/>
      <c r="HVO15" s="338"/>
      <c r="HVP15" s="338"/>
      <c r="HVQ15" s="338"/>
      <c r="HVR15" s="338"/>
      <c r="HVS15" s="338"/>
      <c r="HVT15" s="338"/>
      <c r="HVU15" s="338"/>
      <c r="HVV15" s="338"/>
      <c r="HVW15" s="338"/>
      <c r="HVX15" s="338"/>
      <c r="HVY15" s="338"/>
      <c r="HVZ15" s="338"/>
      <c r="HWA15" s="338"/>
      <c r="HWB15" s="338"/>
      <c r="HWC15" s="338"/>
      <c r="HWD15" s="338"/>
      <c r="HWE15" s="338"/>
      <c r="HWF15" s="338"/>
      <c r="HWG15" s="338"/>
      <c r="HWH15" s="338"/>
      <c r="HWI15" s="338"/>
      <c r="HWJ15" s="338"/>
      <c r="HWK15" s="338"/>
      <c r="HWL15" s="338"/>
      <c r="HWM15" s="338"/>
      <c r="HWN15" s="338"/>
      <c r="HWO15" s="338"/>
      <c r="HWP15" s="338"/>
      <c r="HWQ15" s="338"/>
      <c r="HWR15" s="338"/>
      <c r="HWS15" s="338"/>
      <c r="HWT15" s="338"/>
      <c r="HWU15" s="338"/>
      <c r="HWV15" s="338"/>
      <c r="HWW15" s="338"/>
      <c r="HWX15" s="338"/>
      <c r="HWY15" s="338"/>
      <c r="HWZ15" s="338"/>
      <c r="HXA15" s="338"/>
      <c r="HXB15" s="338"/>
      <c r="HXC15" s="338"/>
      <c r="HXD15" s="338"/>
      <c r="HXE15" s="338"/>
      <c r="HXF15" s="338"/>
      <c r="HXG15" s="338"/>
      <c r="HXH15" s="338"/>
      <c r="HXI15" s="338"/>
      <c r="HXJ15" s="338"/>
      <c r="HXK15" s="338"/>
      <c r="HXL15" s="338"/>
      <c r="HXM15" s="338"/>
      <c r="HXN15" s="338"/>
      <c r="HXO15" s="338"/>
      <c r="HXP15" s="338"/>
      <c r="HXQ15" s="338"/>
      <c r="HXR15" s="338"/>
      <c r="HXS15" s="338"/>
      <c r="HXT15" s="338"/>
      <c r="HXU15" s="338"/>
      <c r="HXV15" s="338"/>
      <c r="HXW15" s="338"/>
      <c r="HXX15" s="338"/>
      <c r="HXY15" s="338"/>
      <c r="HXZ15" s="338"/>
      <c r="HYA15" s="338"/>
      <c r="HYB15" s="338"/>
      <c r="HYC15" s="338"/>
      <c r="HYD15" s="338"/>
      <c r="HYE15" s="338"/>
      <c r="HYF15" s="338"/>
      <c r="HYG15" s="338"/>
      <c r="HYH15" s="338"/>
      <c r="HYI15" s="338"/>
      <c r="HYJ15" s="338"/>
      <c r="HYK15" s="338"/>
      <c r="HYL15" s="338"/>
      <c r="HYM15" s="338"/>
      <c r="HYN15" s="338"/>
      <c r="HYO15" s="338"/>
      <c r="HYP15" s="338"/>
      <c r="HYQ15" s="338"/>
      <c r="HYR15" s="338"/>
      <c r="HYS15" s="338"/>
      <c r="HYT15" s="338"/>
      <c r="HYU15" s="338"/>
      <c r="HYV15" s="338"/>
      <c r="HYW15" s="338"/>
      <c r="HYX15" s="338"/>
      <c r="HYY15" s="338"/>
      <c r="HYZ15" s="338"/>
      <c r="HZA15" s="338"/>
      <c r="HZB15" s="338"/>
      <c r="HZC15" s="338"/>
      <c r="HZD15" s="338"/>
      <c r="HZE15" s="338"/>
      <c r="HZF15" s="338"/>
      <c r="HZG15" s="338"/>
      <c r="HZH15" s="338"/>
      <c r="HZI15" s="338"/>
      <c r="HZJ15" s="338"/>
      <c r="HZK15" s="338"/>
      <c r="HZL15" s="338"/>
      <c r="HZM15" s="338"/>
      <c r="HZN15" s="338"/>
      <c r="HZO15" s="338"/>
      <c r="HZP15" s="338"/>
      <c r="HZQ15" s="338"/>
      <c r="HZR15" s="338"/>
      <c r="HZS15" s="338"/>
      <c r="HZT15" s="338"/>
      <c r="HZU15" s="338"/>
      <c r="HZV15" s="338"/>
      <c r="HZW15" s="338"/>
      <c r="HZX15" s="338"/>
      <c r="HZY15" s="338"/>
      <c r="HZZ15" s="338"/>
      <c r="IAA15" s="338"/>
      <c r="IAB15" s="338"/>
      <c r="IAC15" s="338"/>
      <c r="IAD15" s="338"/>
      <c r="IAE15" s="338"/>
      <c r="IAF15" s="338"/>
      <c r="IAG15" s="338"/>
      <c r="IAH15" s="338"/>
      <c r="IAI15" s="338"/>
      <c r="IAJ15" s="338"/>
      <c r="IAK15" s="338"/>
      <c r="IAL15" s="338"/>
      <c r="IAM15" s="338"/>
      <c r="IAN15" s="338"/>
      <c r="IAO15" s="338"/>
      <c r="IAP15" s="338"/>
      <c r="IAQ15" s="338"/>
      <c r="IAR15" s="338"/>
      <c r="IAS15" s="338"/>
      <c r="IAT15" s="338"/>
      <c r="IAU15" s="338"/>
      <c r="IAV15" s="338"/>
      <c r="IAW15" s="338"/>
      <c r="IAX15" s="338"/>
      <c r="IAY15" s="338"/>
      <c r="IAZ15" s="338"/>
      <c r="IBA15" s="338"/>
      <c r="IBB15" s="338"/>
      <c r="IBC15" s="338"/>
      <c r="IBD15" s="338"/>
      <c r="IBE15" s="338"/>
      <c r="IBF15" s="338"/>
      <c r="IBG15" s="338"/>
      <c r="IBH15" s="338"/>
      <c r="IBI15" s="338"/>
      <c r="IBJ15" s="338"/>
      <c r="IBK15" s="338"/>
      <c r="IBL15" s="338"/>
      <c r="IBM15" s="338"/>
      <c r="IBN15" s="338"/>
      <c r="IBO15" s="338"/>
      <c r="IBP15" s="338"/>
      <c r="IBQ15" s="338"/>
      <c r="IBR15" s="338"/>
      <c r="IBS15" s="338"/>
      <c r="IBT15" s="338"/>
      <c r="IBU15" s="338"/>
      <c r="IBV15" s="338"/>
      <c r="IBW15" s="338"/>
      <c r="IBX15" s="338"/>
      <c r="IBY15" s="338"/>
      <c r="IBZ15" s="338"/>
      <c r="ICA15" s="338"/>
      <c r="ICB15" s="338"/>
      <c r="ICC15" s="338"/>
      <c r="ICD15" s="338"/>
      <c r="ICE15" s="338"/>
      <c r="ICF15" s="338"/>
      <c r="ICG15" s="338"/>
      <c r="ICH15" s="338"/>
      <c r="ICI15" s="338"/>
      <c r="ICJ15" s="338"/>
      <c r="ICK15" s="338"/>
      <c r="ICL15" s="338"/>
      <c r="ICM15" s="338"/>
      <c r="ICN15" s="338"/>
      <c r="ICO15" s="338"/>
      <c r="ICP15" s="338"/>
      <c r="ICQ15" s="338"/>
      <c r="ICR15" s="338"/>
      <c r="ICS15" s="338"/>
      <c r="ICT15" s="338"/>
      <c r="ICU15" s="338"/>
      <c r="ICV15" s="338"/>
      <c r="ICW15" s="338"/>
      <c r="ICX15" s="338"/>
      <c r="ICY15" s="338"/>
      <c r="ICZ15" s="338"/>
      <c r="IDA15" s="338"/>
      <c r="IDB15" s="338"/>
      <c r="IDC15" s="338"/>
      <c r="IDD15" s="338"/>
      <c r="IDE15" s="338"/>
      <c r="IDF15" s="338"/>
      <c r="IDG15" s="338"/>
      <c r="IDH15" s="338"/>
      <c r="IDI15" s="338"/>
      <c r="IDJ15" s="338"/>
      <c r="IDK15" s="338"/>
      <c r="IDL15" s="338"/>
      <c r="IDM15" s="338"/>
      <c r="IDN15" s="338"/>
      <c r="IDO15" s="338"/>
      <c r="IDP15" s="338"/>
      <c r="IDQ15" s="338"/>
      <c r="IDR15" s="338"/>
      <c r="IDS15" s="338"/>
      <c r="IDT15" s="338"/>
      <c r="IDU15" s="338"/>
      <c r="IDV15" s="338"/>
      <c r="IDW15" s="338"/>
      <c r="IDX15" s="338"/>
      <c r="IDY15" s="338"/>
      <c r="IDZ15" s="338"/>
      <c r="IEA15" s="338"/>
      <c r="IEB15" s="338"/>
      <c r="IEC15" s="338"/>
      <c r="IED15" s="338"/>
      <c r="IEE15" s="338"/>
      <c r="IEF15" s="338"/>
      <c r="IEG15" s="338"/>
      <c r="IEH15" s="338"/>
      <c r="IEI15" s="338"/>
      <c r="IEJ15" s="338"/>
      <c r="IEK15" s="338"/>
      <c r="IEL15" s="338"/>
      <c r="IEM15" s="338"/>
      <c r="IEN15" s="338"/>
      <c r="IEO15" s="338"/>
      <c r="IEP15" s="338"/>
      <c r="IEQ15" s="338"/>
      <c r="IER15" s="338"/>
      <c r="IES15" s="338"/>
      <c r="IET15" s="338"/>
      <c r="IEU15" s="338"/>
      <c r="IEV15" s="338"/>
      <c r="IEW15" s="338"/>
      <c r="IEX15" s="338"/>
      <c r="IEY15" s="338"/>
      <c r="IEZ15" s="338"/>
      <c r="IFA15" s="338"/>
      <c r="IFB15" s="338"/>
      <c r="IFC15" s="338"/>
      <c r="IFD15" s="338"/>
      <c r="IFE15" s="338"/>
      <c r="IFF15" s="338"/>
      <c r="IFG15" s="338"/>
      <c r="IFH15" s="338"/>
      <c r="IFI15" s="338"/>
      <c r="IFJ15" s="338"/>
      <c r="IFK15" s="338"/>
      <c r="IFL15" s="338"/>
      <c r="IFM15" s="338"/>
      <c r="IFN15" s="338"/>
      <c r="IFO15" s="338"/>
      <c r="IFP15" s="338"/>
      <c r="IFQ15" s="338"/>
      <c r="IFR15" s="338"/>
      <c r="IFS15" s="338"/>
      <c r="IFT15" s="338"/>
      <c r="IFU15" s="338"/>
      <c r="IFV15" s="338"/>
      <c r="IFW15" s="338"/>
      <c r="IFX15" s="338"/>
      <c r="IFY15" s="338"/>
      <c r="IFZ15" s="338"/>
      <c r="IGA15" s="338"/>
      <c r="IGB15" s="338"/>
      <c r="IGC15" s="338"/>
      <c r="IGD15" s="338"/>
      <c r="IGE15" s="338"/>
      <c r="IGF15" s="338"/>
      <c r="IGG15" s="338"/>
      <c r="IGH15" s="338"/>
      <c r="IGI15" s="338"/>
      <c r="IGJ15" s="338"/>
      <c r="IGK15" s="338"/>
      <c r="IGL15" s="338"/>
      <c r="IGM15" s="338"/>
      <c r="IGN15" s="338"/>
      <c r="IGO15" s="338"/>
      <c r="IGP15" s="338"/>
      <c r="IGQ15" s="338"/>
      <c r="IGR15" s="338"/>
      <c r="IGS15" s="338"/>
      <c r="IGT15" s="338"/>
      <c r="IGU15" s="338"/>
      <c r="IGV15" s="338"/>
      <c r="IGW15" s="338"/>
      <c r="IGX15" s="338"/>
      <c r="IGY15" s="338"/>
      <c r="IGZ15" s="338"/>
      <c r="IHA15" s="338"/>
      <c r="IHB15" s="338"/>
      <c r="IHC15" s="338"/>
      <c r="IHD15" s="338"/>
      <c r="IHE15" s="338"/>
      <c r="IHF15" s="338"/>
      <c r="IHG15" s="338"/>
      <c r="IHH15" s="338"/>
      <c r="IHI15" s="338"/>
      <c r="IHJ15" s="338"/>
      <c r="IHK15" s="338"/>
      <c r="IHL15" s="338"/>
      <c r="IHM15" s="338"/>
      <c r="IHN15" s="338"/>
      <c r="IHO15" s="338"/>
      <c r="IHP15" s="338"/>
      <c r="IHQ15" s="338"/>
      <c r="IHR15" s="338"/>
      <c r="IHS15" s="338"/>
      <c r="IHT15" s="338"/>
      <c r="IHU15" s="338"/>
      <c r="IHV15" s="338"/>
      <c r="IHW15" s="338"/>
      <c r="IHX15" s="338"/>
      <c r="IHY15" s="338"/>
      <c r="IHZ15" s="338"/>
      <c r="IIA15" s="338"/>
      <c r="IIB15" s="338"/>
      <c r="IIC15" s="338"/>
      <c r="IID15" s="338"/>
      <c r="IIE15" s="338"/>
      <c r="IIF15" s="338"/>
      <c r="IIG15" s="338"/>
      <c r="IIH15" s="338"/>
      <c r="III15" s="338"/>
      <c r="IIJ15" s="338"/>
      <c r="IIK15" s="338"/>
      <c r="IIL15" s="338"/>
      <c r="IIM15" s="338"/>
      <c r="IIN15" s="338"/>
      <c r="IIO15" s="338"/>
      <c r="IIP15" s="338"/>
      <c r="IIQ15" s="338"/>
      <c r="IIR15" s="338"/>
      <c r="IIS15" s="338"/>
      <c r="IIT15" s="338"/>
      <c r="IIU15" s="338"/>
      <c r="IIV15" s="338"/>
      <c r="IIW15" s="338"/>
      <c r="IIX15" s="338"/>
      <c r="IIY15" s="338"/>
      <c r="IIZ15" s="338"/>
      <c r="IJA15" s="338"/>
      <c r="IJB15" s="338"/>
      <c r="IJC15" s="338"/>
      <c r="IJD15" s="338"/>
      <c r="IJE15" s="338"/>
      <c r="IJF15" s="338"/>
      <c r="IJG15" s="338"/>
      <c r="IJH15" s="338"/>
      <c r="IJI15" s="338"/>
      <c r="IJJ15" s="338"/>
      <c r="IJK15" s="338"/>
      <c r="IJL15" s="338"/>
      <c r="IJM15" s="338"/>
      <c r="IJN15" s="338"/>
      <c r="IJO15" s="338"/>
      <c r="IJP15" s="338"/>
      <c r="IJQ15" s="338"/>
      <c r="IJR15" s="338"/>
      <c r="IJS15" s="338"/>
      <c r="IJT15" s="338"/>
      <c r="IJU15" s="338"/>
      <c r="IJV15" s="338"/>
      <c r="IJW15" s="338"/>
      <c r="IJX15" s="338"/>
      <c r="IJY15" s="338"/>
      <c r="IJZ15" s="338"/>
      <c r="IKA15" s="338"/>
      <c r="IKB15" s="338"/>
      <c r="IKC15" s="338"/>
      <c r="IKD15" s="338"/>
      <c r="IKE15" s="338"/>
      <c r="IKF15" s="338"/>
      <c r="IKG15" s="338"/>
      <c r="IKH15" s="338"/>
      <c r="IKI15" s="338"/>
      <c r="IKJ15" s="338"/>
      <c r="IKK15" s="338"/>
      <c r="IKL15" s="338"/>
      <c r="IKM15" s="338"/>
      <c r="IKN15" s="338"/>
      <c r="IKO15" s="338"/>
      <c r="IKP15" s="338"/>
      <c r="IKQ15" s="338"/>
      <c r="IKR15" s="338"/>
      <c r="IKS15" s="338"/>
      <c r="IKT15" s="338"/>
      <c r="IKU15" s="338"/>
      <c r="IKV15" s="338"/>
      <c r="IKW15" s="338"/>
      <c r="IKX15" s="338"/>
      <c r="IKY15" s="338"/>
      <c r="IKZ15" s="338"/>
      <c r="ILA15" s="338"/>
      <c r="ILB15" s="338"/>
      <c r="ILC15" s="338"/>
      <c r="ILD15" s="338"/>
      <c r="ILE15" s="338"/>
      <c r="ILF15" s="338"/>
      <c r="ILG15" s="338"/>
      <c r="ILH15" s="338"/>
      <c r="ILI15" s="338"/>
      <c r="ILJ15" s="338"/>
      <c r="ILK15" s="338"/>
      <c r="ILL15" s="338"/>
      <c r="ILM15" s="338"/>
      <c r="ILN15" s="338"/>
      <c r="ILO15" s="338"/>
      <c r="ILP15" s="338"/>
      <c r="ILQ15" s="338"/>
      <c r="ILR15" s="338"/>
      <c r="ILS15" s="338"/>
      <c r="ILT15" s="338"/>
      <c r="ILU15" s="338"/>
      <c r="ILV15" s="338"/>
      <c r="ILW15" s="338"/>
      <c r="ILX15" s="338"/>
      <c r="ILY15" s="338"/>
      <c r="ILZ15" s="338"/>
      <c r="IMA15" s="338"/>
      <c r="IMB15" s="338"/>
      <c r="IMC15" s="338"/>
      <c r="IMD15" s="338"/>
      <c r="IME15" s="338"/>
      <c r="IMF15" s="338"/>
      <c r="IMG15" s="338"/>
      <c r="IMH15" s="338"/>
      <c r="IMI15" s="338"/>
      <c r="IMJ15" s="338"/>
      <c r="IMK15" s="338"/>
      <c r="IML15" s="338"/>
      <c r="IMM15" s="338"/>
      <c r="IMN15" s="338"/>
      <c r="IMO15" s="338"/>
      <c r="IMP15" s="338"/>
      <c r="IMQ15" s="338"/>
      <c r="IMR15" s="338"/>
      <c r="IMS15" s="338"/>
      <c r="IMT15" s="338"/>
      <c r="IMU15" s="338"/>
      <c r="IMV15" s="338"/>
      <c r="IMW15" s="338"/>
      <c r="IMX15" s="338"/>
      <c r="IMY15" s="338"/>
      <c r="IMZ15" s="338"/>
      <c r="INA15" s="338"/>
      <c r="INB15" s="338"/>
      <c r="INC15" s="338"/>
      <c r="IND15" s="338"/>
      <c r="INE15" s="338"/>
      <c r="INF15" s="338"/>
      <c r="ING15" s="338"/>
      <c r="INH15" s="338"/>
      <c r="INI15" s="338"/>
      <c r="INJ15" s="338"/>
      <c r="INK15" s="338"/>
      <c r="INL15" s="338"/>
      <c r="INM15" s="338"/>
      <c r="INN15" s="338"/>
      <c r="INO15" s="338"/>
      <c r="INP15" s="338"/>
      <c r="INQ15" s="338"/>
      <c r="INR15" s="338"/>
      <c r="INS15" s="338"/>
      <c r="INT15" s="338"/>
      <c r="INU15" s="338"/>
      <c r="INV15" s="338"/>
      <c r="INW15" s="338"/>
      <c r="INX15" s="338"/>
      <c r="INY15" s="338"/>
      <c r="INZ15" s="338"/>
      <c r="IOA15" s="338"/>
      <c r="IOB15" s="338"/>
      <c r="IOC15" s="338"/>
      <c r="IOD15" s="338"/>
      <c r="IOE15" s="338"/>
      <c r="IOF15" s="338"/>
      <c r="IOG15" s="338"/>
      <c r="IOH15" s="338"/>
      <c r="IOI15" s="338"/>
      <c r="IOJ15" s="338"/>
      <c r="IOK15" s="338"/>
      <c r="IOL15" s="338"/>
      <c r="IOM15" s="338"/>
      <c r="ION15" s="338"/>
      <c r="IOO15" s="338"/>
      <c r="IOP15" s="338"/>
      <c r="IOQ15" s="338"/>
      <c r="IOR15" s="338"/>
      <c r="IOS15" s="338"/>
      <c r="IOT15" s="338"/>
      <c r="IOU15" s="338"/>
      <c r="IOV15" s="338"/>
      <c r="IOW15" s="338"/>
      <c r="IOX15" s="338"/>
      <c r="IOY15" s="338"/>
      <c r="IOZ15" s="338"/>
      <c r="IPA15" s="338"/>
      <c r="IPB15" s="338"/>
      <c r="IPC15" s="338"/>
      <c r="IPD15" s="338"/>
      <c r="IPE15" s="338"/>
      <c r="IPF15" s="338"/>
      <c r="IPG15" s="338"/>
      <c r="IPH15" s="338"/>
      <c r="IPI15" s="338"/>
      <c r="IPJ15" s="338"/>
      <c r="IPK15" s="338"/>
      <c r="IPL15" s="338"/>
      <c r="IPM15" s="338"/>
      <c r="IPN15" s="338"/>
      <c r="IPO15" s="338"/>
      <c r="IPP15" s="338"/>
      <c r="IPQ15" s="338"/>
      <c r="IPR15" s="338"/>
      <c r="IPS15" s="338"/>
      <c r="IPT15" s="338"/>
      <c r="IPU15" s="338"/>
      <c r="IPV15" s="338"/>
      <c r="IPW15" s="338"/>
      <c r="IPX15" s="338"/>
      <c r="IPY15" s="338"/>
      <c r="IPZ15" s="338"/>
      <c r="IQA15" s="338"/>
      <c r="IQB15" s="338"/>
      <c r="IQC15" s="338"/>
      <c r="IQD15" s="338"/>
      <c r="IQE15" s="338"/>
      <c r="IQF15" s="338"/>
      <c r="IQG15" s="338"/>
      <c r="IQH15" s="338"/>
      <c r="IQI15" s="338"/>
      <c r="IQJ15" s="338"/>
      <c r="IQK15" s="338"/>
      <c r="IQL15" s="338"/>
      <c r="IQM15" s="338"/>
      <c r="IQN15" s="338"/>
      <c r="IQO15" s="338"/>
      <c r="IQP15" s="338"/>
      <c r="IQQ15" s="338"/>
      <c r="IQR15" s="338"/>
      <c r="IQS15" s="338"/>
      <c r="IQT15" s="338"/>
      <c r="IQU15" s="338"/>
      <c r="IQV15" s="338"/>
      <c r="IQW15" s="338"/>
      <c r="IQX15" s="338"/>
      <c r="IQY15" s="338"/>
      <c r="IQZ15" s="338"/>
      <c r="IRA15" s="338"/>
      <c r="IRB15" s="338"/>
      <c r="IRC15" s="338"/>
      <c r="IRD15" s="338"/>
      <c r="IRE15" s="338"/>
      <c r="IRF15" s="338"/>
      <c r="IRG15" s="338"/>
      <c r="IRH15" s="338"/>
      <c r="IRI15" s="338"/>
      <c r="IRJ15" s="338"/>
      <c r="IRK15" s="338"/>
      <c r="IRL15" s="338"/>
      <c r="IRM15" s="338"/>
      <c r="IRN15" s="338"/>
      <c r="IRO15" s="338"/>
      <c r="IRP15" s="338"/>
      <c r="IRQ15" s="338"/>
      <c r="IRR15" s="338"/>
      <c r="IRS15" s="338"/>
      <c r="IRT15" s="338"/>
      <c r="IRU15" s="338"/>
      <c r="IRV15" s="338"/>
      <c r="IRW15" s="338"/>
      <c r="IRX15" s="338"/>
      <c r="IRY15" s="338"/>
      <c r="IRZ15" s="338"/>
      <c r="ISA15" s="338"/>
      <c r="ISB15" s="338"/>
      <c r="ISC15" s="338"/>
      <c r="ISD15" s="338"/>
      <c r="ISE15" s="338"/>
      <c r="ISF15" s="338"/>
      <c r="ISG15" s="338"/>
      <c r="ISH15" s="338"/>
      <c r="ISI15" s="338"/>
      <c r="ISJ15" s="338"/>
      <c r="ISK15" s="338"/>
      <c r="ISL15" s="338"/>
      <c r="ISM15" s="338"/>
      <c r="ISN15" s="338"/>
      <c r="ISO15" s="338"/>
      <c r="ISP15" s="338"/>
      <c r="ISQ15" s="338"/>
      <c r="ISR15" s="338"/>
      <c r="ISS15" s="338"/>
      <c r="IST15" s="338"/>
      <c r="ISU15" s="338"/>
      <c r="ISV15" s="338"/>
      <c r="ISW15" s="338"/>
      <c r="ISX15" s="338"/>
      <c r="ISY15" s="338"/>
      <c r="ISZ15" s="338"/>
      <c r="ITA15" s="338"/>
      <c r="ITB15" s="338"/>
      <c r="ITC15" s="338"/>
      <c r="ITD15" s="338"/>
      <c r="ITE15" s="338"/>
      <c r="ITF15" s="338"/>
      <c r="ITG15" s="338"/>
      <c r="ITH15" s="338"/>
      <c r="ITI15" s="338"/>
      <c r="ITJ15" s="338"/>
      <c r="ITK15" s="338"/>
      <c r="ITL15" s="338"/>
      <c r="ITM15" s="338"/>
      <c r="ITN15" s="338"/>
      <c r="ITO15" s="338"/>
      <c r="ITP15" s="338"/>
      <c r="ITQ15" s="338"/>
      <c r="ITR15" s="338"/>
      <c r="ITS15" s="338"/>
      <c r="ITT15" s="338"/>
      <c r="ITU15" s="338"/>
      <c r="ITV15" s="338"/>
      <c r="ITW15" s="338"/>
      <c r="ITX15" s="338"/>
      <c r="ITY15" s="338"/>
      <c r="ITZ15" s="338"/>
      <c r="IUA15" s="338"/>
      <c r="IUB15" s="338"/>
      <c r="IUC15" s="338"/>
      <c r="IUD15" s="338"/>
      <c r="IUE15" s="338"/>
      <c r="IUF15" s="338"/>
      <c r="IUG15" s="338"/>
      <c r="IUH15" s="338"/>
      <c r="IUI15" s="338"/>
      <c r="IUJ15" s="338"/>
      <c r="IUK15" s="338"/>
      <c r="IUL15" s="338"/>
      <c r="IUM15" s="338"/>
      <c r="IUN15" s="338"/>
      <c r="IUO15" s="338"/>
      <c r="IUP15" s="338"/>
      <c r="IUQ15" s="338"/>
      <c r="IUR15" s="338"/>
      <c r="IUS15" s="338"/>
      <c r="IUT15" s="338"/>
      <c r="IUU15" s="338"/>
      <c r="IUV15" s="338"/>
      <c r="IUW15" s="338"/>
      <c r="IUX15" s="338"/>
      <c r="IUY15" s="338"/>
      <c r="IUZ15" s="338"/>
      <c r="IVA15" s="338"/>
      <c r="IVB15" s="338"/>
      <c r="IVC15" s="338"/>
      <c r="IVD15" s="338"/>
      <c r="IVE15" s="338"/>
      <c r="IVF15" s="338"/>
      <c r="IVG15" s="338"/>
      <c r="IVH15" s="338"/>
      <c r="IVI15" s="338"/>
      <c r="IVJ15" s="338"/>
      <c r="IVK15" s="338"/>
      <c r="IVL15" s="338"/>
      <c r="IVM15" s="338"/>
      <c r="IVN15" s="338"/>
      <c r="IVO15" s="338"/>
      <c r="IVP15" s="338"/>
      <c r="IVQ15" s="338"/>
      <c r="IVR15" s="338"/>
      <c r="IVS15" s="338"/>
      <c r="IVT15" s="338"/>
      <c r="IVU15" s="338"/>
      <c r="IVV15" s="338"/>
      <c r="IVW15" s="338"/>
      <c r="IVX15" s="338"/>
      <c r="IVY15" s="338"/>
      <c r="IVZ15" s="338"/>
      <c r="IWA15" s="338"/>
      <c r="IWB15" s="338"/>
      <c r="IWC15" s="338"/>
      <c r="IWD15" s="338"/>
      <c r="IWE15" s="338"/>
      <c r="IWF15" s="338"/>
      <c r="IWG15" s="338"/>
      <c r="IWH15" s="338"/>
      <c r="IWI15" s="338"/>
      <c r="IWJ15" s="338"/>
      <c r="IWK15" s="338"/>
      <c r="IWL15" s="338"/>
      <c r="IWM15" s="338"/>
      <c r="IWN15" s="338"/>
      <c r="IWO15" s="338"/>
      <c r="IWP15" s="338"/>
      <c r="IWQ15" s="338"/>
      <c r="IWR15" s="338"/>
      <c r="IWS15" s="338"/>
      <c r="IWT15" s="338"/>
      <c r="IWU15" s="338"/>
      <c r="IWV15" s="338"/>
      <c r="IWW15" s="338"/>
      <c r="IWX15" s="338"/>
      <c r="IWY15" s="338"/>
      <c r="IWZ15" s="338"/>
      <c r="IXA15" s="338"/>
      <c r="IXB15" s="338"/>
      <c r="IXC15" s="338"/>
      <c r="IXD15" s="338"/>
      <c r="IXE15" s="338"/>
      <c r="IXF15" s="338"/>
      <c r="IXG15" s="338"/>
      <c r="IXH15" s="338"/>
      <c r="IXI15" s="338"/>
      <c r="IXJ15" s="338"/>
      <c r="IXK15" s="338"/>
      <c r="IXL15" s="338"/>
      <c r="IXM15" s="338"/>
      <c r="IXN15" s="338"/>
      <c r="IXO15" s="338"/>
      <c r="IXP15" s="338"/>
      <c r="IXQ15" s="338"/>
      <c r="IXR15" s="338"/>
      <c r="IXS15" s="338"/>
      <c r="IXT15" s="338"/>
      <c r="IXU15" s="338"/>
      <c r="IXV15" s="338"/>
      <c r="IXW15" s="338"/>
      <c r="IXX15" s="338"/>
      <c r="IXY15" s="338"/>
      <c r="IXZ15" s="338"/>
      <c r="IYA15" s="338"/>
      <c r="IYB15" s="338"/>
      <c r="IYC15" s="338"/>
      <c r="IYD15" s="338"/>
      <c r="IYE15" s="338"/>
      <c r="IYF15" s="338"/>
      <c r="IYG15" s="338"/>
      <c r="IYH15" s="338"/>
      <c r="IYI15" s="338"/>
      <c r="IYJ15" s="338"/>
      <c r="IYK15" s="338"/>
      <c r="IYL15" s="338"/>
      <c r="IYM15" s="338"/>
      <c r="IYN15" s="338"/>
      <c r="IYO15" s="338"/>
      <c r="IYP15" s="338"/>
      <c r="IYQ15" s="338"/>
      <c r="IYR15" s="338"/>
      <c r="IYS15" s="338"/>
      <c r="IYT15" s="338"/>
      <c r="IYU15" s="338"/>
      <c r="IYV15" s="338"/>
      <c r="IYW15" s="338"/>
      <c r="IYX15" s="338"/>
      <c r="IYY15" s="338"/>
      <c r="IYZ15" s="338"/>
      <c r="IZA15" s="338"/>
      <c r="IZB15" s="338"/>
      <c r="IZC15" s="338"/>
      <c r="IZD15" s="338"/>
      <c r="IZE15" s="338"/>
      <c r="IZF15" s="338"/>
      <c r="IZG15" s="338"/>
      <c r="IZH15" s="338"/>
      <c r="IZI15" s="338"/>
      <c r="IZJ15" s="338"/>
      <c r="IZK15" s="338"/>
      <c r="IZL15" s="338"/>
      <c r="IZM15" s="338"/>
      <c r="IZN15" s="338"/>
      <c r="IZO15" s="338"/>
      <c r="IZP15" s="338"/>
      <c r="IZQ15" s="338"/>
      <c r="IZR15" s="338"/>
      <c r="IZS15" s="338"/>
      <c r="IZT15" s="338"/>
      <c r="IZU15" s="338"/>
      <c r="IZV15" s="338"/>
      <c r="IZW15" s="338"/>
      <c r="IZX15" s="338"/>
      <c r="IZY15" s="338"/>
      <c r="IZZ15" s="338"/>
      <c r="JAA15" s="338"/>
      <c r="JAB15" s="338"/>
      <c r="JAC15" s="338"/>
      <c r="JAD15" s="338"/>
      <c r="JAE15" s="338"/>
      <c r="JAF15" s="338"/>
      <c r="JAG15" s="338"/>
      <c r="JAH15" s="338"/>
      <c r="JAI15" s="338"/>
      <c r="JAJ15" s="338"/>
      <c r="JAK15" s="338"/>
      <c r="JAL15" s="338"/>
      <c r="JAM15" s="338"/>
      <c r="JAN15" s="338"/>
      <c r="JAO15" s="338"/>
      <c r="JAP15" s="338"/>
      <c r="JAQ15" s="338"/>
      <c r="JAR15" s="338"/>
      <c r="JAS15" s="338"/>
      <c r="JAT15" s="338"/>
      <c r="JAU15" s="338"/>
      <c r="JAV15" s="338"/>
      <c r="JAW15" s="338"/>
      <c r="JAX15" s="338"/>
      <c r="JAY15" s="338"/>
      <c r="JAZ15" s="338"/>
      <c r="JBA15" s="338"/>
      <c r="JBB15" s="338"/>
      <c r="JBC15" s="338"/>
      <c r="JBD15" s="338"/>
      <c r="JBE15" s="338"/>
      <c r="JBF15" s="338"/>
      <c r="JBG15" s="338"/>
      <c r="JBH15" s="338"/>
      <c r="JBI15" s="338"/>
      <c r="JBJ15" s="338"/>
      <c r="JBK15" s="338"/>
      <c r="JBL15" s="338"/>
      <c r="JBM15" s="338"/>
      <c r="JBN15" s="338"/>
      <c r="JBO15" s="338"/>
      <c r="JBP15" s="338"/>
      <c r="JBQ15" s="338"/>
      <c r="JBR15" s="338"/>
      <c r="JBS15" s="338"/>
      <c r="JBT15" s="338"/>
      <c r="JBU15" s="338"/>
      <c r="JBV15" s="338"/>
      <c r="JBW15" s="338"/>
      <c r="JBX15" s="338"/>
      <c r="JBY15" s="338"/>
      <c r="JBZ15" s="338"/>
      <c r="JCA15" s="338"/>
      <c r="JCB15" s="338"/>
      <c r="JCC15" s="338"/>
      <c r="JCD15" s="338"/>
      <c r="JCE15" s="338"/>
      <c r="JCF15" s="338"/>
      <c r="JCG15" s="338"/>
      <c r="JCH15" s="338"/>
      <c r="JCI15" s="338"/>
      <c r="JCJ15" s="338"/>
      <c r="JCK15" s="338"/>
      <c r="JCL15" s="338"/>
      <c r="JCM15" s="338"/>
      <c r="JCN15" s="338"/>
      <c r="JCO15" s="338"/>
      <c r="JCP15" s="338"/>
      <c r="JCQ15" s="338"/>
      <c r="JCR15" s="338"/>
      <c r="JCS15" s="338"/>
      <c r="JCT15" s="338"/>
      <c r="JCU15" s="338"/>
      <c r="JCV15" s="338"/>
      <c r="JCW15" s="338"/>
      <c r="JCX15" s="338"/>
      <c r="JCY15" s="338"/>
      <c r="JCZ15" s="338"/>
      <c r="JDA15" s="338"/>
      <c r="JDB15" s="338"/>
      <c r="JDC15" s="338"/>
      <c r="JDD15" s="338"/>
      <c r="JDE15" s="338"/>
      <c r="JDF15" s="338"/>
      <c r="JDG15" s="338"/>
      <c r="JDH15" s="338"/>
      <c r="JDI15" s="338"/>
      <c r="JDJ15" s="338"/>
      <c r="JDK15" s="338"/>
      <c r="JDL15" s="338"/>
      <c r="JDM15" s="338"/>
      <c r="JDN15" s="338"/>
      <c r="JDO15" s="338"/>
      <c r="JDP15" s="338"/>
      <c r="JDQ15" s="338"/>
      <c r="JDR15" s="338"/>
      <c r="JDS15" s="338"/>
      <c r="JDT15" s="338"/>
      <c r="JDU15" s="338"/>
      <c r="JDV15" s="338"/>
      <c r="JDW15" s="338"/>
      <c r="JDX15" s="338"/>
      <c r="JDY15" s="338"/>
      <c r="JDZ15" s="338"/>
      <c r="JEA15" s="338"/>
      <c r="JEB15" s="338"/>
      <c r="JEC15" s="338"/>
      <c r="JED15" s="338"/>
      <c r="JEE15" s="338"/>
      <c r="JEF15" s="338"/>
      <c r="JEG15" s="338"/>
      <c r="JEH15" s="338"/>
      <c r="JEI15" s="338"/>
      <c r="JEJ15" s="338"/>
      <c r="JEK15" s="338"/>
      <c r="JEL15" s="338"/>
      <c r="JEM15" s="338"/>
      <c r="JEN15" s="338"/>
      <c r="JEO15" s="338"/>
      <c r="JEP15" s="338"/>
      <c r="JEQ15" s="338"/>
      <c r="JER15" s="338"/>
      <c r="JES15" s="338"/>
      <c r="JET15" s="338"/>
      <c r="JEU15" s="338"/>
      <c r="JEV15" s="338"/>
      <c r="JEW15" s="338"/>
      <c r="JEX15" s="338"/>
      <c r="JEY15" s="338"/>
      <c r="JEZ15" s="338"/>
      <c r="JFA15" s="338"/>
      <c r="JFB15" s="338"/>
      <c r="JFC15" s="338"/>
      <c r="JFD15" s="338"/>
      <c r="JFE15" s="338"/>
      <c r="JFF15" s="338"/>
      <c r="JFG15" s="338"/>
      <c r="JFH15" s="338"/>
      <c r="JFI15" s="338"/>
      <c r="JFJ15" s="338"/>
      <c r="JFK15" s="338"/>
      <c r="JFL15" s="338"/>
      <c r="JFM15" s="338"/>
      <c r="JFN15" s="338"/>
      <c r="JFO15" s="338"/>
      <c r="JFP15" s="338"/>
      <c r="JFQ15" s="338"/>
      <c r="JFR15" s="338"/>
      <c r="JFS15" s="338"/>
      <c r="JFT15" s="338"/>
      <c r="JFU15" s="338"/>
      <c r="JFV15" s="338"/>
      <c r="JFW15" s="338"/>
      <c r="JFX15" s="338"/>
      <c r="JFY15" s="338"/>
      <c r="JFZ15" s="338"/>
      <c r="JGA15" s="338"/>
      <c r="JGB15" s="338"/>
      <c r="JGC15" s="338"/>
      <c r="JGD15" s="338"/>
      <c r="JGE15" s="338"/>
      <c r="JGF15" s="338"/>
      <c r="JGG15" s="338"/>
      <c r="JGH15" s="338"/>
      <c r="JGI15" s="338"/>
      <c r="JGJ15" s="338"/>
      <c r="JGK15" s="338"/>
      <c r="JGL15" s="338"/>
      <c r="JGM15" s="338"/>
      <c r="JGN15" s="338"/>
      <c r="JGO15" s="338"/>
      <c r="JGP15" s="338"/>
      <c r="JGQ15" s="338"/>
      <c r="JGR15" s="338"/>
      <c r="JGS15" s="338"/>
      <c r="JGT15" s="338"/>
      <c r="JGU15" s="338"/>
      <c r="JGV15" s="338"/>
      <c r="JGW15" s="338"/>
      <c r="JGX15" s="338"/>
      <c r="JGY15" s="338"/>
      <c r="JGZ15" s="338"/>
      <c r="JHA15" s="338"/>
      <c r="JHB15" s="338"/>
      <c r="JHC15" s="338"/>
      <c r="JHD15" s="338"/>
      <c r="JHE15" s="338"/>
      <c r="JHF15" s="338"/>
      <c r="JHG15" s="338"/>
      <c r="JHH15" s="338"/>
      <c r="JHI15" s="338"/>
      <c r="JHJ15" s="338"/>
      <c r="JHK15" s="338"/>
      <c r="JHL15" s="338"/>
      <c r="JHM15" s="338"/>
      <c r="JHN15" s="338"/>
      <c r="JHO15" s="338"/>
      <c r="JHP15" s="338"/>
      <c r="JHQ15" s="338"/>
      <c r="JHR15" s="338"/>
      <c r="JHS15" s="338"/>
      <c r="JHT15" s="338"/>
      <c r="JHU15" s="338"/>
      <c r="JHV15" s="338"/>
      <c r="JHW15" s="338"/>
      <c r="JHX15" s="338"/>
      <c r="JHY15" s="338"/>
      <c r="JHZ15" s="338"/>
      <c r="JIA15" s="338"/>
      <c r="JIB15" s="338"/>
      <c r="JIC15" s="338"/>
      <c r="JID15" s="338"/>
      <c r="JIE15" s="338"/>
      <c r="JIF15" s="338"/>
      <c r="JIG15" s="338"/>
      <c r="JIH15" s="338"/>
      <c r="JII15" s="338"/>
      <c r="JIJ15" s="338"/>
      <c r="JIK15" s="338"/>
      <c r="JIL15" s="338"/>
      <c r="JIM15" s="338"/>
      <c r="JIN15" s="338"/>
      <c r="JIO15" s="338"/>
      <c r="JIP15" s="338"/>
      <c r="JIQ15" s="338"/>
      <c r="JIR15" s="338"/>
      <c r="JIS15" s="338"/>
      <c r="JIT15" s="338"/>
      <c r="JIU15" s="338"/>
      <c r="JIV15" s="338"/>
      <c r="JIW15" s="338"/>
      <c r="JIX15" s="338"/>
      <c r="JIY15" s="338"/>
      <c r="JIZ15" s="338"/>
      <c r="JJA15" s="338"/>
      <c r="JJB15" s="338"/>
      <c r="JJC15" s="338"/>
      <c r="JJD15" s="338"/>
      <c r="JJE15" s="338"/>
      <c r="JJF15" s="338"/>
      <c r="JJG15" s="338"/>
      <c r="JJH15" s="338"/>
      <c r="JJI15" s="338"/>
      <c r="JJJ15" s="338"/>
      <c r="JJK15" s="338"/>
      <c r="JJL15" s="338"/>
      <c r="JJM15" s="338"/>
      <c r="JJN15" s="338"/>
      <c r="JJO15" s="338"/>
      <c r="JJP15" s="338"/>
      <c r="JJQ15" s="338"/>
      <c r="JJR15" s="338"/>
      <c r="JJS15" s="338"/>
      <c r="JJT15" s="338"/>
      <c r="JJU15" s="338"/>
      <c r="JJV15" s="338"/>
      <c r="JJW15" s="338"/>
      <c r="JJX15" s="338"/>
      <c r="JJY15" s="338"/>
      <c r="JJZ15" s="338"/>
      <c r="JKA15" s="338"/>
      <c r="JKB15" s="338"/>
      <c r="JKC15" s="338"/>
      <c r="JKD15" s="338"/>
      <c r="JKE15" s="338"/>
      <c r="JKF15" s="338"/>
      <c r="JKG15" s="338"/>
      <c r="JKH15" s="338"/>
      <c r="JKI15" s="338"/>
      <c r="JKJ15" s="338"/>
      <c r="JKK15" s="338"/>
      <c r="JKL15" s="338"/>
      <c r="JKM15" s="338"/>
      <c r="JKN15" s="338"/>
      <c r="JKO15" s="338"/>
      <c r="JKP15" s="338"/>
      <c r="JKQ15" s="338"/>
      <c r="JKR15" s="338"/>
      <c r="JKS15" s="338"/>
      <c r="JKT15" s="338"/>
      <c r="JKU15" s="338"/>
      <c r="JKV15" s="338"/>
      <c r="JKW15" s="338"/>
      <c r="JKX15" s="338"/>
      <c r="JKY15" s="338"/>
      <c r="JKZ15" s="338"/>
      <c r="JLA15" s="338"/>
      <c r="JLB15" s="338"/>
      <c r="JLC15" s="338"/>
      <c r="JLD15" s="338"/>
      <c r="JLE15" s="338"/>
      <c r="JLF15" s="338"/>
      <c r="JLG15" s="338"/>
      <c r="JLH15" s="338"/>
      <c r="JLI15" s="338"/>
      <c r="JLJ15" s="338"/>
      <c r="JLK15" s="338"/>
      <c r="JLL15" s="338"/>
      <c r="JLM15" s="338"/>
      <c r="JLN15" s="338"/>
      <c r="JLO15" s="338"/>
      <c r="JLP15" s="338"/>
      <c r="JLQ15" s="338"/>
      <c r="JLR15" s="338"/>
      <c r="JLS15" s="338"/>
      <c r="JLT15" s="338"/>
      <c r="JLU15" s="338"/>
      <c r="JLV15" s="338"/>
      <c r="JLW15" s="338"/>
      <c r="JLX15" s="338"/>
      <c r="JLY15" s="338"/>
      <c r="JLZ15" s="338"/>
      <c r="JMA15" s="338"/>
      <c r="JMB15" s="338"/>
      <c r="JMC15" s="338"/>
      <c r="JMD15" s="338"/>
      <c r="JME15" s="338"/>
      <c r="JMF15" s="338"/>
      <c r="JMG15" s="338"/>
      <c r="JMH15" s="338"/>
      <c r="JMI15" s="338"/>
      <c r="JMJ15" s="338"/>
      <c r="JMK15" s="338"/>
      <c r="JML15" s="338"/>
      <c r="JMM15" s="338"/>
      <c r="JMN15" s="338"/>
      <c r="JMO15" s="338"/>
      <c r="JMP15" s="338"/>
      <c r="JMQ15" s="338"/>
      <c r="JMR15" s="338"/>
      <c r="JMS15" s="338"/>
      <c r="JMT15" s="338"/>
      <c r="JMU15" s="338"/>
      <c r="JMV15" s="338"/>
      <c r="JMW15" s="338"/>
      <c r="JMX15" s="338"/>
      <c r="JMY15" s="338"/>
      <c r="JMZ15" s="338"/>
      <c r="JNA15" s="338"/>
      <c r="JNB15" s="338"/>
      <c r="JNC15" s="338"/>
      <c r="JND15" s="338"/>
      <c r="JNE15" s="338"/>
      <c r="JNF15" s="338"/>
      <c r="JNG15" s="338"/>
      <c r="JNH15" s="338"/>
      <c r="JNI15" s="338"/>
      <c r="JNJ15" s="338"/>
      <c r="JNK15" s="338"/>
      <c r="JNL15" s="338"/>
      <c r="JNM15" s="338"/>
      <c r="JNN15" s="338"/>
      <c r="JNO15" s="338"/>
      <c r="JNP15" s="338"/>
      <c r="JNQ15" s="338"/>
      <c r="JNR15" s="338"/>
      <c r="JNS15" s="338"/>
      <c r="JNT15" s="338"/>
      <c r="JNU15" s="338"/>
      <c r="JNV15" s="338"/>
      <c r="JNW15" s="338"/>
      <c r="JNX15" s="338"/>
      <c r="JNY15" s="338"/>
      <c r="JNZ15" s="338"/>
      <c r="JOA15" s="338"/>
      <c r="JOB15" s="338"/>
      <c r="JOC15" s="338"/>
      <c r="JOD15" s="338"/>
      <c r="JOE15" s="338"/>
      <c r="JOF15" s="338"/>
      <c r="JOG15" s="338"/>
      <c r="JOH15" s="338"/>
      <c r="JOI15" s="338"/>
      <c r="JOJ15" s="338"/>
      <c r="JOK15" s="338"/>
      <c r="JOL15" s="338"/>
      <c r="JOM15" s="338"/>
      <c r="JON15" s="338"/>
      <c r="JOO15" s="338"/>
      <c r="JOP15" s="338"/>
      <c r="JOQ15" s="338"/>
      <c r="JOR15" s="338"/>
      <c r="JOS15" s="338"/>
      <c r="JOT15" s="338"/>
      <c r="JOU15" s="338"/>
      <c r="JOV15" s="338"/>
      <c r="JOW15" s="338"/>
      <c r="JOX15" s="338"/>
      <c r="JOY15" s="338"/>
      <c r="JOZ15" s="338"/>
      <c r="JPA15" s="338"/>
      <c r="JPB15" s="338"/>
      <c r="JPC15" s="338"/>
      <c r="JPD15" s="338"/>
      <c r="JPE15" s="338"/>
      <c r="JPF15" s="338"/>
      <c r="JPG15" s="338"/>
      <c r="JPH15" s="338"/>
      <c r="JPI15" s="338"/>
      <c r="JPJ15" s="338"/>
      <c r="JPK15" s="338"/>
      <c r="JPL15" s="338"/>
      <c r="JPM15" s="338"/>
      <c r="JPN15" s="338"/>
      <c r="JPO15" s="338"/>
      <c r="JPP15" s="338"/>
      <c r="JPQ15" s="338"/>
      <c r="JPR15" s="338"/>
      <c r="JPS15" s="338"/>
      <c r="JPT15" s="338"/>
      <c r="JPU15" s="338"/>
      <c r="JPV15" s="338"/>
      <c r="JPW15" s="338"/>
      <c r="JPX15" s="338"/>
      <c r="JPY15" s="338"/>
      <c r="JPZ15" s="338"/>
      <c r="JQA15" s="338"/>
      <c r="JQB15" s="338"/>
      <c r="JQC15" s="338"/>
      <c r="JQD15" s="338"/>
      <c r="JQE15" s="338"/>
      <c r="JQF15" s="338"/>
      <c r="JQG15" s="338"/>
      <c r="JQH15" s="338"/>
      <c r="JQI15" s="338"/>
      <c r="JQJ15" s="338"/>
      <c r="JQK15" s="338"/>
      <c r="JQL15" s="338"/>
      <c r="JQM15" s="338"/>
      <c r="JQN15" s="338"/>
      <c r="JQO15" s="338"/>
      <c r="JQP15" s="338"/>
      <c r="JQQ15" s="338"/>
      <c r="JQR15" s="338"/>
      <c r="JQS15" s="338"/>
      <c r="JQT15" s="338"/>
      <c r="JQU15" s="338"/>
      <c r="JQV15" s="338"/>
      <c r="JQW15" s="338"/>
      <c r="JQX15" s="338"/>
      <c r="JQY15" s="338"/>
      <c r="JQZ15" s="338"/>
      <c r="JRA15" s="338"/>
      <c r="JRB15" s="338"/>
      <c r="JRC15" s="338"/>
      <c r="JRD15" s="338"/>
      <c r="JRE15" s="338"/>
      <c r="JRF15" s="338"/>
      <c r="JRG15" s="338"/>
      <c r="JRH15" s="338"/>
      <c r="JRI15" s="338"/>
      <c r="JRJ15" s="338"/>
      <c r="JRK15" s="338"/>
      <c r="JRL15" s="338"/>
      <c r="JRM15" s="338"/>
      <c r="JRN15" s="338"/>
      <c r="JRO15" s="338"/>
      <c r="JRP15" s="338"/>
      <c r="JRQ15" s="338"/>
      <c r="JRR15" s="338"/>
      <c r="JRS15" s="338"/>
      <c r="JRT15" s="338"/>
      <c r="JRU15" s="338"/>
      <c r="JRV15" s="338"/>
      <c r="JRW15" s="338"/>
      <c r="JRX15" s="338"/>
      <c r="JRY15" s="338"/>
      <c r="JRZ15" s="338"/>
      <c r="JSA15" s="338"/>
      <c r="JSB15" s="338"/>
      <c r="JSC15" s="338"/>
      <c r="JSD15" s="338"/>
      <c r="JSE15" s="338"/>
      <c r="JSF15" s="338"/>
      <c r="JSG15" s="338"/>
      <c r="JSH15" s="338"/>
      <c r="JSI15" s="338"/>
      <c r="JSJ15" s="338"/>
      <c r="JSK15" s="338"/>
      <c r="JSL15" s="338"/>
      <c r="JSM15" s="338"/>
      <c r="JSN15" s="338"/>
      <c r="JSO15" s="338"/>
      <c r="JSP15" s="338"/>
      <c r="JSQ15" s="338"/>
      <c r="JSR15" s="338"/>
      <c r="JSS15" s="338"/>
      <c r="JST15" s="338"/>
      <c r="JSU15" s="338"/>
      <c r="JSV15" s="338"/>
      <c r="JSW15" s="338"/>
      <c r="JSX15" s="338"/>
      <c r="JSY15" s="338"/>
      <c r="JSZ15" s="338"/>
      <c r="JTA15" s="338"/>
      <c r="JTB15" s="338"/>
      <c r="JTC15" s="338"/>
      <c r="JTD15" s="338"/>
      <c r="JTE15" s="338"/>
      <c r="JTF15" s="338"/>
      <c r="JTG15" s="338"/>
      <c r="JTH15" s="338"/>
      <c r="JTI15" s="338"/>
      <c r="JTJ15" s="338"/>
      <c r="JTK15" s="338"/>
      <c r="JTL15" s="338"/>
      <c r="JTM15" s="338"/>
      <c r="JTN15" s="338"/>
      <c r="JTO15" s="338"/>
      <c r="JTP15" s="338"/>
      <c r="JTQ15" s="338"/>
      <c r="JTR15" s="338"/>
      <c r="JTS15" s="338"/>
      <c r="JTT15" s="338"/>
      <c r="JTU15" s="338"/>
      <c r="JTV15" s="338"/>
      <c r="JTW15" s="338"/>
      <c r="JTX15" s="338"/>
      <c r="JTY15" s="338"/>
      <c r="JTZ15" s="338"/>
      <c r="JUA15" s="338"/>
      <c r="JUB15" s="338"/>
      <c r="JUC15" s="338"/>
      <c r="JUD15" s="338"/>
      <c r="JUE15" s="338"/>
      <c r="JUF15" s="338"/>
      <c r="JUG15" s="338"/>
      <c r="JUH15" s="338"/>
      <c r="JUI15" s="338"/>
      <c r="JUJ15" s="338"/>
      <c r="JUK15" s="338"/>
      <c r="JUL15" s="338"/>
      <c r="JUM15" s="338"/>
      <c r="JUN15" s="338"/>
      <c r="JUO15" s="338"/>
      <c r="JUP15" s="338"/>
      <c r="JUQ15" s="338"/>
      <c r="JUR15" s="338"/>
      <c r="JUS15" s="338"/>
      <c r="JUT15" s="338"/>
      <c r="JUU15" s="338"/>
      <c r="JUV15" s="338"/>
      <c r="JUW15" s="338"/>
      <c r="JUX15" s="338"/>
      <c r="JUY15" s="338"/>
      <c r="JUZ15" s="338"/>
      <c r="JVA15" s="338"/>
      <c r="JVB15" s="338"/>
      <c r="JVC15" s="338"/>
      <c r="JVD15" s="338"/>
      <c r="JVE15" s="338"/>
      <c r="JVF15" s="338"/>
      <c r="JVG15" s="338"/>
      <c r="JVH15" s="338"/>
      <c r="JVI15" s="338"/>
      <c r="JVJ15" s="338"/>
      <c r="JVK15" s="338"/>
      <c r="JVL15" s="338"/>
      <c r="JVM15" s="338"/>
      <c r="JVN15" s="338"/>
      <c r="JVO15" s="338"/>
      <c r="JVP15" s="338"/>
      <c r="JVQ15" s="338"/>
      <c r="JVR15" s="338"/>
      <c r="JVS15" s="338"/>
      <c r="JVT15" s="338"/>
      <c r="JVU15" s="338"/>
      <c r="JVV15" s="338"/>
      <c r="JVW15" s="338"/>
      <c r="JVX15" s="338"/>
      <c r="JVY15" s="338"/>
      <c r="JVZ15" s="338"/>
      <c r="JWA15" s="338"/>
      <c r="JWB15" s="338"/>
      <c r="JWC15" s="338"/>
      <c r="JWD15" s="338"/>
      <c r="JWE15" s="338"/>
      <c r="JWF15" s="338"/>
      <c r="JWG15" s="338"/>
      <c r="JWH15" s="338"/>
      <c r="JWI15" s="338"/>
      <c r="JWJ15" s="338"/>
      <c r="JWK15" s="338"/>
      <c r="JWL15" s="338"/>
      <c r="JWM15" s="338"/>
      <c r="JWN15" s="338"/>
      <c r="JWO15" s="338"/>
      <c r="JWP15" s="338"/>
      <c r="JWQ15" s="338"/>
      <c r="JWR15" s="338"/>
      <c r="JWS15" s="338"/>
      <c r="JWT15" s="338"/>
      <c r="JWU15" s="338"/>
      <c r="JWV15" s="338"/>
      <c r="JWW15" s="338"/>
      <c r="JWX15" s="338"/>
      <c r="JWY15" s="338"/>
      <c r="JWZ15" s="338"/>
      <c r="JXA15" s="338"/>
      <c r="JXB15" s="338"/>
      <c r="JXC15" s="338"/>
      <c r="JXD15" s="338"/>
      <c r="JXE15" s="338"/>
      <c r="JXF15" s="338"/>
      <c r="JXG15" s="338"/>
      <c r="JXH15" s="338"/>
      <c r="JXI15" s="338"/>
      <c r="JXJ15" s="338"/>
      <c r="JXK15" s="338"/>
      <c r="JXL15" s="338"/>
      <c r="JXM15" s="338"/>
      <c r="JXN15" s="338"/>
      <c r="JXO15" s="338"/>
      <c r="JXP15" s="338"/>
      <c r="JXQ15" s="338"/>
      <c r="JXR15" s="338"/>
      <c r="JXS15" s="338"/>
      <c r="JXT15" s="338"/>
      <c r="JXU15" s="338"/>
      <c r="JXV15" s="338"/>
      <c r="JXW15" s="338"/>
      <c r="JXX15" s="338"/>
      <c r="JXY15" s="338"/>
      <c r="JXZ15" s="338"/>
      <c r="JYA15" s="338"/>
      <c r="JYB15" s="338"/>
      <c r="JYC15" s="338"/>
      <c r="JYD15" s="338"/>
      <c r="JYE15" s="338"/>
      <c r="JYF15" s="338"/>
      <c r="JYG15" s="338"/>
      <c r="JYH15" s="338"/>
      <c r="JYI15" s="338"/>
      <c r="JYJ15" s="338"/>
      <c r="JYK15" s="338"/>
      <c r="JYL15" s="338"/>
      <c r="JYM15" s="338"/>
      <c r="JYN15" s="338"/>
      <c r="JYO15" s="338"/>
      <c r="JYP15" s="338"/>
      <c r="JYQ15" s="338"/>
      <c r="JYR15" s="338"/>
      <c r="JYS15" s="338"/>
      <c r="JYT15" s="338"/>
      <c r="JYU15" s="338"/>
      <c r="JYV15" s="338"/>
      <c r="JYW15" s="338"/>
      <c r="JYX15" s="338"/>
      <c r="JYY15" s="338"/>
      <c r="JYZ15" s="338"/>
      <c r="JZA15" s="338"/>
      <c r="JZB15" s="338"/>
      <c r="JZC15" s="338"/>
      <c r="JZD15" s="338"/>
      <c r="JZE15" s="338"/>
      <c r="JZF15" s="338"/>
      <c r="JZG15" s="338"/>
      <c r="JZH15" s="338"/>
      <c r="JZI15" s="338"/>
      <c r="JZJ15" s="338"/>
      <c r="JZK15" s="338"/>
      <c r="JZL15" s="338"/>
      <c r="JZM15" s="338"/>
      <c r="JZN15" s="338"/>
      <c r="JZO15" s="338"/>
      <c r="JZP15" s="338"/>
      <c r="JZQ15" s="338"/>
      <c r="JZR15" s="338"/>
      <c r="JZS15" s="338"/>
      <c r="JZT15" s="338"/>
      <c r="JZU15" s="338"/>
      <c r="JZV15" s="338"/>
      <c r="JZW15" s="338"/>
      <c r="JZX15" s="338"/>
      <c r="JZY15" s="338"/>
      <c r="JZZ15" s="338"/>
      <c r="KAA15" s="338"/>
      <c r="KAB15" s="338"/>
      <c r="KAC15" s="338"/>
      <c r="KAD15" s="338"/>
      <c r="KAE15" s="338"/>
      <c r="KAF15" s="338"/>
      <c r="KAG15" s="338"/>
      <c r="KAH15" s="338"/>
      <c r="KAI15" s="338"/>
      <c r="KAJ15" s="338"/>
      <c r="KAK15" s="338"/>
      <c r="KAL15" s="338"/>
      <c r="KAM15" s="338"/>
      <c r="KAN15" s="338"/>
      <c r="KAO15" s="338"/>
      <c r="KAP15" s="338"/>
      <c r="KAQ15" s="338"/>
      <c r="KAR15" s="338"/>
      <c r="KAS15" s="338"/>
      <c r="KAT15" s="338"/>
      <c r="KAU15" s="338"/>
      <c r="KAV15" s="338"/>
      <c r="KAW15" s="338"/>
      <c r="KAX15" s="338"/>
      <c r="KAY15" s="338"/>
      <c r="KAZ15" s="338"/>
      <c r="KBA15" s="338"/>
      <c r="KBB15" s="338"/>
      <c r="KBC15" s="338"/>
      <c r="KBD15" s="338"/>
      <c r="KBE15" s="338"/>
      <c r="KBF15" s="338"/>
      <c r="KBG15" s="338"/>
      <c r="KBH15" s="338"/>
      <c r="KBI15" s="338"/>
      <c r="KBJ15" s="338"/>
      <c r="KBK15" s="338"/>
      <c r="KBL15" s="338"/>
      <c r="KBM15" s="338"/>
      <c r="KBN15" s="338"/>
      <c r="KBO15" s="338"/>
      <c r="KBP15" s="338"/>
      <c r="KBQ15" s="338"/>
      <c r="KBR15" s="338"/>
      <c r="KBS15" s="338"/>
      <c r="KBT15" s="338"/>
      <c r="KBU15" s="338"/>
      <c r="KBV15" s="338"/>
      <c r="KBW15" s="338"/>
      <c r="KBX15" s="338"/>
      <c r="KBY15" s="338"/>
      <c r="KBZ15" s="338"/>
      <c r="KCA15" s="338"/>
      <c r="KCB15" s="338"/>
      <c r="KCC15" s="338"/>
      <c r="KCD15" s="338"/>
      <c r="KCE15" s="338"/>
      <c r="KCF15" s="338"/>
      <c r="KCG15" s="338"/>
      <c r="KCH15" s="338"/>
      <c r="KCI15" s="338"/>
      <c r="KCJ15" s="338"/>
      <c r="KCK15" s="338"/>
      <c r="KCL15" s="338"/>
      <c r="KCM15" s="338"/>
      <c r="KCN15" s="338"/>
      <c r="KCO15" s="338"/>
      <c r="KCP15" s="338"/>
      <c r="KCQ15" s="338"/>
      <c r="KCR15" s="338"/>
      <c r="KCS15" s="338"/>
      <c r="KCT15" s="338"/>
      <c r="KCU15" s="338"/>
      <c r="KCV15" s="338"/>
      <c r="KCW15" s="338"/>
      <c r="KCX15" s="338"/>
      <c r="KCY15" s="338"/>
      <c r="KCZ15" s="338"/>
      <c r="KDA15" s="338"/>
      <c r="KDB15" s="338"/>
      <c r="KDC15" s="338"/>
      <c r="KDD15" s="338"/>
      <c r="KDE15" s="338"/>
      <c r="KDF15" s="338"/>
      <c r="KDG15" s="338"/>
      <c r="KDH15" s="338"/>
      <c r="KDI15" s="338"/>
      <c r="KDJ15" s="338"/>
      <c r="KDK15" s="338"/>
      <c r="KDL15" s="338"/>
      <c r="KDM15" s="338"/>
      <c r="KDN15" s="338"/>
      <c r="KDO15" s="338"/>
      <c r="KDP15" s="338"/>
      <c r="KDQ15" s="338"/>
      <c r="KDR15" s="338"/>
      <c r="KDS15" s="338"/>
      <c r="KDT15" s="338"/>
      <c r="KDU15" s="338"/>
      <c r="KDV15" s="338"/>
      <c r="KDW15" s="338"/>
      <c r="KDX15" s="338"/>
      <c r="KDY15" s="338"/>
      <c r="KDZ15" s="338"/>
      <c r="KEA15" s="338"/>
      <c r="KEB15" s="338"/>
      <c r="KEC15" s="338"/>
      <c r="KED15" s="338"/>
      <c r="KEE15" s="338"/>
      <c r="KEF15" s="338"/>
      <c r="KEG15" s="338"/>
      <c r="KEH15" s="338"/>
      <c r="KEI15" s="338"/>
      <c r="KEJ15" s="338"/>
      <c r="KEK15" s="338"/>
      <c r="KEL15" s="338"/>
      <c r="KEM15" s="338"/>
      <c r="KEN15" s="338"/>
      <c r="KEO15" s="338"/>
      <c r="KEP15" s="338"/>
      <c r="KEQ15" s="338"/>
      <c r="KER15" s="338"/>
      <c r="KES15" s="338"/>
      <c r="KET15" s="338"/>
      <c r="KEU15" s="338"/>
      <c r="KEV15" s="338"/>
      <c r="KEW15" s="338"/>
      <c r="KEX15" s="338"/>
      <c r="KEY15" s="338"/>
      <c r="KEZ15" s="338"/>
      <c r="KFA15" s="338"/>
      <c r="KFB15" s="338"/>
      <c r="KFC15" s="338"/>
      <c r="KFD15" s="338"/>
      <c r="KFE15" s="338"/>
      <c r="KFF15" s="338"/>
      <c r="KFG15" s="338"/>
      <c r="KFH15" s="338"/>
      <c r="KFI15" s="338"/>
      <c r="KFJ15" s="338"/>
      <c r="KFK15" s="338"/>
      <c r="KFL15" s="338"/>
      <c r="KFM15" s="338"/>
      <c r="KFN15" s="338"/>
      <c r="KFO15" s="338"/>
      <c r="KFP15" s="338"/>
      <c r="KFQ15" s="338"/>
      <c r="KFR15" s="338"/>
      <c r="KFS15" s="338"/>
      <c r="KFT15" s="338"/>
      <c r="KFU15" s="338"/>
      <c r="KFV15" s="338"/>
      <c r="KFW15" s="338"/>
      <c r="KFX15" s="338"/>
      <c r="KFY15" s="338"/>
      <c r="KFZ15" s="338"/>
      <c r="KGA15" s="338"/>
      <c r="KGB15" s="338"/>
      <c r="KGC15" s="338"/>
      <c r="KGD15" s="338"/>
      <c r="KGE15" s="338"/>
      <c r="KGF15" s="338"/>
      <c r="KGG15" s="338"/>
      <c r="KGH15" s="338"/>
      <c r="KGI15" s="338"/>
      <c r="KGJ15" s="338"/>
      <c r="KGK15" s="338"/>
      <c r="KGL15" s="338"/>
      <c r="KGM15" s="338"/>
      <c r="KGN15" s="338"/>
      <c r="KGO15" s="338"/>
      <c r="KGP15" s="338"/>
      <c r="KGQ15" s="338"/>
      <c r="KGR15" s="338"/>
      <c r="KGS15" s="338"/>
      <c r="KGT15" s="338"/>
      <c r="KGU15" s="338"/>
      <c r="KGV15" s="338"/>
      <c r="KGW15" s="338"/>
      <c r="KGX15" s="338"/>
      <c r="KGY15" s="338"/>
      <c r="KGZ15" s="338"/>
      <c r="KHA15" s="338"/>
      <c r="KHB15" s="338"/>
      <c r="KHC15" s="338"/>
      <c r="KHD15" s="338"/>
      <c r="KHE15" s="338"/>
      <c r="KHF15" s="338"/>
      <c r="KHG15" s="338"/>
      <c r="KHH15" s="338"/>
      <c r="KHI15" s="338"/>
      <c r="KHJ15" s="338"/>
      <c r="KHK15" s="338"/>
      <c r="KHL15" s="338"/>
      <c r="KHM15" s="338"/>
      <c r="KHN15" s="338"/>
      <c r="KHO15" s="338"/>
      <c r="KHP15" s="338"/>
      <c r="KHQ15" s="338"/>
      <c r="KHR15" s="338"/>
      <c r="KHS15" s="338"/>
      <c r="KHT15" s="338"/>
      <c r="KHU15" s="338"/>
      <c r="KHV15" s="338"/>
      <c r="KHW15" s="338"/>
      <c r="KHX15" s="338"/>
      <c r="KHY15" s="338"/>
      <c r="KHZ15" s="338"/>
      <c r="KIA15" s="338"/>
      <c r="KIB15" s="338"/>
      <c r="KIC15" s="338"/>
      <c r="KID15" s="338"/>
      <c r="KIE15" s="338"/>
      <c r="KIF15" s="338"/>
      <c r="KIG15" s="338"/>
      <c r="KIH15" s="338"/>
      <c r="KII15" s="338"/>
      <c r="KIJ15" s="338"/>
      <c r="KIK15" s="338"/>
      <c r="KIL15" s="338"/>
      <c r="KIM15" s="338"/>
      <c r="KIN15" s="338"/>
      <c r="KIO15" s="338"/>
      <c r="KIP15" s="338"/>
      <c r="KIQ15" s="338"/>
      <c r="KIR15" s="338"/>
      <c r="KIS15" s="338"/>
      <c r="KIT15" s="338"/>
      <c r="KIU15" s="338"/>
      <c r="KIV15" s="338"/>
      <c r="KIW15" s="338"/>
      <c r="KIX15" s="338"/>
      <c r="KIY15" s="338"/>
      <c r="KIZ15" s="338"/>
      <c r="KJA15" s="338"/>
      <c r="KJB15" s="338"/>
      <c r="KJC15" s="338"/>
      <c r="KJD15" s="338"/>
      <c r="KJE15" s="338"/>
      <c r="KJF15" s="338"/>
      <c r="KJG15" s="338"/>
      <c r="KJH15" s="338"/>
      <c r="KJI15" s="338"/>
      <c r="KJJ15" s="338"/>
      <c r="KJK15" s="338"/>
      <c r="KJL15" s="338"/>
      <c r="KJM15" s="338"/>
      <c r="KJN15" s="338"/>
      <c r="KJO15" s="338"/>
      <c r="KJP15" s="338"/>
      <c r="KJQ15" s="338"/>
      <c r="KJR15" s="338"/>
      <c r="KJS15" s="338"/>
      <c r="KJT15" s="338"/>
      <c r="KJU15" s="338"/>
      <c r="KJV15" s="338"/>
      <c r="KJW15" s="338"/>
      <c r="KJX15" s="338"/>
      <c r="KJY15" s="338"/>
      <c r="KJZ15" s="338"/>
      <c r="KKA15" s="338"/>
      <c r="KKB15" s="338"/>
      <c r="KKC15" s="338"/>
      <c r="KKD15" s="338"/>
      <c r="KKE15" s="338"/>
      <c r="KKF15" s="338"/>
      <c r="KKG15" s="338"/>
      <c r="KKH15" s="338"/>
      <c r="KKI15" s="338"/>
      <c r="KKJ15" s="338"/>
      <c r="KKK15" s="338"/>
      <c r="KKL15" s="338"/>
      <c r="KKM15" s="338"/>
      <c r="KKN15" s="338"/>
      <c r="KKO15" s="338"/>
      <c r="KKP15" s="338"/>
      <c r="KKQ15" s="338"/>
      <c r="KKR15" s="338"/>
      <c r="KKS15" s="338"/>
      <c r="KKT15" s="338"/>
      <c r="KKU15" s="338"/>
      <c r="KKV15" s="338"/>
      <c r="KKW15" s="338"/>
      <c r="KKX15" s="338"/>
      <c r="KKY15" s="338"/>
      <c r="KKZ15" s="338"/>
      <c r="KLA15" s="338"/>
      <c r="KLB15" s="338"/>
      <c r="KLC15" s="338"/>
      <c r="KLD15" s="338"/>
      <c r="KLE15" s="338"/>
      <c r="KLF15" s="338"/>
      <c r="KLG15" s="338"/>
      <c r="KLH15" s="338"/>
      <c r="KLI15" s="338"/>
      <c r="KLJ15" s="338"/>
      <c r="KLK15" s="338"/>
      <c r="KLL15" s="338"/>
      <c r="KLM15" s="338"/>
      <c r="KLN15" s="338"/>
      <c r="KLO15" s="338"/>
      <c r="KLP15" s="338"/>
      <c r="KLQ15" s="338"/>
      <c r="KLR15" s="338"/>
      <c r="KLS15" s="338"/>
      <c r="KLT15" s="338"/>
      <c r="KLU15" s="338"/>
      <c r="KLV15" s="338"/>
      <c r="KLW15" s="338"/>
      <c r="KLX15" s="338"/>
      <c r="KLY15" s="338"/>
      <c r="KLZ15" s="338"/>
      <c r="KMA15" s="338"/>
      <c r="KMB15" s="338"/>
      <c r="KMC15" s="338"/>
      <c r="KMD15" s="338"/>
      <c r="KME15" s="338"/>
      <c r="KMF15" s="338"/>
      <c r="KMG15" s="338"/>
      <c r="KMH15" s="338"/>
      <c r="KMI15" s="338"/>
      <c r="KMJ15" s="338"/>
      <c r="KMK15" s="338"/>
      <c r="KML15" s="338"/>
      <c r="KMM15" s="338"/>
      <c r="KMN15" s="338"/>
      <c r="KMO15" s="338"/>
      <c r="KMP15" s="338"/>
      <c r="KMQ15" s="338"/>
      <c r="KMR15" s="338"/>
      <c r="KMS15" s="338"/>
      <c r="KMT15" s="338"/>
      <c r="KMU15" s="338"/>
      <c r="KMV15" s="338"/>
      <c r="KMW15" s="338"/>
      <c r="KMX15" s="338"/>
      <c r="KMY15" s="338"/>
      <c r="KMZ15" s="338"/>
      <c r="KNA15" s="338"/>
      <c r="KNB15" s="338"/>
      <c r="KNC15" s="338"/>
      <c r="KND15" s="338"/>
      <c r="KNE15" s="338"/>
      <c r="KNF15" s="338"/>
      <c r="KNG15" s="338"/>
      <c r="KNH15" s="338"/>
      <c r="KNI15" s="338"/>
      <c r="KNJ15" s="338"/>
      <c r="KNK15" s="338"/>
      <c r="KNL15" s="338"/>
      <c r="KNM15" s="338"/>
      <c r="KNN15" s="338"/>
      <c r="KNO15" s="338"/>
      <c r="KNP15" s="338"/>
      <c r="KNQ15" s="338"/>
      <c r="KNR15" s="338"/>
      <c r="KNS15" s="338"/>
      <c r="KNT15" s="338"/>
      <c r="KNU15" s="338"/>
      <c r="KNV15" s="338"/>
      <c r="KNW15" s="338"/>
      <c r="KNX15" s="338"/>
      <c r="KNY15" s="338"/>
      <c r="KNZ15" s="338"/>
      <c r="KOA15" s="338"/>
      <c r="KOB15" s="338"/>
      <c r="KOC15" s="338"/>
      <c r="KOD15" s="338"/>
      <c r="KOE15" s="338"/>
      <c r="KOF15" s="338"/>
      <c r="KOG15" s="338"/>
      <c r="KOH15" s="338"/>
      <c r="KOI15" s="338"/>
      <c r="KOJ15" s="338"/>
      <c r="KOK15" s="338"/>
      <c r="KOL15" s="338"/>
      <c r="KOM15" s="338"/>
      <c r="KON15" s="338"/>
      <c r="KOO15" s="338"/>
      <c r="KOP15" s="338"/>
      <c r="KOQ15" s="338"/>
      <c r="KOR15" s="338"/>
      <c r="KOS15" s="338"/>
      <c r="KOT15" s="338"/>
      <c r="KOU15" s="338"/>
      <c r="KOV15" s="338"/>
      <c r="KOW15" s="338"/>
      <c r="KOX15" s="338"/>
      <c r="KOY15" s="338"/>
      <c r="KOZ15" s="338"/>
      <c r="KPA15" s="338"/>
      <c r="KPB15" s="338"/>
      <c r="KPC15" s="338"/>
      <c r="KPD15" s="338"/>
      <c r="KPE15" s="338"/>
      <c r="KPF15" s="338"/>
      <c r="KPG15" s="338"/>
      <c r="KPH15" s="338"/>
      <c r="KPI15" s="338"/>
      <c r="KPJ15" s="338"/>
      <c r="KPK15" s="338"/>
      <c r="KPL15" s="338"/>
      <c r="KPM15" s="338"/>
      <c r="KPN15" s="338"/>
      <c r="KPO15" s="338"/>
      <c r="KPP15" s="338"/>
      <c r="KPQ15" s="338"/>
      <c r="KPR15" s="338"/>
      <c r="KPS15" s="338"/>
      <c r="KPT15" s="338"/>
      <c r="KPU15" s="338"/>
      <c r="KPV15" s="338"/>
      <c r="KPW15" s="338"/>
      <c r="KPX15" s="338"/>
      <c r="KPY15" s="338"/>
      <c r="KPZ15" s="338"/>
      <c r="KQA15" s="338"/>
      <c r="KQB15" s="338"/>
      <c r="KQC15" s="338"/>
      <c r="KQD15" s="338"/>
      <c r="KQE15" s="338"/>
      <c r="KQF15" s="338"/>
      <c r="KQG15" s="338"/>
      <c r="KQH15" s="338"/>
      <c r="KQI15" s="338"/>
      <c r="KQJ15" s="338"/>
      <c r="KQK15" s="338"/>
      <c r="KQL15" s="338"/>
      <c r="KQM15" s="338"/>
      <c r="KQN15" s="338"/>
      <c r="KQO15" s="338"/>
      <c r="KQP15" s="338"/>
      <c r="KQQ15" s="338"/>
      <c r="KQR15" s="338"/>
      <c r="KQS15" s="338"/>
      <c r="KQT15" s="338"/>
      <c r="KQU15" s="338"/>
      <c r="KQV15" s="338"/>
      <c r="KQW15" s="338"/>
      <c r="KQX15" s="338"/>
      <c r="KQY15" s="338"/>
      <c r="KQZ15" s="338"/>
      <c r="KRA15" s="338"/>
      <c r="KRB15" s="338"/>
      <c r="KRC15" s="338"/>
      <c r="KRD15" s="338"/>
      <c r="KRE15" s="338"/>
      <c r="KRF15" s="338"/>
      <c r="KRG15" s="338"/>
      <c r="KRH15" s="338"/>
      <c r="KRI15" s="338"/>
      <c r="KRJ15" s="338"/>
      <c r="KRK15" s="338"/>
      <c r="KRL15" s="338"/>
      <c r="KRM15" s="338"/>
      <c r="KRN15" s="338"/>
      <c r="KRO15" s="338"/>
      <c r="KRP15" s="338"/>
      <c r="KRQ15" s="338"/>
      <c r="KRR15" s="338"/>
      <c r="KRS15" s="338"/>
      <c r="KRT15" s="338"/>
      <c r="KRU15" s="338"/>
      <c r="KRV15" s="338"/>
      <c r="KRW15" s="338"/>
      <c r="KRX15" s="338"/>
      <c r="KRY15" s="338"/>
      <c r="KRZ15" s="338"/>
      <c r="KSA15" s="338"/>
      <c r="KSB15" s="338"/>
      <c r="KSC15" s="338"/>
      <c r="KSD15" s="338"/>
      <c r="KSE15" s="338"/>
      <c r="KSF15" s="338"/>
      <c r="KSG15" s="338"/>
      <c r="KSH15" s="338"/>
      <c r="KSI15" s="338"/>
      <c r="KSJ15" s="338"/>
      <c r="KSK15" s="338"/>
      <c r="KSL15" s="338"/>
      <c r="KSM15" s="338"/>
      <c r="KSN15" s="338"/>
      <c r="KSO15" s="338"/>
      <c r="KSP15" s="338"/>
      <c r="KSQ15" s="338"/>
      <c r="KSR15" s="338"/>
      <c r="KSS15" s="338"/>
      <c r="KST15" s="338"/>
      <c r="KSU15" s="338"/>
      <c r="KSV15" s="338"/>
      <c r="KSW15" s="338"/>
      <c r="KSX15" s="338"/>
      <c r="KSY15" s="338"/>
      <c r="KSZ15" s="338"/>
      <c r="KTA15" s="338"/>
      <c r="KTB15" s="338"/>
      <c r="KTC15" s="338"/>
      <c r="KTD15" s="338"/>
      <c r="KTE15" s="338"/>
      <c r="KTF15" s="338"/>
      <c r="KTG15" s="338"/>
      <c r="KTH15" s="338"/>
      <c r="KTI15" s="338"/>
      <c r="KTJ15" s="338"/>
      <c r="KTK15" s="338"/>
      <c r="KTL15" s="338"/>
      <c r="KTM15" s="338"/>
      <c r="KTN15" s="338"/>
      <c r="KTO15" s="338"/>
      <c r="KTP15" s="338"/>
      <c r="KTQ15" s="338"/>
      <c r="KTR15" s="338"/>
      <c r="KTS15" s="338"/>
      <c r="KTT15" s="338"/>
      <c r="KTU15" s="338"/>
      <c r="KTV15" s="338"/>
      <c r="KTW15" s="338"/>
      <c r="KTX15" s="338"/>
      <c r="KTY15" s="338"/>
      <c r="KTZ15" s="338"/>
      <c r="KUA15" s="338"/>
      <c r="KUB15" s="338"/>
      <c r="KUC15" s="338"/>
      <c r="KUD15" s="338"/>
      <c r="KUE15" s="338"/>
      <c r="KUF15" s="338"/>
      <c r="KUG15" s="338"/>
      <c r="KUH15" s="338"/>
      <c r="KUI15" s="338"/>
      <c r="KUJ15" s="338"/>
      <c r="KUK15" s="338"/>
      <c r="KUL15" s="338"/>
      <c r="KUM15" s="338"/>
      <c r="KUN15" s="338"/>
      <c r="KUO15" s="338"/>
      <c r="KUP15" s="338"/>
      <c r="KUQ15" s="338"/>
      <c r="KUR15" s="338"/>
      <c r="KUS15" s="338"/>
      <c r="KUT15" s="338"/>
      <c r="KUU15" s="338"/>
      <c r="KUV15" s="338"/>
      <c r="KUW15" s="338"/>
      <c r="KUX15" s="338"/>
      <c r="KUY15" s="338"/>
      <c r="KUZ15" s="338"/>
      <c r="KVA15" s="338"/>
      <c r="KVB15" s="338"/>
      <c r="KVC15" s="338"/>
      <c r="KVD15" s="338"/>
      <c r="KVE15" s="338"/>
      <c r="KVF15" s="338"/>
      <c r="KVG15" s="338"/>
      <c r="KVH15" s="338"/>
      <c r="KVI15" s="338"/>
      <c r="KVJ15" s="338"/>
      <c r="KVK15" s="338"/>
      <c r="KVL15" s="338"/>
      <c r="KVM15" s="338"/>
      <c r="KVN15" s="338"/>
      <c r="KVO15" s="338"/>
      <c r="KVP15" s="338"/>
      <c r="KVQ15" s="338"/>
      <c r="KVR15" s="338"/>
      <c r="KVS15" s="338"/>
      <c r="KVT15" s="338"/>
      <c r="KVU15" s="338"/>
      <c r="KVV15" s="338"/>
      <c r="KVW15" s="338"/>
      <c r="KVX15" s="338"/>
      <c r="KVY15" s="338"/>
      <c r="KVZ15" s="338"/>
      <c r="KWA15" s="338"/>
      <c r="KWB15" s="338"/>
      <c r="KWC15" s="338"/>
      <c r="KWD15" s="338"/>
      <c r="KWE15" s="338"/>
      <c r="KWF15" s="338"/>
      <c r="KWG15" s="338"/>
      <c r="KWH15" s="338"/>
      <c r="KWI15" s="338"/>
      <c r="KWJ15" s="338"/>
      <c r="KWK15" s="338"/>
      <c r="KWL15" s="338"/>
      <c r="KWM15" s="338"/>
      <c r="KWN15" s="338"/>
      <c r="KWO15" s="338"/>
      <c r="KWP15" s="338"/>
      <c r="KWQ15" s="338"/>
      <c r="KWR15" s="338"/>
      <c r="KWS15" s="338"/>
      <c r="KWT15" s="338"/>
      <c r="KWU15" s="338"/>
      <c r="KWV15" s="338"/>
      <c r="KWW15" s="338"/>
      <c r="KWX15" s="338"/>
      <c r="KWY15" s="338"/>
      <c r="KWZ15" s="338"/>
      <c r="KXA15" s="338"/>
      <c r="KXB15" s="338"/>
      <c r="KXC15" s="338"/>
      <c r="KXD15" s="338"/>
      <c r="KXE15" s="338"/>
      <c r="KXF15" s="338"/>
      <c r="KXG15" s="338"/>
      <c r="KXH15" s="338"/>
      <c r="KXI15" s="338"/>
      <c r="KXJ15" s="338"/>
      <c r="KXK15" s="338"/>
      <c r="KXL15" s="338"/>
      <c r="KXM15" s="338"/>
      <c r="KXN15" s="338"/>
      <c r="KXO15" s="338"/>
      <c r="KXP15" s="338"/>
      <c r="KXQ15" s="338"/>
      <c r="KXR15" s="338"/>
      <c r="KXS15" s="338"/>
      <c r="KXT15" s="338"/>
      <c r="KXU15" s="338"/>
      <c r="KXV15" s="338"/>
      <c r="KXW15" s="338"/>
      <c r="KXX15" s="338"/>
      <c r="KXY15" s="338"/>
      <c r="KXZ15" s="338"/>
      <c r="KYA15" s="338"/>
      <c r="KYB15" s="338"/>
      <c r="KYC15" s="338"/>
      <c r="KYD15" s="338"/>
      <c r="KYE15" s="338"/>
      <c r="KYF15" s="338"/>
      <c r="KYG15" s="338"/>
      <c r="KYH15" s="338"/>
      <c r="KYI15" s="338"/>
      <c r="KYJ15" s="338"/>
      <c r="KYK15" s="338"/>
      <c r="KYL15" s="338"/>
      <c r="KYM15" s="338"/>
      <c r="KYN15" s="338"/>
      <c r="KYO15" s="338"/>
      <c r="KYP15" s="338"/>
      <c r="KYQ15" s="338"/>
      <c r="KYR15" s="338"/>
      <c r="KYS15" s="338"/>
      <c r="KYT15" s="338"/>
      <c r="KYU15" s="338"/>
      <c r="KYV15" s="338"/>
      <c r="KYW15" s="338"/>
      <c r="KYX15" s="338"/>
      <c r="KYY15" s="338"/>
      <c r="KYZ15" s="338"/>
      <c r="KZA15" s="338"/>
      <c r="KZB15" s="338"/>
      <c r="KZC15" s="338"/>
      <c r="KZD15" s="338"/>
      <c r="KZE15" s="338"/>
      <c r="KZF15" s="338"/>
      <c r="KZG15" s="338"/>
      <c r="KZH15" s="338"/>
      <c r="KZI15" s="338"/>
      <c r="KZJ15" s="338"/>
      <c r="KZK15" s="338"/>
      <c r="KZL15" s="338"/>
      <c r="KZM15" s="338"/>
      <c r="KZN15" s="338"/>
      <c r="KZO15" s="338"/>
      <c r="KZP15" s="338"/>
      <c r="KZQ15" s="338"/>
      <c r="KZR15" s="338"/>
      <c r="KZS15" s="338"/>
      <c r="KZT15" s="338"/>
      <c r="KZU15" s="338"/>
      <c r="KZV15" s="338"/>
      <c r="KZW15" s="338"/>
      <c r="KZX15" s="338"/>
      <c r="KZY15" s="338"/>
      <c r="KZZ15" s="338"/>
      <c r="LAA15" s="338"/>
      <c r="LAB15" s="338"/>
      <c r="LAC15" s="338"/>
      <c r="LAD15" s="338"/>
      <c r="LAE15" s="338"/>
      <c r="LAF15" s="338"/>
      <c r="LAG15" s="338"/>
      <c r="LAH15" s="338"/>
      <c r="LAI15" s="338"/>
      <c r="LAJ15" s="338"/>
      <c r="LAK15" s="338"/>
      <c r="LAL15" s="338"/>
      <c r="LAM15" s="338"/>
      <c r="LAN15" s="338"/>
      <c r="LAO15" s="338"/>
      <c r="LAP15" s="338"/>
      <c r="LAQ15" s="338"/>
      <c r="LAR15" s="338"/>
      <c r="LAS15" s="338"/>
      <c r="LAT15" s="338"/>
      <c r="LAU15" s="338"/>
      <c r="LAV15" s="338"/>
      <c r="LAW15" s="338"/>
      <c r="LAX15" s="338"/>
      <c r="LAY15" s="338"/>
      <c r="LAZ15" s="338"/>
      <c r="LBA15" s="338"/>
      <c r="LBB15" s="338"/>
      <c r="LBC15" s="338"/>
      <c r="LBD15" s="338"/>
      <c r="LBE15" s="338"/>
      <c r="LBF15" s="338"/>
      <c r="LBG15" s="338"/>
      <c r="LBH15" s="338"/>
      <c r="LBI15" s="338"/>
      <c r="LBJ15" s="338"/>
      <c r="LBK15" s="338"/>
      <c r="LBL15" s="338"/>
      <c r="LBM15" s="338"/>
      <c r="LBN15" s="338"/>
      <c r="LBO15" s="338"/>
      <c r="LBP15" s="338"/>
      <c r="LBQ15" s="338"/>
      <c r="LBR15" s="338"/>
      <c r="LBS15" s="338"/>
      <c r="LBT15" s="338"/>
      <c r="LBU15" s="338"/>
      <c r="LBV15" s="338"/>
      <c r="LBW15" s="338"/>
      <c r="LBX15" s="338"/>
      <c r="LBY15" s="338"/>
      <c r="LBZ15" s="338"/>
      <c r="LCA15" s="338"/>
      <c r="LCB15" s="338"/>
      <c r="LCC15" s="338"/>
      <c r="LCD15" s="338"/>
      <c r="LCE15" s="338"/>
      <c r="LCF15" s="338"/>
      <c r="LCG15" s="338"/>
      <c r="LCH15" s="338"/>
      <c r="LCI15" s="338"/>
      <c r="LCJ15" s="338"/>
      <c r="LCK15" s="338"/>
      <c r="LCL15" s="338"/>
      <c r="LCM15" s="338"/>
      <c r="LCN15" s="338"/>
      <c r="LCO15" s="338"/>
      <c r="LCP15" s="338"/>
      <c r="LCQ15" s="338"/>
      <c r="LCR15" s="338"/>
      <c r="LCS15" s="338"/>
      <c r="LCT15" s="338"/>
      <c r="LCU15" s="338"/>
      <c r="LCV15" s="338"/>
      <c r="LCW15" s="338"/>
      <c r="LCX15" s="338"/>
      <c r="LCY15" s="338"/>
      <c r="LCZ15" s="338"/>
      <c r="LDA15" s="338"/>
      <c r="LDB15" s="338"/>
      <c r="LDC15" s="338"/>
      <c r="LDD15" s="338"/>
      <c r="LDE15" s="338"/>
      <c r="LDF15" s="338"/>
      <c r="LDG15" s="338"/>
      <c r="LDH15" s="338"/>
      <c r="LDI15" s="338"/>
      <c r="LDJ15" s="338"/>
      <c r="LDK15" s="338"/>
      <c r="LDL15" s="338"/>
      <c r="LDM15" s="338"/>
      <c r="LDN15" s="338"/>
      <c r="LDO15" s="338"/>
      <c r="LDP15" s="338"/>
      <c r="LDQ15" s="338"/>
      <c r="LDR15" s="338"/>
      <c r="LDS15" s="338"/>
      <c r="LDT15" s="338"/>
      <c r="LDU15" s="338"/>
      <c r="LDV15" s="338"/>
      <c r="LDW15" s="338"/>
      <c r="LDX15" s="338"/>
      <c r="LDY15" s="338"/>
      <c r="LDZ15" s="338"/>
      <c r="LEA15" s="338"/>
      <c r="LEB15" s="338"/>
      <c r="LEC15" s="338"/>
      <c r="LED15" s="338"/>
      <c r="LEE15" s="338"/>
      <c r="LEF15" s="338"/>
      <c r="LEG15" s="338"/>
      <c r="LEH15" s="338"/>
      <c r="LEI15" s="338"/>
      <c r="LEJ15" s="338"/>
      <c r="LEK15" s="338"/>
      <c r="LEL15" s="338"/>
      <c r="LEM15" s="338"/>
      <c r="LEN15" s="338"/>
      <c r="LEO15" s="338"/>
      <c r="LEP15" s="338"/>
      <c r="LEQ15" s="338"/>
      <c r="LER15" s="338"/>
      <c r="LES15" s="338"/>
      <c r="LET15" s="338"/>
      <c r="LEU15" s="338"/>
      <c r="LEV15" s="338"/>
      <c r="LEW15" s="338"/>
      <c r="LEX15" s="338"/>
      <c r="LEY15" s="338"/>
      <c r="LEZ15" s="338"/>
      <c r="LFA15" s="338"/>
      <c r="LFB15" s="338"/>
      <c r="LFC15" s="338"/>
      <c r="LFD15" s="338"/>
      <c r="LFE15" s="338"/>
      <c r="LFF15" s="338"/>
      <c r="LFG15" s="338"/>
      <c r="LFH15" s="338"/>
      <c r="LFI15" s="338"/>
      <c r="LFJ15" s="338"/>
      <c r="LFK15" s="338"/>
      <c r="LFL15" s="338"/>
      <c r="LFM15" s="338"/>
      <c r="LFN15" s="338"/>
      <c r="LFO15" s="338"/>
      <c r="LFP15" s="338"/>
      <c r="LFQ15" s="338"/>
      <c r="LFR15" s="338"/>
      <c r="LFS15" s="338"/>
      <c r="LFT15" s="338"/>
      <c r="LFU15" s="338"/>
      <c r="LFV15" s="338"/>
      <c r="LFW15" s="338"/>
      <c r="LFX15" s="338"/>
      <c r="LFY15" s="338"/>
      <c r="LFZ15" s="338"/>
      <c r="LGA15" s="338"/>
      <c r="LGB15" s="338"/>
      <c r="LGC15" s="338"/>
      <c r="LGD15" s="338"/>
      <c r="LGE15" s="338"/>
      <c r="LGF15" s="338"/>
      <c r="LGG15" s="338"/>
      <c r="LGH15" s="338"/>
      <c r="LGI15" s="338"/>
      <c r="LGJ15" s="338"/>
      <c r="LGK15" s="338"/>
      <c r="LGL15" s="338"/>
      <c r="LGM15" s="338"/>
      <c r="LGN15" s="338"/>
      <c r="LGO15" s="338"/>
      <c r="LGP15" s="338"/>
      <c r="LGQ15" s="338"/>
      <c r="LGR15" s="338"/>
      <c r="LGS15" s="338"/>
      <c r="LGT15" s="338"/>
      <c r="LGU15" s="338"/>
      <c r="LGV15" s="338"/>
      <c r="LGW15" s="338"/>
      <c r="LGX15" s="338"/>
      <c r="LGY15" s="338"/>
      <c r="LGZ15" s="338"/>
      <c r="LHA15" s="338"/>
      <c r="LHB15" s="338"/>
      <c r="LHC15" s="338"/>
      <c r="LHD15" s="338"/>
      <c r="LHE15" s="338"/>
      <c r="LHF15" s="338"/>
      <c r="LHG15" s="338"/>
      <c r="LHH15" s="338"/>
      <c r="LHI15" s="338"/>
      <c r="LHJ15" s="338"/>
      <c r="LHK15" s="338"/>
      <c r="LHL15" s="338"/>
      <c r="LHM15" s="338"/>
      <c r="LHN15" s="338"/>
      <c r="LHO15" s="338"/>
      <c r="LHP15" s="338"/>
      <c r="LHQ15" s="338"/>
      <c r="LHR15" s="338"/>
      <c r="LHS15" s="338"/>
      <c r="LHT15" s="338"/>
      <c r="LHU15" s="338"/>
      <c r="LHV15" s="338"/>
      <c r="LHW15" s="338"/>
      <c r="LHX15" s="338"/>
      <c r="LHY15" s="338"/>
      <c r="LHZ15" s="338"/>
      <c r="LIA15" s="338"/>
      <c r="LIB15" s="338"/>
      <c r="LIC15" s="338"/>
      <c r="LID15" s="338"/>
      <c r="LIE15" s="338"/>
      <c r="LIF15" s="338"/>
      <c r="LIG15" s="338"/>
      <c r="LIH15" s="338"/>
      <c r="LII15" s="338"/>
      <c r="LIJ15" s="338"/>
      <c r="LIK15" s="338"/>
      <c r="LIL15" s="338"/>
      <c r="LIM15" s="338"/>
      <c r="LIN15" s="338"/>
      <c r="LIO15" s="338"/>
      <c r="LIP15" s="338"/>
      <c r="LIQ15" s="338"/>
      <c r="LIR15" s="338"/>
      <c r="LIS15" s="338"/>
      <c r="LIT15" s="338"/>
      <c r="LIU15" s="338"/>
      <c r="LIV15" s="338"/>
      <c r="LIW15" s="338"/>
      <c r="LIX15" s="338"/>
      <c r="LIY15" s="338"/>
      <c r="LIZ15" s="338"/>
      <c r="LJA15" s="338"/>
      <c r="LJB15" s="338"/>
      <c r="LJC15" s="338"/>
      <c r="LJD15" s="338"/>
      <c r="LJE15" s="338"/>
      <c r="LJF15" s="338"/>
      <c r="LJG15" s="338"/>
      <c r="LJH15" s="338"/>
      <c r="LJI15" s="338"/>
      <c r="LJJ15" s="338"/>
      <c r="LJK15" s="338"/>
      <c r="LJL15" s="338"/>
      <c r="LJM15" s="338"/>
      <c r="LJN15" s="338"/>
      <c r="LJO15" s="338"/>
      <c r="LJP15" s="338"/>
      <c r="LJQ15" s="338"/>
      <c r="LJR15" s="338"/>
      <c r="LJS15" s="338"/>
      <c r="LJT15" s="338"/>
      <c r="LJU15" s="338"/>
      <c r="LJV15" s="338"/>
      <c r="LJW15" s="338"/>
      <c r="LJX15" s="338"/>
      <c r="LJY15" s="338"/>
      <c r="LJZ15" s="338"/>
      <c r="LKA15" s="338"/>
      <c r="LKB15" s="338"/>
      <c r="LKC15" s="338"/>
      <c r="LKD15" s="338"/>
      <c r="LKE15" s="338"/>
      <c r="LKF15" s="338"/>
      <c r="LKG15" s="338"/>
      <c r="LKH15" s="338"/>
      <c r="LKI15" s="338"/>
      <c r="LKJ15" s="338"/>
      <c r="LKK15" s="338"/>
      <c r="LKL15" s="338"/>
      <c r="LKM15" s="338"/>
      <c r="LKN15" s="338"/>
      <c r="LKO15" s="338"/>
      <c r="LKP15" s="338"/>
      <c r="LKQ15" s="338"/>
      <c r="LKR15" s="338"/>
      <c r="LKS15" s="338"/>
      <c r="LKT15" s="338"/>
      <c r="LKU15" s="338"/>
      <c r="LKV15" s="338"/>
      <c r="LKW15" s="338"/>
      <c r="LKX15" s="338"/>
      <c r="LKY15" s="338"/>
      <c r="LKZ15" s="338"/>
      <c r="LLA15" s="338"/>
      <c r="LLB15" s="338"/>
      <c r="LLC15" s="338"/>
      <c r="LLD15" s="338"/>
      <c r="LLE15" s="338"/>
      <c r="LLF15" s="338"/>
      <c r="LLG15" s="338"/>
      <c r="LLH15" s="338"/>
      <c r="LLI15" s="338"/>
      <c r="LLJ15" s="338"/>
      <c r="LLK15" s="338"/>
      <c r="LLL15" s="338"/>
      <c r="LLM15" s="338"/>
      <c r="LLN15" s="338"/>
      <c r="LLO15" s="338"/>
      <c r="LLP15" s="338"/>
      <c r="LLQ15" s="338"/>
      <c r="LLR15" s="338"/>
      <c r="LLS15" s="338"/>
      <c r="LLT15" s="338"/>
      <c r="LLU15" s="338"/>
      <c r="LLV15" s="338"/>
      <c r="LLW15" s="338"/>
      <c r="LLX15" s="338"/>
      <c r="LLY15" s="338"/>
      <c r="LLZ15" s="338"/>
      <c r="LMA15" s="338"/>
      <c r="LMB15" s="338"/>
      <c r="LMC15" s="338"/>
      <c r="LMD15" s="338"/>
      <c r="LME15" s="338"/>
      <c r="LMF15" s="338"/>
      <c r="LMG15" s="338"/>
      <c r="LMH15" s="338"/>
      <c r="LMI15" s="338"/>
      <c r="LMJ15" s="338"/>
      <c r="LMK15" s="338"/>
      <c r="LML15" s="338"/>
      <c r="LMM15" s="338"/>
      <c r="LMN15" s="338"/>
      <c r="LMO15" s="338"/>
      <c r="LMP15" s="338"/>
      <c r="LMQ15" s="338"/>
      <c r="LMR15" s="338"/>
      <c r="LMS15" s="338"/>
      <c r="LMT15" s="338"/>
      <c r="LMU15" s="338"/>
      <c r="LMV15" s="338"/>
      <c r="LMW15" s="338"/>
      <c r="LMX15" s="338"/>
      <c r="LMY15" s="338"/>
      <c r="LMZ15" s="338"/>
      <c r="LNA15" s="338"/>
      <c r="LNB15" s="338"/>
      <c r="LNC15" s="338"/>
      <c r="LND15" s="338"/>
      <c r="LNE15" s="338"/>
      <c r="LNF15" s="338"/>
      <c r="LNG15" s="338"/>
      <c r="LNH15" s="338"/>
      <c r="LNI15" s="338"/>
      <c r="LNJ15" s="338"/>
      <c r="LNK15" s="338"/>
      <c r="LNL15" s="338"/>
      <c r="LNM15" s="338"/>
      <c r="LNN15" s="338"/>
      <c r="LNO15" s="338"/>
      <c r="LNP15" s="338"/>
      <c r="LNQ15" s="338"/>
      <c r="LNR15" s="338"/>
      <c r="LNS15" s="338"/>
      <c r="LNT15" s="338"/>
      <c r="LNU15" s="338"/>
      <c r="LNV15" s="338"/>
      <c r="LNW15" s="338"/>
      <c r="LNX15" s="338"/>
      <c r="LNY15" s="338"/>
      <c r="LNZ15" s="338"/>
      <c r="LOA15" s="338"/>
      <c r="LOB15" s="338"/>
      <c r="LOC15" s="338"/>
      <c r="LOD15" s="338"/>
      <c r="LOE15" s="338"/>
      <c r="LOF15" s="338"/>
      <c r="LOG15" s="338"/>
      <c r="LOH15" s="338"/>
      <c r="LOI15" s="338"/>
      <c r="LOJ15" s="338"/>
      <c r="LOK15" s="338"/>
      <c r="LOL15" s="338"/>
      <c r="LOM15" s="338"/>
      <c r="LON15" s="338"/>
      <c r="LOO15" s="338"/>
      <c r="LOP15" s="338"/>
      <c r="LOQ15" s="338"/>
      <c r="LOR15" s="338"/>
      <c r="LOS15" s="338"/>
      <c r="LOT15" s="338"/>
      <c r="LOU15" s="338"/>
      <c r="LOV15" s="338"/>
      <c r="LOW15" s="338"/>
      <c r="LOX15" s="338"/>
      <c r="LOY15" s="338"/>
      <c r="LOZ15" s="338"/>
      <c r="LPA15" s="338"/>
      <c r="LPB15" s="338"/>
      <c r="LPC15" s="338"/>
      <c r="LPD15" s="338"/>
      <c r="LPE15" s="338"/>
      <c r="LPF15" s="338"/>
      <c r="LPG15" s="338"/>
      <c r="LPH15" s="338"/>
      <c r="LPI15" s="338"/>
      <c r="LPJ15" s="338"/>
      <c r="LPK15" s="338"/>
      <c r="LPL15" s="338"/>
      <c r="LPM15" s="338"/>
      <c r="LPN15" s="338"/>
      <c r="LPO15" s="338"/>
      <c r="LPP15" s="338"/>
      <c r="LPQ15" s="338"/>
      <c r="LPR15" s="338"/>
      <c r="LPS15" s="338"/>
      <c r="LPT15" s="338"/>
      <c r="LPU15" s="338"/>
      <c r="LPV15" s="338"/>
      <c r="LPW15" s="338"/>
      <c r="LPX15" s="338"/>
      <c r="LPY15" s="338"/>
      <c r="LPZ15" s="338"/>
      <c r="LQA15" s="338"/>
      <c r="LQB15" s="338"/>
      <c r="LQC15" s="338"/>
      <c r="LQD15" s="338"/>
      <c r="LQE15" s="338"/>
      <c r="LQF15" s="338"/>
      <c r="LQG15" s="338"/>
      <c r="LQH15" s="338"/>
      <c r="LQI15" s="338"/>
      <c r="LQJ15" s="338"/>
      <c r="LQK15" s="338"/>
      <c r="LQL15" s="338"/>
      <c r="LQM15" s="338"/>
      <c r="LQN15" s="338"/>
      <c r="LQO15" s="338"/>
      <c r="LQP15" s="338"/>
      <c r="LQQ15" s="338"/>
      <c r="LQR15" s="338"/>
      <c r="LQS15" s="338"/>
      <c r="LQT15" s="338"/>
      <c r="LQU15" s="338"/>
      <c r="LQV15" s="338"/>
      <c r="LQW15" s="338"/>
      <c r="LQX15" s="338"/>
      <c r="LQY15" s="338"/>
      <c r="LQZ15" s="338"/>
      <c r="LRA15" s="338"/>
      <c r="LRB15" s="338"/>
      <c r="LRC15" s="338"/>
      <c r="LRD15" s="338"/>
      <c r="LRE15" s="338"/>
      <c r="LRF15" s="338"/>
      <c r="LRG15" s="338"/>
      <c r="LRH15" s="338"/>
      <c r="LRI15" s="338"/>
      <c r="LRJ15" s="338"/>
      <c r="LRK15" s="338"/>
      <c r="LRL15" s="338"/>
      <c r="LRM15" s="338"/>
      <c r="LRN15" s="338"/>
      <c r="LRO15" s="338"/>
      <c r="LRP15" s="338"/>
      <c r="LRQ15" s="338"/>
      <c r="LRR15" s="338"/>
      <c r="LRS15" s="338"/>
      <c r="LRT15" s="338"/>
      <c r="LRU15" s="338"/>
      <c r="LRV15" s="338"/>
      <c r="LRW15" s="338"/>
      <c r="LRX15" s="338"/>
      <c r="LRY15" s="338"/>
      <c r="LRZ15" s="338"/>
      <c r="LSA15" s="338"/>
      <c r="LSB15" s="338"/>
      <c r="LSC15" s="338"/>
      <c r="LSD15" s="338"/>
      <c r="LSE15" s="338"/>
      <c r="LSF15" s="338"/>
      <c r="LSG15" s="338"/>
      <c r="LSH15" s="338"/>
      <c r="LSI15" s="338"/>
      <c r="LSJ15" s="338"/>
      <c r="LSK15" s="338"/>
      <c r="LSL15" s="338"/>
      <c r="LSM15" s="338"/>
      <c r="LSN15" s="338"/>
      <c r="LSO15" s="338"/>
      <c r="LSP15" s="338"/>
      <c r="LSQ15" s="338"/>
      <c r="LSR15" s="338"/>
      <c r="LSS15" s="338"/>
      <c r="LST15" s="338"/>
      <c r="LSU15" s="338"/>
      <c r="LSV15" s="338"/>
      <c r="LSW15" s="338"/>
      <c r="LSX15" s="338"/>
      <c r="LSY15" s="338"/>
      <c r="LSZ15" s="338"/>
      <c r="LTA15" s="338"/>
      <c r="LTB15" s="338"/>
      <c r="LTC15" s="338"/>
      <c r="LTD15" s="338"/>
      <c r="LTE15" s="338"/>
      <c r="LTF15" s="338"/>
      <c r="LTG15" s="338"/>
      <c r="LTH15" s="338"/>
      <c r="LTI15" s="338"/>
      <c r="LTJ15" s="338"/>
      <c r="LTK15" s="338"/>
      <c r="LTL15" s="338"/>
      <c r="LTM15" s="338"/>
      <c r="LTN15" s="338"/>
      <c r="LTO15" s="338"/>
      <c r="LTP15" s="338"/>
      <c r="LTQ15" s="338"/>
      <c r="LTR15" s="338"/>
      <c r="LTS15" s="338"/>
      <c r="LTT15" s="338"/>
      <c r="LTU15" s="338"/>
      <c r="LTV15" s="338"/>
      <c r="LTW15" s="338"/>
      <c r="LTX15" s="338"/>
      <c r="LTY15" s="338"/>
      <c r="LTZ15" s="338"/>
      <c r="LUA15" s="338"/>
      <c r="LUB15" s="338"/>
      <c r="LUC15" s="338"/>
      <c r="LUD15" s="338"/>
      <c r="LUE15" s="338"/>
      <c r="LUF15" s="338"/>
      <c r="LUG15" s="338"/>
      <c r="LUH15" s="338"/>
      <c r="LUI15" s="338"/>
      <c r="LUJ15" s="338"/>
      <c r="LUK15" s="338"/>
      <c r="LUL15" s="338"/>
      <c r="LUM15" s="338"/>
      <c r="LUN15" s="338"/>
      <c r="LUO15" s="338"/>
      <c r="LUP15" s="338"/>
      <c r="LUQ15" s="338"/>
      <c r="LUR15" s="338"/>
      <c r="LUS15" s="338"/>
      <c r="LUT15" s="338"/>
      <c r="LUU15" s="338"/>
      <c r="LUV15" s="338"/>
      <c r="LUW15" s="338"/>
      <c r="LUX15" s="338"/>
      <c r="LUY15" s="338"/>
      <c r="LUZ15" s="338"/>
      <c r="LVA15" s="338"/>
      <c r="LVB15" s="338"/>
      <c r="LVC15" s="338"/>
      <c r="LVD15" s="338"/>
      <c r="LVE15" s="338"/>
      <c r="LVF15" s="338"/>
      <c r="LVG15" s="338"/>
      <c r="LVH15" s="338"/>
      <c r="LVI15" s="338"/>
      <c r="LVJ15" s="338"/>
      <c r="LVK15" s="338"/>
      <c r="LVL15" s="338"/>
      <c r="LVM15" s="338"/>
      <c r="LVN15" s="338"/>
      <c r="LVO15" s="338"/>
      <c r="LVP15" s="338"/>
      <c r="LVQ15" s="338"/>
      <c r="LVR15" s="338"/>
      <c r="LVS15" s="338"/>
      <c r="LVT15" s="338"/>
      <c r="LVU15" s="338"/>
      <c r="LVV15" s="338"/>
      <c r="LVW15" s="338"/>
      <c r="LVX15" s="338"/>
      <c r="LVY15" s="338"/>
      <c r="LVZ15" s="338"/>
      <c r="LWA15" s="338"/>
      <c r="LWB15" s="338"/>
      <c r="LWC15" s="338"/>
      <c r="LWD15" s="338"/>
      <c r="LWE15" s="338"/>
      <c r="LWF15" s="338"/>
      <c r="LWG15" s="338"/>
      <c r="LWH15" s="338"/>
      <c r="LWI15" s="338"/>
      <c r="LWJ15" s="338"/>
      <c r="LWK15" s="338"/>
      <c r="LWL15" s="338"/>
      <c r="LWM15" s="338"/>
      <c r="LWN15" s="338"/>
      <c r="LWO15" s="338"/>
      <c r="LWP15" s="338"/>
      <c r="LWQ15" s="338"/>
      <c r="LWR15" s="338"/>
      <c r="LWS15" s="338"/>
      <c r="LWT15" s="338"/>
      <c r="LWU15" s="338"/>
      <c r="LWV15" s="338"/>
      <c r="LWW15" s="338"/>
      <c r="LWX15" s="338"/>
      <c r="LWY15" s="338"/>
      <c r="LWZ15" s="338"/>
      <c r="LXA15" s="338"/>
      <c r="LXB15" s="338"/>
      <c r="LXC15" s="338"/>
      <c r="LXD15" s="338"/>
      <c r="LXE15" s="338"/>
      <c r="LXF15" s="338"/>
      <c r="LXG15" s="338"/>
      <c r="LXH15" s="338"/>
      <c r="LXI15" s="338"/>
      <c r="LXJ15" s="338"/>
      <c r="LXK15" s="338"/>
      <c r="LXL15" s="338"/>
      <c r="LXM15" s="338"/>
      <c r="LXN15" s="338"/>
      <c r="LXO15" s="338"/>
      <c r="LXP15" s="338"/>
      <c r="LXQ15" s="338"/>
      <c r="LXR15" s="338"/>
      <c r="LXS15" s="338"/>
      <c r="LXT15" s="338"/>
      <c r="LXU15" s="338"/>
      <c r="LXV15" s="338"/>
      <c r="LXW15" s="338"/>
      <c r="LXX15" s="338"/>
      <c r="LXY15" s="338"/>
      <c r="LXZ15" s="338"/>
      <c r="LYA15" s="338"/>
      <c r="LYB15" s="338"/>
      <c r="LYC15" s="338"/>
      <c r="LYD15" s="338"/>
      <c r="LYE15" s="338"/>
      <c r="LYF15" s="338"/>
      <c r="LYG15" s="338"/>
      <c r="LYH15" s="338"/>
      <c r="LYI15" s="338"/>
      <c r="LYJ15" s="338"/>
      <c r="LYK15" s="338"/>
      <c r="LYL15" s="338"/>
      <c r="LYM15" s="338"/>
      <c r="LYN15" s="338"/>
      <c r="LYO15" s="338"/>
      <c r="LYP15" s="338"/>
      <c r="LYQ15" s="338"/>
      <c r="LYR15" s="338"/>
      <c r="LYS15" s="338"/>
      <c r="LYT15" s="338"/>
      <c r="LYU15" s="338"/>
      <c r="LYV15" s="338"/>
      <c r="LYW15" s="338"/>
      <c r="LYX15" s="338"/>
      <c r="LYY15" s="338"/>
      <c r="LYZ15" s="338"/>
      <c r="LZA15" s="338"/>
      <c r="LZB15" s="338"/>
      <c r="LZC15" s="338"/>
      <c r="LZD15" s="338"/>
      <c r="LZE15" s="338"/>
      <c r="LZF15" s="338"/>
      <c r="LZG15" s="338"/>
      <c r="LZH15" s="338"/>
      <c r="LZI15" s="338"/>
      <c r="LZJ15" s="338"/>
      <c r="LZK15" s="338"/>
      <c r="LZL15" s="338"/>
      <c r="LZM15" s="338"/>
      <c r="LZN15" s="338"/>
      <c r="LZO15" s="338"/>
      <c r="LZP15" s="338"/>
      <c r="LZQ15" s="338"/>
      <c r="LZR15" s="338"/>
      <c r="LZS15" s="338"/>
      <c r="LZT15" s="338"/>
      <c r="LZU15" s="338"/>
      <c r="LZV15" s="338"/>
      <c r="LZW15" s="338"/>
      <c r="LZX15" s="338"/>
      <c r="LZY15" s="338"/>
      <c r="LZZ15" s="338"/>
      <c r="MAA15" s="338"/>
      <c r="MAB15" s="338"/>
      <c r="MAC15" s="338"/>
      <c r="MAD15" s="338"/>
      <c r="MAE15" s="338"/>
      <c r="MAF15" s="338"/>
      <c r="MAG15" s="338"/>
      <c r="MAH15" s="338"/>
      <c r="MAI15" s="338"/>
      <c r="MAJ15" s="338"/>
      <c r="MAK15" s="338"/>
      <c r="MAL15" s="338"/>
      <c r="MAM15" s="338"/>
      <c r="MAN15" s="338"/>
      <c r="MAO15" s="338"/>
      <c r="MAP15" s="338"/>
      <c r="MAQ15" s="338"/>
      <c r="MAR15" s="338"/>
      <c r="MAS15" s="338"/>
      <c r="MAT15" s="338"/>
      <c r="MAU15" s="338"/>
      <c r="MAV15" s="338"/>
      <c r="MAW15" s="338"/>
      <c r="MAX15" s="338"/>
      <c r="MAY15" s="338"/>
      <c r="MAZ15" s="338"/>
      <c r="MBA15" s="338"/>
      <c r="MBB15" s="338"/>
      <c r="MBC15" s="338"/>
      <c r="MBD15" s="338"/>
      <c r="MBE15" s="338"/>
      <c r="MBF15" s="338"/>
      <c r="MBG15" s="338"/>
      <c r="MBH15" s="338"/>
      <c r="MBI15" s="338"/>
      <c r="MBJ15" s="338"/>
      <c r="MBK15" s="338"/>
      <c r="MBL15" s="338"/>
      <c r="MBM15" s="338"/>
      <c r="MBN15" s="338"/>
      <c r="MBO15" s="338"/>
      <c r="MBP15" s="338"/>
      <c r="MBQ15" s="338"/>
      <c r="MBR15" s="338"/>
      <c r="MBS15" s="338"/>
      <c r="MBT15" s="338"/>
      <c r="MBU15" s="338"/>
      <c r="MBV15" s="338"/>
      <c r="MBW15" s="338"/>
      <c r="MBX15" s="338"/>
      <c r="MBY15" s="338"/>
      <c r="MBZ15" s="338"/>
      <c r="MCA15" s="338"/>
      <c r="MCB15" s="338"/>
      <c r="MCC15" s="338"/>
      <c r="MCD15" s="338"/>
      <c r="MCE15" s="338"/>
      <c r="MCF15" s="338"/>
      <c r="MCG15" s="338"/>
      <c r="MCH15" s="338"/>
      <c r="MCI15" s="338"/>
      <c r="MCJ15" s="338"/>
      <c r="MCK15" s="338"/>
      <c r="MCL15" s="338"/>
      <c r="MCM15" s="338"/>
      <c r="MCN15" s="338"/>
      <c r="MCO15" s="338"/>
      <c r="MCP15" s="338"/>
      <c r="MCQ15" s="338"/>
      <c r="MCR15" s="338"/>
      <c r="MCS15" s="338"/>
      <c r="MCT15" s="338"/>
      <c r="MCU15" s="338"/>
      <c r="MCV15" s="338"/>
      <c r="MCW15" s="338"/>
      <c r="MCX15" s="338"/>
      <c r="MCY15" s="338"/>
      <c r="MCZ15" s="338"/>
      <c r="MDA15" s="338"/>
      <c r="MDB15" s="338"/>
      <c r="MDC15" s="338"/>
      <c r="MDD15" s="338"/>
      <c r="MDE15" s="338"/>
      <c r="MDF15" s="338"/>
      <c r="MDG15" s="338"/>
      <c r="MDH15" s="338"/>
      <c r="MDI15" s="338"/>
      <c r="MDJ15" s="338"/>
      <c r="MDK15" s="338"/>
      <c r="MDL15" s="338"/>
      <c r="MDM15" s="338"/>
      <c r="MDN15" s="338"/>
      <c r="MDO15" s="338"/>
      <c r="MDP15" s="338"/>
      <c r="MDQ15" s="338"/>
      <c r="MDR15" s="338"/>
      <c r="MDS15" s="338"/>
      <c r="MDT15" s="338"/>
      <c r="MDU15" s="338"/>
      <c r="MDV15" s="338"/>
      <c r="MDW15" s="338"/>
      <c r="MDX15" s="338"/>
      <c r="MDY15" s="338"/>
      <c r="MDZ15" s="338"/>
      <c r="MEA15" s="338"/>
      <c r="MEB15" s="338"/>
      <c r="MEC15" s="338"/>
      <c r="MED15" s="338"/>
      <c r="MEE15" s="338"/>
      <c r="MEF15" s="338"/>
      <c r="MEG15" s="338"/>
      <c r="MEH15" s="338"/>
      <c r="MEI15" s="338"/>
      <c r="MEJ15" s="338"/>
      <c r="MEK15" s="338"/>
      <c r="MEL15" s="338"/>
      <c r="MEM15" s="338"/>
      <c r="MEN15" s="338"/>
      <c r="MEO15" s="338"/>
      <c r="MEP15" s="338"/>
      <c r="MEQ15" s="338"/>
      <c r="MER15" s="338"/>
      <c r="MES15" s="338"/>
      <c r="MET15" s="338"/>
      <c r="MEU15" s="338"/>
      <c r="MEV15" s="338"/>
      <c r="MEW15" s="338"/>
      <c r="MEX15" s="338"/>
      <c r="MEY15" s="338"/>
      <c r="MEZ15" s="338"/>
      <c r="MFA15" s="338"/>
      <c r="MFB15" s="338"/>
      <c r="MFC15" s="338"/>
      <c r="MFD15" s="338"/>
      <c r="MFE15" s="338"/>
      <c r="MFF15" s="338"/>
      <c r="MFG15" s="338"/>
      <c r="MFH15" s="338"/>
      <c r="MFI15" s="338"/>
      <c r="MFJ15" s="338"/>
      <c r="MFK15" s="338"/>
      <c r="MFL15" s="338"/>
      <c r="MFM15" s="338"/>
      <c r="MFN15" s="338"/>
      <c r="MFO15" s="338"/>
      <c r="MFP15" s="338"/>
      <c r="MFQ15" s="338"/>
      <c r="MFR15" s="338"/>
      <c r="MFS15" s="338"/>
      <c r="MFT15" s="338"/>
      <c r="MFU15" s="338"/>
      <c r="MFV15" s="338"/>
      <c r="MFW15" s="338"/>
      <c r="MFX15" s="338"/>
      <c r="MFY15" s="338"/>
      <c r="MFZ15" s="338"/>
      <c r="MGA15" s="338"/>
      <c r="MGB15" s="338"/>
      <c r="MGC15" s="338"/>
      <c r="MGD15" s="338"/>
      <c r="MGE15" s="338"/>
      <c r="MGF15" s="338"/>
      <c r="MGG15" s="338"/>
      <c r="MGH15" s="338"/>
      <c r="MGI15" s="338"/>
      <c r="MGJ15" s="338"/>
      <c r="MGK15" s="338"/>
      <c r="MGL15" s="338"/>
      <c r="MGM15" s="338"/>
      <c r="MGN15" s="338"/>
      <c r="MGO15" s="338"/>
      <c r="MGP15" s="338"/>
      <c r="MGQ15" s="338"/>
      <c r="MGR15" s="338"/>
      <c r="MGS15" s="338"/>
      <c r="MGT15" s="338"/>
      <c r="MGU15" s="338"/>
      <c r="MGV15" s="338"/>
      <c r="MGW15" s="338"/>
      <c r="MGX15" s="338"/>
      <c r="MGY15" s="338"/>
      <c r="MGZ15" s="338"/>
      <c r="MHA15" s="338"/>
      <c r="MHB15" s="338"/>
      <c r="MHC15" s="338"/>
      <c r="MHD15" s="338"/>
      <c r="MHE15" s="338"/>
      <c r="MHF15" s="338"/>
      <c r="MHG15" s="338"/>
      <c r="MHH15" s="338"/>
      <c r="MHI15" s="338"/>
      <c r="MHJ15" s="338"/>
      <c r="MHK15" s="338"/>
      <c r="MHL15" s="338"/>
      <c r="MHM15" s="338"/>
      <c r="MHN15" s="338"/>
      <c r="MHO15" s="338"/>
      <c r="MHP15" s="338"/>
      <c r="MHQ15" s="338"/>
      <c r="MHR15" s="338"/>
      <c r="MHS15" s="338"/>
      <c r="MHT15" s="338"/>
      <c r="MHU15" s="338"/>
      <c r="MHV15" s="338"/>
      <c r="MHW15" s="338"/>
      <c r="MHX15" s="338"/>
      <c r="MHY15" s="338"/>
      <c r="MHZ15" s="338"/>
      <c r="MIA15" s="338"/>
      <c r="MIB15" s="338"/>
      <c r="MIC15" s="338"/>
      <c r="MID15" s="338"/>
      <c r="MIE15" s="338"/>
      <c r="MIF15" s="338"/>
      <c r="MIG15" s="338"/>
      <c r="MIH15" s="338"/>
      <c r="MII15" s="338"/>
      <c r="MIJ15" s="338"/>
      <c r="MIK15" s="338"/>
      <c r="MIL15" s="338"/>
      <c r="MIM15" s="338"/>
      <c r="MIN15" s="338"/>
      <c r="MIO15" s="338"/>
      <c r="MIP15" s="338"/>
      <c r="MIQ15" s="338"/>
      <c r="MIR15" s="338"/>
      <c r="MIS15" s="338"/>
      <c r="MIT15" s="338"/>
      <c r="MIU15" s="338"/>
      <c r="MIV15" s="338"/>
      <c r="MIW15" s="338"/>
      <c r="MIX15" s="338"/>
      <c r="MIY15" s="338"/>
      <c r="MIZ15" s="338"/>
      <c r="MJA15" s="338"/>
      <c r="MJB15" s="338"/>
      <c r="MJC15" s="338"/>
      <c r="MJD15" s="338"/>
      <c r="MJE15" s="338"/>
      <c r="MJF15" s="338"/>
      <c r="MJG15" s="338"/>
      <c r="MJH15" s="338"/>
      <c r="MJI15" s="338"/>
      <c r="MJJ15" s="338"/>
      <c r="MJK15" s="338"/>
      <c r="MJL15" s="338"/>
      <c r="MJM15" s="338"/>
      <c r="MJN15" s="338"/>
      <c r="MJO15" s="338"/>
      <c r="MJP15" s="338"/>
      <c r="MJQ15" s="338"/>
      <c r="MJR15" s="338"/>
      <c r="MJS15" s="338"/>
      <c r="MJT15" s="338"/>
      <c r="MJU15" s="338"/>
      <c r="MJV15" s="338"/>
      <c r="MJW15" s="338"/>
      <c r="MJX15" s="338"/>
      <c r="MJY15" s="338"/>
      <c r="MJZ15" s="338"/>
      <c r="MKA15" s="338"/>
      <c r="MKB15" s="338"/>
      <c r="MKC15" s="338"/>
      <c r="MKD15" s="338"/>
      <c r="MKE15" s="338"/>
      <c r="MKF15" s="338"/>
      <c r="MKG15" s="338"/>
      <c r="MKH15" s="338"/>
      <c r="MKI15" s="338"/>
      <c r="MKJ15" s="338"/>
      <c r="MKK15" s="338"/>
      <c r="MKL15" s="338"/>
      <c r="MKM15" s="338"/>
      <c r="MKN15" s="338"/>
      <c r="MKO15" s="338"/>
      <c r="MKP15" s="338"/>
      <c r="MKQ15" s="338"/>
      <c r="MKR15" s="338"/>
      <c r="MKS15" s="338"/>
      <c r="MKT15" s="338"/>
      <c r="MKU15" s="338"/>
      <c r="MKV15" s="338"/>
      <c r="MKW15" s="338"/>
      <c r="MKX15" s="338"/>
      <c r="MKY15" s="338"/>
      <c r="MKZ15" s="338"/>
      <c r="MLA15" s="338"/>
      <c r="MLB15" s="338"/>
      <c r="MLC15" s="338"/>
      <c r="MLD15" s="338"/>
      <c r="MLE15" s="338"/>
      <c r="MLF15" s="338"/>
      <c r="MLG15" s="338"/>
      <c r="MLH15" s="338"/>
      <c r="MLI15" s="338"/>
      <c r="MLJ15" s="338"/>
      <c r="MLK15" s="338"/>
      <c r="MLL15" s="338"/>
      <c r="MLM15" s="338"/>
      <c r="MLN15" s="338"/>
      <c r="MLO15" s="338"/>
      <c r="MLP15" s="338"/>
      <c r="MLQ15" s="338"/>
      <c r="MLR15" s="338"/>
      <c r="MLS15" s="338"/>
      <c r="MLT15" s="338"/>
      <c r="MLU15" s="338"/>
      <c r="MLV15" s="338"/>
      <c r="MLW15" s="338"/>
      <c r="MLX15" s="338"/>
      <c r="MLY15" s="338"/>
      <c r="MLZ15" s="338"/>
      <c r="MMA15" s="338"/>
      <c r="MMB15" s="338"/>
      <c r="MMC15" s="338"/>
      <c r="MMD15" s="338"/>
      <c r="MME15" s="338"/>
      <c r="MMF15" s="338"/>
      <c r="MMG15" s="338"/>
      <c r="MMH15" s="338"/>
      <c r="MMI15" s="338"/>
      <c r="MMJ15" s="338"/>
      <c r="MMK15" s="338"/>
      <c r="MML15" s="338"/>
      <c r="MMM15" s="338"/>
      <c r="MMN15" s="338"/>
      <c r="MMO15" s="338"/>
      <c r="MMP15" s="338"/>
      <c r="MMQ15" s="338"/>
      <c r="MMR15" s="338"/>
      <c r="MMS15" s="338"/>
      <c r="MMT15" s="338"/>
      <c r="MMU15" s="338"/>
      <c r="MMV15" s="338"/>
      <c r="MMW15" s="338"/>
      <c r="MMX15" s="338"/>
      <c r="MMY15" s="338"/>
      <c r="MMZ15" s="338"/>
      <c r="MNA15" s="338"/>
      <c r="MNB15" s="338"/>
      <c r="MNC15" s="338"/>
      <c r="MND15" s="338"/>
      <c r="MNE15" s="338"/>
      <c r="MNF15" s="338"/>
      <c r="MNG15" s="338"/>
      <c r="MNH15" s="338"/>
      <c r="MNI15" s="338"/>
      <c r="MNJ15" s="338"/>
      <c r="MNK15" s="338"/>
      <c r="MNL15" s="338"/>
      <c r="MNM15" s="338"/>
      <c r="MNN15" s="338"/>
      <c r="MNO15" s="338"/>
      <c r="MNP15" s="338"/>
      <c r="MNQ15" s="338"/>
      <c r="MNR15" s="338"/>
      <c r="MNS15" s="338"/>
      <c r="MNT15" s="338"/>
      <c r="MNU15" s="338"/>
      <c r="MNV15" s="338"/>
      <c r="MNW15" s="338"/>
      <c r="MNX15" s="338"/>
      <c r="MNY15" s="338"/>
      <c r="MNZ15" s="338"/>
      <c r="MOA15" s="338"/>
      <c r="MOB15" s="338"/>
      <c r="MOC15" s="338"/>
      <c r="MOD15" s="338"/>
      <c r="MOE15" s="338"/>
      <c r="MOF15" s="338"/>
      <c r="MOG15" s="338"/>
      <c r="MOH15" s="338"/>
      <c r="MOI15" s="338"/>
      <c r="MOJ15" s="338"/>
      <c r="MOK15" s="338"/>
      <c r="MOL15" s="338"/>
      <c r="MOM15" s="338"/>
      <c r="MON15" s="338"/>
      <c r="MOO15" s="338"/>
      <c r="MOP15" s="338"/>
      <c r="MOQ15" s="338"/>
      <c r="MOR15" s="338"/>
      <c r="MOS15" s="338"/>
      <c r="MOT15" s="338"/>
      <c r="MOU15" s="338"/>
      <c r="MOV15" s="338"/>
      <c r="MOW15" s="338"/>
      <c r="MOX15" s="338"/>
      <c r="MOY15" s="338"/>
      <c r="MOZ15" s="338"/>
      <c r="MPA15" s="338"/>
      <c r="MPB15" s="338"/>
      <c r="MPC15" s="338"/>
      <c r="MPD15" s="338"/>
      <c r="MPE15" s="338"/>
      <c r="MPF15" s="338"/>
      <c r="MPG15" s="338"/>
      <c r="MPH15" s="338"/>
      <c r="MPI15" s="338"/>
      <c r="MPJ15" s="338"/>
      <c r="MPK15" s="338"/>
      <c r="MPL15" s="338"/>
      <c r="MPM15" s="338"/>
      <c r="MPN15" s="338"/>
      <c r="MPO15" s="338"/>
      <c r="MPP15" s="338"/>
      <c r="MPQ15" s="338"/>
      <c r="MPR15" s="338"/>
      <c r="MPS15" s="338"/>
      <c r="MPT15" s="338"/>
      <c r="MPU15" s="338"/>
      <c r="MPV15" s="338"/>
      <c r="MPW15" s="338"/>
      <c r="MPX15" s="338"/>
      <c r="MPY15" s="338"/>
      <c r="MPZ15" s="338"/>
      <c r="MQA15" s="338"/>
      <c r="MQB15" s="338"/>
      <c r="MQC15" s="338"/>
      <c r="MQD15" s="338"/>
      <c r="MQE15" s="338"/>
      <c r="MQF15" s="338"/>
      <c r="MQG15" s="338"/>
      <c r="MQH15" s="338"/>
      <c r="MQI15" s="338"/>
      <c r="MQJ15" s="338"/>
      <c r="MQK15" s="338"/>
      <c r="MQL15" s="338"/>
      <c r="MQM15" s="338"/>
      <c r="MQN15" s="338"/>
      <c r="MQO15" s="338"/>
      <c r="MQP15" s="338"/>
      <c r="MQQ15" s="338"/>
      <c r="MQR15" s="338"/>
      <c r="MQS15" s="338"/>
      <c r="MQT15" s="338"/>
      <c r="MQU15" s="338"/>
      <c r="MQV15" s="338"/>
      <c r="MQW15" s="338"/>
      <c r="MQX15" s="338"/>
      <c r="MQY15" s="338"/>
      <c r="MQZ15" s="338"/>
      <c r="MRA15" s="338"/>
      <c r="MRB15" s="338"/>
      <c r="MRC15" s="338"/>
      <c r="MRD15" s="338"/>
      <c r="MRE15" s="338"/>
      <c r="MRF15" s="338"/>
      <c r="MRG15" s="338"/>
      <c r="MRH15" s="338"/>
      <c r="MRI15" s="338"/>
      <c r="MRJ15" s="338"/>
      <c r="MRK15" s="338"/>
      <c r="MRL15" s="338"/>
      <c r="MRM15" s="338"/>
      <c r="MRN15" s="338"/>
      <c r="MRO15" s="338"/>
      <c r="MRP15" s="338"/>
      <c r="MRQ15" s="338"/>
      <c r="MRR15" s="338"/>
      <c r="MRS15" s="338"/>
      <c r="MRT15" s="338"/>
      <c r="MRU15" s="338"/>
      <c r="MRV15" s="338"/>
      <c r="MRW15" s="338"/>
      <c r="MRX15" s="338"/>
      <c r="MRY15" s="338"/>
      <c r="MRZ15" s="338"/>
      <c r="MSA15" s="338"/>
      <c r="MSB15" s="338"/>
      <c r="MSC15" s="338"/>
      <c r="MSD15" s="338"/>
      <c r="MSE15" s="338"/>
      <c r="MSF15" s="338"/>
      <c r="MSG15" s="338"/>
      <c r="MSH15" s="338"/>
      <c r="MSI15" s="338"/>
      <c r="MSJ15" s="338"/>
      <c r="MSK15" s="338"/>
      <c r="MSL15" s="338"/>
      <c r="MSM15" s="338"/>
      <c r="MSN15" s="338"/>
      <c r="MSO15" s="338"/>
      <c r="MSP15" s="338"/>
      <c r="MSQ15" s="338"/>
      <c r="MSR15" s="338"/>
      <c r="MSS15" s="338"/>
      <c r="MST15" s="338"/>
      <c r="MSU15" s="338"/>
      <c r="MSV15" s="338"/>
      <c r="MSW15" s="338"/>
      <c r="MSX15" s="338"/>
      <c r="MSY15" s="338"/>
      <c r="MSZ15" s="338"/>
      <c r="MTA15" s="338"/>
      <c r="MTB15" s="338"/>
      <c r="MTC15" s="338"/>
      <c r="MTD15" s="338"/>
      <c r="MTE15" s="338"/>
      <c r="MTF15" s="338"/>
      <c r="MTG15" s="338"/>
      <c r="MTH15" s="338"/>
      <c r="MTI15" s="338"/>
      <c r="MTJ15" s="338"/>
      <c r="MTK15" s="338"/>
      <c r="MTL15" s="338"/>
      <c r="MTM15" s="338"/>
      <c r="MTN15" s="338"/>
      <c r="MTO15" s="338"/>
      <c r="MTP15" s="338"/>
      <c r="MTQ15" s="338"/>
      <c r="MTR15" s="338"/>
      <c r="MTS15" s="338"/>
      <c r="MTT15" s="338"/>
      <c r="MTU15" s="338"/>
      <c r="MTV15" s="338"/>
      <c r="MTW15" s="338"/>
      <c r="MTX15" s="338"/>
      <c r="MTY15" s="338"/>
      <c r="MTZ15" s="338"/>
      <c r="MUA15" s="338"/>
      <c r="MUB15" s="338"/>
      <c r="MUC15" s="338"/>
      <c r="MUD15" s="338"/>
      <c r="MUE15" s="338"/>
      <c r="MUF15" s="338"/>
      <c r="MUG15" s="338"/>
      <c r="MUH15" s="338"/>
      <c r="MUI15" s="338"/>
      <c r="MUJ15" s="338"/>
      <c r="MUK15" s="338"/>
      <c r="MUL15" s="338"/>
      <c r="MUM15" s="338"/>
      <c r="MUN15" s="338"/>
      <c r="MUO15" s="338"/>
      <c r="MUP15" s="338"/>
      <c r="MUQ15" s="338"/>
      <c r="MUR15" s="338"/>
      <c r="MUS15" s="338"/>
      <c r="MUT15" s="338"/>
      <c r="MUU15" s="338"/>
      <c r="MUV15" s="338"/>
      <c r="MUW15" s="338"/>
      <c r="MUX15" s="338"/>
      <c r="MUY15" s="338"/>
      <c r="MUZ15" s="338"/>
      <c r="MVA15" s="338"/>
      <c r="MVB15" s="338"/>
      <c r="MVC15" s="338"/>
      <c r="MVD15" s="338"/>
      <c r="MVE15" s="338"/>
      <c r="MVF15" s="338"/>
      <c r="MVG15" s="338"/>
      <c r="MVH15" s="338"/>
      <c r="MVI15" s="338"/>
      <c r="MVJ15" s="338"/>
      <c r="MVK15" s="338"/>
      <c r="MVL15" s="338"/>
      <c r="MVM15" s="338"/>
      <c r="MVN15" s="338"/>
      <c r="MVO15" s="338"/>
      <c r="MVP15" s="338"/>
      <c r="MVQ15" s="338"/>
      <c r="MVR15" s="338"/>
      <c r="MVS15" s="338"/>
      <c r="MVT15" s="338"/>
      <c r="MVU15" s="338"/>
      <c r="MVV15" s="338"/>
      <c r="MVW15" s="338"/>
      <c r="MVX15" s="338"/>
      <c r="MVY15" s="338"/>
      <c r="MVZ15" s="338"/>
      <c r="MWA15" s="338"/>
      <c r="MWB15" s="338"/>
      <c r="MWC15" s="338"/>
      <c r="MWD15" s="338"/>
      <c r="MWE15" s="338"/>
      <c r="MWF15" s="338"/>
      <c r="MWG15" s="338"/>
      <c r="MWH15" s="338"/>
      <c r="MWI15" s="338"/>
      <c r="MWJ15" s="338"/>
      <c r="MWK15" s="338"/>
      <c r="MWL15" s="338"/>
      <c r="MWM15" s="338"/>
      <c r="MWN15" s="338"/>
      <c r="MWO15" s="338"/>
      <c r="MWP15" s="338"/>
      <c r="MWQ15" s="338"/>
      <c r="MWR15" s="338"/>
      <c r="MWS15" s="338"/>
      <c r="MWT15" s="338"/>
      <c r="MWU15" s="338"/>
      <c r="MWV15" s="338"/>
      <c r="MWW15" s="338"/>
      <c r="MWX15" s="338"/>
      <c r="MWY15" s="338"/>
      <c r="MWZ15" s="338"/>
      <c r="MXA15" s="338"/>
      <c r="MXB15" s="338"/>
      <c r="MXC15" s="338"/>
      <c r="MXD15" s="338"/>
      <c r="MXE15" s="338"/>
      <c r="MXF15" s="338"/>
      <c r="MXG15" s="338"/>
      <c r="MXH15" s="338"/>
      <c r="MXI15" s="338"/>
      <c r="MXJ15" s="338"/>
      <c r="MXK15" s="338"/>
      <c r="MXL15" s="338"/>
      <c r="MXM15" s="338"/>
      <c r="MXN15" s="338"/>
      <c r="MXO15" s="338"/>
      <c r="MXP15" s="338"/>
      <c r="MXQ15" s="338"/>
      <c r="MXR15" s="338"/>
      <c r="MXS15" s="338"/>
      <c r="MXT15" s="338"/>
      <c r="MXU15" s="338"/>
      <c r="MXV15" s="338"/>
      <c r="MXW15" s="338"/>
      <c r="MXX15" s="338"/>
      <c r="MXY15" s="338"/>
      <c r="MXZ15" s="338"/>
      <c r="MYA15" s="338"/>
      <c r="MYB15" s="338"/>
      <c r="MYC15" s="338"/>
      <c r="MYD15" s="338"/>
      <c r="MYE15" s="338"/>
      <c r="MYF15" s="338"/>
      <c r="MYG15" s="338"/>
      <c r="MYH15" s="338"/>
      <c r="MYI15" s="338"/>
      <c r="MYJ15" s="338"/>
      <c r="MYK15" s="338"/>
      <c r="MYL15" s="338"/>
      <c r="MYM15" s="338"/>
      <c r="MYN15" s="338"/>
      <c r="MYO15" s="338"/>
      <c r="MYP15" s="338"/>
      <c r="MYQ15" s="338"/>
      <c r="MYR15" s="338"/>
      <c r="MYS15" s="338"/>
      <c r="MYT15" s="338"/>
      <c r="MYU15" s="338"/>
      <c r="MYV15" s="338"/>
      <c r="MYW15" s="338"/>
      <c r="MYX15" s="338"/>
      <c r="MYY15" s="338"/>
      <c r="MYZ15" s="338"/>
      <c r="MZA15" s="338"/>
      <c r="MZB15" s="338"/>
      <c r="MZC15" s="338"/>
      <c r="MZD15" s="338"/>
      <c r="MZE15" s="338"/>
      <c r="MZF15" s="338"/>
      <c r="MZG15" s="338"/>
      <c r="MZH15" s="338"/>
      <c r="MZI15" s="338"/>
      <c r="MZJ15" s="338"/>
      <c r="MZK15" s="338"/>
      <c r="MZL15" s="338"/>
      <c r="MZM15" s="338"/>
      <c r="MZN15" s="338"/>
      <c r="MZO15" s="338"/>
      <c r="MZP15" s="338"/>
      <c r="MZQ15" s="338"/>
      <c r="MZR15" s="338"/>
      <c r="MZS15" s="338"/>
      <c r="MZT15" s="338"/>
      <c r="MZU15" s="338"/>
      <c r="MZV15" s="338"/>
      <c r="MZW15" s="338"/>
      <c r="MZX15" s="338"/>
      <c r="MZY15" s="338"/>
      <c r="MZZ15" s="338"/>
      <c r="NAA15" s="338"/>
      <c r="NAB15" s="338"/>
      <c r="NAC15" s="338"/>
      <c r="NAD15" s="338"/>
      <c r="NAE15" s="338"/>
      <c r="NAF15" s="338"/>
      <c r="NAG15" s="338"/>
      <c r="NAH15" s="338"/>
      <c r="NAI15" s="338"/>
      <c r="NAJ15" s="338"/>
      <c r="NAK15" s="338"/>
      <c r="NAL15" s="338"/>
      <c r="NAM15" s="338"/>
      <c r="NAN15" s="338"/>
      <c r="NAO15" s="338"/>
      <c r="NAP15" s="338"/>
      <c r="NAQ15" s="338"/>
      <c r="NAR15" s="338"/>
      <c r="NAS15" s="338"/>
      <c r="NAT15" s="338"/>
      <c r="NAU15" s="338"/>
      <c r="NAV15" s="338"/>
      <c r="NAW15" s="338"/>
      <c r="NAX15" s="338"/>
      <c r="NAY15" s="338"/>
      <c r="NAZ15" s="338"/>
      <c r="NBA15" s="338"/>
      <c r="NBB15" s="338"/>
      <c r="NBC15" s="338"/>
      <c r="NBD15" s="338"/>
      <c r="NBE15" s="338"/>
      <c r="NBF15" s="338"/>
      <c r="NBG15" s="338"/>
      <c r="NBH15" s="338"/>
      <c r="NBI15" s="338"/>
      <c r="NBJ15" s="338"/>
      <c r="NBK15" s="338"/>
      <c r="NBL15" s="338"/>
      <c r="NBM15" s="338"/>
      <c r="NBN15" s="338"/>
      <c r="NBO15" s="338"/>
      <c r="NBP15" s="338"/>
      <c r="NBQ15" s="338"/>
      <c r="NBR15" s="338"/>
      <c r="NBS15" s="338"/>
      <c r="NBT15" s="338"/>
      <c r="NBU15" s="338"/>
      <c r="NBV15" s="338"/>
      <c r="NBW15" s="338"/>
      <c r="NBX15" s="338"/>
      <c r="NBY15" s="338"/>
      <c r="NBZ15" s="338"/>
      <c r="NCA15" s="338"/>
      <c r="NCB15" s="338"/>
      <c r="NCC15" s="338"/>
      <c r="NCD15" s="338"/>
      <c r="NCE15" s="338"/>
      <c r="NCF15" s="338"/>
      <c r="NCG15" s="338"/>
      <c r="NCH15" s="338"/>
      <c r="NCI15" s="338"/>
      <c r="NCJ15" s="338"/>
      <c r="NCK15" s="338"/>
      <c r="NCL15" s="338"/>
      <c r="NCM15" s="338"/>
      <c r="NCN15" s="338"/>
      <c r="NCO15" s="338"/>
      <c r="NCP15" s="338"/>
      <c r="NCQ15" s="338"/>
      <c r="NCR15" s="338"/>
      <c r="NCS15" s="338"/>
      <c r="NCT15" s="338"/>
      <c r="NCU15" s="338"/>
      <c r="NCV15" s="338"/>
      <c r="NCW15" s="338"/>
      <c r="NCX15" s="338"/>
      <c r="NCY15" s="338"/>
      <c r="NCZ15" s="338"/>
      <c r="NDA15" s="338"/>
      <c r="NDB15" s="338"/>
      <c r="NDC15" s="338"/>
      <c r="NDD15" s="338"/>
      <c r="NDE15" s="338"/>
      <c r="NDF15" s="338"/>
      <c r="NDG15" s="338"/>
      <c r="NDH15" s="338"/>
      <c r="NDI15" s="338"/>
      <c r="NDJ15" s="338"/>
      <c r="NDK15" s="338"/>
      <c r="NDL15" s="338"/>
      <c r="NDM15" s="338"/>
      <c r="NDN15" s="338"/>
      <c r="NDO15" s="338"/>
      <c r="NDP15" s="338"/>
      <c r="NDQ15" s="338"/>
      <c r="NDR15" s="338"/>
      <c r="NDS15" s="338"/>
      <c r="NDT15" s="338"/>
      <c r="NDU15" s="338"/>
      <c r="NDV15" s="338"/>
      <c r="NDW15" s="338"/>
      <c r="NDX15" s="338"/>
      <c r="NDY15" s="338"/>
      <c r="NDZ15" s="338"/>
      <c r="NEA15" s="338"/>
      <c r="NEB15" s="338"/>
      <c r="NEC15" s="338"/>
      <c r="NED15" s="338"/>
      <c r="NEE15" s="338"/>
      <c r="NEF15" s="338"/>
      <c r="NEG15" s="338"/>
      <c r="NEH15" s="338"/>
      <c r="NEI15" s="338"/>
      <c r="NEJ15" s="338"/>
      <c r="NEK15" s="338"/>
      <c r="NEL15" s="338"/>
      <c r="NEM15" s="338"/>
      <c r="NEN15" s="338"/>
      <c r="NEO15" s="338"/>
      <c r="NEP15" s="338"/>
      <c r="NEQ15" s="338"/>
      <c r="NER15" s="338"/>
      <c r="NES15" s="338"/>
      <c r="NET15" s="338"/>
      <c r="NEU15" s="338"/>
      <c r="NEV15" s="338"/>
      <c r="NEW15" s="338"/>
      <c r="NEX15" s="338"/>
      <c r="NEY15" s="338"/>
      <c r="NEZ15" s="338"/>
      <c r="NFA15" s="338"/>
      <c r="NFB15" s="338"/>
      <c r="NFC15" s="338"/>
      <c r="NFD15" s="338"/>
      <c r="NFE15" s="338"/>
      <c r="NFF15" s="338"/>
      <c r="NFG15" s="338"/>
      <c r="NFH15" s="338"/>
      <c r="NFI15" s="338"/>
      <c r="NFJ15" s="338"/>
      <c r="NFK15" s="338"/>
      <c r="NFL15" s="338"/>
      <c r="NFM15" s="338"/>
      <c r="NFN15" s="338"/>
      <c r="NFO15" s="338"/>
      <c r="NFP15" s="338"/>
      <c r="NFQ15" s="338"/>
      <c r="NFR15" s="338"/>
      <c r="NFS15" s="338"/>
      <c r="NFT15" s="338"/>
      <c r="NFU15" s="338"/>
      <c r="NFV15" s="338"/>
      <c r="NFW15" s="338"/>
      <c r="NFX15" s="338"/>
      <c r="NFY15" s="338"/>
      <c r="NFZ15" s="338"/>
      <c r="NGA15" s="338"/>
      <c r="NGB15" s="338"/>
      <c r="NGC15" s="338"/>
      <c r="NGD15" s="338"/>
      <c r="NGE15" s="338"/>
      <c r="NGF15" s="338"/>
      <c r="NGG15" s="338"/>
      <c r="NGH15" s="338"/>
      <c r="NGI15" s="338"/>
      <c r="NGJ15" s="338"/>
      <c r="NGK15" s="338"/>
      <c r="NGL15" s="338"/>
      <c r="NGM15" s="338"/>
      <c r="NGN15" s="338"/>
      <c r="NGO15" s="338"/>
      <c r="NGP15" s="338"/>
      <c r="NGQ15" s="338"/>
      <c r="NGR15" s="338"/>
      <c r="NGS15" s="338"/>
      <c r="NGT15" s="338"/>
      <c r="NGU15" s="338"/>
      <c r="NGV15" s="338"/>
      <c r="NGW15" s="338"/>
      <c r="NGX15" s="338"/>
      <c r="NGY15" s="338"/>
      <c r="NGZ15" s="338"/>
      <c r="NHA15" s="338"/>
      <c r="NHB15" s="338"/>
      <c r="NHC15" s="338"/>
      <c r="NHD15" s="338"/>
      <c r="NHE15" s="338"/>
      <c r="NHF15" s="338"/>
      <c r="NHG15" s="338"/>
      <c r="NHH15" s="338"/>
      <c r="NHI15" s="338"/>
      <c r="NHJ15" s="338"/>
      <c r="NHK15" s="338"/>
      <c r="NHL15" s="338"/>
      <c r="NHM15" s="338"/>
      <c r="NHN15" s="338"/>
      <c r="NHO15" s="338"/>
      <c r="NHP15" s="338"/>
      <c r="NHQ15" s="338"/>
      <c r="NHR15" s="338"/>
      <c r="NHS15" s="338"/>
      <c r="NHT15" s="338"/>
      <c r="NHU15" s="338"/>
      <c r="NHV15" s="338"/>
      <c r="NHW15" s="338"/>
      <c r="NHX15" s="338"/>
      <c r="NHY15" s="338"/>
      <c r="NHZ15" s="338"/>
      <c r="NIA15" s="338"/>
      <c r="NIB15" s="338"/>
      <c r="NIC15" s="338"/>
      <c r="NID15" s="338"/>
      <c r="NIE15" s="338"/>
      <c r="NIF15" s="338"/>
      <c r="NIG15" s="338"/>
      <c r="NIH15" s="338"/>
      <c r="NII15" s="338"/>
      <c r="NIJ15" s="338"/>
      <c r="NIK15" s="338"/>
      <c r="NIL15" s="338"/>
      <c r="NIM15" s="338"/>
      <c r="NIN15" s="338"/>
      <c r="NIO15" s="338"/>
      <c r="NIP15" s="338"/>
      <c r="NIQ15" s="338"/>
      <c r="NIR15" s="338"/>
      <c r="NIS15" s="338"/>
      <c r="NIT15" s="338"/>
      <c r="NIU15" s="338"/>
      <c r="NIV15" s="338"/>
      <c r="NIW15" s="338"/>
      <c r="NIX15" s="338"/>
      <c r="NIY15" s="338"/>
      <c r="NIZ15" s="338"/>
      <c r="NJA15" s="338"/>
      <c r="NJB15" s="338"/>
      <c r="NJC15" s="338"/>
      <c r="NJD15" s="338"/>
      <c r="NJE15" s="338"/>
      <c r="NJF15" s="338"/>
      <c r="NJG15" s="338"/>
      <c r="NJH15" s="338"/>
      <c r="NJI15" s="338"/>
      <c r="NJJ15" s="338"/>
      <c r="NJK15" s="338"/>
      <c r="NJL15" s="338"/>
      <c r="NJM15" s="338"/>
      <c r="NJN15" s="338"/>
      <c r="NJO15" s="338"/>
      <c r="NJP15" s="338"/>
      <c r="NJQ15" s="338"/>
      <c r="NJR15" s="338"/>
      <c r="NJS15" s="338"/>
      <c r="NJT15" s="338"/>
      <c r="NJU15" s="338"/>
      <c r="NJV15" s="338"/>
      <c r="NJW15" s="338"/>
      <c r="NJX15" s="338"/>
      <c r="NJY15" s="338"/>
      <c r="NJZ15" s="338"/>
      <c r="NKA15" s="338"/>
      <c r="NKB15" s="338"/>
      <c r="NKC15" s="338"/>
      <c r="NKD15" s="338"/>
      <c r="NKE15" s="338"/>
      <c r="NKF15" s="338"/>
      <c r="NKG15" s="338"/>
      <c r="NKH15" s="338"/>
      <c r="NKI15" s="338"/>
      <c r="NKJ15" s="338"/>
      <c r="NKK15" s="338"/>
      <c r="NKL15" s="338"/>
      <c r="NKM15" s="338"/>
      <c r="NKN15" s="338"/>
      <c r="NKO15" s="338"/>
      <c r="NKP15" s="338"/>
      <c r="NKQ15" s="338"/>
      <c r="NKR15" s="338"/>
      <c r="NKS15" s="338"/>
      <c r="NKT15" s="338"/>
      <c r="NKU15" s="338"/>
      <c r="NKV15" s="338"/>
      <c r="NKW15" s="338"/>
      <c r="NKX15" s="338"/>
      <c r="NKY15" s="338"/>
      <c r="NKZ15" s="338"/>
      <c r="NLA15" s="338"/>
      <c r="NLB15" s="338"/>
      <c r="NLC15" s="338"/>
      <c r="NLD15" s="338"/>
      <c r="NLE15" s="338"/>
      <c r="NLF15" s="338"/>
      <c r="NLG15" s="338"/>
      <c r="NLH15" s="338"/>
      <c r="NLI15" s="338"/>
      <c r="NLJ15" s="338"/>
      <c r="NLK15" s="338"/>
      <c r="NLL15" s="338"/>
      <c r="NLM15" s="338"/>
      <c r="NLN15" s="338"/>
      <c r="NLO15" s="338"/>
      <c r="NLP15" s="338"/>
      <c r="NLQ15" s="338"/>
      <c r="NLR15" s="338"/>
      <c r="NLS15" s="338"/>
      <c r="NLT15" s="338"/>
      <c r="NLU15" s="338"/>
      <c r="NLV15" s="338"/>
      <c r="NLW15" s="338"/>
      <c r="NLX15" s="338"/>
      <c r="NLY15" s="338"/>
      <c r="NLZ15" s="338"/>
      <c r="NMA15" s="338"/>
      <c r="NMB15" s="338"/>
      <c r="NMC15" s="338"/>
      <c r="NMD15" s="338"/>
      <c r="NME15" s="338"/>
      <c r="NMF15" s="338"/>
      <c r="NMG15" s="338"/>
      <c r="NMH15" s="338"/>
      <c r="NMI15" s="338"/>
      <c r="NMJ15" s="338"/>
      <c r="NMK15" s="338"/>
      <c r="NML15" s="338"/>
      <c r="NMM15" s="338"/>
      <c r="NMN15" s="338"/>
      <c r="NMO15" s="338"/>
      <c r="NMP15" s="338"/>
      <c r="NMQ15" s="338"/>
      <c r="NMR15" s="338"/>
      <c r="NMS15" s="338"/>
      <c r="NMT15" s="338"/>
      <c r="NMU15" s="338"/>
      <c r="NMV15" s="338"/>
      <c r="NMW15" s="338"/>
      <c r="NMX15" s="338"/>
      <c r="NMY15" s="338"/>
      <c r="NMZ15" s="338"/>
      <c r="NNA15" s="338"/>
      <c r="NNB15" s="338"/>
      <c r="NNC15" s="338"/>
      <c r="NND15" s="338"/>
      <c r="NNE15" s="338"/>
      <c r="NNF15" s="338"/>
      <c r="NNG15" s="338"/>
      <c r="NNH15" s="338"/>
      <c r="NNI15" s="338"/>
      <c r="NNJ15" s="338"/>
      <c r="NNK15" s="338"/>
      <c r="NNL15" s="338"/>
      <c r="NNM15" s="338"/>
      <c r="NNN15" s="338"/>
      <c r="NNO15" s="338"/>
      <c r="NNP15" s="338"/>
      <c r="NNQ15" s="338"/>
      <c r="NNR15" s="338"/>
      <c r="NNS15" s="338"/>
      <c r="NNT15" s="338"/>
      <c r="NNU15" s="338"/>
      <c r="NNV15" s="338"/>
      <c r="NNW15" s="338"/>
      <c r="NNX15" s="338"/>
      <c r="NNY15" s="338"/>
      <c r="NNZ15" s="338"/>
      <c r="NOA15" s="338"/>
      <c r="NOB15" s="338"/>
      <c r="NOC15" s="338"/>
      <c r="NOD15" s="338"/>
      <c r="NOE15" s="338"/>
      <c r="NOF15" s="338"/>
      <c r="NOG15" s="338"/>
      <c r="NOH15" s="338"/>
      <c r="NOI15" s="338"/>
      <c r="NOJ15" s="338"/>
      <c r="NOK15" s="338"/>
      <c r="NOL15" s="338"/>
      <c r="NOM15" s="338"/>
      <c r="NON15" s="338"/>
      <c r="NOO15" s="338"/>
      <c r="NOP15" s="338"/>
      <c r="NOQ15" s="338"/>
      <c r="NOR15" s="338"/>
      <c r="NOS15" s="338"/>
      <c r="NOT15" s="338"/>
      <c r="NOU15" s="338"/>
      <c r="NOV15" s="338"/>
      <c r="NOW15" s="338"/>
      <c r="NOX15" s="338"/>
      <c r="NOY15" s="338"/>
      <c r="NOZ15" s="338"/>
      <c r="NPA15" s="338"/>
      <c r="NPB15" s="338"/>
      <c r="NPC15" s="338"/>
      <c r="NPD15" s="338"/>
      <c r="NPE15" s="338"/>
      <c r="NPF15" s="338"/>
      <c r="NPG15" s="338"/>
      <c r="NPH15" s="338"/>
      <c r="NPI15" s="338"/>
      <c r="NPJ15" s="338"/>
      <c r="NPK15" s="338"/>
      <c r="NPL15" s="338"/>
      <c r="NPM15" s="338"/>
      <c r="NPN15" s="338"/>
      <c r="NPO15" s="338"/>
      <c r="NPP15" s="338"/>
      <c r="NPQ15" s="338"/>
      <c r="NPR15" s="338"/>
      <c r="NPS15" s="338"/>
      <c r="NPT15" s="338"/>
      <c r="NPU15" s="338"/>
      <c r="NPV15" s="338"/>
      <c r="NPW15" s="338"/>
      <c r="NPX15" s="338"/>
      <c r="NPY15" s="338"/>
      <c r="NPZ15" s="338"/>
      <c r="NQA15" s="338"/>
      <c r="NQB15" s="338"/>
      <c r="NQC15" s="338"/>
      <c r="NQD15" s="338"/>
      <c r="NQE15" s="338"/>
      <c r="NQF15" s="338"/>
      <c r="NQG15" s="338"/>
      <c r="NQH15" s="338"/>
      <c r="NQI15" s="338"/>
      <c r="NQJ15" s="338"/>
      <c r="NQK15" s="338"/>
      <c r="NQL15" s="338"/>
      <c r="NQM15" s="338"/>
      <c r="NQN15" s="338"/>
      <c r="NQO15" s="338"/>
      <c r="NQP15" s="338"/>
      <c r="NQQ15" s="338"/>
      <c r="NQR15" s="338"/>
      <c r="NQS15" s="338"/>
      <c r="NQT15" s="338"/>
      <c r="NQU15" s="338"/>
      <c r="NQV15" s="338"/>
      <c r="NQW15" s="338"/>
      <c r="NQX15" s="338"/>
      <c r="NQY15" s="338"/>
      <c r="NQZ15" s="338"/>
      <c r="NRA15" s="338"/>
      <c r="NRB15" s="338"/>
      <c r="NRC15" s="338"/>
      <c r="NRD15" s="338"/>
      <c r="NRE15" s="338"/>
      <c r="NRF15" s="338"/>
      <c r="NRG15" s="338"/>
      <c r="NRH15" s="338"/>
      <c r="NRI15" s="338"/>
      <c r="NRJ15" s="338"/>
      <c r="NRK15" s="338"/>
      <c r="NRL15" s="338"/>
      <c r="NRM15" s="338"/>
      <c r="NRN15" s="338"/>
      <c r="NRO15" s="338"/>
      <c r="NRP15" s="338"/>
      <c r="NRQ15" s="338"/>
      <c r="NRR15" s="338"/>
      <c r="NRS15" s="338"/>
      <c r="NRT15" s="338"/>
      <c r="NRU15" s="338"/>
      <c r="NRV15" s="338"/>
      <c r="NRW15" s="338"/>
      <c r="NRX15" s="338"/>
      <c r="NRY15" s="338"/>
      <c r="NRZ15" s="338"/>
      <c r="NSA15" s="338"/>
      <c r="NSB15" s="338"/>
      <c r="NSC15" s="338"/>
      <c r="NSD15" s="338"/>
      <c r="NSE15" s="338"/>
      <c r="NSF15" s="338"/>
      <c r="NSG15" s="338"/>
      <c r="NSH15" s="338"/>
      <c r="NSI15" s="338"/>
      <c r="NSJ15" s="338"/>
      <c r="NSK15" s="338"/>
      <c r="NSL15" s="338"/>
      <c r="NSM15" s="338"/>
      <c r="NSN15" s="338"/>
      <c r="NSO15" s="338"/>
      <c r="NSP15" s="338"/>
      <c r="NSQ15" s="338"/>
      <c r="NSR15" s="338"/>
      <c r="NSS15" s="338"/>
      <c r="NST15" s="338"/>
      <c r="NSU15" s="338"/>
      <c r="NSV15" s="338"/>
      <c r="NSW15" s="338"/>
      <c r="NSX15" s="338"/>
      <c r="NSY15" s="338"/>
      <c r="NSZ15" s="338"/>
      <c r="NTA15" s="338"/>
      <c r="NTB15" s="338"/>
      <c r="NTC15" s="338"/>
      <c r="NTD15" s="338"/>
      <c r="NTE15" s="338"/>
      <c r="NTF15" s="338"/>
      <c r="NTG15" s="338"/>
      <c r="NTH15" s="338"/>
      <c r="NTI15" s="338"/>
      <c r="NTJ15" s="338"/>
      <c r="NTK15" s="338"/>
      <c r="NTL15" s="338"/>
      <c r="NTM15" s="338"/>
      <c r="NTN15" s="338"/>
      <c r="NTO15" s="338"/>
      <c r="NTP15" s="338"/>
      <c r="NTQ15" s="338"/>
      <c r="NTR15" s="338"/>
      <c r="NTS15" s="338"/>
      <c r="NTT15" s="338"/>
      <c r="NTU15" s="338"/>
      <c r="NTV15" s="338"/>
      <c r="NTW15" s="338"/>
      <c r="NTX15" s="338"/>
      <c r="NTY15" s="338"/>
      <c r="NTZ15" s="338"/>
      <c r="NUA15" s="338"/>
      <c r="NUB15" s="338"/>
      <c r="NUC15" s="338"/>
      <c r="NUD15" s="338"/>
      <c r="NUE15" s="338"/>
      <c r="NUF15" s="338"/>
      <c r="NUG15" s="338"/>
      <c r="NUH15" s="338"/>
      <c r="NUI15" s="338"/>
      <c r="NUJ15" s="338"/>
      <c r="NUK15" s="338"/>
      <c r="NUL15" s="338"/>
      <c r="NUM15" s="338"/>
      <c r="NUN15" s="338"/>
      <c r="NUO15" s="338"/>
      <c r="NUP15" s="338"/>
      <c r="NUQ15" s="338"/>
      <c r="NUR15" s="338"/>
      <c r="NUS15" s="338"/>
      <c r="NUT15" s="338"/>
      <c r="NUU15" s="338"/>
      <c r="NUV15" s="338"/>
      <c r="NUW15" s="338"/>
      <c r="NUX15" s="338"/>
      <c r="NUY15" s="338"/>
      <c r="NUZ15" s="338"/>
      <c r="NVA15" s="338"/>
      <c r="NVB15" s="338"/>
      <c r="NVC15" s="338"/>
      <c r="NVD15" s="338"/>
      <c r="NVE15" s="338"/>
      <c r="NVF15" s="338"/>
      <c r="NVG15" s="338"/>
      <c r="NVH15" s="338"/>
      <c r="NVI15" s="338"/>
      <c r="NVJ15" s="338"/>
      <c r="NVK15" s="338"/>
      <c r="NVL15" s="338"/>
      <c r="NVM15" s="338"/>
      <c r="NVN15" s="338"/>
      <c r="NVO15" s="338"/>
      <c r="NVP15" s="338"/>
      <c r="NVQ15" s="338"/>
      <c r="NVR15" s="338"/>
      <c r="NVS15" s="338"/>
      <c r="NVT15" s="338"/>
      <c r="NVU15" s="338"/>
      <c r="NVV15" s="338"/>
      <c r="NVW15" s="338"/>
      <c r="NVX15" s="338"/>
      <c r="NVY15" s="338"/>
      <c r="NVZ15" s="338"/>
      <c r="NWA15" s="338"/>
      <c r="NWB15" s="338"/>
      <c r="NWC15" s="338"/>
      <c r="NWD15" s="338"/>
      <c r="NWE15" s="338"/>
      <c r="NWF15" s="338"/>
      <c r="NWG15" s="338"/>
      <c r="NWH15" s="338"/>
      <c r="NWI15" s="338"/>
      <c r="NWJ15" s="338"/>
      <c r="NWK15" s="338"/>
      <c r="NWL15" s="338"/>
      <c r="NWM15" s="338"/>
      <c r="NWN15" s="338"/>
      <c r="NWO15" s="338"/>
      <c r="NWP15" s="338"/>
      <c r="NWQ15" s="338"/>
      <c r="NWR15" s="338"/>
      <c r="NWS15" s="338"/>
      <c r="NWT15" s="338"/>
      <c r="NWU15" s="338"/>
      <c r="NWV15" s="338"/>
      <c r="NWW15" s="338"/>
      <c r="NWX15" s="338"/>
      <c r="NWY15" s="338"/>
      <c r="NWZ15" s="338"/>
      <c r="NXA15" s="338"/>
      <c r="NXB15" s="338"/>
      <c r="NXC15" s="338"/>
      <c r="NXD15" s="338"/>
      <c r="NXE15" s="338"/>
      <c r="NXF15" s="338"/>
      <c r="NXG15" s="338"/>
      <c r="NXH15" s="338"/>
      <c r="NXI15" s="338"/>
      <c r="NXJ15" s="338"/>
      <c r="NXK15" s="338"/>
      <c r="NXL15" s="338"/>
      <c r="NXM15" s="338"/>
      <c r="NXN15" s="338"/>
      <c r="NXO15" s="338"/>
      <c r="NXP15" s="338"/>
      <c r="NXQ15" s="338"/>
      <c r="NXR15" s="338"/>
      <c r="NXS15" s="338"/>
      <c r="NXT15" s="338"/>
      <c r="NXU15" s="338"/>
      <c r="NXV15" s="338"/>
      <c r="NXW15" s="338"/>
      <c r="NXX15" s="338"/>
      <c r="NXY15" s="338"/>
      <c r="NXZ15" s="338"/>
      <c r="NYA15" s="338"/>
      <c r="NYB15" s="338"/>
      <c r="NYC15" s="338"/>
      <c r="NYD15" s="338"/>
      <c r="NYE15" s="338"/>
      <c r="NYF15" s="338"/>
      <c r="NYG15" s="338"/>
      <c r="NYH15" s="338"/>
      <c r="NYI15" s="338"/>
      <c r="NYJ15" s="338"/>
      <c r="NYK15" s="338"/>
      <c r="NYL15" s="338"/>
      <c r="NYM15" s="338"/>
      <c r="NYN15" s="338"/>
      <c r="NYO15" s="338"/>
      <c r="NYP15" s="338"/>
      <c r="NYQ15" s="338"/>
      <c r="NYR15" s="338"/>
      <c r="NYS15" s="338"/>
      <c r="NYT15" s="338"/>
      <c r="NYU15" s="338"/>
      <c r="NYV15" s="338"/>
      <c r="NYW15" s="338"/>
      <c r="NYX15" s="338"/>
      <c r="NYY15" s="338"/>
      <c r="NYZ15" s="338"/>
      <c r="NZA15" s="338"/>
      <c r="NZB15" s="338"/>
      <c r="NZC15" s="338"/>
      <c r="NZD15" s="338"/>
      <c r="NZE15" s="338"/>
      <c r="NZF15" s="338"/>
      <c r="NZG15" s="338"/>
      <c r="NZH15" s="338"/>
      <c r="NZI15" s="338"/>
      <c r="NZJ15" s="338"/>
      <c r="NZK15" s="338"/>
      <c r="NZL15" s="338"/>
      <c r="NZM15" s="338"/>
      <c r="NZN15" s="338"/>
      <c r="NZO15" s="338"/>
      <c r="NZP15" s="338"/>
      <c r="NZQ15" s="338"/>
      <c r="NZR15" s="338"/>
      <c r="NZS15" s="338"/>
      <c r="NZT15" s="338"/>
      <c r="NZU15" s="338"/>
      <c r="NZV15" s="338"/>
      <c r="NZW15" s="338"/>
      <c r="NZX15" s="338"/>
      <c r="NZY15" s="338"/>
      <c r="NZZ15" s="338"/>
      <c r="OAA15" s="338"/>
      <c r="OAB15" s="338"/>
      <c r="OAC15" s="338"/>
      <c r="OAD15" s="338"/>
      <c r="OAE15" s="338"/>
      <c r="OAF15" s="338"/>
      <c r="OAG15" s="338"/>
      <c r="OAH15" s="338"/>
      <c r="OAI15" s="338"/>
      <c r="OAJ15" s="338"/>
      <c r="OAK15" s="338"/>
      <c r="OAL15" s="338"/>
      <c r="OAM15" s="338"/>
      <c r="OAN15" s="338"/>
      <c r="OAO15" s="338"/>
      <c r="OAP15" s="338"/>
      <c r="OAQ15" s="338"/>
      <c r="OAR15" s="338"/>
      <c r="OAS15" s="338"/>
      <c r="OAT15" s="338"/>
      <c r="OAU15" s="338"/>
      <c r="OAV15" s="338"/>
      <c r="OAW15" s="338"/>
      <c r="OAX15" s="338"/>
      <c r="OAY15" s="338"/>
      <c r="OAZ15" s="338"/>
      <c r="OBA15" s="338"/>
      <c r="OBB15" s="338"/>
      <c r="OBC15" s="338"/>
      <c r="OBD15" s="338"/>
      <c r="OBE15" s="338"/>
      <c r="OBF15" s="338"/>
      <c r="OBG15" s="338"/>
      <c r="OBH15" s="338"/>
      <c r="OBI15" s="338"/>
      <c r="OBJ15" s="338"/>
      <c r="OBK15" s="338"/>
      <c r="OBL15" s="338"/>
      <c r="OBM15" s="338"/>
      <c r="OBN15" s="338"/>
      <c r="OBO15" s="338"/>
      <c r="OBP15" s="338"/>
      <c r="OBQ15" s="338"/>
      <c r="OBR15" s="338"/>
      <c r="OBS15" s="338"/>
      <c r="OBT15" s="338"/>
      <c r="OBU15" s="338"/>
      <c r="OBV15" s="338"/>
      <c r="OBW15" s="338"/>
      <c r="OBX15" s="338"/>
      <c r="OBY15" s="338"/>
      <c r="OBZ15" s="338"/>
      <c r="OCA15" s="338"/>
      <c r="OCB15" s="338"/>
      <c r="OCC15" s="338"/>
      <c r="OCD15" s="338"/>
      <c r="OCE15" s="338"/>
      <c r="OCF15" s="338"/>
      <c r="OCG15" s="338"/>
      <c r="OCH15" s="338"/>
      <c r="OCI15" s="338"/>
      <c r="OCJ15" s="338"/>
      <c r="OCK15" s="338"/>
      <c r="OCL15" s="338"/>
      <c r="OCM15" s="338"/>
      <c r="OCN15" s="338"/>
      <c r="OCO15" s="338"/>
      <c r="OCP15" s="338"/>
      <c r="OCQ15" s="338"/>
      <c r="OCR15" s="338"/>
      <c r="OCS15" s="338"/>
      <c r="OCT15" s="338"/>
      <c r="OCU15" s="338"/>
      <c r="OCV15" s="338"/>
      <c r="OCW15" s="338"/>
      <c r="OCX15" s="338"/>
      <c r="OCY15" s="338"/>
      <c r="OCZ15" s="338"/>
      <c r="ODA15" s="338"/>
      <c r="ODB15" s="338"/>
      <c r="ODC15" s="338"/>
      <c r="ODD15" s="338"/>
      <c r="ODE15" s="338"/>
      <c r="ODF15" s="338"/>
      <c r="ODG15" s="338"/>
      <c r="ODH15" s="338"/>
      <c r="ODI15" s="338"/>
      <c r="ODJ15" s="338"/>
      <c r="ODK15" s="338"/>
      <c r="ODL15" s="338"/>
      <c r="ODM15" s="338"/>
      <c r="ODN15" s="338"/>
      <c r="ODO15" s="338"/>
      <c r="ODP15" s="338"/>
      <c r="ODQ15" s="338"/>
      <c r="ODR15" s="338"/>
      <c r="ODS15" s="338"/>
      <c r="ODT15" s="338"/>
      <c r="ODU15" s="338"/>
      <c r="ODV15" s="338"/>
      <c r="ODW15" s="338"/>
      <c r="ODX15" s="338"/>
      <c r="ODY15" s="338"/>
      <c r="ODZ15" s="338"/>
      <c r="OEA15" s="338"/>
      <c r="OEB15" s="338"/>
      <c r="OEC15" s="338"/>
      <c r="OED15" s="338"/>
      <c r="OEE15" s="338"/>
      <c r="OEF15" s="338"/>
      <c r="OEG15" s="338"/>
      <c r="OEH15" s="338"/>
      <c r="OEI15" s="338"/>
      <c r="OEJ15" s="338"/>
      <c r="OEK15" s="338"/>
      <c r="OEL15" s="338"/>
      <c r="OEM15" s="338"/>
      <c r="OEN15" s="338"/>
      <c r="OEO15" s="338"/>
      <c r="OEP15" s="338"/>
      <c r="OEQ15" s="338"/>
      <c r="OER15" s="338"/>
      <c r="OES15" s="338"/>
      <c r="OET15" s="338"/>
      <c r="OEU15" s="338"/>
      <c r="OEV15" s="338"/>
      <c r="OEW15" s="338"/>
      <c r="OEX15" s="338"/>
      <c r="OEY15" s="338"/>
      <c r="OEZ15" s="338"/>
      <c r="OFA15" s="338"/>
      <c r="OFB15" s="338"/>
      <c r="OFC15" s="338"/>
      <c r="OFD15" s="338"/>
      <c r="OFE15" s="338"/>
      <c r="OFF15" s="338"/>
      <c r="OFG15" s="338"/>
      <c r="OFH15" s="338"/>
      <c r="OFI15" s="338"/>
      <c r="OFJ15" s="338"/>
      <c r="OFK15" s="338"/>
      <c r="OFL15" s="338"/>
      <c r="OFM15" s="338"/>
      <c r="OFN15" s="338"/>
      <c r="OFO15" s="338"/>
      <c r="OFP15" s="338"/>
      <c r="OFQ15" s="338"/>
      <c r="OFR15" s="338"/>
      <c r="OFS15" s="338"/>
      <c r="OFT15" s="338"/>
      <c r="OFU15" s="338"/>
      <c r="OFV15" s="338"/>
      <c r="OFW15" s="338"/>
      <c r="OFX15" s="338"/>
      <c r="OFY15" s="338"/>
      <c r="OFZ15" s="338"/>
      <c r="OGA15" s="338"/>
      <c r="OGB15" s="338"/>
      <c r="OGC15" s="338"/>
      <c r="OGD15" s="338"/>
      <c r="OGE15" s="338"/>
      <c r="OGF15" s="338"/>
      <c r="OGG15" s="338"/>
      <c r="OGH15" s="338"/>
      <c r="OGI15" s="338"/>
      <c r="OGJ15" s="338"/>
      <c r="OGK15" s="338"/>
      <c r="OGL15" s="338"/>
      <c r="OGM15" s="338"/>
      <c r="OGN15" s="338"/>
      <c r="OGO15" s="338"/>
      <c r="OGP15" s="338"/>
      <c r="OGQ15" s="338"/>
      <c r="OGR15" s="338"/>
      <c r="OGS15" s="338"/>
      <c r="OGT15" s="338"/>
      <c r="OGU15" s="338"/>
      <c r="OGV15" s="338"/>
      <c r="OGW15" s="338"/>
      <c r="OGX15" s="338"/>
      <c r="OGY15" s="338"/>
      <c r="OGZ15" s="338"/>
      <c r="OHA15" s="338"/>
      <c r="OHB15" s="338"/>
      <c r="OHC15" s="338"/>
      <c r="OHD15" s="338"/>
      <c r="OHE15" s="338"/>
      <c r="OHF15" s="338"/>
      <c r="OHG15" s="338"/>
      <c r="OHH15" s="338"/>
      <c r="OHI15" s="338"/>
      <c r="OHJ15" s="338"/>
      <c r="OHK15" s="338"/>
      <c r="OHL15" s="338"/>
      <c r="OHM15" s="338"/>
      <c r="OHN15" s="338"/>
      <c r="OHO15" s="338"/>
      <c r="OHP15" s="338"/>
      <c r="OHQ15" s="338"/>
      <c r="OHR15" s="338"/>
      <c r="OHS15" s="338"/>
      <c r="OHT15" s="338"/>
      <c r="OHU15" s="338"/>
      <c r="OHV15" s="338"/>
      <c r="OHW15" s="338"/>
      <c r="OHX15" s="338"/>
      <c r="OHY15" s="338"/>
      <c r="OHZ15" s="338"/>
      <c r="OIA15" s="338"/>
      <c r="OIB15" s="338"/>
      <c r="OIC15" s="338"/>
      <c r="OID15" s="338"/>
      <c r="OIE15" s="338"/>
      <c r="OIF15" s="338"/>
      <c r="OIG15" s="338"/>
      <c r="OIH15" s="338"/>
      <c r="OII15" s="338"/>
      <c r="OIJ15" s="338"/>
      <c r="OIK15" s="338"/>
      <c r="OIL15" s="338"/>
      <c r="OIM15" s="338"/>
      <c r="OIN15" s="338"/>
      <c r="OIO15" s="338"/>
      <c r="OIP15" s="338"/>
      <c r="OIQ15" s="338"/>
      <c r="OIR15" s="338"/>
      <c r="OIS15" s="338"/>
      <c r="OIT15" s="338"/>
      <c r="OIU15" s="338"/>
      <c r="OIV15" s="338"/>
      <c r="OIW15" s="338"/>
      <c r="OIX15" s="338"/>
      <c r="OIY15" s="338"/>
      <c r="OIZ15" s="338"/>
      <c r="OJA15" s="338"/>
      <c r="OJB15" s="338"/>
      <c r="OJC15" s="338"/>
      <c r="OJD15" s="338"/>
      <c r="OJE15" s="338"/>
      <c r="OJF15" s="338"/>
      <c r="OJG15" s="338"/>
      <c r="OJH15" s="338"/>
      <c r="OJI15" s="338"/>
      <c r="OJJ15" s="338"/>
      <c r="OJK15" s="338"/>
      <c r="OJL15" s="338"/>
      <c r="OJM15" s="338"/>
      <c r="OJN15" s="338"/>
      <c r="OJO15" s="338"/>
      <c r="OJP15" s="338"/>
      <c r="OJQ15" s="338"/>
      <c r="OJR15" s="338"/>
      <c r="OJS15" s="338"/>
      <c r="OJT15" s="338"/>
      <c r="OJU15" s="338"/>
      <c r="OJV15" s="338"/>
      <c r="OJW15" s="338"/>
      <c r="OJX15" s="338"/>
      <c r="OJY15" s="338"/>
      <c r="OJZ15" s="338"/>
      <c r="OKA15" s="338"/>
      <c r="OKB15" s="338"/>
      <c r="OKC15" s="338"/>
      <c r="OKD15" s="338"/>
      <c r="OKE15" s="338"/>
      <c r="OKF15" s="338"/>
      <c r="OKG15" s="338"/>
      <c r="OKH15" s="338"/>
      <c r="OKI15" s="338"/>
      <c r="OKJ15" s="338"/>
      <c r="OKK15" s="338"/>
      <c r="OKL15" s="338"/>
      <c r="OKM15" s="338"/>
      <c r="OKN15" s="338"/>
      <c r="OKO15" s="338"/>
      <c r="OKP15" s="338"/>
      <c r="OKQ15" s="338"/>
      <c r="OKR15" s="338"/>
      <c r="OKS15" s="338"/>
      <c r="OKT15" s="338"/>
      <c r="OKU15" s="338"/>
      <c r="OKV15" s="338"/>
      <c r="OKW15" s="338"/>
      <c r="OKX15" s="338"/>
      <c r="OKY15" s="338"/>
      <c r="OKZ15" s="338"/>
      <c r="OLA15" s="338"/>
      <c r="OLB15" s="338"/>
      <c r="OLC15" s="338"/>
      <c r="OLD15" s="338"/>
      <c r="OLE15" s="338"/>
      <c r="OLF15" s="338"/>
      <c r="OLG15" s="338"/>
      <c r="OLH15" s="338"/>
      <c r="OLI15" s="338"/>
      <c r="OLJ15" s="338"/>
      <c r="OLK15" s="338"/>
      <c r="OLL15" s="338"/>
      <c r="OLM15" s="338"/>
      <c r="OLN15" s="338"/>
      <c r="OLO15" s="338"/>
      <c r="OLP15" s="338"/>
      <c r="OLQ15" s="338"/>
      <c r="OLR15" s="338"/>
      <c r="OLS15" s="338"/>
      <c r="OLT15" s="338"/>
      <c r="OLU15" s="338"/>
      <c r="OLV15" s="338"/>
      <c r="OLW15" s="338"/>
      <c r="OLX15" s="338"/>
      <c r="OLY15" s="338"/>
      <c r="OLZ15" s="338"/>
      <c r="OMA15" s="338"/>
      <c r="OMB15" s="338"/>
      <c r="OMC15" s="338"/>
      <c r="OMD15" s="338"/>
      <c r="OME15" s="338"/>
      <c r="OMF15" s="338"/>
      <c r="OMG15" s="338"/>
      <c r="OMH15" s="338"/>
      <c r="OMI15" s="338"/>
      <c r="OMJ15" s="338"/>
      <c r="OMK15" s="338"/>
      <c r="OML15" s="338"/>
      <c r="OMM15" s="338"/>
      <c r="OMN15" s="338"/>
      <c r="OMO15" s="338"/>
      <c r="OMP15" s="338"/>
      <c r="OMQ15" s="338"/>
      <c r="OMR15" s="338"/>
      <c r="OMS15" s="338"/>
      <c r="OMT15" s="338"/>
      <c r="OMU15" s="338"/>
      <c r="OMV15" s="338"/>
      <c r="OMW15" s="338"/>
      <c r="OMX15" s="338"/>
      <c r="OMY15" s="338"/>
      <c r="OMZ15" s="338"/>
      <c r="ONA15" s="338"/>
      <c r="ONB15" s="338"/>
      <c r="ONC15" s="338"/>
      <c r="OND15" s="338"/>
      <c r="ONE15" s="338"/>
      <c r="ONF15" s="338"/>
      <c r="ONG15" s="338"/>
      <c r="ONH15" s="338"/>
      <c r="ONI15" s="338"/>
      <c r="ONJ15" s="338"/>
      <c r="ONK15" s="338"/>
      <c r="ONL15" s="338"/>
      <c r="ONM15" s="338"/>
      <c r="ONN15" s="338"/>
      <c r="ONO15" s="338"/>
      <c r="ONP15" s="338"/>
      <c r="ONQ15" s="338"/>
      <c r="ONR15" s="338"/>
      <c r="ONS15" s="338"/>
      <c r="ONT15" s="338"/>
      <c r="ONU15" s="338"/>
      <c r="ONV15" s="338"/>
      <c r="ONW15" s="338"/>
      <c r="ONX15" s="338"/>
      <c r="ONY15" s="338"/>
      <c r="ONZ15" s="338"/>
      <c r="OOA15" s="338"/>
      <c r="OOB15" s="338"/>
      <c r="OOC15" s="338"/>
      <c r="OOD15" s="338"/>
      <c r="OOE15" s="338"/>
      <c r="OOF15" s="338"/>
      <c r="OOG15" s="338"/>
      <c r="OOH15" s="338"/>
      <c r="OOI15" s="338"/>
      <c r="OOJ15" s="338"/>
      <c r="OOK15" s="338"/>
      <c r="OOL15" s="338"/>
      <c r="OOM15" s="338"/>
      <c r="OON15" s="338"/>
      <c r="OOO15" s="338"/>
      <c r="OOP15" s="338"/>
      <c r="OOQ15" s="338"/>
      <c r="OOR15" s="338"/>
      <c r="OOS15" s="338"/>
      <c r="OOT15" s="338"/>
      <c r="OOU15" s="338"/>
      <c r="OOV15" s="338"/>
      <c r="OOW15" s="338"/>
      <c r="OOX15" s="338"/>
      <c r="OOY15" s="338"/>
      <c r="OOZ15" s="338"/>
      <c r="OPA15" s="338"/>
      <c r="OPB15" s="338"/>
      <c r="OPC15" s="338"/>
      <c r="OPD15" s="338"/>
      <c r="OPE15" s="338"/>
      <c r="OPF15" s="338"/>
      <c r="OPG15" s="338"/>
      <c r="OPH15" s="338"/>
      <c r="OPI15" s="338"/>
      <c r="OPJ15" s="338"/>
      <c r="OPK15" s="338"/>
      <c r="OPL15" s="338"/>
      <c r="OPM15" s="338"/>
      <c r="OPN15" s="338"/>
      <c r="OPO15" s="338"/>
      <c r="OPP15" s="338"/>
      <c r="OPQ15" s="338"/>
      <c r="OPR15" s="338"/>
      <c r="OPS15" s="338"/>
      <c r="OPT15" s="338"/>
      <c r="OPU15" s="338"/>
      <c r="OPV15" s="338"/>
      <c r="OPW15" s="338"/>
      <c r="OPX15" s="338"/>
      <c r="OPY15" s="338"/>
      <c r="OPZ15" s="338"/>
      <c r="OQA15" s="338"/>
      <c r="OQB15" s="338"/>
      <c r="OQC15" s="338"/>
      <c r="OQD15" s="338"/>
      <c r="OQE15" s="338"/>
      <c r="OQF15" s="338"/>
      <c r="OQG15" s="338"/>
      <c r="OQH15" s="338"/>
      <c r="OQI15" s="338"/>
      <c r="OQJ15" s="338"/>
      <c r="OQK15" s="338"/>
      <c r="OQL15" s="338"/>
      <c r="OQM15" s="338"/>
      <c r="OQN15" s="338"/>
      <c r="OQO15" s="338"/>
      <c r="OQP15" s="338"/>
      <c r="OQQ15" s="338"/>
      <c r="OQR15" s="338"/>
      <c r="OQS15" s="338"/>
      <c r="OQT15" s="338"/>
      <c r="OQU15" s="338"/>
      <c r="OQV15" s="338"/>
      <c r="OQW15" s="338"/>
      <c r="OQX15" s="338"/>
      <c r="OQY15" s="338"/>
      <c r="OQZ15" s="338"/>
      <c r="ORA15" s="338"/>
      <c r="ORB15" s="338"/>
      <c r="ORC15" s="338"/>
      <c r="ORD15" s="338"/>
      <c r="ORE15" s="338"/>
      <c r="ORF15" s="338"/>
      <c r="ORG15" s="338"/>
      <c r="ORH15" s="338"/>
      <c r="ORI15" s="338"/>
      <c r="ORJ15" s="338"/>
      <c r="ORK15" s="338"/>
      <c r="ORL15" s="338"/>
      <c r="ORM15" s="338"/>
      <c r="ORN15" s="338"/>
      <c r="ORO15" s="338"/>
      <c r="ORP15" s="338"/>
      <c r="ORQ15" s="338"/>
      <c r="ORR15" s="338"/>
      <c r="ORS15" s="338"/>
      <c r="ORT15" s="338"/>
      <c r="ORU15" s="338"/>
      <c r="ORV15" s="338"/>
      <c r="ORW15" s="338"/>
      <c r="ORX15" s="338"/>
      <c r="ORY15" s="338"/>
      <c r="ORZ15" s="338"/>
      <c r="OSA15" s="338"/>
      <c r="OSB15" s="338"/>
      <c r="OSC15" s="338"/>
      <c r="OSD15" s="338"/>
      <c r="OSE15" s="338"/>
      <c r="OSF15" s="338"/>
      <c r="OSG15" s="338"/>
      <c r="OSH15" s="338"/>
      <c r="OSI15" s="338"/>
      <c r="OSJ15" s="338"/>
      <c r="OSK15" s="338"/>
      <c r="OSL15" s="338"/>
      <c r="OSM15" s="338"/>
      <c r="OSN15" s="338"/>
      <c r="OSO15" s="338"/>
      <c r="OSP15" s="338"/>
      <c r="OSQ15" s="338"/>
      <c r="OSR15" s="338"/>
      <c r="OSS15" s="338"/>
      <c r="OST15" s="338"/>
      <c r="OSU15" s="338"/>
      <c r="OSV15" s="338"/>
      <c r="OSW15" s="338"/>
      <c r="OSX15" s="338"/>
      <c r="OSY15" s="338"/>
      <c r="OSZ15" s="338"/>
      <c r="OTA15" s="338"/>
      <c r="OTB15" s="338"/>
      <c r="OTC15" s="338"/>
      <c r="OTD15" s="338"/>
      <c r="OTE15" s="338"/>
      <c r="OTF15" s="338"/>
      <c r="OTG15" s="338"/>
      <c r="OTH15" s="338"/>
      <c r="OTI15" s="338"/>
      <c r="OTJ15" s="338"/>
      <c r="OTK15" s="338"/>
      <c r="OTL15" s="338"/>
      <c r="OTM15" s="338"/>
      <c r="OTN15" s="338"/>
      <c r="OTO15" s="338"/>
      <c r="OTP15" s="338"/>
      <c r="OTQ15" s="338"/>
      <c r="OTR15" s="338"/>
      <c r="OTS15" s="338"/>
      <c r="OTT15" s="338"/>
      <c r="OTU15" s="338"/>
      <c r="OTV15" s="338"/>
      <c r="OTW15" s="338"/>
      <c r="OTX15" s="338"/>
      <c r="OTY15" s="338"/>
      <c r="OTZ15" s="338"/>
      <c r="OUA15" s="338"/>
      <c r="OUB15" s="338"/>
      <c r="OUC15" s="338"/>
      <c r="OUD15" s="338"/>
      <c r="OUE15" s="338"/>
      <c r="OUF15" s="338"/>
      <c r="OUG15" s="338"/>
      <c r="OUH15" s="338"/>
      <c r="OUI15" s="338"/>
      <c r="OUJ15" s="338"/>
      <c r="OUK15" s="338"/>
      <c r="OUL15" s="338"/>
      <c r="OUM15" s="338"/>
      <c r="OUN15" s="338"/>
      <c r="OUO15" s="338"/>
      <c r="OUP15" s="338"/>
      <c r="OUQ15" s="338"/>
      <c r="OUR15" s="338"/>
      <c r="OUS15" s="338"/>
      <c r="OUT15" s="338"/>
      <c r="OUU15" s="338"/>
      <c r="OUV15" s="338"/>
      <c r="OUW15" s="338"/>
      <c r="OUX15" s="338"/>
      <c r="OUY15" s="338"/>
      <c r="OUZ15" s="338"/>
      <c r="OVA15" s="338"/>
      <c r="OVB15" s="338"/>
      <c r="OVC15" s="338"/>
      <c r="OVD15" s="338"/>
      <c r="OVE15" s="338"/>
      <c r="OVF15" s="338"/>
      <c r="OVG15" s="338"/>
      <c r="OVH15" s="338"/>
      <c r="OVI15" s="338"/>
      <c r="OVJ15" s="338"/>
      <c r="OVK15" s="338"/>
      <c r="OVL15" s="338"/>
      <c r="OVM15" s="338"/>
      <c r="OVN15" s="338"/>
      <c r="OVO15" s="338"/>
      <c r="OVP15" s="338"/>
      <c r="OVQ15" s="338"/>
      <c r="OVR15" s="338"/>
      <c r="OVS15" s="338"/>
      <c r="OVT15" s="338"/>
      <c r="OVU15" s="338"/>
      <c r="OVV15" s="338"/>
      <c r="OVW15" s="338"/>
      <c r="OVX15" s="338"/>
      <c r="OVY15" s="338"/>
      <c r="OVZ15" s="338"/>
      <c r="OWA15" s="338"/>
      <c r="OWB15" s="338"/>
      <c r="OWC15" s="338"/>
      <c r="OWD15" s="338"/>
      <c r="OWE15" s="338"/>
      <c r="OWF15" s="338"/>
      <c r="OWG15" s="338"/>
      <c r="OWH15" s="338"/>
      <c r="OWI15" s="338"/>
      <c r="OWJ15" s="338"/>
      <c r="OWK15" s="338"/>
      <c r="OWL15" s="338"/>
      <c r="OWM15" s="338"/>
      <c r="OWN15" s="338"/>
      <c r="OWO15" s="338"/>
      <c r="OWP15" s="338"/>
      <c r="OWQ15" s="338"/>
      <c r="OWR15" s="338"/>
      <c r="OWS15" s="338"/>
      <c r="OWT15" s="338"/>
      <c r="OWU15" s="338"/>
      <c r="OWV15" s="338"/>
      <c r="OWW15" s="338"/>
      <c r="OWX15" s="338"/>
      <c r="OWY15" s="338"/>
      <c r="OWZ15" s="338"/>
      <c r="OXA15" s="338"/>
      <c r="OXB15" s="338"/>
      <c r="OXC15" s="338"/>
      <c r="OXD15" s="338"/>
      <c r="OXE15" s="338"/>
      <c r="OXF15" s="338"/>
      <c r="OXG15" s="338"/>
      <c r="OXH15" s="338"/>
      <c r="OXI15" s="338"/>
      <c r="OXJ15" s="338"/>
      <c r="OXK15" s="338"/>
      <c r="OXL15" s="338"/>
      <c r="OXM15" s="338"/>
      <c r="OXN15" s="338"/>
      <c r="OXO15" s="338"/>
      <c r="OXP15" s="338"/>
      <c r="OXQ15" s="338"/>
      <c r="OXR15" s="338"/>
      <c r="OXS15" s="338"/>
      <c r="OXT15" s="338"/>
      <c r="OXU15" s="338"/>
      <c r="OXV15" s="338"/>
      <c r="OXW15" s="338"/>
      <c r="OXX15" s="338"/>
      <c r="OXY15" s="338"/>
      <c r="OXZ15" s="338"/>
      <c r="OYA15" s="338"/>
      <c r="OYB15" s="338"/>
      <c r="OYC15" s="338"/>
      <c r="OYD15" s="338"/>
      <c r="OYE15" s="338"/>
      <c r="OYF15" s="338"/>
      <c r="OYG15" s="338"/>
      <c r="OYH15" s="338"/>
      <c r="OYI15" s="338"/>
      <c r="OYJ15" s="338"/>
      <c r="OYK15" s="338"/>
      <c r="OYL15" s="338"/>
      <c r="OYM15" s="338"/>
      <c r="OYN15" s="338"/>
      <c r="OYO15" s="338"/>
      <c r="OYP15" s="338"/>
      <c r="OYQ15" s="338"/>
      <c r="OYR15" s="338"/>
      <c r="OYS15" s="338"/>
      <c r="OYT15" s="338"/>
      <c r="OYU15" s="338"/>
      <c r="OYV15" s="338"/>
      <c r="OYW15" s="338"/>
      <c r="OYX15" s="338"/>
      <c r="OYY15" s="338"/>
      <c r="OYZ15" s="338"/>
      <c r="OZA15" s="338"/>
      <c r="OZB15" s="338"/>
      <c r="OZC15" s="338"/>
      <c r="OZD15" s="338"/>
      <c r="OZE15" s="338"/>
      <c r="OZF15" s="338"/>
      <c r="OZG15" s="338"/>
      <c r="OZH15" s="338"/>
      <c r="OZI15" s="338"/>
      <c r="OZJ15" s="338"/>
      <c r="OZK15" s="338"/>
      <c r="OZL15" s="338"/>
      <c r="OZM15" s="338"/>
      <c r="OZN15" s="338"/>
      <c r="OZO15" s="338"/>
      <c r="OZP15" s="338"/>
      <c r="OZQ15" s="338"/>
      <c r="OZR15" s="338"/>
      <c r="OZS15" s="338"/>
      <c r="OZT15" s="338"/>
      <c r="OZU15" s="338"/>
      <c r="OZV15" s="338"/>
      <c r="OZW15" s="338"/>
      <c r="OZX15" s="338"/>
      <c r="OZY15" s="338"/>
      <c r="OZZ15" s="338"/>
      <c r="PAA15" s="338"/>
      <c r="PAB15" s="338"/>
      <c r="PAC15" s="338"/>
      <c r="PAD15" s="338"/>
      <c r="PAE15" s="338"/>
      <c r="PAF15" s="338"/>
      <c r="PAG15" s="338"/>
      <c r="PAH15" s="338"/>
      <c r="PAI15" s="338"/>
      <c r="PAJ15" s="338"/>
      <c r="PAK15" s="338"/>
      <c r="PAL15" s="338"/>
      <c r="PAM15" s="338"/>
      <c r="PAN15" s="338"/>
      <c r="PAO15" s="338"/>
      <c r="PAP15" s="338"/>
      <c r="PAQ15" s="338"/>
      <c r="PAR15" s="338"/>
      <c r="PAS15" s="338"/>
      <c r="PAT15" s="338"/>
      <c r="PAU15" s="338"/>
      <c r="PAV15" s="338"/>
      <c r="PAW15" s="338"/>
      <c r="PAX15" s="338"/>
      <c r="PAY15" s="338"/>
      <c r="PAZ15" s="338"/>
      <c r="PBA15" s="338"/>
      <c r="PBB15" s="338"/>
      <c r="PBC15" s="338"/>
      <c r="PBD15" s="338"/>
      <c r="PBE15" s="338"/>
      <c r="PBF15" s="338"/>
      <c r="PBG15" s="338"/>
      <c r="PBH15" s="338"/>
      <c r="PBI15" s="338"/>
      <c r="PBJ15" s="338"/>
      <c r="PBK15" s="338"/>
      <c r="PBL15" s="338"/>
      <c r="PBM15" s="338"/>
      <c r="PBN15" s="338"/>
      <c r="PBO15" s="338"/>
      <c r="PBP15" s="338"/>
      <c r="PBQ15" s="338"/>
      <c r="PBR15" s="338"/>
      <c r="PBS15" s="338"/>
      <c r="PBT15" s="338"/>
      <c r="PBU15" s="338"/>
      <c r="PBV15" s="338"/>
      <c r="PBW15" s="338"/>
      <c r="PBX15" s="338"/>
      <c r="PBY15" s="338"/>
      <c r="PBZ15" s="338"/>
      <c r="PCA15" s="338"/>
      <c r="PCB15" s="338"/>
      <c r="PCC15" s="338"/>
      <c r="PCD15" s="338"/>
      <c r="PCE15" s="338"/>
      <c r="PCF15" s="338"/>
      <c r="PCG15" s="338"/>
      <c r="PCH15" s="338"/>
      <c r="PCI15" s="338"/>
      <c r="PCJ15" s="338"/>
      <c r="PCK15" s="338"/>
      <c r="PCL15" s="338"/>
      <c r="PCM15" s="338"/>
      <c r="PCN15" s="338"/>
      <c r="PCO15" s="338"/>
      <c r="PCP15" s="338"/>
      <c r="PCQ15" s="338"/>
      <c r="PCR15" s="338"/>
      <c r="PCS15" s="338"/>
      <c r="PCT15" s="338"/>
      <c r="PCU15" s="338"/>
      <c r="PCV15" s="338"/>
      <c r="PCW15" s="338"/>
      <c r="PCX15" s="338"/>
      <c r="PCY15" s="338"/>
      <c r="PCZ15" s="338"/>
      <c r="PDA15" s="338"/>
      <c r="PDB15" s="338"/>
      <c r="PDC15" s="338"/>
      <c r="PDD15" s="338"/>
      <c r="PDE15" s="338"/>
      <c r="PDF15" s="338"/>
      <c r="PDG15" s="338"/>
      <c r="PDH15" s="338"/>
      <c r="PDI15" s="338"/>
      <c r="PDJ15" s="338"/>
      <c r="PDK15" s="338"/>
      <c r="PDL15" s="338"/>
      <c r="PDM15" s="338"/>
      <c r="PDN15" s="338"/>
      <c r="PDO15" s="338"/>
      <c r="PDP15" s="338"/>
      <c r="PDQ15" s="338"/>
      <c r="PDR15" s="338"/>
      <c r="PDS15" s="338"/>
      <c r="PDT15" s="338"/>
      <c r="PDU15" s="338"/>
      <c r="PDV15" s="338"/>
      <c r="PDW15" s="338"/>
      <c r="PDX15" s="338"/>
      <c r="PDY15" s="338"/>
      <c r="PDZ15" s="338"/>
      <c r="PEA15" s="338"/>
      <c r="PEB15" s="338"/>
      <c r="PEC15" s="338"/>
      <c r="PED15" s="338"/>
      <c r="PEE15" s="338"/>
      <c r="PEF15" s="338"/>
      <c r="PEG15" s="338"/>
      <c r="PEH15" s="338"/>
      <c r="PEI15" s="338"/>
      <c r="PEJ15" s="338"/>
      <c r="PEK15" s="338"/>
      <c r="PEL15" s="338"/>
      <c r="PEM15" s="338"/>
      <c r="PEN15" s="338"/>
      <c r="PEO15" s="338"/>
      <c r="PEP15" s="338"/>
      <c r="PEQ15" s="338"/>
      <c r="PER15" s="338"/>
      <c r="PES15" s="338"/>
      <c r="PET15" s="338"/>
      <c r="PEU15" s="338"/>
      <c r="PEV15" s="338"/>
      <c r="PEW15" s="338"/>
      <c r="PEX15" s="338"/>
      <c r="PEY15" s="338"/>
      <c r="PEZ15" s="338"/>
      <c r="PFA15" s="338"/>
      <c r="PFB15" s="338"/>
      <c r="PFC15" s="338"/>
      <c r="PFD15" s="338"/>
      <c r="PFE15" s="338"/>
      <c r="PFF15" s="338"/>
      <c r="PFG15" s="338"/>
      <c r="PFH15" s="338"/>
      <c r="PFI15" s="338"/>
      <c r="PFJ15" s="338"/>
      <c r="PFK15" s="338"/>
      <c r="PFL15" s="338"/>
      <c r="PFM15" s="338"/>
      <c r="PFN15" s="338"/>
      <c r="PFO15" s="338"/>
      <c r="PFP15" s="338"/>
      <c r="PFQ15" s="338"/>
      <c r="PFR15" s="338"/>
      <c r="PFS15" s="338"/>
      <c r="PFT15" s="338"/>
      <c r="PFU15" s="338"/>
      <c r="PFV15" s="338"/>
      <c r="PFW15" s="338"/>
      <c r="PFX15" s="338"/>
      <c r="PFY15" s="338"/>
      <c r="PFZ15" s="338"/>
      <c r="PGA15" s="338"/>
      <c r="PGB15" s="338"/>
      <c r="PGC15" s="338"/>
      <c r="PGD15" s="338"/>
      <c r="PGE15" s="338"/>
      <c r="PGF15" s="338"/>
      <c r="PGG15" s="338"/>
      <c r="PGH15" s="338"/>
      <c r="PGI15" s="338"/>
      <c r="PGJ15" s="338"/>
      <c r="PGK15" s="338"/>
      <c r="PGL15" s="338"/>
      <c r="PGM15" s="338"/>
      <c r="PGN15" s="338"/>
      <c r="PGO15" s="338"/>
      <c r="PGP15" s="338"/>
      <c r="PGQ15" s="338"/>
      <c r="PGR15" s="338"/>
      <c r="PGS15" s="338"/>
      <c r="PGT15" s="338"/>
      <c r="PGU15" s="338"/>
      <c r="PGV15" s="338"/>
      <c r="PGW15" s="338"/>
      <c r="PGX15" s="338"/>
      <c r="PGY15" s="338"/>
      <c r="PGZ15" s="338"/>
      <c r="PHA15" s="338"/>
      <c r="PHB15" s="338"/>
      <c r="PHC15" s="338"/>
      <c r="PHD15" s="338"/>
      <c r="PHE15" s="338"/>
      <c r="PHF15" s="338"/>
      <c r="PHG15" s="338"/>
      <c r="PHH15" s="338"/>
      <c r="PHI15" s="338"/>
      <c r="PHJ15" s="338"/>
      <c r="PHK15" s="338"/>
      <c r="PHL15" s="338"/>
      <c r="PHM15" s="338"/>
      <c r="PHN15" s="338"/>
      <c r="PHO15" s="338"/>
      <c r="PHP15" s="338"/>
      <c r="PHQ15" s="338"/>
      <c r="PHR15" s="338"/>
      <c r="PHS15" s="338"/>
      <c r="PHT15" s="338"/>
      <c r="PHU15" s="338"/>
      <c r="PHV15" s="338"/>
      <c r="PHW15" s="338"/>
      <c r="PHX15" s="338"/>
      <c r="PHY15" s="338"/>
      <c r="PHZ15" s="338"/>
      <c r="PIA15" s="338"/>
      <c r="PIB15" s="338"/>
      <c r="PIC15" s="338"/>
      <c r="PID15" s="338"/>
      <c r="PIE15" s="338"/>
      <c r="PIF15" s="338"/>
      <c r="PIG15" s="338"/>
      <c r="PIH15" s="338"/>
      <c r="PII15" s="338"/>
      <c r="PIJ15" s="338"/>
      <c r="PIK15" s="338"/>
      <c r="PIL15" s="338"/>
      <c r="PIM15" s="338"/>
      <c r="PIN15" s="338"/>
      <c r="PIO15" s="338"/>
      <c r="PIP15" s="338"/>
      <c r="PIQ15" s="338"/>
      <c r="PIR15" s="338"/>
      <c r="PIS15" s="338"/>
      <c r="PIT15" s="338"/>
      <c r="PIU15" s="338"/>
      <c r="PIV15" s="338"/>
      <c r="PIW15" s="338"/>
      <c r="PIX15" s="338"/>
      <c r="PIY15" s="338"/>
      <c r="PIZ15" s="338"/>
      <c r="PJA15" s="338"/>
      <c r="PJB15" s="338"/>
      <c r="PJC15" s="338"/>
      <c r="PJD15" s="338"/>
      <c r="PJE15" s="338"/>
      <c r="PJF15" s="338"/>
      <c r="PJG15" s="338"/>
      <c r="PJH15" s="338"/>
      <c r="PJI15" s="338"/>
      <c r="PJJ15" s="338"/>
      <c r="PJK15" s="338"/>
      <c r="PJL15" s="338"/>
      <c r="PJM15" s="338"/>
      <c r="PJN15" s="338"/>
      <c r="PJO15" s="338"/>
      <c r="PJP15" s="338"/>
      <c r="PJQ15" s="338"/>
      <c r="PJR15" s="338"/>
      <c r="PJS15" s="338"/>
      <c r="PJT15" s="338"/>
      <c r="PJU15" s="338"/>
      <c r="PJV15" s="338"/>
      <c r="PJW15" s="338"/>
      <c r="PJX15" s="338"/>
      <c r="PJY15" s="338"/>
      <c r="PJZ15" s="338"/>
      <c r="PKA15" s="338"/>
      <c r="PKB15" s="338"/>
      <c r="PKC15" s="338"/>
      <c r="PKD15" s="338"/>
      <c r="PKE15" s="338"/>
      <c r="PKF15" s="338"/>
      <c r="PKG15" s="338"/>
      <c r="PKH15" s="338"/>
      <c r="PKI15" s="338"/>
      <c r="PKJ15" s="338"/>
      <c r="PKK15" s="338"/>
      <c r="PKL15" s="338"/>
      <c r="PKM15" s="338"/>
      <c r="PKN15" s="338"/>
      <c r="PKO15" s="338"/>
      <c r="PKP15" s="338"/>
      <c r="PKQ15" s="338"/>
      <c r="PKR15" s="338"/>
      <c r="PKS15" s="338"/>
      <c r="PKT15" s="338"/>
      <c r="PKU15" s="338"/>
      <c r="PKV15" s="338"/>
      <c r="PKW15" s="338"/>
      <c r="PKX15" s="338"/>
      <c r="PKY15" s="338"/>
      <c r="PKZ15" s="338"/>
      <c r="PLA15" s="338"/>
      <c r="PLB15" s="338"/>
      <c r="PLC15" s="338"/>
      <c r="PLD15" s="338"/>
      <c r="PLE15" s="338"/>
      <c r="PLF15" s="338"/>
      <c r="PLG15" s="338"/>
      <c r="PLH15" s="338"/>
      <c r="PLI15" s="338"/>
      <c r="PLJ15" s="338"/>
      <c r="PLK15" s="338"/>
      <c r="PLL15" s="338"/>
      <c r="PLM15" s="338"/>
      <c r="PLN15" s="338"/>
      <c r="PLO15" s="338"/>
      <c r="PLP15" s="338"/>
      <c r="PLQ15" s="338"/>
      <c r="PLR15" s="338"/>
      <c r="PLS15" s="338"/>
      <c r="PLT15" s="338"/>
      <c r="PLU15" s="338"/>
      <c r="PLV15" s="338"/>
      <c r="PLW15" s="338"/>
      <c r="PLX15" s="338"/>
      <c r="PLY15" s="338"/>
      <c r="PLZ15" s="338"/>
      <c r="PMA15" s="338"/>
      <c r="PMB15" s="338"/>
      <c r="PMC15" s="338"/>
      <c r="PMD15" s="338"/>
      <c r="PME15" s="338"/>
      <c r="PMF15" s="338"/>
      <c r="PMG15" s="338"/>
      <c r="PMH15" s="338"/>
      <c r="PMI15" s="338"/>
      <c r="PMJ15" s="338"/>
      <c r="PMK15" s="338"/>
      <c r="PML15" s="338"/>
      <c r="PMM15" s="338"/>
      <c r="PMN15" s="338"/>
      <c r="PMO15" s="338"/>
      <c r="PMP15" s="338"/>
      <c r="PMQ15" s="338"/>
      <c r="PMR15" s="338"/>
      <c r="PMS15" s="338"/>
      <c r="PMT15" s="338"/>
      <c r="PMU15" s="338"/>
      <c r="PMV15" s="338"/>
      <c r="PMW15" s="338"/>
      <c r="PMX15" s="338"/>
      <c r="PMY15" s="338"/>
      <c r="PMZ15" s="338"/>
      <c r="PNA15" s="338"/>
      <c r="PNB15" s="338"/>
      <c r="PNC15" s="338"/>
      <c r="PND15" s="338"/>
      <c r="PNE15" s="338"/>
      <c r="PNF15" s="338"/>
      <c r="PNG15" s="338"/>
      <c r="PNH15" s="338"/>
      <c r="PNI15" s="338"/>
      <c r="PNJ15" s="338"/>
      <c r="PNK15" s="338"/>
      <c r="PNL15" s="338"/>
      <c r="PNM15" s="338"/>
      <c r="PNN15" s="338"/>
      <c r="PNO15" s="338"/>
      <c r="PNP15" s="338"/>
      <c r="PNQ15" s="338"/>
      <c r="PNR15" s="338"/>
      <c r="PNS15" s="338"/>
      <c r="PNT15" s="338"/>
      <c r="PNU15" s="338"/>
      <c r="PNV15" s="338"/>
      <c r="PNW15" s="338"/>
      <c r="PNX15" s="338"/>
      <c r="PNY15" s="338"/>
      <c r="PNZ15" s="338"/>
      <c r="POA15" s="338"/>
      <c r="POB15" s="338"/>
      <c r="POC15" s="338"/>
      <c r="POD15" s="338"/>
      <c r="POE15" s="338"/>
      <c r="POF15" s="338"/>
      <c r="POG15" s="338"/>
      <c r="POH15" s="338"/>
      <c r="POI15" s="338"/>
      <c r="POJ15" s="338"/>
      <c r="POK15" s="338"/>
      <c r="POL15" s="338"/>
      <c r="POM15" s="338"/>
      <c r="PON15" s="338"/>
      <c r="POO15" s="338"/>
      <c r="POP15" s="338"/>
      <c r="POQ15" s="338"/>
      <c r="POR15" s="338"/>
      <c r="POS15" s="338"/>
      <c r="POT15" s="338"/>
      <c r="POU15" s="338"/>
      <c r="POV15" s="338"/>
      <c r="POW15" s="338"/>
      <c r="POX15" s="338"/>
      <c r="POY15" s="338"/>
      <c r="POZ15" s="338"/>
      <c r="PPA15" s="338"/>
      <c r="PPB15" s="338"/>
      <c r="PPC15" s="338"/>
      <c r="PPD15" s="338"/>
      <c r="PPE15" s="338"/>
      <c r="PPF15" s="338"/>
      <c r="PPG15" s="338"/>
      <c r="PPH15" s="338"/>
      <c r="PPI15" s="338"/>
      <c r="PPJ15" s="338"/>
      <c r="PPK15" s="338"/>
      <c r="PPL15" s="338"/>
      <c r="PPM15" s="338"/>
      <c r="PPN15" s="338"/>
      <c r="PPO15" s="338"/>
      <c r="PPP15" s="338"/>
      <c r="PPQ15" s="338"/>
      <c r="PPR15" s="338"/>
      <c r="PPS15" s="338"/>
      <c r="PPT15" s="338"/>
      <c r="PPU15" s="338"/>
      <c r="PPV15" s="338"/>
      <c r="PPW15" s="338"/>
      <c r="PPX15" s="338"/>
      <c r="PPY15" s="338"/>
      <c r="PPZ15" s="338"/>
      <c r="PQA15" s="338"/>
      <c r="PQB15" s="338"/>
      <c r="PQC15" s="338"/>
      <c r="PQD15" s="338"/>
      <c r="PQE15" s="338"/>
      <c r="PQF15" s="338"/>
      <c r="PQG15" s="338"/>
      <c r="PQH15" s="338"/>
      <c r="PQI15" s="338"/>
      <c r="PQJ15" s="338"/>
      <c r="PQK15" s="338"/>
      <c r="PQL15" s="338"/>
      <c r="PQM15" s="338"/>
      <c r="PQN15" s="338"/>
      <c r="PQO15" s="338"/>
      <c r="PQP15" s="338"/>
      <c r="PQQ15" s="338"/>
      <c r="PQR15" s="338"/>
      <c r="PQS15" s="338"/>
      <c r="PQT15" s="338"/>
      <c r="PQU15" s="338"/>
      <c r="PQV15" s="338"/>
      <c r="PQW15" s="338"/>
      <c r="PQX15" s="338"/>
      <c r="PQY15" s="338"/>
      <c r="PQZ15" s="338"/>
      <c r="PRA15" s="338"/>
      <c r="PRB15" s="338"/>
      <c r="PRC15" s="338"/>
      <c r="PRD15" s="338"/>
      <c r="PRE15" s="338"/>
      <c r="PRF15" s="338"/>
      <c r="PRG15" s="338"/>
      <c r="PRH15" s="338"/>
      <c r="PRI15" s="338"/>
      <c r="PRJ15" s="338"/>
      <c r="PRK15" s="338"/>
      <c r="PRL15" s="338"/>
      <c r="PRM15" s="338"/>
      <c r="PRN15" s="338"/>
      <c r="PRO15" s="338"/>
      <c r="PRP15" s="338"/>
      <c r="PRQ15" s="338"/>
      <c r="PRR15" s="338"/>
      <c r="PRS15" s="338"/>
      <c r="PRT15" s="338"/>
      <c r="PRU15" s="338"/>
      <c r="PRV15" s="338"/>
      <c r="PRW15" s="338"/>
      <c r="PRX15" s="338"/>
      <c r="PRY15" s="338"/>
      <c r="PRZ15" s="338"/>
      <c r="PSA15" s="338"/>
      <c r="PSB15" s="338"/>
      <c r="PSC15" s="338"/>
      <c r="PSD15" s="338"/>
      <c r="PSE15" s="338"/>
      <c r="PSF15" s="338"/>
      <c r="PSG15" s="338"/>
      <c r="PSH15" s="338"/>
      <c r="PSI15" s="338"/>
      <c r="PSJ15" s="338"/>
      <c r="PSK15" s="338"/>
      <c r="PSL15" s="338"/>
      <c r="PSM15" s="338"/>
      <c r="PSN15" s="338"/>
      <c r="PSO15" s="338"/>
      <c r="PSP15" s="338"/>
      <c r="PSQ15" s="338"/>
      <c r="PSR15" s="338"/>
      <c r="PSS15" s="338"/>
      <c r="PST15" s="338"/>
      <c r="PSU15" s="338"/>
      <c r="PSV15" s="338"/>
      <c r="PSW15" s="338"/>
      <c r="PSX15" s="338"/>
      <c r="PSY15" s="338"/>
      <c r="PSZ15" s="338"/>
      <c r="PTA15" s="338"/>
      <c r="PTB15" s="338"/>
      <c r="PTC15" s="338"/>
      <c r="PTD15" s="338"/>
      <c r="PTE15" s="338"/>
      <c r="PTF15" s="338"/>
      <c r="PTG15" s="338"/>
      <c r="PTH15" s="338"/>
      <c r="PTI15" s="338"/>
      <c r="PTJ15" s="338"/>
      <c r="PTK15" s="338"/>
      <c r="PTL15" s="338"/>
      <c r="PTM15" s="338"/>
      <c r="PTN15" s="338"/>
      <c r="PTO15" s="338"/>
      <c r="PTP15" s="338"/>
      <c r="PTQ15" s="338"/>
      <c r="PTR15" s="338"/>
      <c r="PTS15" s="338"/>
      <c r="PTT15" s="338"/>
      <c r="PTU15" s="338"/>
      <c r="PTV15" s="338"/>
      <c r="PTW15" s="338"/>
      <c r="PTX15" s="338"/>
      <c r="PTY15" s="338"/>
      <c r="PTZ15" s="338"/>
      <c r="PUA15" s="338"/>
      <c r="PUB15" s="338"/>
      <c r="PUC15" s="338"/>
      <c r="PUD15" s="338"/>
      <c r="PUE15" s="338"/>
      <c r="PUF15" s="338"/>
      <c r="PUG15" s="338"/>
      <c r="PUH15" s="338"/>
      <c r="PUI15" s="338"/>
      <c r="PUJ15" s="338"/>
      <c r="PUK15" s="338"/>
      <c r="PUL15" s="338"/>
      <c r="PUM15" s="338"/>
      <c r="PUN15" s="338"/>
      <c r="PUO15" s="338"/>
      <c r="PUP15" s="338"/>
      <c r="PUQ15" s="338"/>
      <c r="PUR15" s="338"/>
      <c r="PUS15" s="338"/>
      <c r="PUT15" s="338"/>
      <c r="PUU15" s="338"/>
      <c r="PUV15" s="338"/>
      <c r="PUW15" s="338"/>
      <c r="PUX15" s="338"/>
      <c r="PUY15" s="338"/>
      <c r="PUZ15" s="338"/>
      <c r="PVA15" s="338"/>
      <c r="PVB15" s="338"/>
      <c r="PVC15" s="338"/>
      <c r="PVD15" s="338"/>
      <c r="PVE15" s="338"/>
      <c r="PVF15" s="338"/>
      <c r="PVG15" s="338"/>
      <c r="PVH15" s="338"/>
      <c r="PVI15" s="338"/>
      <c r="PVJ15" s="338"/>
      <c r="PVK15" s="338"/>
      <c r="PVL15" s="338"/>
      <c r="PVM15" s="338"/>
      <c r="PVN15" s="338"/>
      <c r="PVO15" s="338"/>
      <c r="PVP15" s="338"/>
      <c r="PVQ15" s="338"/>
      <c r="PVR15" s="338"/>
      <c r="PVS15" s="338"/>
      <c r="PVT15" s="338"/>
      <c r="PVU15" s="338"/>
      <c r="PVV15" s="338"/>
      <c r="PVW15" s="338"/>
      <c r="PVX15" s="338"/>
      <c r="PVY15" s="338"/>
      <c r="PVZ15" s="338"/>
      <c r="PWA15" s="338"/>
      <c r="PWB15" s="338"/>
      <c r="PWC15" s="338"/>
      <c r="PWD15" s="338"/>
      <c r="PWE15" s="338"/>
      <c r="PWF15" s="338"/>
      <c r="PWG15" s="338"/>
      <c r="PWH15" s="338"/>
      <c r="PWI15" s="338"/>
      <c r="PWJ15" s="338"/>
      <c r="PWK15" s="338"/>
      <c r="PWL15" s="338"/>
      <c r="PWM15" s="338"/>
      <c r="PWN15" s="338"/>
      <c r="PWO15" s="338"/>
      <c r="PWP15" s="338"/>
      <c r="PWQ15" s="338"/>
      <c r="PWR15" s="338"/>
      <c r="PWS15" s="338"/>
      <c r="PWT15" s="338"/>
      <c r="PWU15" s="338"/>
      <c r="PWV15" s="338"/>
      <c r="PWW15" s="338"/>
      <c r="PWX15" s="338"/>
      <c r="PWY15" s="338"/>
      <c r="PWZ15" s="338"/>
      <c r="PXA15" s="338"/>
      <c r="PXB15" s="338"/>
      <c r="PXC15" s="338"/>
      <c r="PXD15" s="338"/>
      <c r="PXE15" s="338"/>
      <c r="PXF15" s="338"/>
      <c r="PXG15" s="338"/>
      <c r="PXH15" s="338"/>
      <c r="PXI15" s="338"/>
      <c r="PXJ15" s="338"/>
      <c r="PXK15" s="338"/>
      <c r="PXL15" s="338"/>
      <c r="PXM15" s="338"/>
      <c r="PXN15" s="338"/>
      <c r="PXO15" s="338"/>
      <c r="PXP15" s="338"/>
      <c r="PXQ15" s="338"/>
      <c r="PXR15" s="338"/>
      <c r="PXS15" s="338"/>
      <c r="PXT15" s="338"/>
      <c r="PXU15" s="338"/>
      <c r="PXV15" s="338"/>
      <c r="PXW15" s="338"/>
      <c r="PXX15" s="338"/>
      <c r="PXY15" s="338"/>
      <c r="PXZ15" s="338"/>
      <c r="PYA15" s="338"/>
      <c r="PYB15" s="338"/>
      <c r="PYC15" s="338"/>
      <c r="PYD15" s="338"/>
      <c r="PYE15" s="338"/>
      <c r="PYF15" s="338"/>
      <c r="PYG15" s="338"/>
      <c r="PYH15" s="338"/>
      <c r="PYI15" s="338"/>
      <c r="PYJ15" s="338"/>
      <c r="PYK15" s="338"/>
      <c r="PYL15" s="338"/>
      <c r="PYM15" s="338"/>
      <c r="PYN15" s="338"/>
      <c r="PYO15" s="338"/>
      <c r="PYP15" s="338"/>
      <c r="PYQ15" s="338"/>
      <c r="PYR15" s="338"/>
      <c r="PYS15" s="338"/>
      <c r="PYT15" s="338"/>
      <c r="PYU15" s="338"/>
      <c r="PYV15" s="338"/>
      <c r="PYW15" s="338"/>
      <c r="PYX15" s="338"/>
      <c r="PYY15" s="338"/>
      <c r="PYZ15" s="338"/>
      <c r="PZA15" s="338"/>
      <c r="PZB15" s="338"/>
      <c r="PZC15" s="338"/>
      <c r="PZD15" s="338"/>
      <c r="PZE15" s="338"/>
      <c r="PZF15" s="338"/>
      <c r="PZG15" s="338"/>
      <c r="PZH15" s="338"/>
      <c r="PZI15" s="338"/>
      <c r="PZJ15" s="338"/>
      <c r="PZK15" s="338"/>
      <c r="PZL15" s="338"/>
      <c r="PZM15" s="338"/>
      <c r="PZN15" s="338"/>
      <c r="PZO15" s="338"/>
      <c r="PZP15" s="338"/>
      <c r="PZQ15" s="338"/>
      <c r="PZR15" s="338"/>
      <c r="PZS15" s="338"/>
      <c r="PZT15" s="338"/>
      <c r="PZU15" s="338"/>
      <c r="PZV15" s="338"/>
      <c r="PZW15" s="338"/>
      <c r="PZX15" s="338"/>
      <c r="PZY15" s="338"/>
      <c r="PZZ15" s="338"/>
      <c r="QAA15" s="338"/>
      <c r="QAB15" s="338"/>
      <c r="QAC15" s="338"/>
      <c r="QAD15" s="338"/>
      <c r="QAE15" s="338"/>
      <c r="QAF15" s="338"/>
      <c r="QAG15" s="338"/>
      <c r="QAH15" s="338"/>
      <c r="QAI15" s="338"/>
      <c r="QAJ15" s="338"/>
      <c r="QAK15" s="338"/>
      <c r="QAL15" s="338"/>
      <c r="QAM15" s="338"/>
      <c r="QAN15" s="338"/>
      <c r="QAO15" s="338"/>
      <c r="QAP15" s="338"/>
      <c r="QAQ15" s="338"/>
      <c r="QAR15" s="338"/>
      <c r="QAS15" s="338"/>
      <c r="QAT15" s="338"/>
      <c r="QAU15" s="338"/>
      <c r="QAV15" s="338"/>
      <c r="QAW15" s="338"/>
      <c r="QAX15" s="338"/>
      <c r="QAY15" s="338"/>
      <c r="QAZ15" s="338"/>
      <c r="QBA15" s="338"/>
      <c r="QBB15" s="338"/>
      <c r="QBC15" s="338"/>
      <c r="QBD15" s="338"/>
      <c r="QBE15" s="338"/>
      <c r="QBF15" s="338"/>
      <c r="QBG15" s="338"/>
      <c r="QBH15" s="338"/>
      <c r="QBI15" s="338"/>
      <c r="QBJ15" s="338"/>
      <c r="QBK15" s="338"/>
      <c r="QBL15" s="338"/>
      <c r="QBM15" s="338"/>
      <c r="QBN15" s="338"/>
      <c r="QBO15" s="338"/>
      <c r="QBP15" s="338"/>
      <c r="QBQ15" s="338"/>
      <c r="QBR15" s="338"/>
      <c r="QBS15" s="338"/>
      <c r="QBT15" s="338"/>
      <c r="QBU15" s="338"/>
      <c r="QBV15" s="338"/>
      <c r="QBW15" s="338"/>
      <c r="QBX15" s="338"/>
      <c r="QBY15" s="338"/>
      <c r="QBZ15" s="338"/>
      <c r="QCA15" s="338"/>
      <c r="QCB15" s="338"/>
      <c r="QCC15" s="338"/>
      <c r="QCD15" s="338"/>
      <c r="QCE15" s="338"/>
      <c r="QCF15" s="338"/>
      <c r="QCG15" s="338"/>
      <c r="QCH15" s="338"/>
      <c r="QCI15" s="338"/>
      <c r="QCJ15" s="338"/>
      <c r="QCK15" s="338"/>
      <c r="QCL15" s="338"/>
      <c r="QCM15" s="338"/>
      <c r="QCN15" s="338"/>
      <c r="QCO15" s="338"/>
      <c r="QCP15" s="338"/>
      <c r="QCQ15" s="338"/>
      <c r="QCR15" s="338"/>
      <c r="QCS15" s="338"/>
      <c r="QCT15" s="338"/>
      <c r="QCU15" s="338"/>
      <c r="QCV15" s="338"/>
      <c r="QCW15" s="338"/>
      <c r="QCX15" s="338"/>
      <c r="QCY15" s="338"/>
      <c r="QCZ15" s="338"/>
      <c r="QDA15" s="338"/>
      <c r="QDB15" s="338"/>
      <c r="QDC15" s="338"/>
      <c r="QDD15" s="338"/>
      <c r="QDE15" s="338"/>
      <c r="QDF15" s="338"/>
      <c r="QDG15" s="338"/>
      <c r="QDH15" s="338"/>
      <c r="QDI15" s="338"/>
      <c r="QDJ15" s="338"/>
      <c r="QDK15" s="338"/>
      <c r="QDL15" s="338"/>
      <c r="QDM15" s="338"/>
      <c r="QDN15" s="338"/>
      <c r="QDO15" s="338"/>
      <c r="QDP15" s="338"/>
      <c r="QDQ15" s="338"/>
      <c r="QDR15" s="338"/>
      <c r="QDS15" s="338"/>
      <c r="QDT15" s="338"/>
      <c r="QDU15" s="338"/>
      <c r="QDV15" s="338"/>
      <c r="QDW15" s="338"/>
      <c r="QDX15" s="338"/>
      <c r="QDY15" s="338"/>
      <c r="QDZ15" s="338"/>
      <c r="QEA15" s="338"/>
      <c r="QEB15" s="338"/>
      <c r="QEC15" s="338"/>
      <c r="QED15" s="338"/>
      <c r="QEE15" s="338"/>
      <c r="QEF15" s="338"/>
      <c r="QEG15" s="338"/>
      <c r="QEH15" s="338"/>
      <c r="QEI15" s="338"/>
      <c r="QEJ15" s="338"/>
      <c r="QEK15" s="338"/>
      <c r="QEL15" s="338"/>
      <c r="QEM15" s="338"/>
      <c r="QEN15" s="338"/>
      <c r="QEO15" s="338"/>
      <c r="QEP15" s="338"/>
      <c r="QEQ15" s="338"/>
      <c r="QER15" s="338"/>
      <c r="QES15" s="338"/>
      <c r="QET15" s="338"/>
      <c r="QEU15" s="338"/>
      <c r="QEV15" s="338"/>
      <c r="QEW15" s="338"/>
      <c r="QEX15" s="338"/>
      <c r="QEY15" s="338"/>
      <c r="QEZ15" s="338"/>
      <c r="QFA15" s="338"/>
      <c r="QFB15" s="338"/>
      <c r="QFC15" s="338"/>
      <c r="QFD15" s="338"/>
      <c r="QFE15" s="338"/>
      <c r="QFF15" s="338"/>
      <c r="QFG15" s="338"/>
      <c r="QFH15" s="338"/>
      <c r="QFI15" s="338"/>
      <c r="QFJ15" s="338"/>
      <c r="QFK15" s="338"/>
      <c r="QFL15" s="338"/>
      <c r="QFM15" s="338"/>
      <c r="QFN15" s="338"/>
      <c r="QFO15" s="338"/>
      <c r="QFP15" s="338"/>
      <c r="QFQ15" s="338"/>
      <c r="QFR15" s="338"/>
      <c r="QFS15" s="338"/>
      <c r="QFT15" s="338"/>
      <c r="QFU15" s="338"/>
      <c r="QFV15" s="338"/>
      <c r="QFW15" s="338"/>
      <c r="QFX15" s="338"/>
      <c r="QFY15" s="338"/>
      <c r="QFZ15" s="338"/>
      <c r="QGA15" s="338"/>
      <c r="QGB15" s="338"/>
      <c r="QGC15" s="338"/>
      <c r="QGD15" s="338"/>
      <c r="QGE15" s="338"/>
      <c r="QGF15" s="338"/>
      <c r="QGG15" s="338"/>
      <c r="QGH15" s="338"/>
      <c r="QGI15" s="338"/>
      <c r="QGJ15" s="338"/>
      <c r="QGK15" s="338"/>
      <c r="QGL15" s="338"/>
      <c r="QGM15" s="338"/>
      <c r="QGN15" s="338"/>
      <c r="QGO15" s="338"/>
      <c r="QGP15" s="338"/>
      <c r="QGQ15" s="338"/>
      <c r="QGR15" s="338"/>
      <c r="QGS15" s="338"/>
      <c r="QGT15" s="338"/>
      <c r="QGU15" s="338"/>
      <c r="QGV15" s="338"/>
      <c r="QGW15" s="338"/>
      <c r="QGX15" s="338"/>
      <c r="QGY15" s="338"/>
      <c r="QGZ15" s="338"/>
      <c r="QHA15" s="338"/>
      <c r="QHB15" s="338"/>
      <c r="QHC15" s="338"/>
      <c r="QHD15" s="338"/>
      <c r="QHE15" s="338"/>
      <c r="QHF15" s="338"/>
      <c r="QHG15" s="338"/>
      <c r="QHH15" s="338"/>
      <c r="QHI15" s="338"/>
      <c r="QHJ15" s="338"/>
      <c r="QHK15" s="338"/>
      <c r="QHL15" s="338"/>
      <c r="QHM15" s="338"/>
      <c r="QHN15" s="338"/>
      <c r="QHO15" s="338"/>
      <c r="QHP15" s="338"/>
      <c r="QHQ15" s="338"/>
      <c r="QHR15" s="338"/>
      <c r="QHS15" s="338"/>
      <c r="QHT15" s="338"/>
      <c r="QHU15" s="338"/>
      <c r="QHV15" s="338"/>
      <c r="QHW15" s="338"/>
      <c r="QHX15" s="338"/>
      <c r="QHY15" s="338"/>
      <c r="QHZ15" s="338"/>
      <c r="QIA15" s="338"/>
      <c r="QIB15" s="338"/>
      <c r="QIC15" s="338"/>
      <c r="QID15" s="338"/>
      <c r="QIE15" s="338"/>
      <c r="QIF15" s="338"/>
      <c r="QIG15" s="338"/>
      <c r="QIH15" s="338"/>
      <c r="QII15" s="338"/>
      <c r="QIJ15" s="338"/>
      <c r="QIK15" s="338"/>
      <c r="QIL15" s="338"/>
      <c r="QIM15" s="338"/>
      <c r="QIN15" s="338"/>
      <c r="QIO15" s="338"/>
      <c r="QIP15" s="338"/>
      <c r="QIQ15" s="338"/>
      <c r="QIR15" s="338"/>
      <c r="QIS15" s="338"/>
      <c r="QIT15" s="338"/>
      <c r="QIU15" s="338"/>
      <c r="QIV15" s="338"/>
      <c r="QIW15" s="338"/>
      <c r="QIX15" s="338"/>
      <c r="QIY15" s="338"/>
      <c r="QIZ15" s="338"/>
      <c r="QJA15" s="338"/>
      <c r="QJB15" s="338"/>
      <c r="QJC15" s="338"/>
      <c r="QJD15" s="338"/>
      <c r="QJE15" s="338"/>
      <c r="QJF15" s="338"/>
      <c r="QJG15" s="338"/>
      <c r="QJH15" s="338"/>
      <c r="QJI15" s="338"/>
      <c r="QJJ15" s="338"/>
      <c r="QJK15" s="338"/>
      <c r="QJL15" s="338"/>
      <c r="QJM15" s="338"/>
      <c r="QJN15" s="338"/>
      <c r="QJO15" s="338"/>
      <c r="QJP15" s="338"/>
      <c r="QJQ15" s="338"/>
      <c r="QJR15" s="338"/>
      <c r="QJS15" s="338"/>
      <c r="QJT15" s="338"/>
      <c r="QJU15" s="338"/>
      <c r="QJV15" s="338"/>
      <c r="QJW15" s="338"/>
      <c r="QJX15" s="338"/>
      <c r="QJY15" s="338"/>
      <c r="QJZ15" s="338"/>
      <c r="QKA15" s="338"/>
      <c r="QKB15" s="338"/>
      <c r="QKC15" s="338"/>
      <c r="QKD15" s="338"/>
      <c r="QKE15" s="338"/>
      <c r="QKF15" s="338"/>
      <c r="QKG15" s="338"/>
      <c r="QKH15" s="338"/>
      <c r="QKI15" s="338"/>
      <c r="QKJ15" s="338"/>
      <c r="QKK15" s="338"/>
      <c r="QKL15" s="338"/>
      <c r="QKM15" s="338"/>
      <c r="QKN15" s="338"/>
      <c r="QKO15" s="338"/>
      <c r="QKP15" s="338"/>
      <c r="QKQ15" s="338"/>
      <c r="QKR15" s="338"/>
      <c r="QKS15" s="338"/>
      <c r="QKT15" s="338"/>
      <c r="QKU15" s="338"/>
      <c r="QKV15" s="338"/>
      <c r="QKW15" s="338"/>
      <c r="QKX15" s="338"/>
      <c r="QKY15" s="338"/>
      <c r="QKZ15" s="338"/>
      <c r="QLA15" s="338"/>
      <c r="QLB15" s="338"/>
      <c r="QLC15" s="338"/>
      <c r="QLD15" s="338"/>
      <c r="QLE15" s="338"/>
      <c r="QLF15" s="338"/>
      <c r="QLG15" s="338"/>
      <c r="QLH15" s="338"/>
      <c r="QLI15" s="338"/>
      <c r="QLJ15" s="338"/>
      <c r="QLK15" s="338"/>
      <c r="QLL15" s="338"/>
      <c r="QLM15" s="338"/>
      <c r="QLN15" s="338"/>
      <c r="QLO15" s="338"/>
      <c r="QLP15" s="338"/>
      <c r="QLQ15" s="338"/>
      <c r="QLR15" s="338"/>
      <c r="QLS15" s="338"/>
      <c r="QLT15" s="338"/>
      <c r="QLU15" s="338"/>
      <c r="QLV15" s="338"/>
      <c r="QLW15" s="338"/>
      <c r="QLX15" s="338"/>
      <c r="QLY15" s="338"/>
      <c r="QLZ15" s="338"/>
      <c r="QMA15" s="338"/>
      <c r="QMB15" s="338"/>
      <c r="QMC15" s="338"/>
      <c r="QMD15" s="338"/>
      <c r="QME15" s="338"/>
      <c r="QMF15" s="338"/>
      <c r="QMG15" s="338"/>
      <c r="QMH15" s="338"/>
      <c r="QMI15" s="338"/>
      <c r="QMJ15" s="338"/>
      <c r="QMK15" s="338"/>
      <c r="QML15" s="338"/>
      <c r="QMM15" s="338"/>
      <c r="QMN15" s="338"/>
      <c r="QMO15" s="338"/>
      <c r="QMP15" s="338"/>
      <c r="QMQ15" s="338"/>
      <c r="QMR15" s="338"/>
      <c r="QMS15" s="338"/>
      <c r="QMT15" s="338"/>
      <c r="QMU15" s="338"/>
      <c r="QMV15" s="338"/>
      <c r="QMW15" s="338"/>
      <c r="QMX15" s="338"/>
      <c r="QMY15" s="338"/>
      <c r="QMZ15" s="338"/>
      <c r="QNA15" s="338"/>
      <c r="QNB15" s="338"/>
      <c r="QNC15" s="338"/>
      <c r="QND15" s="338"/>
      <c r="QNE15" s="338"/>
      <c r="QNF15" s="338"/>
      <c r="QNG15" s="338"/>
      <c r="QNH15" s="338"/>
      <c r="QNI15" s="338"/>
      <c r="QNJ15" s="338"/>
      <c r="QNK15" s="338"/>
      <c r="QNL15" s="338"/>
      <c r="QNM15" s="338"/>
      <c r="QNN15" s="338"/>
      <c r="QNO15" s="338"/>
      <c r="QNP15" s="338"/>
      <c r="QNQ15" s="338"/>
      <c r="QNR15" s="338"/>
      <c r="QNS15" s="338"/>
      <c r="QNT15" s="338"/>
      <c r="QNU15" s="338"/>
      <c r="QNV15" s="338"/>
      <c r="QNW15" s="338"/>
      <c r="QNX15" s="338"/>
      <c r="QNY15" s="338"/>
      <c r="QNZ15" s="338"/>
      <c r="QOA15" s="338"/>
      <c r="QOB15" s="338"/>
      <c r="QOC15" s="338"/>
      <c r="QOD15" s="338"/>
      <c r="QOE15" s="338"/>
      <c r="QOF15" s="338"/>
      <c r="QOG15" s="338"/>
      <c r="QOH15" s="338"/>
      <c r="QOI15" s="338"/>
      <c r="QOJ15" s="338"/>
      <c r="QOK15" s="338"/>
      <c r="QOL15" s="338"/>
      <c r="QOM15" s="338"/>
      <c r="QON15" s="338"/>
      <c r="QOO15" s="338"/>
      <c r="QOP15" s="338"/>
      <c r="QOQ15" s="338"/>
      <c r="QOR15" s="338"/>
      <c r="QOS15" s="338"/>
      <c r="QOT15" s="338"/>
      <c r="QOU15" s="338"/>
      <c r="QOV15" s="338"/>
      <c r="QOW15" s="338"/>
      <c r="QOX15" s="338"/>
      <c r="QOY15" s="338"/>
      <c r="QOZ15" s="338"/>
      <c r="QPA15" s="338"/>
      <c r="QPB15" s="338"/>
      <c r="QPC15" s="338"/>
      <c r="QPD15" s="338"/>
      <c r="QPE15" s="338"/>
      <c r="QPF15" s="338"/>
      <c r="QPG15" s="338"/>
      <c r="QPH15" s="338"/>
      <c r="QPI15" s="338"/>
      <c r="QPJ15" s="338"/>
      <c r="QPK15" s="338"/>
      <c r="QPL15" s="338"/>
      <c r="QPM15" s="338"/>
      <c r="QPN15" s="338"/>
      <c r="QPO15" s="338"/>
      <c r="QPP15" s="338"/>
      <c r="QPQ15" s="338"/>
      <c r="QPR15" s="338"/>
      <c r="QPS15" s="338"/>
      <c r="QPT15" s="338"/>
      <c r="QPU15" s="338"/>
      <c r="QPV15" s="338"/>
      <c r="QPW15" s="338"/>
      <c r="QPX15" s="338"/>
      <c r="QPY15" s="338"/>
      <c r="QPZ15" s="338"/>
      <c r="QQA15" s="338"/>
      <c r="QQB15" s="338"/>
      <c r="QQC15" s="338"/>
      <c r="QQD15" s="338"/>
      <c r="QQE15" s="338"/>
      <c r="QQF15" s="338"/>
      <c r="QQG15" s="338"/>
      <c r="QQH15" s="338"/>
      <c r="QQI15" s="338"/>
      <c r="QQJ15" s="338"/>
      <c r="QQK15" s="338"/>
      <c r="QQL15" s="338"/>
      <c r="QQM15" s="338"/>
      <c r="QQN15" s="338"/>
      <c r="QQO15" s="338"/>
      <c r="QQP15" s="338"/>
      <c r="QQQ15" s="338"/>
      <c r="QQR15" s="338"/>
      <c r="QQS15" s="338"/>
      <c r="QQT15" s="338"/>
      <c r="QQU15" s="338"/>
      <c r="QQV15" s="338"/>
      <c r="QQW15" s="338"/>
      <c r="QQX15" s="338"/>
      <c r="QQY15" s="338"/>
      <c r="QQZ15" s="338"/>
      <c r="QRA15" s="338"/>
      <c r="QRB15" s="338"/>
      <c r="QRC15" s="338"/>
      <c r="QRD15" s="338"/>
      <c r="QRE15" s="338"/>
      <c r="QRF15" s="338"/>
      <c r="QRG15" s="338"/>
      <c r="QRH15" s="338"/>
      <c r="QRI15" s="338"/>
      <c r="QRJ15" s="338"/>
      <c r="QRK15" s="338"/>
      <c r="QRL15" s="338"/>
      <c r="QRM15" s="338"/>
      <c r="QRN15" s="338"/>
      <c r="QRO15" s="338"/>
      <c r="QRP15" s="338"/>
      <c r="QRQ15" s="338"/>
      <c r="QRR15" s="338"/>
      <c r="QRS15" s="338"/>
      <c r="QRT15" s="338"/>
      <c r="QRU15" s="338"/>
      <c r="QRV15" s="338"/>
      <c r="QRW15" s="338"/>
      <c r="QRX15" s="338"/>
      <c r="QRY15" s="338"/>
      <c r="QRZ15" s="338"/>
      <c r="QSA15" s="338"/>
      <c r="QSB15" s="338"/>
      <c r="QSC15" s="338"/>
      <c r="QSD15" s="338"/>
      <c r="QSE15" s="338"/>
      <c r="QSF15" s="338"/>
      <c r="QSG15" s="338"/>
      <c r="QSH15" s="338"/>
      <c r="QSI15" s="338"/>
      <c r="QSJ15" s="338"/>
      <c r="QSK15" s="338"/>
      <c r="QSL15" s="338"/>
      <c r="QSM15" s="338"/>
      <c r="QSN15" s="338"/>
      <c r="QSO15" s="338"/>
      <c r="QSP15" s="338"/>
      <c r="QSQ15" s="338"/>
      <c r="QSR15" s="338"/>
      <c r="QSS15" s="338"/>
      <c r="QST15" s="338"/>
      <c r="QSU15" s="338"/>
      <c r="QSV15" s="338"/>
      <c r="QSW15" s="338"/>
      <c r="QSX15" s="338"/>
      <c r="QSY15" s="338"/>
      <c r="QSZ15" s="338"/>
      <c r="QTA15" s="338"/>
      <c r="QTB15" s="338"/>
      <c r="QTC15" s="338"/>
      <c r="QTD15" s="338"/>
      <c r="QTE15" s="338"/>
      <c r="QTF15" s="338"/>
      <c r="QTG15" s="338"/>
      <c r="QTH15" s="338"/>
      <c r="QTI15" s="338"/>
      <c r="QTJ15" s="338"/>
      <c r="QTK15" s="338"/>
      <c r="QTL15" s="338"/>
      <c r="QTM15" s="338"/>
      <c r="QTN15" s="338"/>
      <c r="QTO15" s="338"/>
      <c r="QTP15" s="338"/>
      <c r="QTQ15" s="338"/>
      <c r="QTR15" s="338"/>
      <c r="QTS15" s="338"/>
      <c r="QTT15" s="338"/>
      <c r="QTU15" s="338"/>
      <c r="QTV15" s="338"/>
      <c r="QTW15" s="338"/>
      <c r="QTX15" s="338"/>
      <c r="QTY15" s="338"/>
      <c r="QTZ15" s="338"/>
      <c r="QUA15" s="338"/>
      <c r="QUB15" s="338"/>
      <c r="QUC15" s="338"/>
      <c r="QUD15" s="338"/>
      <c r="QUE15" s="338"/>
      <c r="QUF15" s="338"/>
      <c r="QUG15" s="338"/>
      <c r="QUH15" s="338"/>
      <c r="QUI15" s="338"/>
      <c r="QUJ15" s="338"/>
      <c r="QUK15" s="338"/>
      <c r="QUL15" s="338"/>
      <c r="QUM15" s="338"/>
      <c r="QUN15" s="338"/>
      <c r="QUO15" s="338"/>
      <c r="QUP15" s="338"/>
      <c r="QUQ15" s="338"/>
      <c r="QUR15" s="338"/>
      <c r="QUS15" s="338"/>
      <c r="QUT15" s="338"/>
      <c r="QUU15" s="338"/>
      <c r="QUV15" s="338"/>
      <c r="QUW15" s="338"/>
      <c r="QUX15" s="338"/>
      <c r="QUY15" s="338"/>
      <c r="QUZ15" s="338"/>
      <c r="QVA15" s="338"/>
      <c r="QVB15" s="338"/>
      <c r="QVC15" s="338"/>
      <c r="QVD15" s="338"/>
      <c r="QVE15" s="338"/>
      <c r="QVF15" s="338"/>
      <c r="QVG15" s="338"/>
      <c r="QVH15" s="338"/>
      <c r="QVI15" s="338"/>
      <c r="QVJ15" s="338"/>
      <c r="QVK15" s="338"/>
      <c r="QVL15" s="338"/>
      <c r="QVM15" s="338"/>
      <c r="QVN15" s="338"/>
      <c r="QVO15" s="338"/>
      <c r="QVP15" s="338"/>
      <c r="QVQ15" s="338"/>
      <c r="QVR15" s="338"/>
      <c r="QVS15" s="338"/>
      <c r="QVT15" s="338"/>
      <c r="QVU15" s="338"/>
      <c r="QVV15" s="338"/>
      <c r="QVW15" s="338"/>
      <c r="QVX15" s="338"/>
      <c r="QVY15" s="338"/>
      <c r="QVZ15" s="338"/>
      <c r="QWA15" s="338"/>
      <c r="QWB15" s="338"/>
      <c r="QWC15" s="338"/>
      <c r="QWD15" s="338"/>
      <c r="QWE15" s="338"/>
      <c r="QWF15" s="338"/>
      <c r="QWG15" s="338"/>
      <c r="QWH15" s="338"/>
      <c r="QWI15" s="338"/>
      <c r="QWJ15" s="338"/>
      <c r="QWK15" s="338"/>
      <c r="QWL15" s="338"/>
      <c r="QWM15" s="338"/>
      <c r="QWN15" s="338"/>
      <c r="QWO15" s="338"/>
      <c r="QWP15" s="338"/>
      <c r="QWQ15" s="338"/>
      <c r="QWR15" s="338"/>
      <c r="QWS15" s="338"/>
      <c r="QWT15" s="338"/>
      <c r="QWU15" s="338"/>
      <c r="QWV15" s="338"/>
      <c r="QWW15" s="338"/>
      <c r="QWX15" s="338"/>
      <c r="QWY15" s="338"/>
      <c r="QWZ15" s="338"/>
      <c r="QXA15" s="338"/>
      <c r="QXB15" s="338"/>
      <c r="QXC15" s="338"/>
      <c r="QXD15" s="338"/>
      <c r="QXE15" s="338"/>
      <c r="QXF15" s="338"/>
      <c r="QXG15" s="338"/>
      <c r="QXH15" s="338"/>
      <c r="QXI15" s="338"/>
      <c r="QXJ15" s="338"/>
      <c r="QXK15" s="338"/>
      <c r="QXL15" s="338"/>
      <c r="QXM15" s="338"/>
      <c r="QXN15" s="338"/>
      <c r="QXO15" s="338"/>
      <c r="QXP15" s="338"/>
      <c r="QXQ15" s="338"/>
      <c r="QXR15" s="338"/>
      <c r="QXS15" s="338"/>
      <c r="QXT15" s="338"/>
      <c r="QXU15" s="338"/>
      <c r="QXV15" s="338"/>
      <c r="QXW15" s="338"/>
      <c r="QXX15" s="338"/>
      <c r="QXY15" s="338"/>
      <c r="QXZ15" s="338"/>
      <c r="QYA15" s="338"/>
      <c r="QYB15" s="338"/>
      <c r="QYC15" s="338"/>
      <c r="QYD15" s="338"/>
      <c r="QYE15" s="338"/>
      <c r="QYF15" s="338"/>
      <c r="QYG15" s="338"/>
      <c r="QYH15" s="338"/>
      <c r="QYI15" s="338"/>
      <c r="QYJ15" s="338"/>
      <c r="QYK15" s="338"/>
      <c r="QYL15" s="338"/>
      <c r="QYM15" s="338"/>
      <c r="QYN15" s="338"/>
      <c r="QYO15" s="338"/>
      <c r="QYP15" s="338"/>
      <c r="QYQ15" s="338"/>
      <c r="QYR15" s="338"/>
      <c r="QYS15" s="338"/>
      <c r="QYT15" s="338"/>
      <c r="QYU15" s="338"/>
      <c r="QYV15" s="338"/>
      <c r="QYW15" s="338"/>
      <c r="QYX15" s="338"/>
      <c r="QYY15" s="338"/>
      <c r="QYZ15" s="338"/>
      <c r="QZA15" s="338"/>
      <c r="QZB15" s="338"/>
      <c r="QZC15" s="338"/>
      <c r="QZD15" s="338"/>
      <c r="QZE15" s="338"/>
      <c r="QZF15" s="338"/>
      <c r="QZG15" s="338"/>
      <c r="QZH15" s="338"/>
      <c r="QZI15" s="338"/>
      <c r="QZJ15" s="338"/>
      <c r="QZK15" s="338"/>
      <c r="QZL15" s="338"/>
      <c r="QZM15" s="338"/>
      <c r="QZN15" s="338"/>
      <c r="QZO15" s="338"/>
      <c r="QZP15" s="338"/>
      <c r="QZQ15" s="338"/>
      <c r="QZR15" s="338"/>
      <c r="QZS15" s="338"/>
      <c r="QZT15" s="338"/>
      <c r="QZU15" s="338"/>
      <c r="QZV15" s="338"/>
      <c r="QZW15" s="338"/>
      <c r="QZX15" s="338"/>
      <c r="QZY15" s="338"/>
      <c r="QZZ15" s="338"/>
      <c r="RAA15" s="338"/>
      <c r="RAB15" s="338"/>
      <c r="RAC15" s="338"/>
      <c r="RAD15" s="338"/>
      <c r="RAE15" s="338"/>
      <c r="RAF15" s="338"/>
      <c r="RAG15" s="338"/>
      <c r="RAH15" s="338"/>
      <c r="RAI15" s="338"/>
      <c r="RAJ15" s="338"/>
      <c r="RAK15" s="338"/>
      <c r="RAL15" s="338"/>
      <c r="RAM15" s="338"/>
      <c r="RAN15" s="338"/>
      <c r="RAO15" s="338"/>
      <c r="RAP15" s="338"/>
      <c r="RAQ15" s="338"/>
      <c r="RAR15" s="338"/>
      <c r="RAS15" s="338"/>
      <c r="RAT15" s="338"/>
      <c r="RAU15" s="338"/>
      <c r="RAV15" s="338"/>
      <c r="RAW15" s="338"/>
      <c r="RAX15" s="338"/>
      <c r="RAY15" s="338"/>
      <c r="RAZ15" s="338"/>
      <c r="RBA15" s="338"/>
      <c r="RBB15" s="338"/>
      <c r="RBC15" s="338"/>
      <c r="RBD15" s="338"/>
      <c r="RBE15" s="338"/>
      <c r="RBF15" s="338"/>
      <c r="RBG15" s="338"/>
      <c r="RBH15" s="338"/>
      <c r="RBI15" s="338"/>
      <c r="RBJ15" s="338"/>
      <c r="RBK15" s="338"/>
      <c r="RBL15" s="338"/>
      <c r="RBM15" s="338"/>
      <c r="RBN15" s="338"/>
      <c r="RBO15" s="338"/>
      <c r="RBP15" s="338"/>
      <c r="RBQ15" s="338"/>
      <c r="RBR15" s="338"/>
      <c r="RBS15" s="338"/>
      <c r="RBT15" s="338"/>
      <c r="RBU15" s="338"/>
      <c r="RBV15" s="338"/>
      <c r="RBW15" s="338"/>
      <c r="RBX15" s="338"/>
      <c r="RBY15" s="338"/>
      <c r="RBZ15" s="338"/>
      <c r="RCA15" s="338"/>
      <c r="RCB15" s="338"/>
      <c r="RCC15" s="338"/>
      <c r="RCD15" s="338"/>
      <c r="RCE15" s="338"/>
      <c r="RCF15" s="338"/>
      <c r="RCG15" s="338"/>
      <c r="RCH15" s="338"/>
      <c r="RCI15" s="338"/>
      <c r="RCJ15" s="338"/>
      <c r="RCK15" s="338"/>
      <c r="RCL15" s="338"/>
      <c r="RCM15" s="338"/>
      <c r="RCN15" s="338"/>
      <c r="RCO15" s="338"/>
      <c r="RCP15" s="338"/>
      <c r="RCQ15" s="338"/>
      <c r="RCR15" s="338"/>
      <c r="RCS15" s="338"/>
      <c r="RCT15" s="338"/>
      <c r="RCU15" s="338"/>
      <c r="RCV15" s="338"/>
      <c r="RCW15" s="338"/>
      <c r="RCX15" s="338"/>
      <c r="RCY15" s="338"/>
      <c r="RCZ15" s="338"/>
      <c r="RDA15" s="338"/>
      <c r="RDB15" s="338"/>
      <c r="RDC15" s="338"/>
      <c r="RDD15" s="338"/>
      <c r="RDE15" s="338"/>
      <c r="RDF15" s="338"/>
      <c r="RDG15" s="338"/>
      <c r="RDH15" s="338"/>
      <c r="RDI15" s="338"/>
      <c r="RDJ15" s="338"/>
      <c r="RDK15" s="338"/>
      <c r="RDL15" s="338"/>
      <c r="RDM15" s="338"/>
      <c r="RDN15" s="338"/>
      <c r="RDO15" s="338"/>
      <c r="RDP15" s="338"/>
      <c r="RDQ15" s="338"/>
      <c r="RDR15" s="338"/>
      <c r="RDS15" s="338"/>
      <c r="RDT15" s="338"/>
      <c r="RDU15" s="338"/>
      <c r="RDV15" s="338"/>
      <c r="RDW15" s="338"/>
      <c r="RDX15" s="338"/>
      <c r="RDY15" s="338"/>
      <c r="RDZ15" s="338"/>
      <c r="REA15" s="338"/>
      <c r="REB15" s="338"/>
      <c r="REC15" s="338"/>
      <c r="RED15" s="338"/>
      <c r="REE15" s="338"/>
      <c r="REF15" s="338"/>
      <c r="REG15" s="338"/>
      <c r="REH15" s="338"/>
      <c r="REI15" s="338"/>
      <c r="REJ15" s="338"/>
      <c r="REK15" s="338"/>
      <c r="REL15" s="338"/>
      <c r="REM15" s="338"/>
      <c r="REN15" s="338"/>
      <c r="REO15" s="338"/>
      <c r="REP15" s="338"/>
      <c r="REQ15" s="338"/>
      <c r="RER15" s="338"/>
      <c r="RES15" s="338"/>
      <c r="RET15" s="338"/>
      <c r="REU15" s="338"/>
      <c r="REV15" s="338"/>
      <c r="REW15" s="338"/>
      <c r="REX15" s="338"/>
      <c r="REY15" s="338"/>
      <c r="REZ15" s="338"/>
      <c r="RFA15" s="338"/>
      <c r="RFB15" s="338"/>
      <c r="RFC15" s="338"/>
      <c r="RFD15" s="338"/>
      <c r="RFE15" s="338"/>
      <c r="RFF15" s="338"/>
      <c r="RFG15" s="338"/>
      <c r="RFH15" s="338"/>
      <c r="RFI15" s="338"/>
      <c r="RFJ15" s="338"/>
      <c r="RFK15" s="338"/>
      <c r="RFL15" s="338"/>
      <c r="RFM15" s="338"/>
      <c r="RFN15" s="338"/>
      <c r="RFO15" s="338"/>
      <c r="RFP15" s="338"/>
      <c r="RFQ15" s="338"/>
      <c r="RFR15" s="338"/>
      <c r="RFS15" s="338"/>
      <c r="RFT15" s="338"/>
      <c r="RFU15" s="338"/>
      <c r="RFV15" s="338"/>
      <c r="RFW15" s="338"/>
      <c r="RFX15" s="338"/>
      <c r="RFY15" s="338"/>
      <c r="RFZ15" s="338"/>
      <c r="RGA15" s="338"/>
      <c r="RGB15" s="338"/>
      <c r="RGC15" s="338"/>
      <c r="RGD15" s="338"/>
      <c r="RGE15" s="338"/>
      <c r="RGF15" s="338"/>
      <c r="RGG15" s="338"/>
      <c r="RGH15" s="338"/>
      <c r="RGI15" s="338"/>
      <c r="RGJ15" s="338"/>
      <c r="RGK15" s="338"/>
      <c r="RGL15" s="338"/>
      <c r="RGM15" s="338"/>
      <c r="RGN15" s="338"/>
      <c r="RGO15" s="338"/>
      <c r="RGP15" s="338"/>
      <c r="RGQ15" s="338"/>
      <c r="RGR15" s="338"/>
      <c r="RGS15" s="338"/>
      <c r="RGT15" s="338"/>
      <c r="RGU15" s="338"/>
      <c r="RGV15" s="338"/>
      <c r="RGW15" s="338"/>
      <c r="RGX15" s="338"/>
      <c r="RGY15" s="338"/>
      <c r="RGZ15" s="338"/>
      <c r="RHA15" s="338"/>
      <c r="RHB15" s="338"/>
      <c r="RHC15" s="338"/>
      <c r="RHD15" s="338"/>
      <c r="RHE15" s="338"/>
      <c r="RHF15" s="338"/>
      <c r="RHG15" s="338"/>
      <c r="RHH15" s="338"/>
      <c r="RHI15" s="338"/>
      <c r="RHJ15" s="338"/>
      <c r="RHK15" s="338"/>
      <c r="RHL15" s="338"/>
      <c r="RHM15" s="338"/>
      <c r="RHN15" s="338"/>
      <c r="RHO15" s="338"/>
      <c r="RHP15" s="338"/>
      <c r="RHQ15" s="338"/>
      <c r="RHR15" s="338"/>
      <c r="RHS15" s="338"/>
      <c r="RHT15" s="338"/>
      <c r="RHU15" s="338"/>
      <c r="RHV15" s="338"/>
      <c r="RHW15" s="338"/>
      <c r="RHX15" s="338"/>
      <c r="RHY15" s="338"/>
      <c r="RHZ15" s="338"/>
      <c r="RIA15" s="338"/>
      <c r="RIB15" s="338"/>
      <c r="RIC15" s="338"/>
      <c r="RID15" s="338"/>
      <c r="RIE15" s="338"/>
      <c r="RIF15" s="338"/>
      <c r="RIG15" s="338"/>
      <c r="RIH15" s="338"/>
      <c r="RII15" s="338"/>
      <c r="RIJ15" s="338"/>
      <c r="RIK15" s="338"/>
      <c r="RIL15" s="338"/>
      <c r="RIM15" s="338"/>
      <c r="RIN15" s="338"/>
      <c r="RIO15" s="338"/>
      <c r="RIP15" s="338"/>
      <c r="RIQ15" s="338"/>
      <c r="RIR15" s="338"/>
      <c r="RIS15" s="338"/>
      <c r="RIT15" s="338"/>
      <c r="RIU15" s="338"/>
      <c r="RIV15" s="338"/>
      <c r="RIW15" s="338"/>
      <c r="RIX15" s="338"/>
      <c r="RIY15" s="338"/>
      <c r="RIZ15" s="338"/>
      <c r="RJA15" s="338"/>
      <c r="RJB15" s="338"/>
      <c r="RJC15" s="338"/>
      <c r="RJD15" s="338"/>
      <c r="RJE15" s="338"/>
      <c r="RJF15" s="338"/>
      <c r="RJG15" s="338"/>
      <c r="RJH15" s="338"/>
      <c r="RJI15" s="338"/>
      <c r="RJJ15" s="338"/>
      <c r="RJK15" s="338"/>
      <c r="RJL15" s="338"/>
      <c r="RJM15" s="338"/>
      <c r="RJN15" s="338"/>
      <c r="RJO15" s="338"/>
      <c r="RJP15" s="338"/>
      <c r="RJQ15" s="338"/>
      <c r="RJR15" s="338"/>
      <c r="RJS15" s="338"/>
      <c r="RJT15" s="338"/>
      <c r="RJU15" s="338"/>
      <c r="RJV15" s="338"/>
      <c r="RJW15" s="338"/>
      <c r="RJX15" s="338"/>
      <c r="RJY15" s="338"/>
      <c r="RJZ15" s="338"/>
      <c r="RKA15" s="338"/>
      <c r="RKB15" s="338"/>
      <c r="RKC15" s="338"/>
      <c r="RKD15" s="338"/>
      <c r="RKE15" s="338"/>
      <c r="RKF15" s="338"/>
      <c r="RKG15" s="338"/>
      <c r="RKH15" s="338"/>
      <c r="RKI15" s="338"/>
      <c r="RKJ15" s="338"/>
      <c r="RKK15" s="338"/>
      <c r="RKL15" s="338"/>
      <c r="RKM15" s="338"/>
      <c r="RKN15" s="338"/>
      <c r="RKO15" s="338"/>
      <c r="RKP15" s="338"/>
      <c r="RKQ15" s="338"/>
      <c r="RKR15" s="338"/>
      <c r="RKS15" s="338"/>
      <c r="RKT15" s="338"/>
      <c r="RKU15" s="338"/>
      <c r="RKV15" s="338"/>
      <c r="RKW15" s="338"/>
      <c r="RKX15" s="338"/>
      <c r="RKY15" s="338"/>
      <c r="RKZ15" s="338"/>
      <c r="RLA15" s="338"/>
      <c r="RLB15" s="338"/>
      <c r="RLC15" s="338"/>
      <c r="RLD15" s="338"/>
      <c r="RLE15" s="338"/>
      <c r="RLF15" s="338"/>
      <c r="RLG15" s="338"/>
      <c r="RLH15" s="338"/>
      <c r="RLI15" s="338"/>
      <c r="RLJ15" s="338"/>
      <c r="RLK15" s="338"/>
      <c r="RLL15" s="338"/>
      <c r="RLM15" s="338"/>
      <c r="RLN15" s="338"/>
      <c r="RLO15" s="338"/>
      <c r="RLP15" s="338"/>
      <c r="RLQ15" s="338"/>
      <c r="RLR15" s="338"/>
      <c r="RLS15" s="338"/>
      <c r="RLT15" s="338"/>
      <c r="RLU15" s="338"/>
      <c r="RLV15" s="338"/>
      <c r="RLW15" s="338"/>
      <c r="RLX15" s="338"/>
      <c r="RLY15" s="338"/>
      <c r="RLZ15" s="338"/>
      <c r="RMA15" s="338"/>
      <c r="RMB15" s="338"/>
      <c r="RMC15" s="338"/>
      <c r="RMD15" s="338"/>
      <c r="RME15" s="338"/>
      <c r="RMF15" s="338"/>
      <c r="RMG15" s="338"/>
      <c r="RMH15" s="338"/>
      <c r="RMI15" s="338"/>
      <c r="RMJ15" s="338"/>
      <c r="RMK15" s="338"/>
      <c r="RML15" s="338"/>
      <c r="RMM15" s="338"/>
      <c r="RMN15" s="338"/>
      <c r="RMO15" s="338"/>
      <c r="RMP15" s="338"/>
      <c r="RMQ15" s="338"/>
      <c r="RMR15" s="338"/>
      <c r="RMS15" s="338"/>
      <c r="RMT15" s="338"/>
      <c r="RMU15" s="338"/>
      <c r="RMV15" s="338"/>
      <c r="RMW15" s="338"/>
      <c r="RMX15" s="338"/>
      <c r="RMY15" s="338"/>
      <c r="RMZ15" s="338"/>
      <c r="RNA15" s="338"/>
      <c r="RNB15" s="338"/>
      <c r="RNC15" s="338"/>
      <c r="RND15" s="338"/>
      <c r="RNE15" s="338"/>
      <c r="RNF15" s="338"/>
      <c r="RNG15" s="338"/>
      <c r="RNH15" s="338"/>
      <c r="RNI15" s="338"/>
      <c r="RNJ15" s="338"/>
      <c r="RNK15" s="338"/>
      <c r="RNL15" s="338"/>
      <c r="RNM15" s="338"/>
      <c r="RNN15" s="338"/>
      <c r="RNO15" s="338"/>
      <c r="RNP15" s="338"/>
      <c r="RNQ15" s="338"/>
      <c r="RNR15" s="338"/>
      <c r="RNS15" s="338"/>
      <c r="RNT15" s="338"/>
      <c r="RNU15" s="338"/>
      <c r="RNV15" s="338"/>
      <c r="RNW15" s="338"/>
      <c r="RNX15" s="338"/>
      <c r="RNY15" s="338"/>
      <c r="RNZ15" s="338"/>
      <c r="ROA15" s="338"/>
      <c r="ROB15" s="338"/>
      <c r="ROC15" s="338"/>
      <c r="ROD15" s="338"/>
      <c r="ROE15" s="338"/>
      <c r="ROF15" s="338"/>
      <c r="ROG15" s="338"/>
      <c r="ROH15" s="338"/>
      <c r="ROI15" s="338"/>
      <c r="ROJ15" s="338"/>
      <c r="ROK15" s="338"/>
      <c r="ROL15" s="338"/>
      <c r="ROM15" s="338"/>
      <c r="RON15" s="338"/>
      <c r="ROO15" s="338"/>
      <c r="ROP15" s="338"/>
      <c r="ROQ15" s="338"/>
      <c r="ROR15" s="338"/>
      <c r="ROS15" s="338"/>
      <c r="ROT15" s="338"/>
      <c r="ROU15" s="338"/>
      <c r="ROV15" s="338"/>
      <c r="ROW15" s="338"/>
      <c r="ROX15" s="338"/>
      <c r="ROY15" s="338"/>
      <c r="ROZ15" s="338"/>
      <c r="RPA15" s="338"/>
      <c r="RPB15" s="338"/>
      <c r="RPC15" s="338"/>
      <c r="RPD15" s="338"/>
      <c r="RPE15" s="338"/>
      <c r="RPF15" s="338"/>
      <c r="RPG15" s="338"/>
      <c r="RPH15" s="338"/>
      <c r="RPI15" s="338"/>
      <c r="RPJ15" s="338"/>
      <c r="RPK15" s="338"/>
      <c r="RPL15" s="338"/>
      <c r="RPM15" s="338"/>
      <c r="RPN15" s="338"/>
      <c r="RPO15" s="338"/>
      <c r="RPP15" s="338"/>
      <c r="RPQ15" s="338"/>
      <c r="RPR15" s="338"/>
      <c r="RPS15" s="338"/>
      <c r="RPT15" s="338"/>
      <c r="RPU15" s="338"/>
      <c r="RPV15" s="338"/>
      <c r="RPW15" s="338"/>
      <c r="RPX15" s="338"/>
      <c r="RPY15" s="338"/>
      <c r="RPZ15" s="338"/>
      <c r="RQA15" s="338"/>
      <c r="RQB15" s="338"/>
      <c r="RQC15" s="338"/>
      <c r="RQD15" s="338"/>
      <c r="RQE15" s="338"/>
      <c r="RQF15" s="338"/>
      <c r="RQG15" s="338"/>
      <c r="RQH15" s="338"/>
      <c r="RQI15" s="338"/>
      <c r="RQJ15" s="338"/>
      <c r="RQK15" s="338"/>
      <c r="RQL15" s="338"/>
      <c r="RQM15" s="338"/>
      <c r="RQN15" s="338"/>
      <c r="RQO15" s="338"/>
      <c r="RQP15" s="338"/>
      <c r="RQQ15" s="338"/>
      <c r="RQR15" s="338"/>
      <c r="RQS15" s="338"/>
      <c r="RQT15" s="338"/>
      <c r="RQU15" s="338"/>
      <c r="RQV15" s="338"/>
      <c r="RQW15" s="338"/>
      <c r="RQX15" s="338"/>
      <c r="RQY15" s="338"/>
      <c r="RQZ15" s="338"/>
      <c r="RRA15" s="338"/>
      <c r="RRB15" s="338"/>
      <c r="RRC15" s="338"/>
      <c r="RRD15" s="338"/>
      <c r="RRE15" s="338"/>
      <c r="RRF15" s="338"/>
      <c r="RRG15" s="338"/>
      <c r="RRH15" s="338"/>
      <c r="RRI15" s="338"/>
      <c r="RRJ15" s="338"/>
      <c r="RRK15" s="338"/>
      <c r="RRL15" s="338"/>
      <c r="RRM15" s="338"/>
      <c r="RRN15" s="338"/>
      <c r="RRO15" s="338"/>
      <c r="RRP15" s="338"/>
      <c r="RRQ15" s="338"/>
      <c r="RRR15" s="338"/>
      <c r="RRS15" s="338"/>
      <c r="RRT15" s="338"/>
      <c r="RRU15" s="338"/>
      <c r="RRV15" s="338"/>
      <c r="RRW15" s="338"/>
      <c r="RRX15" s="338"/>
      <c r="RRY15" s="338"/>
      <c r="RRZ15" s="338"/>
      <c r="RSA15" s="338"/>
      <c r="RSB15" s="338"/>
      <c r="RSC15" s="338"/>
      <c r="RSD15" s="338"/>
      <c r="RSE15" s="338"/>
      <c r="RSF15" s="338"/>
      <c r="RSG15" s="338"/>
      <c r="RSH15" s="338"/>
      <c r="RSI15" s="338"/>
      <c r="RSJ15" s="338"/>
      <c r="RSK15" s="338"/>
      <c r="RSL15" s="338"/>
      <c r="RSM15" s="338"/>
      <c r="RSN15" s="338"/>
      <c r="RSO15" s="338"/>
      <c r="RSP15" s="338"/>
      <c r="RSQ15" s="338"/>
      <c r="RSR15" s="338"/>
      <c r="RSS15" s="338"/>
      <c r="RST15" s="338"/>
      <c r="RSU15" s="338"/>
      <c r="RSV15" s="338"/>
      <c r="RSW15" s="338"/>
      <c r="RSX15" s="338"/>
      <c r="RSY15" s="338"/>
      <c r="RSZ15" s="338"/>
      <c r="RTA15" s="338"/>
      <c r="RTB15" s="338"/>
      <c r="RTC15" s="338"/>
      <c r="RTD15" s="338"/>
      <c r="RTE15" s="338"/>
      <c r="RTF15" s="338"/>
      <c r="RTG15" s="338"/>
      <c r="RTH15" s="338"/>
      <c r="RTI15" s="338"/>
      <c r="RTJ15" s="338"/>
      <c r="RTK15" s="338"/>
      <c r="RTL15" s="338"/>
      <c r="RTM15" s="338"/>
      <c r="RTN15" s="338"/>
      <c r="RTO15" s="338"/>
      <c r="RTP15" s="338"/>
      <c r="RTQ15" s="338"/>
      <c r="RTR15" s="338"/>
      <c r="RTS15" s="338"/>
      <c r="RTT15" s="338"/>
      <c r="RTU15" s="338"/>
      <c r="RTV15" s="338"/>
      <c r="RTW15" s="338"/>
      <c r="RTX15" s="338"/>
      <c r="RTY15" s="338"/>
      <c r="RTZ15" s="338"/>
      <c r="RUA15" s="338"/>
      <c r="RUB15" s="338"/>
      <c r="RUC15" s="338"/>
      <c r="RUD15" s="338"/>
      <c r="RUE15" s="338"/>
      <c r="RUF15" s="338"/>
      <c r="RUG15" s="338"/>
      <c r="RUH15" s="338"/>
      <c r="RUI15" s="338"/>
      <c r="RUJ15" s="338"/>
      <c r="RUK15" s="338"/>
      <c r="RUL15" s="338"/>
      <c r="RUM15" s="338"/>
      <c r="RUN15" s="338"/>
      <c r="RUO15" s="338"/>
      <c r="RUP15" s="338"/>
      <c r="RUQ15" s="338"/>
      <c r="RUR15" s="338"/>
      <c r="RUS15" s="338"/>
      <c r="RUT15" s="338"/>
      <c r="RUU15" s="338"/>
      <c r="RUV15" s="338"/>
      <c r="RUW15" s="338"/>
      <c r="RUX15" s="338"/>
      <c r="RUY15" s="338"/>
      <c r="RUZ15" s="338"/>
      <c r="RVA15" s="338"/>
      <c r="RVB15" s="338"/>
      <c r="RVC15" s="338"/>
      <c r="RVD15" s="338"/>
      <c r="RVE15" s="338"/>
      <c r="RVF15" s="338"/>
      <c r="RVG15" s="338"/>
      <c r="RVH15" s="338"/>
      <c r="RVI15" s="338"/>
      <c r="RVJ15" s="338"/>
      <c r="RVK15" s="338"/>
      <c r="RVL15" s="338"/>
      <c r="RVM15" s="338"/>
      <c r="RVN15" s="338"/>
      <c r="RVO15" s="338"/>
      <c r="RVP15" s="338"/>
      <c r="RVQ15" s="338"/>
      <c r="RVR15" s="338"/>
      <c r="RVS15" s="338"/>
      <c r="RVT15" s="338"/>
      <c r="RVU15" s="338"/>
      <c r="RVV15" s="338"/>
      <c r="RVW15" s="338"/>
      <c r="RVX15" s="338"/>
      <c r="RVY15" s="338"/>
      <c r="RVZ15" s="338"/>
      <c r="RWA15" s="338"/>
      <c r="RWB15" s="338"/>
      <c r="RWC15" s="338"/>
      <c r="RWD15" s="338"/>
      <c r="RWE15" s="338"/>
      <c r="RWF15" s="338"/>
      <c r="RWG15" s="338"/>
      <c r="RWH15" s="338"/>
      <c r="RWI15" s="338"/>
      <c r="RWJ15" s="338"/>
      <c r="RWK15" s="338"/>
      <c r="RWL15" s="338"/>
      <c r="RWM15" s="338"/>
      <c r="RWN15" s="338"/>
      <c r="RWO15" s="338"/>
      <c r="RWP15" s="338"/>
      <c r="RWQ15" s="338"/>
      <c r="RWR15" s="338"/>
      <c r="RWS15" s="338"/>
      <c r="RWT15" s="338"/>
      <c r="RWU15" s="338"/>
      <c r="RWV15" s="338"/>
      <c r="RWW15" s="338"/>
      <c r="RWX15" s="338"/>
      <c r="RWY15" s="338"/>
      <c r="RWZ15" s="338"/>
      <c r="RXA15" s="338"/>
      <c r="RXB15" s="338"/>
      <c r="RXC15" s="338"/>
      <c r="RXD15" s="338"/>
      <c r="RXE15" s="338"/>
      <c r="RXF15" s="338"/>
      <c r="RXG15" s="338"/>
      <c r="RXH15" s="338"/>
      <c r="RXI15" s="338"/>
      <c r="RXJ15" s="338"/>
      <c r="RXK15" s="338"/>
      <c r="RXL15" s="338"/>
      <c r="RXM15" s="338"/>
      <c r="RXN15" s="338"/>
      <c r="RXO15" s="338"/>
      <c r="RXP15" s="338"/>
      <c r="RXQ15" s="338"/>
      <c r="RXR15" s="338"/>
      <c r="RXS15" s="338"/>
      <c r="RXT15" s="338"/>
      <c r="RXU15" s="338"/>
      <c r="RXV15" s="338"/>
      <c r="RXW15" s="338"/>
      <c r="RXX15" s="338"/>
      <c r="RXY15" s="338"/>
      <c r="RXZ15" s="338"/>
      <c r="RYA15" s="338"/>
      <c r="RYB15" s="338"/>
      <c r="RYC15" s="338"/>
      <c r="RYD15" s="338"/>
      <c r="RYE15" s="338"/>
      <c r="RYF15" s="338"/>
      <c r="RYG15" s="338"/>
      <c r="RYH15" s="338"/>
      <c r="RYI15" s="338"/>
      <c r="RYJ15" s="338"/>
      <c r="RYK15" s="338"/>
      <c r="RYL15" s="338"/>
      <c r="RYM15" s="338"/>
      <c r="RYN15" s="338"/>
      <c r="RYO15" s="338"/>
      <c r="RYP15" s="338"/>
      <c r="RYQ15" s="338"/>
      <c r="RYR15" s="338"/>
      <c r="RYS15" s="338"/>
      <c r="RYT15" s="338"/>
      <c r="RYU15" s="338"/>
      <c r="RYV15" s="338"/>
      <c r="RYW15" s="338"/>
      <c r="RYX15" s="338"/>
      <c r="RYY15" s="338"/>
      <c r="RYZ15" s="338"/>
      <c r="RZA15" s="338"/>
      <c r="RZB15" s="338"/>
      <c r="RZC15" s="338"/>
      <c r="RZD15" s="338"/>
      <c r="RZE15" s="338"/>
      <c r="RZF15" s="338"/>
      <c r="RZG15" s="338"/>
      <c r="RZH15" s="338"/>
      <c r="RZI15" s="338"/>
      <c r="RZJ15" s="338"/>
      <c r="RZK15" s="338"/>
      <c r="RZL15" s="338"/>
      <c r="RZM15" s="338"/>
      <c r="RZN15" s="338"/>
      <c r="RZO15" s="338"/>
      <c r="RZP15" s="338"/>
      <c r="RZQ15" s="338"/>
      <c r="RZR15" s="338"/>
      <c r="RZS15" s="338"/>
      <c r="RZT15" s="338"/>
      <c r="RZU15" s="338"/>
      <c r="RZV15" s="338"/>
      <c r="RZW15" s="338"/>
      <c r="RZX15" s="338"/>
      <c r="RZY15" s="338"/>
      <c r="RZZ15" s="338"/>
      <c r="SAA15" s="338"/>
      <c r="SAB15" s="338"/>
      <c r="SAC15" s="338"/>
      <c r="SAD15" s="338"/>
      <c r="SAE15" s="338"/>
      <c r="SAF15" s="338"/>
      <c r="SAG15" s="338"/>
      <c r="SAH15" s="338"/>
      <c r="SAI15" s="338"/>
      <c r="SAJ15" s="338"/>
      <c r="SAK15" s="338"/>
      <c r="SAL15" s="338"/>
      <c r="SAM15" s="338"/>
      <c r="SAN15" s="338"/>
      <c r="SAO15" s="338"/>
      <c r="SAP15" s="338"/>
      <c r="SAQ15" s="338"/>
      <c r="SAR15" s="338"/>
      <c r="SAS15" s="338"/>
      <c r="SAT15" s="338"/>
      <c r="SAU15" s="338"/>
      <c r="SAV15" s="338"/>
      <c r="SAW15" s="338"/>
      <c r="SAX15" s="338"/>
      <c r="SAY15" s="338"/>
      <c r="SAZ15" s="338"/>
      <c r="SBA15" s="338"/>
      <c r="SBB15" s="338"/>
      <c r="SBC15" s="338"/>
      <c r="SBD15" s="338"/>
      <c r="SBE15" s="338"/>
      <c r="SBF15" s="338"/>
      <c r="SBG15" s="338"/>
      <c r="SBH15" s="338"/>
      <c r="SBI15" s="338"/>
      <c r="SBJ15" s="338"/>
      <c r="SBK15" s="338"/>
      <c r="SBL15" s="338"/>
      <c r="SBM15" s="338"/>
      <c r="SBN15" s="338"/>
      <c r="SBO15" s="338"/>
      <c r="SBP15" s="338"/>
      <c r="SBQ15" s="338"/>
      <c r="SBR15" s="338"/>
      <c r="SBS15" s="338"/>
      <c r="SBT15" s="338"/>
      <c r="SBU15" s="338"/>
      <c r="SBV15" s="338"/>
      <c r="SBW15" s="338"/>
      <c r="SBX15" s="338"/>
      <c r="SBY15" s="338"/>
      <c r="SBZ15" s="338"/>
      <c r="SCA15" s="338"/>
      <c r="SCB15" s="338"/>
      <c r="SCC15" s="338"/>
      <c r="SCD15" s="338"/>
      <c r="SCE15" s="338"/>
      <c r="SCF15" s="338"/>
      <c r="SCG15" s="338"/>
      <c r="SCH15" s="338"/>
      <c r="SCI15" s="338"/>
      <c r="SCJ15" s="338"/>
      <c r="SCK15" s="338"/>
      <c r="SCL15" s="338"/>
      <c r="SCM15" s="338"/>
      <c r="SCN15" s="338"/>
      <c r="SCO15" s="338"/>
      <c r="SCP15" s="338"/>
      <c r="SCQ15" s="338"/>
      <c r="SCR15" s="338"/>
      <c r="SCS15" s="338"/>
      <c r="SCT15" s="338"/>
      <c r="SCU15" s="338"/>
      <c r="SCV15" s="338"/>
      <c r="SCW15" s="338"/>
      <c r="SCX15" s="338"/>
      <c r="SCY15" s="338"/>
      <c r="SCZ15" s="338"/>
      <c r="SDA15" s="338"/>
      <c r="SDB15" s="338"/>
      <c r="SDC15" s="338"/>
      <c r="SDD15" s="338"/>
      <c r="SDE15" s="338"/>
      <c r="SDF15" s="338"/>
      <c r="SDG15" s="338"/>
      <c r="SDH15" s="338"/>
      <c r="SDI15" s="338"/>
      <c r="SDJ15" s="338"/>
      <c r="SDK15" s="338"/>
      <c r="SDL15" s="338"/>
      <c r="SDM15" s="338"/>
      <c r="SDN15" s="338"/>
      <c r="SDO15" s="338"/>
      <c r="SDP15" s="338"/>
      <c r="SDQ15" s="338"/>
      <c r="SDR15" s="338"/>
      <c r="SDS15" s="338"/>
      <c r="SDT15" s="338"/>
      <c r="SDU15" s="338"/>
      <c r="SDV15" s="338"/>
      <c r="SDW15" s="338"/>
      <c r="SDX15" s="338"/>
      <c r="SDY15" s="338"/>
      <c r="SDZ15" s="338"/>
      <c r="SEA15" s="338"/>
      <c r="SEB15" s="338"/>
      <c r="SEC15" s="338"/>
      <c r="SED15" s="338"/>
      <c r="SEE15" s="338"/>
      <c r="SEF15" s="338"/>
      <c r="SEG15" s="338"/>
      <c r="SEH15" s="338"/>
      <c r="SEI15" s="338"/>
      <c r="SEJ15" s="338"/>
      <c r="SEK15" s="338"/>
      <c r="SEL15" s="338"/>
      <c r="SEM15" s="338"/>
      <c r="SEN15" s="338"/>
      <c r="SEO15" s="338"/>
      <c r="SEP15" s="338"/>
      <c r="SEQ15" s="338"/>
      <c r="SER15" s="338"/>
      <c r="SES15" s="338"/>
      <c r="SET15" s="338"/>
      <c r="SEU15" s="338"/>
      <c r="SEV15" s="338"/>
      <c r="SEW15" s="338"/>
      <c r="SEX15" s="338"/>
      <c r="SEY15" s="338"/>
      <c r="SEZ15" s="338"/>
      <c r="SFA15" s="338"/>
      <c r="SFB15" s="338"/>
      <c r="SFC15" s="338"/>
      <c r="SFD15" s="338"/>
      <c r="SFE15" s="338"/>
      <c r="SFF15" s="338"/>
      <c r="SFG15" s="338"/>
      <c r="SFH15" s="338"/>
      <c r="SFI15" s="338"/>
      <c r="SFJ15" s="338"/>
      <c r="SFK15" s="338"/>
      <c r="SFL15" s="338"/>
      <c r="SFM15" s="338"/>
      <c r="SFN15" s="338"/>
      <c r="SFO15" s="338"/>
      <c r="SFP15" s="338"/>
      <c r="SFQ15" s="338"/>
      <c r="SFR15" s="338"/>
      <c r="SFS15" s="338"/>
      <c r="SFT15" s="338"/>
      <c r="SFU15" s="338"/>
      <c r="SFV15" s="338"/>
      <c r="SFW15" s="338"/>
      <c r="SFX15" s="338"/>
      <c r="SFY15" s="338"/>
      <c r="SFZ15" s="338"/>
      <c r="SGA15" s="338"/>
      <c r="SGB15" s="338"/>
      <c r="SGC15" s="338"/>
      <c r="SGD15" s="338"/>
      <c r="SGE15" s="338"/>
      <c r="SGF15" s="338"/>
      <c r="SGG15" s="338"/>
      <c r="SGH15" s="338"/>
      <c r="SGI15" s="338"/>
      <c r="SGJ15" s="338"/>
      <c r="SGK15" s="338"/>
      <c r="SGL15" s="338"/>
      <c r="SGM15" s="338"/>
      <c r="SGN15" s="338"/>
      <c r="SGO15" s="338"/>
      <c r="SGP15" s="338"/>
      <c r="SGQ15" s="338"/>
      <c r="SGR15" s="338"/>
      <c r="SGS15" s="338"/>
      <c r="SGT15" s="338"/>
      <c r="SGU15" s="338"/>
      <c r="SGV15" s="338"/>
      <c r="SGW15" s="338"/>
      <c r="SGX15" s="338"/>
      <c r="SGY15" s="338"/>
      <c r="SGZ15" s="338"/>
      <c r="SHA15" s="338"/>
      <c r="SHB15" s="338"/>
      <c r="SHC15" s="338"/>
      <c r="SHD15" s="338"/>
      <c r="SHE15" s="338"/>
      <c r="SHF15" s="338"/>
      <c r="SHG15" s="338"/>
      <c r="SHH15" s="338"/>
      <c r="SHI15" s="338"/>
      <c r="SHJ15" s="338"/>
      <c r="SHK15" s="338"/>
      <c r="SHL15" s="338"/>
      <c r="SHM15" s="338"/>
      <c r="SHN15" s="338"/>
      <c r="SHO15" s="338"/>
      <c r="SHP15" s="338"/>
      <c r="SHQ15" s="338"/>
      <c r="SHR15" s="338"/>
      <c r="SHS15" s="338"/>
      <c r="SHT15" s="338"/>
      <c r="SHU15" s="338"/>
      <c r="SHV15" s="338"/>
      <c r="SHW15" s="338"/>
      <c r="SHX15" s="338"/>
      <c r="SHY15" s="338"/>
      <c r="SHZ15" s="338"/>
      <c r="SIA15" s="338"/>
      <c r="SIB15" s="338"/>
      <c r="SIC15" s="338"/>
      <c r="SID15" s="338"/>
      <c r="SIE15" s="338"/>
      <c r="SIF15" s="338"/>
      <c r="SIG15" s="338"/>
      <c r="SIH15" s="338"/>
      <c r="SII15" s="338"/>
      <c r="SIJ15" s="338"/>
      <c r="SIK15" s="338"/>
      <c r="SIL15" s="338"/>
      <c r="SIM15" s="338"/>
      <c r="SIN15" s="338"/>
      <c r="SIO15" s="338"/>
      <c r="SIP15" s="338"/>
      <c r="SIQ15" s="338"/>
      <c r="SIR15" s="338"/>
      <c r="SIS15" s="338"/>
      <c r="SIT15" s="338"/>
      <c r="SIU15" s="338"/>
      <c r="SIV15" s="338"/>
      <c r="SIW15" s="338"/>
      <c r="SIX15" s="338"/>
      <c r="SIY15" s="338"/>
      <c r="SIZ15" s="338"/>
      <c r="SJA15" s="338"/>
      <c r="SJB15" s="338"/>
      <c r="SJC15" s="338"/>
      <c r="SJD15" s="338"/>
      <c r="SJE15" s="338"/>
      <c r="SJF15" s="338"/>
      <c r="SJG15" s="338"/>
      <c r="SJH15" s="338"/>
      <c r="SJI15" s="338"/>
      <c r="SJJ15" s="338"/>
      <c r="SJK15" s="338"/>
      <c r="SJL15" s="338"/>
      <c r="SJM15" s="338"/>
      <c r="SJN15" s="338"/>
      <c r="SJO15" s="338"/>
      <c r="SJP15" s="338"/>
      <c r="SJQ15" s="338"/>
      <c r="SJR15" s="338"/>
      <c r="SJS15" s="338"/>
      <c r="SJT15" s="338"/>
      <c r="SJU15" s="338"/>
      <c r="SJV15" s="338"/>
      <c r="SJW15" s="338"/>
      <c r="SJX15" s="338"/>
      <c r="SJY15" s="338"/>
      <c r="SJZ15" s="338"/>
      <c r="SKA15" s="338"/>
      <c r="SKB15" s="338"/>
      <c r="SKC15" s="338"/>
      <c r="SKD15" s="338"/>
      <c r="SKE15" s="338"/>
      <c r="SKF15" s="338"/>
      <c r="SKG15" s="338"/>
      <c r="SKH15" s="338"/>
      <c r="SKI15" s="338"/>
      <c r="SKJ15" s="338"/>
      <c r="SKK15" s="338"/>
      <c r="SKL15" s="338"/>
      <c r="SKM15" s="338"/>
      <c r="SKN15" s="338"/>
      <c r="SKO15" s="338"/>
      <c r="SKP15" s="338"/>
      <c r="SKQ15" s="338"/>
      <c r="SKR15" s="338"/>
      <c r="SKS15" s="338"/>
      <c r="SKT15" s="338"/>
      <c r="SKU15" s="338"/>
      <c r="SKV15" s="338"/>
      <c r="SKW15" s="338"/>
      <c r="SKX15" s="338"/>
      <c r="SKY15" s="338"/>
      <c r="SKZ15" s="338"/>
      <c r="SLA15" s="338"/>
      <c r="SLB15" s="338"/>
      <c r="SLC15" s="338"/>
      <c r="SLD15" s="338"/>
      <c r="SLE15" s="338"/>
      <c r="SLF15" s="338"/>
      <c r="SLG15" s="338"/>
      <c r="SLH15" s="338"/>
      <c r="SLI15" s="338"/>
      <c r="SLJ15" s="338"/>
      <c r="SLK15" s="338"/>
      <c r="SLL15" s="338"/>
      <c r="SLM15" s="338"/>
      <c r="SLN15" s="338"/>
      <c r="SLO15" s="338"/>
      <c r="SLP15" s="338"/>
      <c r="SLQ15" s="338"/>
      <c r="SLR15" s="338"/>
      <c r="SLS15" s="338"/>
      <c r="SLT15" s="338"/>
      <c r="SLU15" s="338"/>
      <c r="SLV15" s="338"/>
      <c r="SLW15" s="338"/>
      <c r="SLX15" s="338"/>
      <c r="SLY15" s="338"/>
      <c r="SLZ15" s="338"/>
      <c r="SMA15" s="338"/>
      <c r="SMB15" s="338"/>
      <c r="SMC15" s="338"/>
      <c r="SMD15" s="338"/>
      <c r="SME15" s="338"/>
      <c r="SMF15" s="338"/>
      <c r="SMG15" s="338"/>
      <c r="SMH15" s="338"/>
      <c r="SMI15" s="338"/>
      <c r="SMJ15" s="338"/>
      <c r="SMK15" s="338"/>
      <c r="SML15" s="338"/>
      <c r="SMM15" s="338"/>
      <c r="SMN15" s="338"/>
      <c r="SMO15" s="338"/>
      <c r="SMP15" s="338"/>
      <c r="SMQ15" s="338"/>
      <c r="SMR15" s="338"/>
      <c r="SMS15" s="338"/>
      <c r="SMT15" s="338"/>
      <c r="SMU15" s="338"/>
      <c r="SMV15" s="338"/>
      <c r="SMW15" s="338"/>
      <c r="SMX15" s="338"/>
      <c r="SMY15" s="338"/>
      <c r="SMZ15" s="338"/>
      <c r="SNA15" s="338"/>
      <c r="SNB15" s="338"/>
      <c r="SNC15" s="338"/>
      <c r="SND15" s="338"/>
      <c r="SNE15" s="338"/>
      <c r="SNF15" s="338"/>
      <c r="SNG15" s="338"/>
      <c r="SNH15" s="338"/>
      <c r="SNI15" s="338"/>
      <c r="SNJ15" s="338"/>
      <c r="SNK15" s="338"/>
      <c r="SNL15" s="338"/>
      <c r="SNM15" s="338"/>
      <c r="SNN15" s="338"/>
      <c r="SNO15" s="338"/>
      <c r="SNP15" s="338"/>
      <c r="SNQ15" s="338"/>
      <c r="SNR15" s="338"/>
      <c r="SNS15" s="338"/>
      <c r="SNT15" s="338"/>
      <c r="SNU15" s="338"/>
      <c r="SNV15" s="338"/>
      <c r="SNW15" s="338"/>
      <c r="SNX15" s="338"/>
      <c r="SNY15" s="338"/>
      <c r="SNZ15" s="338"/>
      <c r="SOA15" s="338"/>
      <c r="SOB15" s="338"/>
      <c r="SOC15" s="338"/>
      <c r="SOD15" s="338"/>
      <c r="SOE15" s="338"/>
      <c r="SOF15" s="338"/>
      <c r="SOG15" s="338"/>
      <c r="SOH15" s="338"/>
      <c r="SOI15" s="338"/>
      <c r="SOJ15" s="338"/>
      <c r="SOK15" s="338"/>
      <c r="SOL15" s="338"/>
      <c r="SOM15" s="338"/>
      <c r="SON15" s="338"/>
      <c r="SOO15" s="338"/>
      <c r="SOP15" s="338"/>
      <c r="SOQ15" s="338"/>
      <c r="SOR15" s="338"/>
      <c r="SOS15" s="338"/>
      <c r="SOT15" s="338"/>
      <c r="SOU15" s="338"/>
      <c r="SOV15" s="338"/>
      <c r="SOW15" s="338"/>
      <c r="SOX15" s="338"/>
      <c r="SOY15" s="338"/>
      <c r="SOZ15" s="338"/>
      <c r="SPA15" s="338"/>
      <c r="SPB15" s="338"/>
      <c r="SPC15" s="338"/>
      <c r="SPD15" s="338"/>
      <c r="SPE15" s="338"/>
      <c r="SPF15" s="338"/>
      <c r="SPG15" s="338"/>
      <c r="SPH15" s="338"/>
      <c r="SPI15" s="338"/>
      <c r="SPJ15" s="338"/>
      <c r="SPK15" s="338"/>
      <c r="SPL15" s="338"/>
      <c r="SPM15" s="338"/>
      <c r="SPN15" s="338"/>
      <c r="SPO15" s="338"/>
      <c r="SPP15" s="338"/>
      <c r="SPQ15" s="338"/>
      <c r="SPR15" s="338"/>
      <c r="SPS15" s="338"/>
      <c r="SPT15" s="338"/>
      <c r="SPU15" s="338"/>
      <c r="SPV15" s="338"/>
      <c r="SPW15" s="338"/>
      <c r="SPX15" s="338"/>
      <c r="SPY15" s="338"/>
      <c r="SPZ15" s="338"/>
      <c r="SQA15" s="338"/>
      <c r="SQB15" s="338"/>
      <c r="SQC15" s="338"/>
      <c r="SQD15" s="338"/>
      <c r="SQE15" s="338"/>
      <c r="SQF15" s="338"/>
      <c r="SQG15" s="338"/>
      <c r="SQH15" s="338"/>
      <c r="SQI15" s="338"/>
      <c r="SQJ15" s="338"/>
      <c r="SQK15" s="338"/>
      <c r="SQL15" s="338"/>
      <c r="SQM15" s="338"/>
      <c r="SQN15" s="338"/>
      <c r="SQO15" s="338"/>
      <c r="SQP15" s="338"/>
      <c r="SQQ15" s="338"/>
      <c r="SQR15" s="338"/>
      <c r="SQS15" s="338"/>
      <c r="SQT15" s="338"/>
      <c r="SQU15" s="338"/>
      <c r="SQV15" s="338"/>
      <c r="SQW15" s="338"/>
      <c r="SQX15" s="338"/>
      <c r="SQY15" s="338"/>
      <c r="SQZ15" s="338"/>
      <c r="SRA15" s="338"/>
      <c r="SRB15" s="338"/>
      <c r="SRC15" s="338"/>
      <c r="SRD15" s="338"/>
      <c r="SRE15" s="338"/>
      <c r="SRF15" s="338"/>
      <c r="SRG15" s="338"/>
      <c r="SRH15" s="338"/>
      <c r="SRI15" s="338"/>
      <c r="SRJ15" s="338"/>
      <c r="SRK15" s="338"/>
      <c r="SRL15" s="338"/>
      <c r="SRM15" s="338"/>
      <c r="SRN15" s="338"/>
      <c r="SRO15" s="338"/>
      <c r="SRP15" s="338"/>
      <c r="SRQ15" s="338"/>
      <c r="SRR15" s="338"/>
      <c r="SRS15" s="338"/>
      <c r="SRT15" s="338"/>
      <c r="SRU15" s="338"/>
      <c r="SRV15" s="338"/>
      <c r="SRW15" s="338"/>
      <c r="SRX15" s="338"/>
      <c r="SRY15" s="338"/>
      <c r="SRZ15" s="338"/>
      <c r="SSA15" s="338"/>
      <c r="SSB15" s="338"/>
      <c r="SSC15" s="338"/>
      <c r="SSD15" s="338"/>
      <c r="SSE15" s="338"/>
      <c r="SSF15" s="338"/>
      <c r="SSG15" s="338"/>
      <c r="SSH15" s="338"/>
      <c r="SSI15" s="338"/>
      <c r="SSJ15" s="338"/>
      <c r="SSK15" s="338"/>
      <c r="SSL15" s="338"/>
      <c r="SSM15" s="338"/>
      <c r="SSN15" s="338"/>
      <c r="SSO15" s="338"/>
      <c r="SSP15" s="338"/>
      <c r="SSQ15" s="338"/>
      <c r="SSR15" s="338"/>
      <c r="SSS15" s="338"/>
      <c r="SST15" s="338"/>
      <c r="SSU15" s="338"/>
      <c r="SSV15" s="338"/>
      <c r="SSW15" s="338"/>
      <c r="SSX15" s="338"/>
      <c r="SSY15" s="338"/>
      <c r="SSZ15" s="338"/>
      <c r="STA15" s="338"/>
      <c r="STB15" s="338"/>
      <c r="STC15" s="338"/>
      <c r="STD15" s="338"/>
      <c r="STE15" s="338"/>
      <c r="STF15" s="338"/>
      <c r="STG15" s="338"/>
      <c r="STH15" s="338"/>
      <c r="STI15" s="338"/>
      <c r="STJ15" s="338"/>
      <c r="STK15" s="338"/>
      <c r="STL15" s="338"/>
      <c r="STM15" s="338"/>
      <c r="STN15" s="338"/>
      <c r="STO15" s="338"/>
      <c r="STP15" s="338"/>
      <c r="STQ15" s="338"/>
      <c r="STR15" s="338"/>
      <c r="STS15" s="338"/>
      <c r="STT15" s="338"/>
      <c r="STU15" s="338"/>
      <c r="STV15" s="338"/>
      <c r="STW15" s="338"/>
      <c r="STX15" s="338"/>
      <c r="STY15" s="338"/>
      <c r="STZ15" s="338"/>
      <c r="SUA15" s="338"/>
      <c r="SUB15" s="338"/>
      <c r="SUC15" s="338"/>
      <c r="SUD15" s="338"/>
      <c r="SUE15" s="338"/>
      <c r="SUF15" s="338"/>
      <c r="SUG15" s="338"/>
      <c r="SUH15" s="338"/>
      <c r="SUI15" s="338"/>
      <c r="SUJ15" s="338"/>
      <c r="SUK15" s="338"/>
      <c r="SUL15" s="338"/>
      <c r="SUM15" s="338"/>
      <c r="SUN15" s="338"/>
      <c r="SUO15" s="338"/>
      <c r="SUP15" s="338"/>
      <c r="SUQ15" s="338"/>
      <c r="SUR15" s="338"/>
      <c r="SUS15" s="338"/>
      <c r="SUT15" s="338"/>
      <c r="SUU15" s="338"/>
      <c r="SUV15" s="338"/>
      <c r="SUW15" s="338"/>
      <c r="SUX15" s="338"/>
      <c r="SUY15" s="338"/>
      <c r="SUZ15" s="338"/>
      <c r="SVA15" s="338"/>
      <c r="SVB15" s="338"/>
      <c r="SVC15" s="338"/>
      <c r="SVD15" s="338"/>
      <c r="SVE15" s="338"/>
      <c r="SVF15" s="338"/>
      <c r="SVG15" s="338"/>
      <c r="SVH15" s="338"/>
      <c r="SVI15" s="338"/>
      <c r="SVJ15" s="338"/>
      <c r="SVK15" s="338"/>
      <c r="SVL15" s="338"/>
      <c r="SVM15" s="338"/>
      <c r="SVN15" s="338"/>
      <c r="SVO15" s="338"/>
      <c r="SVP15" s="338"/>
      <c r="SVQ15" s="338"/>
      <c r="SVR15" s="338"/>
      <c r="SVS15" s="338"/>
      <c r="SVT15" s="338"/>
      <c r="SVU15" s="338"/>
      <c r="SVV15" s="338"/>
      <c r="SVW15" s="338"/>
      <c r="SVX15" s="338"/>
      <c r="SVY15" s="338"/>
      <c r="SVZ15" s="338"/>
      <c r="SWA15" s="338"/>
      <c r="SWB15" s="338"/>
      <c r="SWC15" s="338"/>
      <c r="SWD15" s="338"/>
      <c r="SWE15" s="338"/>
      <c r="SWF15" s="338"/>
      <c r="SWG15" s="338"/>
      <c r="SWH15" s="338"/>
      <c r="SWI15" s="338"/>
      <c r="SWJ15" s="338"/>
      <c r="SWK15" s="338"/>
      <c r="SWL15" s="338"/>
      <c r="SWM15" s="338"/>
      <c r="SWN15" s="338"/>
      <c r="SWO15" s="338"/>
      <c r="SWP15" s="338"/>
      <c r="SWQ15" s="338"/>
      <c r="SWR15" s="338"/>
      <c r="SWS15" s="338"/>
      <c r="SWT15" s="338"/>
      <c r="SWU15" s="338"/>
      <c r="SWV15" s="338"/>
      <c r="SWW15" s="338"/>
      <c r="SWX15" s="338"/>
      <c r="SWY15" s="338"/>
      <c r="SWZ15" s="338"/>
      <c r="SXA15" s="338"/>
      <c r="SXB15" s="338"/>
      <c r="SXC15" s="338"/>
      <c r="SXD15" s="338"/>
      <c r="SXE15" s="338"/>
      <c r="SXF15" s="338"/>
      <c r="SXG15" s="338"/>
      <c r="SXH15" s="338"/>
      <c r="SXI15" s="338"/>
      <c r="SXJ15" s="338"/>
      <c r="SXK15" s="338"/>
      <c r="SXL15" s="338"/>
      <c r="SXM15" s="338"/>
      <c r="SXN15" s="338"/>
      <c r="SXO15" s="338"/>
      <c r="SXP15" s="338"/>
      <c r="SXQ15" s="338"/>
      <c r="SXR15" s="338"/>
      <c r="SXS15" s="338"/>
      <c r="SXT15" s="338"/>
      <c r="SXU15" s="338"/>
      <c r="SXV15" s="338"/>
      <c r="SXW15" s="338"/>
      <c r="SXX15" s="338"/>
      <c r="SXY15" s="338"/>
      <c r="SXZ15" s="338"/>
      <c r="SYA15" s="338"/>
      <c r="SYB15" s="338"/>
      <c r="SYC15" s="338"/>
      <c r="SYD15" s="338"/>
      <c r="SYE15" s="338"/>
      <c r="SYF15" s="338"/>
      <c r="SYG15" s="338"/>
      <c r="SYH15" s="338"/>
      <c r="SYI15" s="338"/>
      <c r="SYJ15" s="338"/>
      <c r="SYK15" s="338"/>
      <c r="SYL15" s="338"/>
      <c r="SYM15" s="338"/>
      <c r="SYN15" s="338"/>
      <c r="SYO15" s="338"/>
      <c r="SYP15" s="338"/>
      <c r="SYQ15" s="338"/>
      <c r="SYR15" s="338"/>
      <c r="SYS15" s="338"/>
      <c r="SYT15" s="338"/>
      <c r="SYU15" s="338"/>
      <c r="SYV15" s="338"/>
      <c r="SYW15" s="338"/>
      <c r="SYX15" s="338"/>
      <c r="SYY15" s="338"/>
      <c r="SYZ15" s="338"/>
      <c r="SZA15" s="338"/>
      <c r="SZB15" s="338"/>
      <c r="SZC15" s="338"/>
      <c r="SZD15" s="338"/>
      <c r="SZE15" s="338"/>
      <c r="SZF15" s="338"/>
      <c r="SZG15" s="338"/>
      <c r="SZH15" s="338"/>
      <c r="SZI15" s="338"/>
      <c r="SZJ15" s="338"/>
      <c r="SZK15" s="338"/>
      <c r="SZL15" s="338"/>
      <c r="SZM15" s="338"/>
      <c r="SZN15" s="338"/>
      <c r="SZO15" s="338"/>
      <c r="SZP15" s="338"/>
      <c r="SZQ15" s="338"/>
      <c r="SZR15" s="338"/>
      <c r="SZS15" s="338"/>
      <c r="SZT15" s="338"/>
      <c r="SZU15" s="338"/>
      <c r="SZV15" s="338"/>
      <c r="SZW15" s="338"/>
      <c r="SZX15" s="338"/>
      <c r="SZY15" s="338"/>
      <c r="SZZ15" s="338"/>
      <c r="TAA15" s="338"/>
      <c r="TAB15" s="338"/>
      <c r="TAC15" s="338"/>
      <c r="TAD15" s="338"/>
      <c r="TAE15" s="338"/>
      <c r="TAF15" s="338"/>
      <c r="TAG15" s="338"/>
      <c r="TAH15" s="338"/>
      <c r="TAI15" s="338"/>
      <c r="TAJ15" s="338"/>
      <c r="TAK15" s="338"/>
      <c r="TAL15" s="338"/>
      <c r="TAM15" s="338"/>
      <c r="TAN15" s="338"/>
      <c r="TAO15" s="338"/>
      <c r="TAP15" s="338"/>
      <c r="TAQ15" s="338"/>
      <c r="TAR15" s="338"/>
      <c r="TAS15" s="338"/>
      <c r="TAT15" s="338"/>
      <c r="TAU15" s="338"/>
      <c r="TAV15" s="338"/>
      <c r="TAW15" s="338"/>
      <c r="TAX15" s="338"/>
      <c r="TAY15" s="338"/>
      <c r="TAZ15" s="338"/>
      <c r="TBA15" s="338"/>
      <c r="TBB15" s="338"/>
      <c r="TBC15" s="338"/>
      <c r="TBD15" s="338"/>
      <c r="TBE15" s="338"/>
      <c r="TBF15" s="338"/>
      <c r="TBG15" s="338"/>
      <c r="TBH15" s="338"/>
      <c r="TBI15" s="338"/>
      <c r="TBJ15" s="338"/>
      <c r="TBK15" s="338"/>
      <c r="TBL15" s="338"/>
      <c r="TBM15" s="338"/>
      <c r="TBN15" s="338"/>
      <c r="TBO15" s="338"/>
      <c r="TBP15" s="338"/>
      <c r="TBQ15" s="338"/>
      <c r="TBR15" s="338"/>
      <c r="TBS15" s="338"/>
      <c r="TBT15" s="338"/>
      <c r="TBU15" s="338"/>
      <c r="TBV15" s="338"/>
      <c r="TBW15" s="338"/>
      <c r="TBX15" s="338"/>
      <c r="TBY15" s="338"/>
      <c r="TBZ15" s="338"/>
      <c r="TCA15" s="338"/>
      <c r="TCB15" s="338"/>
      <c r="TCC15" s="338"/>
      <c r="TCD15" s="338"/>
      <c r="TCE15" s="338"/>
      <c r="TCF15" s="338"/>
      <c r="TCG15" s="338"/>
      <c r="TCH15" s="338"/>
      <c r="TCI15" s="338"/>
      <c r="TCJ15" s="338"/>
      <c r="TCK15" s="338"/>
      <c r="TCL15" s="338"/>
      <c r="TCM15" s="338"/>
      <c r="TCN15" s="338"/>
      <c r="TCO15" s="338"/>
      <c r="TCP15" s="338"/>
      <c r="TCQ15" s="338"/>
      <c r="TCR15" s="338"/>
      <c r="TCS15" s="338"/>
      <c r="TCT15" s="338"/>
      <c r="TCU15" s="338"/>
      <c r="TCV15" s="338"/>
      <c r="TCW15" s="338"/>
      <c r="TCX15" s="338"/>
      <c r="TCY15" s="338"/>
      <c r="TCZ15" s="338"/>
      <c r="TDA15" s="338"/>
      <c r="TDB15" s="338"/>
      <c r="TDC15" s="338"/>
      <c r="TDD15" s="338"/>
      <c r="TDE15" s="338"/>
      <c r="TDF15" s="338"/>
      <c r="TDG15" s="338"/>
      <c r="TDH15" s="338"/>
      <c r="TDI15" s="338"/>
      <c r="TDJ15" s="338"/>
      <c r="TDK15" s="338"/>
      <c r="TDL15" s="338"/>
      <c r="TDM15" s="338"/>
      <c r="TDN15" s="338"/>
      <c r="TDO15" s="338"/>
      <c r="TDP15" s="338"/>
      <c r="TDQ15" s="338"/>
      <c r="TDR15" s="338"/>
      <c r="TDS15" s="338"/>
      <c r="TDT15" s="338"/>
      <c r="TDU15" s="338"/>
      <c r="TDV15" s="338"/>
      <c r="TDW15" s="338"/>
      <c r="TDX15" s="338"/>
      <c r="TDY15" s="338"/>
      <c r="TDZ15" s="338"/>
      <c r="TEA15" s="338"/>
      <c r="TEB15" s="338"/>
      <c r="TEC15" s="338"/>
      <c r="TED15" s="338"/>
      <c r="TEE15" s="338"/>
      <c r="TEF15" s="338"/>
      <c r="TEG15" s="338"/>
      <c r="TEH15" s="338"/>
      <c r="TEI15" s="338"/>
      <c r="TEJ15" s="338"/>
      <c r="TEK15" s="338"/>
      <c r="TEL15" s="338"/>
      <c r="TEM15" s="338"/>
      <c r="TEN15" s="338"/>
      <c r="TEO15" s="338"/>
      <c r="TEP15" s="338"/>
      <c r="TEQ15" s="338"/>
      <c r="TER15" s="338"/>
      <c r="TES15" s="338"/>
      <c r="TET15" s="338"/>
      <c r="TEU15" s="338"/>
      <c r="TEV15" s="338"/>
      <c r="TEW15" s="338"/>
      <c r="TEX15" s="338"/>
      <c r="TEY15" s="338"/>
      <c r="TEZ15" s="338"/>
      <c r="TFA15" s="338"/>
      <c r="TFB15" s="338"/>
      <c r="TFC15" s="338"/>
      <c r="TFD15" s="338"/>
      <c r="TFE15" s="338"/>
      <c r="TFF15" s="338"/>
      <c r="TFG15" s="338"/>
      <c r="TFH15" s="338"/>
      <c r="TFI15" s="338"/>
      <c r="TFJ15" s="338"/>
      <c r="TFK15" s="338"/>
      <c r="TFL15" s="338"/>
      <c r="TFM15" s="338"/>
      <c r="TFN15" s="338"/>
      <c r="TFO15" s="338"/>
      <c r="TFP15" s="338"/>
      <c r="TFQ15" s="338"/>
      <c r="TFR15" s="338"/>
      <c r="TFS15" s="338"/>
      <c r="TFT15" s="338"/>
      <c r="TFU15" s="338"/>
      <c r="TFV15" s="338"/>
      <c r="TFW15" s="338"/>
      <c r="TFX15" s="338"/>
      <c r="TFY15" s="338"/>
      <c r="TFZ15" s="338"/>
      <c r="TGA15" s="338"/>
      <c r="TGB15" s="338"/>
      <c r="TGC15" s="338"/>
      <c r="TGD15" s="338"/>
      <c r="TGE15" s="338"/>
      <c r="TGF15" s="338"/>
      <c r="TGG15" s="338"/>
      <c r="TGH15" s="338"/>
      <c r="TGI15" s="338"/>
      <c r="TGJ15" s="338"/>
      <c r="TGK15" s="338"/>
      <c r="TGL15" s="338"/>
      <c r="TGM15" s="338"/>
      <c r="TGN15" s="338"/>
      <c r="TGO15" s="338"/>
      <c r="TGP15" s="338"/>
      <c r="TGQ15" s="338"/>
      <c r="TGR15" s="338"/>
      <c r="TGS15" s="338"/>
      <c r="TGT15" s="338"/>
      <c r="TGU15" s="338"/>
      <c r="TGV15" s="338"/>
      <c r="TGW15" s="338"/>
      <c r="TGX15" s="338"/>
      <c r="TGY15" s="338"/>
      <c r="TGZ15" s="338"/>
      <c r="THA15" s="338"/>
      <c r="THB15" s="338"/>
      <c r="THC15" s="338"/>
      <c r="THD15" s="338"/>
      <c r="THE15" s="338"/>
      <c r="THF15" s="338"/>
      <c r="THG15" s="338"/>
      <c r="THH15" s="338"/>
      <c r="THI15" s="338"/>
      <c r="THJ15" s="338"/>
      <c r="THK15" s="338"/>
      <c r="THL15" s="338"/>
      <c r="THM15" s="338"/>
      <c r="THN15" s="338"/>
      <c r="THO15" s="338"/>
      <c r="THP15" s="338"/>
      <c r="THQ15" s="338"/>
      <c r="THR15" s="338"/>
      <c r="THS15" s="338"/>
      <c r="THT15" s="338"/>
      <c r="THU15" s="338"/>
      <c r="THV15" s="338"/>
      <c r="THW15" s="338"/>
      <c r="THX15" s="338"/>
      <c r="THY15" s="338"/>
      <c r="THZ15" s="338"/>
      <c r="TIA15" s="338"/>
      <c r="TIB15" s="338"/>
      <c r="TIC15" s="338"/>
      <c r="TID15" s="338"/>
      <c r="TIE15" s="338"/>
      <c r="TIF15" s="338"/>
      <c r="TIG15" s="338"/>
      <c r="TIH15" s="338"/>
      <c r="TII15" s="338"/>
      <c r="TIJ15" s="338"/>
      <c r="TIK15" s="338"/>
      <c r="TIL15" s="338"/>
      <c r="TIM15" s="338"/>
      <c r="TIN15" s="338"/>
      <c r="TIO15" s="338"/>
      <c r="TIP15" s="338"/>
      <c r="TIQ15" s="338"/>
      <c r="TIR15" s="338"/>
      <c r="TIS15" s="338"/>
      <c r="TIT15" s="338"/>
      <c r="TIU15" s="338"/>
      <c r="TIV15" s="338"/>
      <c r="TIW15" s="338"/>
      <c r="TIX15" s="338"/>
      <c r="TIY15" s="338"/>
      <c r="TIZ15" s="338"/>
      <c r="TJA15" s="338"/>
      <c r="TJB15" s="338"/>
      <c r="TJC15" s="338"/>
      <c r="TJD15" s="338"/>
      <c r="TJE15" s="338"/>
      <c r="TJF15" s="338"/>
      <c r="TJG15" s="338"/>
      <c r="TJH15" s="338"/>
      <c r="TJI15" s="338"/>
      <c r="TJJ15" s="338"/>
      <c r="TJK15" s="338"/>
      <c r="TJL15" s="338"/>
      <c r="TJM15" s="338"/>
      <c r="TJN15" s="338"/>
      <c r="TJO15" s="338"/>
      <c r="TJP15" s="338"/>
      <c r="TJQ15" s="338"/>
      <c r="TJR15" s="338"/>
      <c r="TJS15" s="338"/>
      <c r="TJT15" s="338"/>
      <c r="TJU15" s="338"/>
      <c r="TJV15" s="338"/>
      <c r="TJW15" s="338"/>
      <c r="TJX15" s="338"/>
      <c r="TJY15" s="338"/>
      <c r="TJZ15" s="338"/>
      <c r="TKA15" s="338"/>
      <c r="TKB15" s="338"/>
      <c r="TKC15" s="338"/>
      <c r="TKD15" s="338"/>
      <c r="TKE15" s="338"/>
      <c r="TKF15" s="338"/>
      <c r="TKG15" s="338"/>
      <c r="TKH15" s="338"/>
      <c r="TKI15" s="338"/>
      <c r="TKJ15" s="338"/>
      <c r="TKK15" s="338"/>
      <c r="TKL15" s="338"/>
      <c r="TKM15" s="338"/>
      <c r="TKN15" s="338"/>
      <c r="TKO15" s="338"/>
      <c r="TKP15" s="338"/>
      <c r="TKQ15" s="338"/>
      <c r="TKR15" s="338"/>
      <c r="TKS15" s="338"/>
      <c r="TKT15" s="338"/>
      <c r="TKU15" s="338"/>
      <c r="TKV15" s="338"/>
      <c r="TKW15" s="338"/>
      <c r="TKX15" s="338"/>
      <c r="TKY15" s="338"/>
      <c r="TKZ15" s="338"/>
      <c r="TLA15" s="338"/>
      <c r="TLB15" s="338"/>
      <c r="TLC15" s="338"/>
      <c r="TLD15" s="338"/>
      <c r="TLE15" s="338"/>
      <c r="TLF15" s="338"/>
      <c r="TLG15" s="338"/>
      <c r="TLH15" s="338"/>
      <c r="TLI15" s="338"/>
      <c r="TLJ15" s="338"/>
      <c r="TLK15" s="338"/>
      <c r="TLL15" s="338"/>
      <c r="TLM15" s="338"/>
      <c r="TLN15" s="338"/>
      <c r="TLO15" s="338"/>
      <c r="TLP15" s="338"/>
      <c r="TLQ15" s="338"/>
      <c r="TLR15" s="338"/>
      <c r="TLS15" s="338"/>
      <c r="TLT15" s="338"/>
      <c r="TLU15" s="338"/>
      <c r="TLV15" s="338"/>
      <c r="TLW15" s="338"/>
      <c r="TLX15" s="338"/>
      <c r="TLY15" s="338"/>
      <c r="TLZ15" s="338"/>
      <c r="TMA15" s="338"/>
      <c r="TMB15" s="338"/>
      <c r="TMC15" s="338"/>
      <c r="TMD15" s="338"/>
      <c r="TME15" s="338"/>
      <c r="TMF15" s="338"/>
      <c r="TMG15" s="338"/>
      <c r="TMH15" s="338"/>
      <c r="TMI15" s="338"/>
      <c r="TMJ15" s="338"/>
      <c r="TMK15" s="338"/>
      <c r="TML15" s="338"/>
      <c r="TMM15" s="338"/>
      <c r="TMN15" s="338"/>
      <c r="TMO15" s="338"/>
      <c r="TMP15" s="338"/>
      <c r="TMQ15" s="338"/>
      <c r="TMR15" s="338"/>
      <c r="TMS15" s="338"/>
      <c r="TMT15" s="338"/>
      <c r="TMU15" s="338"/>
      <c r="TMV15" s="338"/>
      <c r="TMW15" s="338"/>
      <c r="TMX15" s="338"/>
      <c r="TMY15" s="338"/>
      <c r="TMZ15" s="338"/>
      <c r="TNA15" s="338"/>
      <c r="TNB15" s="338"/>
      <c r="TNC15" s="338"/>
      <c r="TND15" s="338"/>
      <c r="TNE15" s="338"/>
      <c r="TNF15" s="338"/>
      <c r="TNG15" s="338"/>
      <c r="TNH15" s="338"/>
      <c r="TNI15" s="338"/>
      <c r="TNJ15" s="338"/>
      <c r="TNK15" s="338"/>
      <c r="TNL15" s="338"/>
      <c r="TNM15" s="338"/>
      <c r="TNN15" s="338"/>
      <c r="TNO15" s="338"/>
      <c r="TNP15" s="338"/>
      <c r="TNQ15" s="338"/>
      <c r="TNR15" s="338"/>
      <c r="TNS15" s="338"/>
      <c r="TNT15" s="338"/>
      <c r="TNU15" s="338"/>
      <c r="TNV15" s="338"/>
      <c r="TNW15" s="338"/>
      <c r="TNX15" s="338"/>
      <c r="TNY15" s="338"/>
      <c r="TNZ15" s="338"/>
      <c r="TOA15" s="338"/>
      <c r="TOB15" s="338"/>
      <c r="TOC15" s="338"/>
      <c r="TOD15" s="338"/>
      <c r="TOE15" s="338"/>
      <c r="TOF15" s="338"/>
      <c r="TOG15" s="338"/>
      <c r="TOH15" s="338"/>
      <c r="TOI15" s="338"/>
      <c r="TOJ15" s="338"/>
      <c r="TOK15" s="338"/>
      <c r="TOL15" s="338"/>
      <c r="TOM15" s="338"/>
      <c r="TON15" s="338"/>
      <c r="TOO15" s="338"/>
      <c r="TOP15" s="338"/>
      <c r="TOQ15" s="338"/>
      <c r="TOR15" s="338"/>
      <c r="TOS15" s="338"/>
      <c r="TOT15" s="338"/>
      <c r="TOU15" s="338"/>
      <c r="TOV15" s="338"/>
      <c r="TOW15" s="338"/>
      <c r="TOX15" s="338"/>
      <c r="TOY15" s="338"/>
      <c r="TOZ15" s="338"/>
      <c r="TPA15" s="338"/>
      <c r="TPB15" s="338"/>
      <c r="TPC15" s="338"/>
      <c r="TPD15" s="338"/>
      <c r="TPE15" s="338"/>
      <c r="TPF15" s="338"/>
      <c r="TPG15" s="338"/>
      <c r="TPH15" s="338"/>
      <c r="TPI15" s="338"/>
      <c r="TPJ15" s="338"/>
      <c r="TPK15" s="338"/>
      <c r="TPL15" s="338"/>
      <c r="TPM15" s="338"/>
      <c r="TPN15" s="338"/>
      <c r="TPO15" s="338"/>
      <c r="TPP15" s="338"/>
      <c r="TPQ15" s="338"/>
      <c r="TPR15" s="338"/>
      <c r="TPS15" s="338"/>
      <c r="TPT15" s="338"/>
      <c r="TPU15" s="338"/>
      <c r="TPV15" s="338"/>
      <c r="TPW15" s="338"/>
      <c r="TPX15" s="338"/>
      <c r="TPY15" s="338"/>
      <c r="TPZ15" s="338"/>
      <c r="TQA15" s="338"/>
      <c r="TQB15" s="338"/>
      <c r="TQC15" s="338"/>
      <c r="TQD15" s="338"/>
      <c r="TQE15" s="338"/>
      <c r="TQF15" s="338"/>
      <c r="TQG15" s="338"/>
      <c r="TQH15" s="338"/>
      <c r="TQI15" s="338"/>
      <c r="TQJ15" s="338"/>
      <c r="TQK15" s="338"/>
      <c r="TQL15" s="338"/>
      <c r="TQM15" s="338"/>
      <c r="TQN15" s="338"/>
      <c r="TQO15" s="338"/>
      <c r="TQP15" s="338"/>
      <c r="TQQ15" s="338"/>
      <c r="TQR15" s="338"/>
      <c r="TQS15" s="338"/>
      <c r="TQT15" s="338"/>
      <c r="TQU15" s="338"/>
      <c r="TQV15" s="338"/>
      <c r="TQW15" s="338"/>
      <c r="TQX15" s="338"/>
      <c r="TQY15" s="338"/>
      <c r="TQZ15" s="338"/>
      <c r="TRA15" s="338"/>
      <c r="TRB15" s="338"/>
      <c r="TRC15" s="338"/>
      <c r="TRD15" s="338"/>
      <c r="TRE15" s="338"/>
      <c r="TRF15" s="338"/>
      <c r="TRG15" s="338"/>
      <c r="TRH15" s="338"/>
      <c r="TRI15" s="338"/>
      <c r="TRJ15" s="338"/>
      <c r="TRK15" s="338"/>
      <c r="TRL15" s="338"/>
      <c r="TRM15" s="338"/>
      <c r="TRN15" s="338"/>
      <c r="TRO15" s="338"/>
      <c r="TRP15" s="338"/>
      <c r="TRQ15" s="338"/>
      <c r="TRR15" s="338"/>
      <c r="TRS15" s="338"/>
      <c r="TRT15" s="338"/>
      <c r="TRU15" s="338"/>
      <c r="TRV15" s="338"/>
      <c r="TRW15" s="338"/>
      <c r="TRX15" s="338"/>
      <c r="TRY15" s="338"/>
      <c r="TRZ15" s="338"/>
      <c r="TSA15" s="338"/>
      <c r="TSB15" s="338"/>
      <c r="TSC15" s="338"/>
      <c r="TSD15" s="338"/>
      <c r="TSE15" s="338"/>
      <c r="TSF15" s="338"/>
      <c r="TSG15" s="338"/>
      <c r="TSH15" s="338"/>
      <c r="TSI15" s="338"/>
      <c r="TSJ15" s="338"/>
      <c r="TSK15" s="338"/>
      <c r="TSL15" s="338"/>
      <c r="TSM15" s="338"/>
      <c r="TSN15" s="338"/>
      <c r="TSO15" s="338"/>
      <c r="TSP15" s="338"/>
      <c r="TSQ15" s="338"/>
      <c r="TSR15" s="338"/>
      <c r="TSS15" s="338"/>
      <c r="TST15" s="338"/>
      <c r="TSU15" s="338"/>
      <c r="TSV15" s="338"/>
      <c r="TSW15" s="338"/>
      <c r="TSX15" s="338"/>
      <c r="TSY15" s="338"/>
      <c r="TSZ15" s="338"/>
      <c r="TTA15" s="338"/>
      <c r="TTB15" s="338"/>
      <c r="TTC15" s="338"/>
      <c r="TTD15" s="338"/>
      <c r="TTE15" s="338"/>
      <c r="TTF15" s="338"/>
      <c r="TTG15" s="338"/>
      <c r="TTH15" s="338"/>
      <c r="TTI15" s="338"/>
      <c r="TTJ15" s="338"/>
      <c r="TTK15" s="338"/>
      <c r="TTL15" s="338"/>
      <c r="TTM15" s="338"/>
      <c r="TTN15" s="338"/>
      <c r="TTO15" s="338"/>
      <c r="TTP15" s="338"/>
      <c r="TTQ15" s="338"/>
      <c r="TTR15" s="338"/>
      <c r="TTS15" s="338"/>
      <c r="TTT15" s="338"/>
      <c r="TTU15" s="338"/>
      <c r="TTV15" s="338"/>
      <c r="TTW15" s="338"/>
      <c r="TTX15" s="338"/>
      <c r="TTY15" s="338"/>
      <c r="TTZ15" s="338"/>
      <c r="TUA15" s="338"/>
      <c r="TUB15" s="338"/>
      <c r="TUC15" s="338"/>
      <c r="TUD15" s="338"/>
      <c r="TUE15" s="338"/>
      <c r="TUF15" s="338"/>
      <c r="TUG15" s="338"/>
      <c r="TUH15" s="338"/>
      <c r="TUI15" s="338"/>
      <c r="TUJ15" s="338"/>
      <c r="TUK15" s="338"/>
      <c r="TUL15" s="338"/>
      <c r="TUM15" s="338"/>
      <c r="TUN15" s="338"/>
      <c r="TUO15" s="338"/>
      <c r="TUP15" s="338"/>
      <c r="TUQ15" s="338"/>
      <c r="TUR15" s="338"/>
      <c r="TUS15" s="338"/>
      <c r="TUT15" s="338"/>
      <c r="TUU15" s="338"/>
      <c r="TUV15" s="338"/>
      <c r="TUW15" s="338"/>
      <c r="TUX15" s="338"/>
      <c r="TUY15" s="338"/>
      <c r="TUZ15" s="338"/>
      <c r="TVA15" s="338"/>
      <c r="TVB15" s="338"/>
      <c r="TVC15" s="338"/>
      <c r="TVD15" s="338"/>
      <c r="TVE15" s="338"/>
      <c r="TVF15" s="338"/>
      <c r="TVG15" s="338"/>
      <c r="TVH15" s="338"/>
      <c r="TVI15" s="338"/>
      <c r="TVJ15" s="338"/>
      <c r="TVK15" s="338"/>
      <c r="TVL15" s="338"/>
      <c r="TVM15" s="338"/>
      <c r="TVN15" s="338"/>
      <c r="TVO15" s="338"/>
      <c r="TVP15" s="338"/>
      <c r="TVQ15" s="338"/>
      <c r="TVR15" s="338"/>
      <c r="TVS15" s="338"/>
      <c r="TVT15" s="338"/>
      <c r="TVU15" s="338"/>
      <c r="TVV15" s="338"/>
      <c r="TVW15" s="338"/>
      <c r="TVX15" s="338"/>
      <c r="TVY15" s="338"/>
      <c r="TVZ15" s="338"/>
      <c r="TWA15" s="338"/>
      <c r="TWB15" s="338"/>
      <c r="TWC15" s="338"/>
      <c r="TWD15" s="338"/>
      <c r="TWE15" s="338"/>
      <c r="TWF15" s="338"/>
      <c r="TWG15" s="338"/>
      <c r="TWH15" s="338"/>
      <c r="TWI15" s="338"/>
      <c r="TWJ15" s="338"/>
      <c r="TWK15" s="338"/>
      <c r="TWL15" s="338"/>
      <c r="TWM15" s="338"/>
      <c r="TWN15" s="338"/>
      <c r="TWO15" s="338"/>
      <c r="TWP15" s="338"/>
      <c r="TWQ15" s="338"/>
      <c r="TWR15" s="338"/>
      <c r="TWS15" s="338"/>
      <c r="TWT15" s="338"/>
      <c r="TWU15" s="338"/>
      <c r="TWV15" s="338"/>
      <c r="TWW15" s="338"/>
      <c r="TWX15" s="338"/>
      <c r="TWY15" s="338"/>
      <c r="TWZ15" s="338"/>
      <c r="TXA15" s="338"/>
      <c r="TXB15" s="338"/>
      <c r="TXC15" s="338"/>
      <c r="TXD15" s="338"/>
      <c r="TXE15" s="338"/>
      <c r="TXF15" s="338"/>
      <c r="TXG15" s="338"/>
      <c r="TXH15" s="338"/>
      <c r="TXI15" s="338"/>
      <c r="TXJ15" s="338"/>
      <c r="TXK15" s="338"/>
      <c r="TXL15" s="338"/>
      <c r="TXM15" s="338"/>
      <c r="TXN15" s="338"/>
      <c r="TXO15" s="338"/>
      <c r="TXP15" s="338"/>
      <c r="TXQ15" s="338"/>
      <c r="TXR15" s="338"/>
      <c r="TXS15" s="338"/>
      <c r="TXT15" s="338"/>
      <c r="TXU15" s="338"/>
      <c r="TXV15" s="338"/>
      <c r="TXW15" s="338"/>
      <c r="TXX15" s="338"/>
      <c r="TXY15" s="338"/>
      <c r="TXZ15" s="338"/>
      <c r="TYA15" s="338"/>
      <c r="TYB15" s="338"/>
      <c r="TYC15" s="338"/>
      <c r="TYD15" s="338"/>
      <c r="TYE15" s="338"/>
      <c r="TYF15" s="338"/>
      <c r="TYG15" s="338"/>
      <c r="TYH15" s="338"/>
      <c r="TYI15" s="338"/>
      <c r="TYJ15" s="338"/>
      <c r="TYK15" s="338"/>
      <c r="TYL15" s="338"/>
      <c r="TYM15" s="338"/>
      <c r="TYN15" s="338"/>
      <c r="TYO15" s="338"/>
      <c r="TYP15" s="338"/>
      <c r="TYQ15" s="338"/>
      <c r="TYR15" s="338"/>
      <c r="TYS15" s="338"/>
      <c r="TYT15" s="338"/>
      <c r="TYU15" s="338"/>
      <c r="TYV15" s="338"/>
      <c r="TYW15" s="338"/>
      <c r="TYX15" s="338"/>
      <c r="TYY15" s="338"/>
      <c r="TYZ15" s="338"/>
      <c r="TZA15" s="338"/>
      <c r="TZB15" s="338"/>
      <c r="TZC15" s="338"/>
      <c r="TZD15" s="338"/>
      <c r="TZE15" s="338"/>
      <c r="TZF15" s="338"/>
      <c r="TZG15" s="338"/>
      <c r="TZH15" s="338"/>
      <c r="TZI15" s="338"/>
      <c r="TZJ15" s="338"/>
      <c r="TZK15" s="338"/>
      <c r="TZL15" s="338"/>
      <c r="TZM15" s="338"/>
      <c r="TZN15" s="338"/>
      <c r="TZO15" s="338"/>
      <c r="TZP15" s="338"/>
      <c r="TZQ15" s="338"/>
      <c r="TZR15" s="338"/>
      <c r="TZS15" s="338"/>
      <c r="TZT15" s="338"/>
      <c r="TZU15" s="338"/>
      <c r="TZV15" s="338"/>
      <c r="TZW15" s="338"/>
      <c r="TZX15" s="338"/>
      <c r="TZY15" s="338"/>
      <c r="TZZ15" s="338"/>
      <c r="UAA15" s="338"/>
      <c r="UAB15" s="338"/>
      <c r="UAC15" s="338"/>
      <c r="UAD15" s="338"/>
      <c r="UAE15" s="338"/>
      <c r="UAF15" s="338"/>
      <c r="UAG15" s="338"/>
      <c r="UAH15" s="338"/>
      <c r="UAI15" s="338"/>
      <c r="UAJ15" s="338"/>
      <c r="UAK15" s="338"/>
      <c r="UAL15" s="338"/>
      <c r="UAM15" s="338"/>
      <c r="UAN15" s="338"/>
      <c r="UAO15" s="338"/>
      <c r="UAP15" s="338"/>
      <c r="UAQ15" s="338"/>
      <c r="UAR15" s="338"/>
      <c r="UAS15" s="338"/>
      <c r="UAT15" s="338"/>
      <c r="UAU15" s="338"/>
      <c r="UAV15" s="338"/>
      <c r="UAW15" s="338"/>
      <c r="UAX15" s="338"/>
      <c r="UAY15" s="338"/>
      <c r="UAZ15" s="338"/>
      <c r="UBA15" s="338"/>
      <c r="UBB15" s="338"/>
      <c r="UBC15" s="338"/>
      <c r="UBD15" s="338"/>
      <c r="UBE15" s="338"/>
      <c r="UBF15" s="338"/>
      <c r="UBG15" s="338"/>
      <c r="UBH15" s="338"/>
      <c r="UBI15" s="338"/>
      <c r="UBJ15" s="338"/>
      <c r="UBK15" s="338"/>
      <c r="UBL15" s="338"/>
      <c r="UBM15" s="338"/>
      <c r="UBN15" s="338"/>
      <c r="UBO15" s="338"/>
      <c r="UBP15" s="338"/>
      <c r="UBQ15" s="338"/>
      <c r="UBR15" s="338"/>
      <c r="UBS15" s="338"/>
      <c r="UBT15" s="338"/>
      <c r="UBU15" s="338"/>
      <c r="UBV15" s="338"/>
      <c r="UBW15" s="338"/>
      <c r="UBX15" s="338"/>
      <c r="UBY15" s="338"/>
      <c r="UBZ15" s="338"/>
      <c r="UCA15" s="338"/>
      <c r="UCB15" s="338"/>
      <c r="UCC15" s="338"/>
      <c r="UCD15" s="338"/>
      <c r="UCE15" s="338"/>
      <c r="UCF15" s="338"/>
      <c r="UCG15" s="338"/>
      <c r="UCH15" s="338"/>
      <c r="UCI15" s="338"/>
      <c r="UCJ15" s="338"/>
      <c r="UCK15" s="338"/>
      <c r="UCL15" s="338"/>
      <c r="UCM15" s="338"/>
      <c r="UCN15" s="338"/>
      <c r="UCO15" s="338"/>
      <c r="UCP15" s="338"/>
      <c r="UCQ15" s="338"/>
      <c r="UCR15" s="338"/>
      <c r="UCS15" s="338"/>
      <c r="UCT15" s="338"/>
      <c r="UCU15" s="338"/>
      <c r="UCV15" s="338"/>
      <c r="UCW15" s="338"/>
      <c r="UCX15" s="338"/>
      <c r="UCY15" s="338"/>
      <c r="UCZ15" s="338"/>
      <c r="UDA15" s="338"/>
      <c r="UDB15" s="338"/>
      <c r="UDC15" s="338"/>
      <c r="UDD15" s="338"/>
      <c r="UDE15" s="338"/>
      <c r="UDF15" s="338"/>
      <c r="UDG15" s="338"/>
      <c r="UDH15" s="338"/>
      <c r="UDI15" s="338"/>
      <c r="UDJ15" s="338"/>
      <c r="UDK15" s="338"/>
      <c r="UDL15" s="338"/>
      <c r="UDM15" s="338"/>
      <c r="UDN15" s="338"/>
      <c r="UDO15" s="338"/>
      <c r="UDP15" s="338"/>
      <c r="UDQ15" s="338"/>
      <c r="UDR15" s="338"/>
      <c r="UDS15" s="338"/>
      <c r="UDT15" s="338"/>
      <c r="UDU15" s="338"/>
      <c r="UDV15" s="338"/>
      <c r="UDW15" s="338"/>
      <c r="UDX15" s="338"/>
      <c r="UDY15" s="338"/>
      <c r="UDZ15" s="338"/>
      <c r="UEA15" s="338"/>
      <c r="UEB15" s="338"/>
      <c r="UEC15" s="338"/>
      <c r="UED15" s="338"/>
      <c r="UEE15" s="338"/>
      <c r="UEF15" s="338"/>
      <c r="UEG15" s="338"/>
      <c r="UEH15" s="338"/>
      <c r="UEI15" s="338"/>
      <c r="UEJ15" s="338"/>
      <c r="UEK15" s="338"/>
      <c r="UEL15" s="338"/>
      <c r="UEM15" s="338"/>
      <c r="UEN15" s="338"/>
      <c r="UEO15" s="338"/>
      <c r="UEP15" s="338"/>
      <c r="UEQ15" s="338"/>
      <c r="UER15" s="338"/>
      <c r="UES15" s="338"/>
      <c r="UET15" s="338"/>
      <c r="UEU15" s="338"/>
      <c r="UEV15" s="338"/>
      <c r="UEW15" s="338"/>
      <c r="UEX15" s="338"/>
      <c r="UEY15" s="338"/>
      <c r="UEZ15" s="338"/>
      <c r="UFA15" s="338"/>
      <c r="UFB15" s="338"/>
      <c r="UFC15" s="338"/>
      <c r="UFD15" s="338"/>
      <c r="UFE15" s="338"/>
      <c r="UFF15" s="338"/>
      <c r="UFG15" s="338"/>
      <c r="UFH15" s="338"/>
      <c r="UFI15" s="338"/>
      <c r="UFJ15" s="338"/>
      <c r="UFK15" s="338"/>
      <c r="UFL15" s="338"/>
      <c r="UFM15" s="338"/>
      <c r="UFN15" s="338"/>
      <c r="UFO15" s="338"/>
      <c r="UFP15" s="338"/>
      <c r="UFQ15" s="338"/>
      <c r="UFR15" s="338"/>
      <c r="UFS15" s="338"/>
      <c r="UFT15" s="338"/>
      <c r="UFU15" s="338"/>
      <c r="UFV15" s="338"/>
      <c r="UFW15" s="338"/>
      <c r="UFX15" s="338"/>
      <c r="UFY15" s="338"/>
      <c r="UFZ15" s="338"/>
      <c r="UGA15" s="338"/>
      <c r="UGB15" s="338"/>
      <c r="UGC15" s="338"/>
      <c r="UGD15" s="338"/>
      <c r="UGE15" s="338"/>
      <c r="UGF15" s="338"/>
      <c r="UGG15" s="338"/>
      <c r="UGH15" s="338"/>
      <c r="UGI15" s="338"/>
      <c r="UGJ15" s="338"/>
      <c r="UGK15" s="338"/>
      <c r="UGL15" s="338"/>
      <c r="UGM15" s="338"/>
      <c r="UGN15" s="338"/>
      <c r="UGO15" s="338"/>
      <c r="UGP15" s="338"/>
      <c r="UGQ15" s="338"/>
      <c r="UGR15" s="338"/>
      <c r="UGS15" s="338"/>
      <c r="UGT15" s="338"/>
      <c r="UGU15" s="338"/>
      <c r="UGV15" s="338"/>
      <c r="UGW15" s="338"/>
      <c r="UGX15" s="338"/>
      <c r="UGY15" s="338"/>
      <c r="UGZ15" s="338"/>
      <c r="UHA15" s="338"/>
      <c r="UHB15" s="338"/>
      <c r="UHC15" s="338"/>
      <c r="UHD15" s="338"/>
      <c r="UHE15" s="338"/>
      <c r="UHF15" s="338"/>
      <c r="UHG15" s="338"/>
      <c r="UHH15" s="338"/>
      <c r="UHI15" s="338"/>
      <c r="UHJ15" s="338"/>
      <c r="UHK15" s="338"/>
      <c r="UHL15" s="338"/>
      <c r="UHM15" s="338"/>
      <c r="UHN15" s="338"/>
      <c r="UHO15" s="338"/>
      <c r="UHP15" s="338"/>
      <c r="UHQ15" s="338"/>
      <c r="UHR15" s="338"/>
      <c r="UHS15" s="338"/>
      <c r="UHT15" s="338"/>
      <c r="UHU15" s="338"/>
      <c r="UHV15" s="338"/>
      <c r="UHW15" s="338"/>
      <c r="UHX15" s="338"/>
      <c r="UHY15" s="338"/>
      <c r="UHZ15" s="338"/>
      <c r="UIA15" s="338"/>
      <c r="UIB15" s="338"/>
      <c r="UIC15" s="338"/>
      <c r="UID15" s="338"/>
      <c r="UIE15" s="338"/>
      <c r="UIF15" s="338"/>
      <c r="UIG15" s="338"/>
      <c r="UIH15" s="338"/>
      <c r="UII15" s="338"/>
      <c r="UIJ15" s="338"/>
      <c r="UIK15" s="338"/>
      <c r="UIL15" s="338"/>
      <c r="UIM15" s="338"/>
      <c r="UIN15" s="338"/>
      <c r="UIO15" s="338"/>
      <c r="UIP15" s="338"/>
      <c r="UIQ15" s="338"/>
      <c r="UIR15" s="338"/>
      <c r="UIS15" s="338"/>
      <c r="UIT15" s="338"/>
      <c r="UIU15" s="338"/>
      <c r="UIV15" s="338"/>
      <c r="UIW15" s="338"/>
      <c r="UIX15" s="338"/>
      <c r="UIY15" s="338"/>
      <c r="UIZ15" s="338"/>
      <c r="UJA15" s="338"/>
      <c r="UJB15" s="338"/>
      <c r="UJC15" s="338"/>
      <c r="UJD15" s="338"/>
      <c r="UJE15" s="338"/>
      <c r="UJF15" s="338"/>
      <c r="UJG15" s="338"/>
      <c r="UJH15" s="338"/>
      <c r="UJI15" s="338"/>
      <c r="UJJ15" s="338"/>
      <c r="UJK15" s="338"/>
      <c r="UJL15" s="338"/>
      <c r="UJM15" s="338"/>
      <c r="UJN15" s="338"/>
      <c r="UJO15" s="338"/>
      <c r="UJP15" s="338"/>
      <c r="UJQ15" s="338"/>
      <c r="UJR15" s="338"/>
      <c r="UJS15" s="338"/>
      <c r="UJT15" s="338"/>
      <c r="UJU15" s="338"/>
      <c r="UJV15" s="338"/>
      <c r="UJW15" s="338"/>
      <c r="UJX15" s="338"/>
      <c r="UJY15" s="338"/>
      <c r="UJZ15" s="338"/>
      <c r="UKA15" s="338"/>
      <c r="UKB15" s="338"/>
      <c r="UKC15" s="338"/>
      <c r="UKD15" s="338"/>
      <c r="UKE15" s="338"/>
      <c r="UKF15" s="338"/>
      <c r="UKG15" s="338"/>
      <c r="UKH15" s="338"/>
      <c r="UKI15" s="338"/>
      <c r="UKJ15" s="338"/>
      <c r="UKK15" s="338"/>
      <c r="UKL15" s="338"/>
      <c r="UKM15" s="338"/>
      <c r="UKN15" s="338"/>
      <c r="UKO15" s="338"/>
      <c r="UKP15" s="338"/>
      <c r="UKQ15" s="338"/>
      <c r="UKR15" s="338"/>
      <c r="UKS15" s="338"/>
      <c r="UKT15" s="338"/>
      <c r="UKU15" s="338"/>
      <c r="UKV15" s="338"/>
      <c r="UKW15" s="338"/>
      <c r="UKX15" s="338"/>
      <c r="UKY15" s="338"/>
      <c r="UKZ15" s="338"/>
      <c r="ULA15" s="338"/>
      <c r="ULB15" s="338"/>
      <c r="ULC15" s="338"/>
      <c r="ULD15" s="338"/>
      <c r="ULE15" s="338"/>
      <c r="ULF15" s="338"/>
      <c r="ULG15" s="338"/>
      <c r="ULH15" s="338"/>
      <c r="ULI15" s="338"/>
      <c r="ULJ15" s="338"/>
      <c r="ULK15" s="338"/>
      <c r="ULL15" s="338"/>
      <c r="ULM15" s="338"/>
      <c r="ULN15" s="338"/>
      <c r="ULO15" s="338"/>
      <c r="ULP15" s="338"/>
      <c r="ULQ15" s="338"/>
      <c r="ULR15" s="338"/>
      <c r="ULS15" s="338"/>
      <c r="ULT15" s="338"/>
      <c r="ULU15" s="338"/>
      <c r="ULV15" s="338"/>
      <c r="ULW15" s="338"/>
      <c r="ULX15" s="338"/>
      <c r="ULY15" s="338"/>
      <c r="ULZ15" s="338"/>
      <c r="UMA15" s="338"/>
      <c r="UMB15" s="338"/>
      <c r="UMC15" s="338"/>
      <c r="UMD15" s="338"/>
      <c r="UME15" s="338"/>
      <c r="UMF15" s="338"/>
      <c r="UMG15" s="338"/>
      <c r="UMH15" s="338"/>
      <c r="UMI15" s="338"/>
      <c r="UMJ15" s="338"/>
      <c r="UMK15" s="338"/>
      <c r="UML15" s="338"/>
      <c r="UMM15" s="338"/>
      <c r="UMN15" s="338"/>
      <c r="UMO15" s="338"/>
      <c r="UMP15" s="338"/>
      <c r="UMQ15" s="338"/>
      <c r="UMR15" s="338"/>
      <c r="UMS15" s="338"/>
      <c r="UMT15" s="338"/>
      <c r="UMU15" s="338"/>
      <c r="UMV15" s="338"/>
      <c r="UMW15" s="338"/>
      <c r="UMX15" s="338"/>
      <c r="UMY15" s="338"/>
      <c r="UMZ15" s="338"/>
      <c r="UNA15" s="338"/>
      <c r="UNB15" s="338"/>
      <c r="UNC15" s="338"/>
      <c r="UND15" s="338"/>
      <c r="UNE15" s="338"/>
      <c r="UNF15" s="338"/>
      <c r="UNG15" s="338"/>
      <c r="UNH15" s="338"/>
      <c r="UNI15" s="338"/>
      <c r="UNJ15" s="338"/>
      <c r="UNK15" s="338"/>
      <c r="UNL15" s="338"/>
      <c r="UNM15" s="338"/>
      <c r="UNN15" s="338"/>
      <c r="UNO15" s="338"/>
      <c r="UNP15" s="338"/>
      <c r="UNQ15" s="338"/>
      <c r="UNR15" s="338"/>
      <c r="UNS15" s="338"/>
      <c r="UNT15" s="338"/>
      <c r="UNU15" s="338"/>
      <c r="UNV15" s="338"/>
      <c r="UNW15" s="338"/>
      <c r="UNX15" s="338"/>
      <c r="UNY15" s="338"/>
      <c r="UNZ15" s="338"/>
      <c r="UOA15" s="338"/>
      <c r="UOB15" s="338"/>
      <c r="UOC15" s="338"/>
      <c r="UOD15" s="338"/>
      <c r="UOE15" s="338"/>
      <c r="UOF15" s="338"/>
      <c r="UOG15" s="338"/>
      <c r="UOH15" s="338"/>
      <c r="UOI15" s="338"/>
      <c r="UOJ15" s="338"/>
      <c r="UOK15" s="338"/>
      <c r="UOL15" s="338"/>
      <c r="UOM15" s="338"/>
      <c r="UON15" s="338"/>
      <c r="UOO15" s="338"/>
      <c r="UOP15" s="338"/>
      <c r="UOQ15" s="338"/>
      <c r="UOR15" s="338"/>
      <c r="UOS15" s="338"/>
      <c r="UOT15" s="338"/>
      <c r="UOU15" s="338"/>
      <c r="UOV15" s="338"/>
      <c r="UOW15" s="338"/>
      <c r="UOX15" s="338"/>
      <c r="UOY15" s="338"/>
      <c r="UOZ15" s="338"/>
      <c r="UPA15" s="338"/>
      <c r="UPB15" s="338"/>
      <c r="UPC15" s="338"/>
      <c r="UPD15" s="338"/>
      <c r="UPE15" s="338"/>
      <c r="UPF15" s="338"/>
      <c r="UPG15" s="338"/>
      <c r="UPH15" s="338"/>
      <c r="UPI15" s="338"/>
      <c r="UPJ15" s="338"/>
      <c r="UPK15" s="338"/>
      <c r="UPL15" s="338"/>
      <c r="UPM15" s="338"/>
      <c r="UPN15" s="338"/>
      <c r="UPO15" s="338"/>
      <c r="UPP15" s="338"/>
      <c r="UPQ15" s="338"/>
      <c r="UPR15" s="338"/>
      <c r="UPS15" s="338"/>
      <c r="UPT15" s="338"/>
      <c r="UPU15" s="338"/>
      <c r="UPV15" s="338"/>
      <c r="UPW15" s="338"/>
      <c r="UPX15" s="338"/>
      <c r="UPY15" s="338"/>
      <c r="UPZ15" s="338"/>
      <c r="UQA15" s="338"/>
      <c r="UQB15" s="338"/>
      <c r="UQC15" s="338"/>
      <c r="UQD15" s="338"/>
      <c r="UQE15" s="338"/>
      <c r="UQF15" s="338"/>
      <c r="UQG15" s="338"/>
      <c r="UQH15" s="338"/>
      <c r="UQI15" s="338"/>
      <c r="UQJ15" s="338"/>
      <c r="UQK15" s="338"/>
      <c r="UQL15" s="338"/>
      <c r="UQM15" s="338"/>
      <c r="UQN15" s="338"/>
      <c r="UQO15" s="338"/>
      <c r="UQP15" s="338"/>
      <c r="UQQ15" s="338"/>
      <c r="UQR15" s="338"/>
      <c r="UQS15" s="338"/>
      <c r="UQT15" s="338"/>
      <c r="UQU15" s="338"/>
      <c r="UQV15" s="338"/>
      <c r="UQW15" s="338"/>
      <c r="UQX15" s="338"/>
      <c r="UQY15" s="338"/>
      <c r="UQZ15" s="338"/>
      <c r="URA15" s="338"/>
      <c r="URB15" s="338"/>
      <c r="URC15" s="338"/>
      <c r="URD15" s="338"/>
      <c r="URE15" s="338"/>
      <c r="URF15" s="338"/>
      <c r="URG15" s="338"/>
      <c r="URH15" s="338"/>
      <c r="URI15" s="338"/>
      <c r="URJ15" s="338"/>
      <c r="URK15" s="338"/>
      <c r="URL15" s="338"/>
      <c r="URM15" s="338"/>
      <c r="URN15" s="338"/>
      <c r="URO15" s="338"/>
      <c r="URP15" s="338"/>
      <c r="URQ15" s="338"/>
      <c r="URR15" s="338"/>
      <c r="URS15" s="338"/>
      <c r="URT15" s="338"/>
      <c r="URU15" s="338"/>
      <c r="URV15" s="338"/>
      <c r="URW15" s="338"/>
      <c r="URX15" s="338"/>
      <c r="URY15" s="338"/>
      <c r="URZ15" s="338"/>
      <c r="USA15" s="338"/>
      <c r="USB15" s="338"/>
      <c r="USC15" s="338"/>
      <c r="USD15" s="338"/>
      <c r="USE15" s="338"/>
      <c r="USF15" s="338"/>
      <c r="USG15" s="338"/>
      <c r="USH15" s="338"/>
      <c r="USI15" s="338"/>
      <c r="USJ15" s="338"/>
      <c r="USK15" s="338"/>
      <c r="USL15" s="338"/>
      <c r="USM15" s="338"/>
      <c r="USN15" s="338"/>
      <c r="USO15" s="338"/>
      <c r="USP15" s="338"/>
      <c r="USQ15" s="338"/>
      <c r="USR15" s="338"/>
      <c r="USS15" s="338"/>
      <c r="UST15" s="338"/>
      <c r="USU15" s="338"/>
      <c r="USV15" s="338"/>
      <c r="USW15" s="338"/>
      <c r="USX15" s="338"/>
      <c r="USY15" s="338"/>
      <c r="USZ15" s="338"/>
      <c r="UTA15" s="338"/>
      <c r="UTB15" s="338"/>
      <c r="UTC15" s="338"/>
      <c r="UTD15" s="338"/>
      <c r="UTE15" s="338"/>
      <c r="UTF15" s="338"/>
      <c r="UTG15" s="338"/>
      <c r="UTH15" s="338"/>
      <c r="UTI15" s="338"/>
      <c r="UTJ15" s="338"/>
      <c r="UTK15" s="338"/>
      <c r="UTL15" s="338"/>
      <c r="UTM15" s="338"/>
      <c r="UTN15" s="338"/>
      <c r="UTO15" s="338"/>
      <c r="UTP15" s="338"/>
      <c r="UTQ15" s="338"/>
      <c r="UTR15" s="338"/>
      <c r="UTS15" s="338"/>
      <c r="UTT15" s="338"/>
      <c r="UTU15" s="338"/>
      <c r="UTV15" s="338"/>
      <c r="UTW15" s="338"/>
      <c r="UTX15" s="338"/>
      <c r="UTY15" s="338"/>
      <c r="UTZ15" s="338"/>
      <c r="UUA15" s="338"/>
      <c r="UUB15" s="338"/>
      <c r="UUC15" s="338"/>
      <c r="UUD15" s="338"/>
      <c r="UUE15" s="338"/>
      <c r="UUF15" s="338"/>
      <c r="UUG15" s="338"/>
      <c r="UUH15" s="338"/>
      <c r="UUI15" s="338"/>
      <c r="UUJ15" s="338"/>
      <c r="UUK15" s="338"/>
      <c r="UUL15" s="338"/>
      <c r="UUM15" s="338"/>
      <c r="UUN15" s="338"/>
      <c r="UUO15" s="338"/>
      <c r="UUP15" s="338"/>
      <c r="UUQ15" s="338"/>
      <c r="UUR15" s="338"/>
      <c r="UUS15" s="338"/>
      <c r="UUT15" s="338"/>
      <c r="UUU15" s="338"/>
      <c r="UUV15" s="338"/>
      <c r="UUW15" s="338"/>
      <c r="UUX15" s="338"/>
      <c r="UUY15" s="338"/>
      <c r="UUZ15" s="338"/>
      <c r="UVA15" s="338"/>
      <c r="UVB15" s="338"/>
      <c r="UVC15" s="338"/>
      <c r="UVD15" s="338"/>
      <c r="UVE15" s="338"/>
      <c r="UVF15" s="338"/>
      <c r="UVG15" s="338"/>
      <c r="UVH15" s="338"/>
      <c r="UVI15" s="338"/>
      <c r="UVJ15" s="338"/>
      <c r="UVK15" s="338"/>
      <c r="UVL15" s="338"/>
      <c r="UVM15" s="338"/>
      <c r="UVN15" s="338"/>
      <c r="UVO15" s="338"/>
      <c r="UVP15" s="338"/>
      <c r="UVQ15" s="338"/>
      <c r="UVR15" s="338"/>
      <c r="UVS15" s="338"/>
      <c r="UVT15" s="338"/>
      <c r="UVU15" s="338"/>
      <c r="UVV15" s="338"/>
      <c r="UVW15" s="338"/>
      <c r="UVX15" s="338"/>
      <c r="UVY15" s="338"/>
      <c r="UVZ15" s="338"/>
      <c r="UWA15" s="338"/>
      <c r="UWB15" s="338"/>
      <c r="UWC15" s="338"/>
      <c r="UWD15" s="338"/>
      <c r="UWE15" s="338"/>
      <c r="UWF15" s="338"/>
      <c r="UWG15" s="338"/>
      <c r="UWH15" s="338"/>
      <c r="UWI15" s="338"/>
      <c r="UWJ15" s="338"/>
      <c r="UWK15" s="338"/>
      <c r="UWL15" s="338"/>
      <c r="UWM15" s="338"/>
      <c r="UWN15" s="338"/>
      <c r="UWO15" s="338"/>
      <c r="UWP15" s="338"/>
      <c r="UWQ15" s="338"/>
      <c r="UWR15" s="338"/>
      <c r="UWS15" s="338"/>
      <c r="UWT15" s="338"/>
      <c r="UWU15" s="338"/>
      <c r="UWV15" s="338"/>
      <c r="UWW15" s="338"/>
      <c r="UWX15" s="338"/>
      <c r="UWY15" s="338"/>
      <c r="UWZ15" s="338"/>
      <c r="UXA15" s="338"/>
      <c r="UXB15" s="338"/>
      <c r="UXC15" s="338"/>
      <c r="UXD15" s="338"/>
      <c r="UXE15" s="338"/>
      <c r="UXF15" s="338"/>
      <c r="UXG15" s="338"/>
      <c r="UXH15" s="338"/>
      <c r="UXI15" s="338"/>
      <c r="UXJ15" s="338"/>
      <c r="UXK15" s="338"/>
      <c r="UXL15" s="338"/>
      <c r="UXM15" s="338"/>
      <c r="UXN15" s="338"/>
      <c r="UXO15" s="338"/>
      <c r="UXP15" s="338"/>
      <c r="UXQ15" s="338"/>
      <c r="UXR15" s="338"/>
      <c r="UXS15" s="338"/>
      <c r="UXT15" s="338"/>
      <c r="UXU15" s="338"/>
      <c r="UXV15" s="338"/>
      <c r="UXW15" s="338"/>
      <c r="UXX15" s="338"/>
      <c r="UXY15" s="338"/>
      <c r="UXZ15" s="338"/>
      <c r="UYA15" s="338"/>
      <c r="UYB15" s="338"/>
      <c r="UYC15" s="338"/>
      <c r="UYD15" s="338"/>
      <c r="UYE15" s="338"/>
      <c r="UYF15" s="338"/>
      <c r="UYG15" s="338"/>
      <c r="UYH15" s="338"/>
      <c r="UYI15" s="338"/>
      <c r="UYJ15" s="338"/>
      <c r="UYK15" s="338"/>
      <c r="UYL15" s="338"/>
      <c r="UYM15" s="338"/>
      <c r="UYN15" s="338"/>
      <c r="UYO15" s="338"/>
      <c r="UYP15" s="338"/>
      <c r="UYQ15" s="338"/>
      <c r="UYR15" s="338"/>
      <c r="UYS15" s="338"/>
      <c r="UYT15" s="338"/>
      <c r="UYU15" s="338"/>
      <c r="UYV15" s="338"/>
      <c r="UYW15" s="338"/>
      <c r="UYX15" s="338"/>
      <c r="UYY15" s="338"/>
      <c r="UYZ15" s="338"/>
      <c r="UZA15" s="338"/>
      <c r="UZB15" s="338"/>
      <c r="UZC15" s="338"/>
      <c r="UZD15" s="338"/>
      <c r="UZE15" s="338"/>
      <c r="UZF15" s="338"/>
      <c r="UZG15" s="338"/>
      <c r="UZH15" s="338"/>
      <c r="UZI15" s="338"/>
      <c r="UZJ15" s="338"/>
      <c r="UZK15" s="338"/>
      <c r="UZL15" s="338"/>
      <c r="UZM15" s="338"/>
      <c r="UZN15" s="338"/>
      <c r="UZO15" s="338"/>
      <c r="UZP15" s="338"/>
      <c r="UZQ15" s="338"/>
      <c r="UZR15" s="338"/>
      <c r="UZS15" s="338"/>
      <c r="UZT15" s="338"/>
      <c r="UZU15" s="338"/>
      <c r="UZV15" s="338"/>
      <c r="UZW15" s="338"/>
      <c r="UZX15" s="338"/>
      <c r="UZY15" s="338"/>
      <c r="UZZ15" s="338"/>
      <c r="VAA15" s="338"/>
      <c r="VAB15" s="338"/>
      <c r="VAC15" s="338"/>
      <c r="VAD15" s="338"/>
      <c r="VAE15" s="338"/>
      <c r="VAF15" s="338"/>
      <c r="VAG15" s="338"/>
      <c r="VAH15" s="338"/>
      <c r="VAI15" s="338"/>
      <c r="VAJ15" s="338"/>
      <c r="VAK15" s="338"/>
      <c r="VAL15" s="338"/>
      <c r="VAM15" s="338"/>
      <c r="VAN15" s="338"/>
      <c r="VAO15" s="338"/>
      <c r="VAP15" s="338"/>
      <c r="VAQ15" s="338"/>
      <c r="VAR15" s="338"/>
      <c r="VAS15" s="338"/>
      <c r="VAT15" s="338"/>
      <c r="VAU15" s="338"/>
      <c r="VAV15" s="338"/>
      <c r="VAW15" s="338"/>
      <c r="VAX15" s="338"/>
      <c r="VAY15" s="338"/>
      <c r="VAZ15" s="338"/>
      <c r="VBA15" s="338"/>
      <c r="VBB15" s="338"/>
      <c r="VBC15" s="338"/>
      <c r="VBD15" s="338"/>
      <c r="VBE15" s="338"/>
      <c r="VBF15" s="338"/>
      <c r="VBG15" s="338"/>
      <c r="VBH15" s="338"/>
      <c r="VBI15" s="338"/>
      <c r="VBJ15" s="338"/>
      <c r="VBK15" s="338"/>
      <c r="VBL15" s="338"/>
      <c r="VBM15" s="338"/>
      <c r="VBN15" s="338"/>
      <c r="VBO15" s="338"/>
      <c r="VBP15" s="338"/>
      <c r="VBQ15" s="338"/>
      <c r="VBR15" s="338"/>
      <c r="VBS15" s="338"/>
      <c r="VBT15" s="338"/>
      <c r="VBU15" s="338"/>
      <c r="VBV15" s="338"/>
      <c r="VBW15" s="338"/>
      <c r="VBX15" s="338"/>
      <c r="VBY15" s="338"/>
      <c r="VBZ15" s="338"/>
      <c r="VCA15" s="338"/>
      <c r="VCB15" s="338"/>
      <c r="VCC15" s="338"/>
      <c r="VCD15" s="338"/>
      <c r="VCE15" s="338"/>
      <c r="VCF15" s="338"/>
      <c r="VCG15" s="338"/>
      <c r="VCH15" s="338"/>
      <c r="VCI15" s="338"/>
      <c r="VCJ15" s="338"/>
      <c r="VCK15" s="338"/>
      <c r="VCL15" s="338"/>
      <c r="VCM15" s="338"/>
      <c r="VCN15" s="338"/>
      <c r="VCO15" s="338"/>
      <c r="VCP15" s="338"/>
      <c r="VCQ15" s="338"/>
      <c r="VCR15" s="338"/>
      <c r="VCS15" s="338"/>
      <c r="VCT15" s="338"/>
      <c r="VCU15" s="338"/>
      <c r="VCV15" s="338"/>
      <c r="VCW15" s="338"/>
      <c r="VCX15" s="338"/>
      <c r="VCY15" s="338"/>
      <c r="VCZ15" s="338"/>
      <c r="VDA15" s="338"/>
      <c r="VDB15" s="338"/>
      <c r="VDC15" s="338"/>
      <c r="VDD15" s="338"/>
      <c r="VDE15" s="338"/>
      <c r="VDF15" s="338"/>
      <c r="VDG15" s="338"/>
      <c r="VDH15" s="338"/>
      <c r="VDI15" s="338"/>
      <c r="VDJ15" s="338"/>
      <c r="VDK15" s="338"/>
      <c r="VDL15" s="338"/>
      <c r="VDM15" s="338"/>
      <c r="VDN15" s="338"/>
      <c r="VDO15" s="338"/>
      <c r="VDP15" s="338"/>
      <c r="VDQ15" s="338"/>
      <c r="VDR15" s="338"/>
      <c r="VDS15" s="338"/>
      <c r="VDT15" s="338"/>
      <c r="VDU15" s="338"/>
      <c r="VDV15" s="338"/>
      <c r="VDW15" s="338"/>
      <c r="VDX15" s="338"/>
      <c r="VDY15" s="338"/>
      <c r="VDZ15" s="338"/>
      <c r="VEA15" s="338"/>
      <c r="VEB15" s="338"/>
      <c r="VEC15" s="338"/>
      <c r="VED15" s="338"/>
      <c r="VEE15" s="338"/>
      <c r="VEF15" s="338"/>
      <c r="VEG15" s="338"/>
      <c r="VEH15" s="338"/>
      <c r="VEI15" s="338"/>
      <c r="VEJ15" s="338"/>
      <c r="VEK15" s="338"/>
      <c r="VEL15" s="338"/>
      <c r="VEM15" s="338"/>
      <c r="VEN15" s="338"/>
      <c r="VEO15" s="338"/>
      <c r="VEP15" s="338"/>
      <c r="VEQ15" s="338"/>
      <c r="VER15" s="338"/>
      <c r="VES15" s="338"/>
      <c r="VET15" s="338"/>
      <c r="VEU15" s="338"/>
      <c r="VEV15" s="338"/>
      <c r="VEW15" s="338"/>
      <c r="VEX15" s="338"/>
      <c r="VEY15" s="338"/>
      <c r="VEZ15" s="338"/>
      <c r="VFA15" s="338"/>
      <c r="VFB15" s="338"/>
      <c r="VFC15" s="338"/>
      <c r="VFD15" s="338"/>
      <c r="VFE15" s="338"/>
      <c r="VFF15" s="338"/>
      <c r="VFG15" s="338"/>
      <c r="VFH15" s="338"/>
      <c r="VFI15" s="338"/>
      <c r="VFJ15" s="338"/>
      <c r="VFK15" s="338"/>
      <c r="VFL15" s="338"/>
      <c r="VFM15" s="338"/>
      <c r="VFN15" s="338"/>
      <c r="VFO15" s="338"/>
      <c r="VFP15" s="338"/>
      <c r="VFQ15" s="338"/>
      <c r="VFR15" s="338"/>
      <c r="VFS15" s="338"/>
      <c r="VFT15" s="338"/>
      <c r="VFU15" s="338"/>
      <c r="VFV15" s="338"/>
      <c r="VFW15" s="338"/>
      <c r="VFX15" s="338"/>
      <c r="VFY15" s="338"/>
      <c r="VFZ15" s="338"/>
      <c r="VGA15" s="338"/>
      <c r="VGB15" s="338"/>
      <c r="VGC15" s="338"/>
      <c r="VGD15" s="338"/>
      <c r="VGE15" s="338"/>
      <c r="VGF15" s="338"/>
      <c r="VGG15" s="338"/>
      <c r="VGH15" s="338"/>
      <c r="VGI15" s="338"/>
      <c r="VGJ15" s="338"/>
      <c r="VGK15" s="338"/>
      <c r="VGL15" s="338"/>
      <c r="VGM15" s="338"/>
      <c r="VGN15" s="338"/>
      <c r="VGO15" s="338"/>
      <c r="VGP15" s="338"/>
      <c r="VGQ15" s="338"/>
      <c r="VGR15" s="338"/>
      <c r="VGS15" s="338"/>
      <c r="VGT15" s="338"/>
      <c r="VGU15" s="338"/>
      <c r="VGV15" s="338"/>
      <c r="VGW15" s="338"/>
      <c r="VGX15" s="338"/>
      <c r="VGY15" s="338"/>
      <c r="VGZ15" s="338"/>
      <c r="VHA15" s="338"/>
      <c r="VHB15" s="338"/>
      <c r="VHC15" s="338"/>
      <c r="VHD15" s="338"/>
      <c r="VHE15" s="338"/>
      <c r="VHF15" s="338"/>
      <c r="VHG15" s="338"/>
      <c r="VHH15" s="338"/>
      <c r="VHI15" s="338"/>
      <c r="VHJ15" s="338"/>
      <c r="VHK15" s="338"/>
      <c r="VHL15" s="338"/>
      <c r="VHM15" s="338"/>
      <c r="VHN15" s="338"/>
      <c r="VHO15" s="338"/>
      <c r="VHP15" s="338"/>
      <c r="VHQ15" s="338"/>
      <c r="VHR15" s="338"/>
      <c r="VHS15" s="338"/>
      <c r="VHT15" s="338"/>
      <c r="VHU15" s="338"/>
      <c r="VHV15" s="338"/>
      <c r="VHW15" s="338"/>
      <c r="VHX15" s="338"/>
      <c r="VHY15" s="338"/>
      <c r="VHZ15" s="338"/>
      <c r="VIA15" s="338"/>
      <c r="VIB15" s="338"/>
      <c r="VIC15" s="338"/>
      <c r="VID15" s="338"/>
      <c r="VIE15" s="338"/>
      <c r="VIF15" s="338"/>
      <c r="VIG15" s="338"/>
      <c r="VIH15" s="338"/>
      <c r="VII15" s="338"/>
      <c r="VIJ15" s="338"/>
      <c r="VIK15" s="338"/>
      <c r="VIL15" s="338"/>
      <c r="VIM15" s="338"/>
      <c r="VIN15" s="338"/>
      <c r="VIO15" s="338"/>
      <c r="VIP15" s="338"/>
      <c r="VIQ15" s="338"/>
      <c r="VIR15" s="338"/>
      <c r="VIS15" s="338"/>
      <c r="VIT15" s="338"/>
      <c r="VIU15" s="338"/>
      <c r="VIV15" s="338"/>
      <c r="VIW15" s="338"/>
      <c r="VIX15" s="338"/>
      <c r="VIY15" s="338"/>
      <c r="VIZ15" s="338"/>
      <c r="VJA15" s="338"/>
      <c r="VJB15" s="338"/>
      <c r="VJC15" s="338"/>
      <c r="VJD15" s="338"/>
      <c r="VJE15" s="338"/>
      <c r="VJF15" s="338"/>
      <c r="VJG15" s="338"/>
      <c r="VJH15" s="338"/>
      <c r="VJI15" s="338"/>
      <c r="VJJ15" s="338"/>
      <c r="VJK15" s="338"/>
      <c r="VJL15" s="338"/>
      <c r="VJM15" s="338"/>
      <c r="VJN15" s="338"/>
      <c r="VJO15" s="338"/>
      <c r="VJP15" s="338"/>
      <c r="VJQ15" s="338"/>
      <c r="VJR15" s="338"/>
      <c r="VJS15" s="338"/>
      <c r="VJT15" s="338"/>
      <c r="VJU15" s="338"/>
      <c r="VJV15" s="338"/>
      <c r="VJW15" s="338"/>
      <c r="VJX15" s="338"/>
      <c r="VJY15" s="338"/>
      <c r="VJZ15" s="338"/>
      <c r="VKA15" s="338"/>
      <c r="VKB15" s="338"/>
      <c r="VKC15" s="338"/>
      <c r="VKD15" s="338"/>
      <c r="VKE15" s="338"/>
      <c r="VKF15" s="338"/>
      <c r="VKG15" s="338"/>
      <c r="VKH15" s="338"/>
      <c r="VKI15" s="338"/>
      <c r="VKJ15" s="338"/>
      <c r="VKK15" s="338"/>
      <c r="VKL15" s="338"/>
      <c r="VKM15" s="338"/>
      <c r="VKN15" s="338"/>
      <c r="VKO15" s="338"/>
      <c r="VKP15" s="338"/>
      <c r="VKQ15" s="338"/>
      <c r="VKR15" s="338"/>
      <c r="VKS15" s="338"/>
      <c r="VKT15" s="338"/>
      <c r="VKU15" s="338"/>
      <c r="VKV15" s="338"/>
      <c r="VKW15" s="338"/>
      <c r="VKX15" s="338"/>
      <c r="VKY15" s="338"/>
      <c r="VKZ15" s="338"/>
      <c r="VLA15" s="338"/>
      <c r="VLB15" s="338"/>
      <c r="VLC15" s="338"/>
      <c r="VLD15" s="338"/>
      <c r="VLE15" s="338"/>
      <c r="VLF15" s="338"/>
      <c r="VLG15" s="338"/>
      <c r="VLH15" s="338"/>
      <c r="VLI15" s="338"/>
      <c r="VLJ15" s="338"/>
      <c r="VLK15" s="338"/>
      <c r="VLL15" s="338"/>
      <c r="VLM15" s="338"/>
      <c r="VLN15" s="338"/>
      <c r="VLO15" s="338"/>
      <c r="VLP15" s="338"/>
      <c r="VLQ15" s="338"/>
      <c r="VLR15" s="338"/>
      <c r="VLS15" s="338"/>
      <c r="VLT15" s="338"/>
      <c r="VLU15" s="338"/>
      <c r="VLV15" s="338"/>
      <c r="VLW15" s="338"/>
      <c r="VLX15" s="338"/>
      <c r="VLY15" s="338"/>
      <c r="VLZ15" s="338"/>
      <c r="VMA15" s="338"/>
      <c r="VMB15" s="338"/>
      <c r="VMC15" s="338"/>
      <c r="VMD15" s="338"/>
      <c r="VME15" s="338"/>
      <c r="VMF15" s="338"/>
      <c r="VMG15" s="338"/>
      <c r="VMH15" s="338"/>
      <c r="VMI15" s="338"/>
      <c r="VMJ15" s="338"/>
      <c r="VMK15" s="338"/>
      <c r="VML15" s="338"/>
      <c r="VMM15" s="338"/>
      <c r="VMN15" s="338"/>
      <c r="VMO15" s="338"/>
      <c r="VMP15" s="338"/>
      <c r="VMQ15" s="338"/>
      <c r="VMR15" s="338"/>
      <c r="VMS15" s="338"/>
      <c r="VMT15" s="338"/>
      <c r="VMU15" s="338"/>
      <c r="VMV15" s="338"/>
      <c r="VMW15" s="338"/>
      <c r="VMX15" s="338"/>
      <c r="VMY15" s="338"/>
      <c r="VMZ15" s="338"/>
      <c r="VNA15" s="338"/>
      <c r="VNB15" s="338"/>
      <c r="VNC15" s="338"/>
      <c r="VND15" s="338"/>
      <c r="VNE15" s="338"/>
      <c r="VNF15" s="338"/>
      <c r="VNG15" s="338"/>
      <c r="VNH15" s="338"/>
      <c r="VNI15" s="338"/>
      <c r="VNJ15" s="338"/>
      <c r="VNK15" s="338"/>
      <c r="VNL15" s="338"/>
      <c r="VNM15" s="338"/>
      <c r="VNN15" s="338"/>
      <c r="VNO15" s="338"/>
      <c r="VNP15" s="338"/>
      <c r="VNQ15" s="338"/>
      <c r="VNR15" s="338"/>
      <c r="VNS15" s="338"/>
      <c r="VNT15" s="338"/>
      <c r="VNU15" s="338"/>
      <c r="VNV15" s="338"/>
      <c r="VNW15" s="338"/>
      <c r="VNX15" s="338"/>
      <c r="VNY15" s="338"/>
      <c r="VNZ15" s="338"/>
      <c r="VOA15" s="338"/>
      <c r="VOB15" s="338"/>
      <c r="VOC15" s="338"/>
      <c r="VOD15" s="338"/>
      <c r="VOE15" s="338"/>
      <c r="VOF15" s="338"/>
      <c r="VOG15" s="338"/>
      <c r="VOH15" s="338"/>
      <c r="VOI15" s="338"/>
      <c r="VOJ15" s="338"/>
      <c r="VOK15" s="338"/>
      <c r="VOL15" s="338"/>
      <c r="VOM15" s="338"/>
      <c r="VON15" s="338"/>
      <c r="VOO15" s="338"/>
      <c r="VOP15" s="338"/>
      <c r="VOQ15" s="338"/>
      <c r="VOR15" s="338"/>
      <c r="VOS15" s="338"/>
      <c r="VOT15" s="338"/>
      <c r="VOU15" s="338"/>
      <c r="VOV15" s="338"/>
      <c r="VOW15" s="338"/>
      <c r="VOX15" s="338"/>
      <c r="VOY15" s="338"/>
      <c r="VOZ15" s="338"/>
      <c r="VPA15" s="338"/>
      <c r="VPB15" s="338"/>
      <c r="VPC15" s="338"/>
      <c r="VPD15" s="338"/>
      <c r="VPE15" s="338"/>
      <c r="VPF15" s="338"/>
      <c r="VPG15" s="338"/>
      <c r="VPH15" s="338"/>
      <c r="VPI15" s="338"/>
      <c r="VPJ15" s="338"/>
      <c r="VPK15" s="338"/>
      <c r="VPL15" s="338"/>
      <c r="VPM15" s="338"/>
      <c r="VPN15" s="338"/>
      <c r="VPO15" s="338"/>
      <c r="VPP15" s="338"/>
      <c r="VPQ15" s="338"/>
      <c r="VPR15" s="338"/>
      <c r="VPS15" s="338"/>
      <c r="VPT15" s="338"/>
      <c r="VPU15" s="338"/>
      <c r="VPV15" s="338"/>
      <c r="VPW15" s="338"/>
      <c r="VPX15" s="338"/>
      <c r="VPY15" s="338"/>
      <c r="VPZ15" s="338"/>
      <c r="VQA15" s="338"/>
      <c r="VQB15" s="338"/>
      <c r="VQC15" s="338"/>
      <c r="VQD15" s="338"/>
      <c r="VQE15" s="338"/>
      <c r="VQF15" s="338"/>
      <c r="VQG15" s="338"/>
      <c r="VQH15" s="338"/>
      <c r="VQI15" s="338"/>
      <c r="VQJ15" s="338"/>
      <c r="VQK15" s="338"/>
      <c r="VQL15" s="338"/>
      <c r="VQM15" s="338"/>
      <c r="VQN15" s="338"/>
      <c r="VQO15" s="338"/>
      <c r="VQP15" s="338"/>
      <c r="VQQ15" s="338"/>
      <c r="VQR15" s="338"/>
      <c r="VQS15" s="338"/>
      <c r="VQT15" s="338"/>
      <c r="VQU15" s="338"/>
      <c r="VQV15" s="338"/>
      <c r="VQW15" s="338"/>
      <c r="VQX15" s="338"/>
      <c r="VQY15" s="338"/>
      <c r="VQZ15" s="338"/>
      <c r="VRA15" s="338"/>
      <c r="VRB15" s="338"/>
      <c r="VRC15" s="338"/>
      <c r="VRD15" s="338"/>
      <c r="VRE15" s="338"/>
      <c r="VRF15" s="338"/>
      <c r="VRG15" s="338"/>
      <c r="VRH15" s="338"/>
      <c r="VRI15" s="338"/>
      <c r="VRJ15" s="338"/>
      <c r="VRK15" s="338"/>
      <c r="VRL15" s="338"/>
      <c r="VRM15" s="338"/>
      <c r="VRN15" s="338"/>
      <c r="VRO15" s="338"/>
      <c r="VRP15" s="338"/>
      <c r="VRQ15" s="338"/>
      <c r="VRR15" s="338"/>
      <c r="VRS15" s="338"/>
      <c r="VRT15" s="338"/>
      <c r="VRU15" s="338"/>
      <c r="VRV15" s="338"/>
      <c r="VRW15" s="338"/>
      <c r="VRX15" s="338"/>
      <c r="VRY15" s="338"/>
      <c r="VRZ15" s="338"/>
      <c r="VSA15" s="338"/>
      <c r="VSB15" s="338"/>
      <c r="VSC15" s="338"/>
      <c r="VSD15" s="338"/>
      <c r="VSE15" s="338"/>
      <c r="VSF15" s="338"/>
      <c r="VSG15" s="338"/>
      <c r="VSH15" s="338"/>
      <c r="VSI15" s="338"/>
      <c r="VSJ15" s="338"/>
      <c r="VSK15" s="338"/>
      <c r="VSL15" s="338"/>
      <c r="VSM15" s="338"/>
      <c r="VSN15" s="338"/>
      <c r="VSO15" s="338"/>
      <c r="VSP15" s="338"/>
      <c r="VSQ15" s="338"/>
      <c r="VSR15" s="338"/>
      <c r="VSS15" s="338"/>
      <c r="VST15" s="338"/>
      <c r="VSU15" s="338"/>
      <c r="VSV15" s="338"/>
      <c r="VSW15" s="338"/>
      <c r="VSX15" s="338"/>
      <c r="VSY15" s="338"/>
      <c r="VSZ15" s="338"/>
      <c r="VTA15" s="338"/>
      <c r="VTB15" s="338"/>
      <c r="VTC15" s="338"/>
      <c r="VTD15" s="338"/>
      <c r="VTE15" s="338"/>
      <c r="VTF15" s="338"/>
      <c r="VTG15" s="338"/>
      <c r="VTH15" s="338"/>
      <c r="VTI15" s="338"/>
      <c r="VTJ15" s="338"/>
      <c r="VTK15" s="338"/>
      <c r="VTL15" s="338"/>
      <c r="VTM15" s="338"/>
      <c r="VTN15" s="338"/>
      <c r="VTO15" s="338"/>
      <c r="VTP15" s="338"/>
      <c r="VTQ15" s="338"/>
      <c r="VTR15" s="338"/>
      <c r="VTS15" s="338"/>
      <c r="VTT15" s="338"/>
      <c r="VTU15" s="338"/>
      <c r="VTV15" s="338"/>
      <c r="VTW15" s="338"/>
      <c r="VTX15" s="338"/>
      <c r="VTY15" s="338"/>
      <c r="VTZ15" s="338"/>
      <c r="VUA15" s="338"/>
      <c r="VUB15" s="338"/>
      <c r="VUC15" s="338"/>
      <c r="VUD15" s="338"/>
      <c r="VUE15" s="338"/>
      <c r="VUF15" s="338"/>
      <c r="VUG15" s="338"/>
      <c r="VUH15" s="338"/>
      <c r="VUI15" s="338"/>
      <c r="VUJ15" s="338"/>
      <c r="VUK15" s="338"/>
      <c r="VUL15" s="338"/>
      <c r="VUM15" s="338"/>
      <c r="VUN15" s="338"/>
      <c r="VUO15" s="338"/>
      <c r="VUP15" s="338"/>
      <c r="VUQ15" s="338"/>
      <c r="VUR15" s="338"/>
      <c r="VUS15" s="338"/>
      <c r="VUT15" s="338"/>
      <c r="VUU15" s="338"/>
      <c r="VUV15" s="338"/>
      <c r="VUW15" s="338"/>
      <c r="VUX15" s="338"/>
      <c r="VUY15" s="338"/>
      <c r="VUZ15" s="338"/>
      <c r="VVA15" s="338"/>
      <c r="VVB15" s="338"/>
      <c r="VVC15" s="338"/>
      <c r="VVD15" s="338"/>
      <c r="VVE15" s="338"/>
      <c r="VVF15" s="338"/>
      <c r="VVG15" s="338"/>
      <c r="VVH15" s="338"/>
      <c r="VVI15" s="338"/>
      <c r="VVJ15" s="338"/>
      <c r="VVK15" s="338"/>
      <c r="VVL15" s="338"/>
      <c r="VVM15" s="338"/>
      <c r="VVN15" s="338"/>
      <c r="VVO15" s="338"/>
      <c r="VVP15" s="338"/>
      <c r="VVQ15" s="338"/>
      <c r="VVR15" s="338"/>
      <c r="VVS15" s="338"/>
      <c r="VVT15" s="338"/>
      <c r="VVU15" s="338"/>
      <c r="VVV15" s="338"/>
      <c r="VVW15" s="338"/>
      <c r="VVX15" s="338"/>
      <c r="VVY15" s="338"/>
      <c r="VVZ15" s="338"/>
      <c r="VWA15" s="338"/>
      <c r="VWB15" s="338"/>
      <c r="VWC15" s="338"/>
      <c r="VWD15" s="338"/>
      <c r="VWE15" s="338"/>
      <c r="VWF15" s="338"/>
      <c r="VWG15" s="338"/>
      <c r="VWH15" s="338"/>
      <c r="VWI15" s="338"/>
      <c r="VWJ15" s="338"/>
      <c r="VWK15" s="338"/>
      <c r="VWL15" s="338"/>
      <c r="VWM15" s="338"/>
      <c r="VWN15" s="338"/>
      <c r="VWO15" s="338"/>
      <c r="VWP15" s="338"/>
      <c r="VWQ15" s="338"/>
      <c r="VWR15" s="338"/>
      <c r="VWS15" s="338"/>
      <c r="VWT15" s="338"/>
      <c r="VWU15" s="338"/>
      <c r="VWV15" s="338"/>
      <c r="VWW15" s="338"/>
      <c r="VWX15" s="338"/>
      <c r="VWY15" s="338"/>
      <c r="VWZ15" s="338"/>
      <c r="VXA15" s="338"/>
      <c r="VXB15" s="338"/>
      <c r="VXC15" s="338"/>
      <c r="VXD15" s="338"/>
      <c r="VXE15" s="338"/>
      <c r="VXF15" s="338"/>
      <c r="VXG15" s="338"/>
      <c r="VXH15" s="338"/>
      <c r="VXI15" s="338"/>
      <c r="VXJ15" s="338"/>
      <c r="VXK15" s="338"/>
      <c r="VXL15" s="338"/>
      <c r="VXM15" s="338"/>
      <c r="VXN15" s="338"/>
      <c r="VXO15" s="338"/>
      <c r="VXP15" s="338"/>
      <c r="VXQ15" s="338"/>
      <c r="VXR15" s="338"/>
      <c r="VXS15" s="338"/>
      <c r="VXT15" s="338"/>
      <c r="VXU15" s="338"/>
      <c r="VXV15" s="338"/>
      <c r="VXW15" s="338"/>
      <c r="VXX15" s="338"/>
      <c r="VXY15" s="338"/>
      <c r="VXZ15" s="338"/>
      <c r="VYA15" s="338"/>
      <c r="VYB15" s="338"/>
      <c r="VYC15" s="338"/>
      <c r="VYD15" s="338"/>
      <c r="VYE15" s="338"/>
      <c r="VYF15" s="338"/>
      <c r="VYG15" s="338"/>
      <c r="VYH15" s="338"/>
      <c r="VYI15" s="338"/>
      <c r="VYJ15" s="338"/>
      <c r="VYK15" s="338"/>
      <c r="VYL15" s="338"/>
      <c r="VYM15" s="338"/>
      <c r="VYN15" s="338"/>
      <c r="VYO15" s="338"/>
      <c r="VYP15" s="338"/>
      <c r="VYQ15" s="338"/>
      <c r="VYR15" s="338"/>
      <c r="VYS15" s="338"/>
      <c r="VYT15" s="338"/>
      <c r="VYU15" s="338"/>
      <c r="VYV15" s="338"/>
      <c r="VYW15" s="338"/>
      <c r="VYX15" s="338"/>
      <c r="VYY15" s="338"/>
      <c r="VYZ15" s="338"/>
      <c r="VZA15" s="338"/>
      <c r="VZB15" s="338"/>
      <c r="VZC15" s="338"/>
      <c r="VZD15" s="338"/>
      <c r="VZE15" s="338"/>
      <c r="VZF15" s="338"/>
      <c r="VZG15" s="338"/>
      <c r="VZH15" s="338"/>
      <c r="VZI15" s="338"/>
      <c r="VZJ15" s="338"/>
      <c r="VZK15" s="338"/>
      <c r="VZL15" s="338"/>
      <c r="VZM15" s="338"/>
      <c r="VZN15" s="338"/>
      <c r="VZO15" s="338"/>
      <c r="VZP15" s="338"/>
      <c r="VZQ15" s="338"/>
      <c r="VZR15" s="338"/>
      <c r="VZS15" s="338"/>
      <c r="VZT15" s="338"/>
      <c r="VZU15" s="338"/>
      <c r="VZV15" s="338"/>
      <c r="VZW15" s="338"/>
      <c r="VZX15" s="338"/>
      <c r="VZY15" s="338"/>
      <c r="VZZ15" s="338"/>
      <c r="WAA15" s="338"/>
      <c r="WAB15" s="338"/>
      <c r="WAC15" s="338"/>
      <c r="WAD15" s="338"/>
      <c r="WAE15" s="338"/>
      <c r="WAF15" s="338"/>
      <c r="WAG15" s="338"/>
      <c r="WAH15" s="338"/>
      <c r="WAI15" s="338"/>
      <c r="WAJ15" s="338"/>
      <c r="WAK15" s="338"/>
      <c r="WAL15" s="338"/>
      <c r="WAM15" s="338"/>
      <c r="WAN15" s="338"/>
      <c r="WAO15" s="338"/>
      <c r="WAP15" s="338"/>
      <c r="WAQ15" s="338"/>
      <c r="WAR15" s="338"/>
      <c r="WAS15" s="338"/>
      <c r="WAT15" s="338"/>
      <c r="WAU15" s="338"/>
      <c r="WAV15" s="338"/>
      <c r="WAW15" s="338"/>
      <c r="WAX15" s="338"/>
      <c r="WAY15" s="338"/>
      <c r="WAZ15" s="338"/>
      <c r="WBA15" s="338"/>
      <c r="WBB15" s="338"/>
      <c r="WBC15" s="338"/>
      <c r="WBD15" s="338"/>
      <c r="WBE15" s="338"/>
      <c r="WBF15" s="338"/>
      <c r="WBG15" s="338"/>
      <c r="WBH15" s="338"/>
      <c r="WBI15" s="338"/>
      <c r="WBJ15" s="338"/>
      <c r="WBK15" s="338"/>
      <c r="WBL15" s="338"/>
      <c r="WBM15" s="338"/>
      <c r="WBN15" s="338"/>
      <c r="WBO15" s="338"/>
      <c r="WBP15" s="338"/>
      <c r="WBQ15" s="338"/>
      <c r="WBR15" s="338"/>
      <c r="WBS15" s="338"/>
      <c r="WBT15" s="338"/>
      <c r="WBU15" s="338"/>
      <c r="WBV15" s="338"/>
      <c r="WBW15" s="338"/>
      <c r="WBX15" s="338"/>
      <c r="WBY15" s="338"/>
      <c r="WBZ15" s="338"/>
      <c r="WCA15" s="338"/>
      <c r="WCB15" s="338"/>
      <c r="WCC15" s="338"/>
      <c r="WCD15" s="338"/>
      <c r="WCE15" s="338"/>
      <c r="WCF15" s="338"/>
      <c r="WCG15" s="338"/>
      <c r="WCH15" s="338"/>
      <c r="WCI15" s="338"/>
      <c r="WCJ15" s="338"/>
      <c r="WCK15" s="338"/>
      <c r="WCL15" s="338"/>
      <c r="WCM15" s="338"/>
      <c r="WCN15" s="338"/>
      <c r="WCO15" s="338"/>
      <c r="WCP15" s="338"/>
      <c r="WCQ15" s="338"/>
      <c r="WCR15" s="338"/>
      <c r="WCS15" s="338"/>
      <c r="WCT15" s="338"/>
      <c r="WCU15" s="338"/>
      <c r="WCV15" s="338"/>
      <c r="WCW15" s="338"/>
      <c r="WCX15" s="338"/>
      <c r="WCY15" s="338"/>
      <c r="WCZ15" s="338"/>
      <c r="WDA15" s="338"/>
      <c r="WDB15" s="338"/>
      <c r="WDC15" s="338"/>
      <c r="WDD15" s="338"/>
      <c r="WDE15" s="338"/>
      <c r="WDF15" s="338"/>
      <c r="WDG15" s="338"/>
      <c r="WDH15" s="338"/>
      <c r="WDI15" s="338"/>
      <c r="WDJ15" s="338"/>
      <c r="WDK15" s="338"/>
      <c r="WDL15" s="338"/>
      <c r="WDM15" s="338"/>
      <c r="WDN15" s="338"/>
      <c r="WDO15" s="338"/>
      <c r="WDP15" s="338"/>
      <c r="WDQ15" s="338"/>
      <c r="WDR15" s="338"/>
      <c r="WDS15" s="338"/>
      <c r="WDT15" s="338"/>
      <c r="WDU15" s="338"/>
      <c r="WDV15" s="338"/>
      <c r="WDW15" s="338"/>
      <c r="WDX15" s="338"/>
      <c r="WDY15" s="338"/>
      <c r="WDZ15" s="338"/>
      <c r="WEA15" s="338"/>
      <c r="WEB15" s="338"/>
      <c r="WEC15" s="338"/>
      <c r="WED15" s="338"/>
      <c r="WEE15" s="338"/>
      <c r="WEF15" s="338"/>
      <c r="WEG15" s="338"/>
      <c r="WEH15" s="338"/>
      <c r="WEI15" s="338"/>
      <c r="WEJ15" s="338"/>
      <c r="WEK15" s="338"/>
      <c r="WEL15" s="338"/>
      <c r="WEM15" s="338"/>
      <c r="WEN15" s="338"/>
      <c r="WEO15" s="338"/>
      <c r="WEP15" s="338"/>
      <c r="WEQ15" s="338"/>
      <c r="WER15" s="338"/>
      <c r="WES15" s="338"/>
      <c r="WET15" s="338"/>
      <c r="WEU15" s="338"/>
      <c r="WEV15" s="338"/>
      <c r="WEW15" s="338"/>
      <c r="WEX15" s="338"/>
      <c r="WEY15" s="338"/>
      <c r="WEZ15" s="338"/>
      <c r="WFA15" s="338"/>
      <c r="WFB15" s="338"/>
      <c r="WFC15" s="338"/>
      <c r="WFD15" s="338"/>
      <c r="WFE15" s="338"/>
      <c r="WFF15" s="338"/>
      <c r="WFG15" s="338"/>
      <c r="WFH15" s="338"/>
      <c r="WFI15" s="338"/>
      <c r="WFJ15" s="338"/>
      <c r="WFK15" s="338"/>
      <c r="WFL15" s="338"/>
      <c r="WFM15" s="338"/>
      <c r="WFN15" s="338"/>
      <c r="WFO15" s="338"/>
      <c r="WFP15" s="338"/>
      <c r="WFQ15" s="338"/>
      <c r="WFR15" s="338"/>
      <c r="WFS15" s="338"/>
      <c r="WFT15" s="338"/>
      <c r="WFU15" s="338"/>
      <c r="WFV15" s="338"/>
      <c r="WFW15" s="338"/>
      <c r="WFX15" s="338"/>
      <c r="WFY15" s="338"/>
      <c r="WFZ15" s="338"/>
      <c r="WGA15" s="338"/>
      <c r="WGB15" s="338"/>
      <c r="WGC15" s="338"/>
      <c r="WGD15" s="338"/>
      <c r="WGE15" s="338"/>
      <c r="WGF15" s="338"/>
      <c r="WGG15" s="338"/>
      <c r="WGH15" s="338"/>
      <c r="WGI15" s="338"/>
      <c r="WGJ15" s="338"/>
      <c r="WGK15" s="338"/>
      <c r="WGL15" s="338"/>
      <c r="WGM15" s="338"/>
      <c r="WGN15" s="338"/>
      <c r="WGO15" s="338"/>
      <c r="WGP15" s="338"/>
      <c r="WGQ15" s="338"/>
      <c r="WGR15" s="338"/>
      <c r="WGS15" s="338"/>
      <c r="WGT15" s="338"/>
      <c r="WGU15" s="338"/>
      <c r="WGV15" s="338"/>
      <c r="WGW15" s="338"/>
      <c r="WGX15" s="338"/>
      <c r="WGY15" s="338"/>
      <c r="WGZ15" s="338"/>
      <c r="WHA15" s="338"/>
      <c r="WHB15" s="338"/>
      <c r="WHC15" s="338"/>
      <c r="WHD15" s="338"/>
      <c r="WHE15" s="338"/>
      <c r="WHF15" s="338"/>
      <c r="WHG15" s="338"/>
      <c r="WHH15" s="338"/>
      <c r="WHI15" s="338"/>
      <c r="WHJ15" s="338"/>
      <c r="WHK15" s="338"/>
      <c r="WHL15" s="338"/>
      <c r="WHM15" s="338"/>
      <c r="WHN15" s="338"/>
      <c r="WHO15" s="338"/>
      <c r="WHP15" s="338"/>
      <c r="WHQ15" s="338"/>
      <c r="WHR15" s="338"/>
      <c r="WHS15" s="338"/>
      <c r="WHT15" s="338"/>
      <c r="WHU15" s="338"/>
      <c r="WHV15" s="338"/>
      <c r="WHW15" s="338"/>
      <c r="WHX15" s="338"/>
      <c r="WHY15" s="338"/>
      <c r="WHZ15" s="338"/>
      <c r="WIA15" s="338"/>
      <c r="WIB15" s="338"/>
      <c r="WIC15" s="338"/>
      <c r="WID15" s="338"/>
      <c r="WIE15" s="338"/>
      <c r="WIF15" s="338"/>
      <c r="WIG15" s="338"/>
      <c r="WIH15" s="338"/>
      <c r="WII15" s="338"/>
      <c r="WIJ15" s="338"/>
      <c r="WIK15" s="338"/>
      <c r="WIL15" s="338"/>
      <c r="WIM15" s="338"/>
      <c r="WIN15" s="338"/>
      <c r="WIO15" s="338"/>
      <c r="WIP15" s="338"/>
      <c r="WIQ15" s="338"/>
      <c r="WIR15" s="338"/>
      <c r="WIS15" s="338"/>
      <c r="WIT15" s="338"/>
      <c r="WIU15" s="338"/>
      <c r="WIV15" s="338"/>
      <c r="WIW15" s="338"/>
      <c r="WIX15" s="338"/>
      <c r="WIY15" s="338"/>
      <c r="WIZ15" s="338"/>
      <c r="WJA15" s="338"/>
      <c r="WJB15" s="338"/>
      <c r="WJC15" s="338"/>
      <c r="WJD15" s="338"/>
      <c r="WJE15" s="338"/>
      <c r="WJF15" s="338"/>
      <c r="WJG15" s="338"/>
      <c r="WJH15" s="338"/>
      <c r="WJI15" s="338"/>
      <c r="WJJ15" s="338"/>
      <c r="WJK15" s="338"/>
      <c r="WJL15" s="338"/>
      <c r="WJM15" s="338"/>
      <c r="WJN15" s="338"/>
      <c r="WJO15" s="338"/>
      <c r="WJP15" s="338"/>
      <c r="WJQ15" s="338"/>
      <c r="WJR15" s="338"/>
      <c r="WJS15" s="338"/>
      <c r="WJT15" s="338"/>
      <c r="WJU15" s="338"/>
      <c r="WJV15" s="338"/>
      <c r="WJW15" s="338"/>
      <c r="WJX15" s="338"/>
      <c r="WJY15" s="338"/>
      <c r="WJZ15" s="338"/>
      <c r="WKA15" s="338"/>
      <c r="WKB15" s="338"/>
      <c r="WKC15" s="338"/>
      <c r="WKD15" s="338"/>
      <c r="WKE15" s="338"/>
      <c r="WKF15" s="338"/>
      <c r="WKG15" s="338"/>
      <c r="WKH15" s="338"/>
      <c r="WKI15" s="338"/>
      <c r="WKJ15" s="338"/>
      <c r="WKK15" s="338"/>
      <c r="WKL15" s="338"/>
      <c r="WKM15" s="338"/>
      <c r="WKN15" s="338"/>
      <c r="WKO15" s="338"/>
      <c r="WKP15" s="338"/>
      <c r="WKQ15" s="338"/>
      <c r="WKR15" s="338"/>
      <c r="WKS15" s="338"/>
      <c r="WKT15" s="338"/>
      <c r="WKU15" s="338"/>
      <c r="WKV15" s="338"/>
      <c r="WKW15" s="338"/>
      <c r="WKX15" s="338"/>
      <c r="WKY15" s="338"/>
      <c r="WKZ15" s="338"/>
      <c r="WLA15" s="338"/>
      <c r="WLB15" s="338"/>
      <c r="WLC15" s="338"/>
      <c r="WLD15" s="338"/>
      <c r="WLE15" s="338"/>
      <c r="WLF15" s="338"/>
      <c r="WLG15" s="338"/>
      <c r="WLH15" s="338"/>
      <c r="WLI15" s="338"/>
      <c r="WLJ15" s="338"/>
      <c r="WLK15" s="338"/>
      <c r="WLL15" s="338"/>
      <c r="WLM15" s="338"/>
      <c r="WLN15" s="338"/>
      <c r="WLO15" s="338"/>
      <c r="WLP15" s="338"/>
      <c r="WLQ15" s="338"/>
      <c r="WLR15" s="338"/>
      <c r="WLS15" s="338"/>
      <c r="WLT15" s="338"/>
      <c r="WLU15" s="338"/>
      <c r="WLV15" s="338"/>
      <c r="WLW15" s="338"/>
      <c r="WLX15" s="338"/>
      <c r="WLY15" s="338"/>
      <c r="WLZ15" s="338"/>
      <c r="WMA15" s="338"/>
      <c r="WMB15" s="338"/>
      <c r="WMC15" s="338"/>
      <c r="WMD15" s="338"/>
      <c r="WME15" s="338"/>
      <c r="WMF15" s="338"/>
      <c r="WMG15" s="338"/>
      <c r="WMH15" s="338"/>
      <c r="WMI15" s="338"/>
      <c r="WMJ15" s="338"/>
      <c r="WMK15" s="338"/>
      <c r="WML15" s="338"/>
      <c r="WMM15" s="338"/>
      <c r="WMN15" s="338"/>
      <c r="WMO15" s="338"/>
      <c r="WMP15" s="338"/>
      <c r="WMQ15" s="338"/>
      <c r="WMR15" s="338"/>
      <c r="WMS15" s="338"/>
      <c r="WMT15" s="338"/>
      <c r="WMU15" s="338"/>
      <c r="WMV15" s="338"/>
      <c r="WMW15" s="338"/>
      <c r="WMX15" s="338"/>
      <c r="WMY15" s="338"/>
      <c r="WMZ15" s="338"/>
      <c r="WNA15" s="338"/>
      <c r="WNB15" s="338"/>
      <c r="WNC15" s="338"/>
      <c r="WND15" s="338"/>
      <c r="WNE15" s="338"/>
      <c r="WNF15" s="338"/>
      <c r="WNG15" s="338"/>
      <c r="WNH15" s="338"/>
      <c r="WNI15" s="338"/>
      <c r="WNJ15" s="338"/>
      <c r="WNK15" s="338"/>
      <c r="WNL15" s="338"/>
      <c r="WNM15" s="338"/>
      <c r="WNN15" s="338"/>
      <c r="WNO15" s="338"/>
      <c r="WNP15" s="338"/>
      <c r="WNQ15" s="338"/>
      <c r="WNR15" s="338"/>
      <c r="WNS15" s="338"/>
      <c r="WNT15" s="338"/>
      <c r="WNU15" s="338"/>
      <c r="WNV15" s="338"/>
      <c r="WNW15" s="338"/>
      <c r="WNX15" s="338"/>
      <c r="WNY15" s="338"/>
      <c r="WNZ15" s="338"/>
      <c r="WOA15" s="338"/>
      <c r="WOB15" s="338"/>
      <c r="WOC15" s="338"/>
      <c r="WOD15" s="338"/>
      <c r="WOE15" s="338"/>
      <c r="WOF15" s="338"/>
      <c r="WOG15" s="338"/>
      <c r="WOH15" s="338"/>
      <c r="WOI15" s="338"/>
      <c r="WOJ15" s="338"/>
      <c r="WOK15" s="338"/>
      <c r="WOL15" s="338"/>
      <c r="WOM15" s="338"/>
      <c r="WON15" s="338"/>
      <c r="WOO15" s="338"/>
      <c r="WOP15" s="338"/>
      <c r="WOQ15" s="338"/>
      <c r="WOR15" s="338"/>
      <c r="WOS15" s="338"/>
      <c r="WOT15" s="338"/>
      <c r="WOU15" s="338"/>
      <c r="WOV15" s="338"/>
      <c r="WOW15" s="338"/>
      <c r="WOX15" s="338"/>
      <c r="WOY15" s="338"/>
      <c r="WOZ15" s="338"/>
      <c r="WPA15" s="338"/>
      <c r="WPB15" s="338"/>
      <c r="WPC15" s="338"/>
      <c r="WPD15" s="338"/>
      <c r="WPE15" s="338"/>
      <c r="WPF15" s="338"/>
      <c r="WPG15" s="338"/>
      <c r="WPH15" s="338"/>
      <c r="WPI15" s="338"/>
      <c r="WPJ15" s="338"/>
      <c r="WPK15" s="338"/>
      <c r="WPL15" s="338"/>
      <c r="WPM15" s="338"/>
      <c r="WPN15" s="338"/>
      <c r="WPO15" s="338"/>
      <c r="WPP15" s="338"/>
      <c r="WPQ15" s="338"/>
      <c r="WPR15" s="338"/>
      <c r="WPS15" s="338"/>
      <c r="WPT15" s="338"/>
      <c r="WPU15" s="338"/>
      <c r="WPV15" s="338"/>
      <c r="WPW15" s="338"/>
      <c r="WPX15" s="338"/>
      <c r="WPY15" s="338"/>
      <c r="WPZ15" s="338"/>
      <c r="WQA15" s="338"/>
      <c r="WQB15" s="338"/>
      <c r="WQC15" s="338"/>
      <c r="WQD15" s="338"/>
      <c r="WQE15" s="338"/>
      <c r="WQF15" s="338"/>
      <c r="WQG15" s="338"/>
      <c r="WQH15" s="338"/>
      <c r="WQI15" s="338"/>
      <c r="WQJ15" s="338"/>
      <c r="WQK15" s="338"/>
      <c r="WQL15" s="338"/>
      <c r="WQM15" s="338"/>
      <c r="WQN15" s="338"/>
      <c r="WQO15" s="338"/>
      <c r="WQP15" s="338"/>
      <c r="WQQ15" s="338"/>
      <c r="WQR15" s="338"/>
      <c r="WQS15" s="338"/>
      <c r="WQT15" s="338"/>
      <c r="WQU15" s="338"/>
      <c r="WQV15" s="338"/>
      <c r="WQW15" s="338"/>
      <c r="WQX15" s="338"/>
      <c r="WQY15" s="338"/>
      <c r="WQZ15" s="338"/>
      <c r="WRA15" s="338"/>
      <c r="WRB15" s="338"/>
      <c r="WRC15" s="338"/>
      <c r="WRD15" s="338"/>
      <c r="WRE15" s="338"/>
      <c r="WRF15" s="338"/>
      <c r="WRG15" s="338"/>
      <c r="WRH15" s="338"/>
      <c r="WRI15" s="338"/>
      <c r="WRJ15" s="338"/>
      <c r="WRK15" s="338"/>
      <c r="WRL15" s="338"/>
      <c r="WRM15" s="338"/>
      <c r="WRN15" s="338"/>
      <c r="WRO15" s="338"/>
      <c r="WRP15" s="338"/>
      <c r="WRQ15" s="338"/>
      <c r="WRR15" s="338"/>
      <c r="WRS15" s="338"/>
      <c r="WRT15" s="338"/>
      <c r="WRU15" s="338"/>
      <c r="WRV15" s="338"/>
      <c r="WRW15" s="338"/>
      <c r="WRX15" s="338"/>
      <c r="WRY15" s="338"/>
      <c r="WRZ15" s="338"/>
      <c r="WSA15" s="338"/>
      <c r="WSB15" s="338"/>
      <c r="WSC15" s="338"/>
      <c r="WSD15" s="338"/>
      <c r="WSE15" s="338"/>
      <c r="WSF15" s="338"/>
      <c r="WSG15" s="338"/>
      <c r="WSH15" s="338"/>
      <c r="WSI15" s="338"/>
      <c r="WSJ15" s="338"/>
      <c r="WSK15" s="338"/>
      <c r="WSL15" s="338"/>
      <c r="WSM15" s="338"/>
      <c r="WSN15" s="338"/>
      <c r="WSO15" s="338"/>
      <c r="WSP15" s="338"/>
      <c r="WSQ15" s="338"/>
      <c r="WSR15" s="338"/>
      <c r="WSS15" s="338"/>
      <c r="WST15" s="338"/>
      <c r="WSU15" s="338"/>
      <c r="WSV15" s="338"/>
      <c r="WSW15" s="338"/>
      <c r="WSX15" s="338"/>
      <c r="WSY15" s="338"/>
      <c r="WSZ15" s="338"/>
      <c r="WTA15" s="338"/>
      <c r="WTB15" s="338"/>
      <c r="WTC15" s="338"/>
      <c r="WTD15" s="338"/>
      <c r="WTE15" s="338"/>
      <c r="WTF15" s="338"/>
      <c r="WTG15" s="338"/>
      <c r="WTH15" s="338"/>
      <c r="WTI15" s="338"/>
      <c r="WTJ15" s="338"/>
      <c r="WTK15" s="338"/>
      <c r="WTL15" s="338"/>
      <c r="WTM15" s="338"/>
      <c r="WTN15" s="338"/>
      <c r="WTO15" s="338"/>
      <c r="WTP15" s="338"/>
      <c r="WTQ15" s="338"/>
      <c r="WTR15" s="338"/>
      <c r="WTS15" s="338"/>
      <c r="WTT15" s="338"/>
      <c r="WTU15" s="338"/>
      <c r="WTV15" s="338"/>
      <c r="WTW15" s="338"/>
      <c r="WTX15" s="338"/>
      <c r="WTY15" s="338"/>
      <c r="WTZ15" s="338"/>
      <c r="WUA15" s="338"/>
      <c r="WUB15" s="338"/>
      <c r="WUC15" s="338"/>
      <c r="WUD15" s="338"/>
      <c r="WUE15" s="338"/>
      <c r="WUF15" s="338"/>
      <c r="WUG15" s="338"/>
      <c r="WUH15" s="338"/>
      <c r="WUI15" s="338"/>
      <c r="WUJ15" s="338"/>
      <c r="WUK15" s="338"/>
      <c r="WUL15" s="338"/>
      <c r="WUM15" s="338"/>
      <c r="WUN15" s="338"/>
      <c r="WUO15" s="338"/>
      <c r="WUP15" s="338"/>
      <c r="WUQ15" s="338"/>
      <c r="WUR15" s="338"/>
      <c r="WUS15" s="338"/>
      <c r="WUT15" s="338"/>
      <c r="WUU15" s="338"/>
      <c r="WUV15" s="338"/>
      <c r="WUW15" s="338"/>
      <c r="WUX15" s="338"/>
      <c r="WUY15" s="338"/>
      <c r="WUZ15" s="338"/>
      <c r="WVA15" s="338"/>
      <c r="WVB15" s="338"/>
      <c r="WVC15" s="338"/>
      <c r="WVD15" s="338"/>
      <c r="WVE15" s="338"/>
      <c r="WVF15" s="338"/>
      <c r="WVG15" s="338"/>
      <c r="WVH15" s="338"/>
      <c r="WVI15" s="338"/>
      <c r="WVJ15" s="338"/>
      <c r="WVK15" s="338"/>
      <c r="WVL15" s="338"/>
      <c r="WVM15" s="338"/>
      <c r="WVN15" s="338"/>
      <c r="WVO15" s="338"/>
      <c r="WVP15" s="338"/>
      <c r="WVQ15" s="338"/>
      <c r="WVR15" s="338"/>
      <c r="WVS15" s="338"/>
      <c r="WVT15" s="338"/>
      <c r="WVU15" s="338"/>
      <c r="WVV15" s="338"/>
      <c r="WVW15" s="338"/>
      <c r="WVX15" s="338"/>
      <c r="WVY15" s="338"/>
      <c r="WVZ15" s="338"/>
      <c r="WWA15" s="338"/>
      <c r="WWB15" s="338"/>
      <c r="WWC15" s="338"/>
      <c r="WWD15" s="338"/>
      <c r="WWE15" s="338"/>
      <c r="WWF15" s="338"/>
      <c r="WWG15" s="338"/>
      <c r="WWH15" s="338"/>
      <c r="WWI15" s="338"/>
      <c r="WWJ15" s="338"/>
      <c r="WWK15" s="338"/>
      <c r="WWL15" s="338"/>
      <c r="WWM15" s="338"/>
      <c r="WWN15" s="338"/>
      <c r="WWO15" s="338"/>
      <c r="WWP15" s="338"/>
      <c r="WWQ15" s="338"/>
      <c r="WWR15" s="338"/>
      <c r="WWS15" s="338"/>
      <c r="WWT15" s="338"/>
      <c r="WWU15" s="338"/>
      <c r="WWV15" s="338"/>
      <c r="WWW15" s="338"/>
      <c r="WWX15" s="338"/>
      <c r="WWY15" s="338"/>
      <c r="WWZ15" s="338"/>
      <c r="WXA15" s="338"/>
      <c r="WXB15" s="338"/>
      <c r="WXC15" s="338"/>
      <c r="WXD15" s="338"/>
      <c r="WXE15" s="338"/>
      <c r="WXF15" s="338"/>
      <c r="WXG15" s="338"/>
      <c r="WXH15" s="338"/>
      <c r="WXI15" s="338"/>
      <c r="WXJ15" s="338"/>
      <c r="WXK15" s="338"/>
      <c r="WXL15" s="338"/>
      <c r="WXM15" s="338"/>
      <c r="WXN15" s="338"/>
      <c r="WXO15" s="338"/>
      <c r="WXP15" s="338"/>
      <c r="WXQ15" s="338"/>
      <c r="WXR15" s="338"/>
      <c r="WXS15" s="338"/>
      <c r="WXT15" s="338"/>
      <c r="WXU15" s="338"/>
      <c r="WXV15" s="338"/>
      <c r="WXW15" s="338"/>
      <c r="WXX15" s="338"/>
      <c r="WXY15" s="338"/>
      <c r="WXZ15" s="338"/>
      <c r="WYA15" s="338"/>
      <c r="WYB15" s="338"/>
      <c r="WYC15" s="338"/>
      <c r="WYD15" s="338"/>
      <c r="WYE15" s="338"/>
      <c r="WYF15" s="338"/>
      <c r="WYG15" s="338"/>
      <c r="WYH15" s="338"/>
      <c r="WYI15" s="338"/>
      <c r="WYJ15" s="338"/>
      <c r="WYK15" s="338"/>
      <c r="WYL15" s="338"/>
      <c r="WYM15" s="338"/>
      <c r="WYN15" s="338"/>
      <c r="WYO15" s="338"/>
      <c r="WYP15" s="338"/>
      <c r="WYQ15" s="338"/>
      <c r="WYR15" s="338"/>
      <c r="WYS15" s="338"/>
      <c r="WYT15" s="338"/>
      <c r="WYU15" s="338"/>
      <c r="WYV15" s="338"/>
      <c r="WYW15" s="338"/>
      <c r="WYX15" s="338"/>
      <c r="WYY15" s="338"/>
      <c r="WYZ15" s="338"/>
      <c r="WZA15" s="338"/>
      <c r="WZB15" s="338"/>
      <c r="WZC15" s="338"/>
      <c r="WZD15" s="338"/>
      <c r="WZE15" s="338"/>
      <c r="WZF15" s="338"/>
      <c r="WZG15" s="338"/>
      <c r="WZH15" s="338"/>
      <c r="WZI15" s="338"/>
      <c r="WZJ15" s="338"/>
      <c r="WZK15" s="338"/>
      <c r="WZL15" s="338"/>
      <c r="WZM15" s="338"/>
      <c r="WZN15" s="338"/>
      <c r="WZO15" s="338"/>
      <c r="WZP15" s="338"/>
      <c r="WZQ15" s="338"/>
      <c r="WZR15" s="338"/>
      <c r="WZS15" s="338"/>
      <c r="WZT15" s="338"/>
      <c r="WZU15" s="338"/>
      <c r="WZV15" s="338"/>
      <c r="WZW15" s="338"/>
      <c r="WZX15" s="338"/>
      <c r="WZY15" s="338"/>
      <c r="WZZ15" s="338"/>
      <c r="XAA15" s="338"/>
      <c r="XAB15" s="338"/>
      <c r="XAC15" s="338"/>
      <c r="XAD15" s="338"/>
      <c r="XAE15" s="338"/>
      <c r="XAF15" s="338"/>
      <c r="XAG15" s="338"/>
      <c r="XAH15" s="338"/>
      <c r="XAI15" s="338"/>
      <c r="XAJ15" s="338"/>
      <c r="XAK15" s="338"/>
      <c r="XAL15" s="338"/>
      <c r="XAM15" s="338"/>
      <c r="XAN15" s="338"/>
      <c r="XAO15" s="338"/>
      <c r="XAP15" s="338"/>
      <c r="XAQ15" s="338"/>
      <c r="XAR15" s="338"/>
      <c r="XAS15" s="338"/>
      <c r="XAT15" s="338"/>
      <c r="XAU15" s="338"/>
      <c r="XAV15" s="338"/>
      <c r="XAW15" s="338"/>
      <c r="XAX15" s="338"/>
      <c r="XAY15" s="338"/>
      <c r="XAZ15" s="338"/>
      <c r="XBA15" s="338"/>
      <c r="XBB15" s="338"/>
      <c r="XBC15" s="338"/>
      <c r="XBD15" s="338"/>
      <c r="XBE15" s="338"/>
      <c r="XBF15" s="338"/>
      <c r="XBG15" s="338"/>
      <c r="XBH15" s="338"/>
      <c r="XBI15" s="338"/>
      <c r="XBJ15" s="338"/>
      <c r="XBK15" s="338"/>
      <c r="XBL15" s="338"/>
      <c r="XBM15" s="338"/>
      <c r="XBN15" s="338"/>
      <c r="XBO15" s="338"/>
      <c r="XBP15" s="338"/>
      <c r="XBQ15" s="338"/>
      <c r="XBR15" s="338"/>
      <c r="XBS15" s="338"/>
      <c r="XBT15" s="338"/>
      <c r="XBU15" s="338"/>
      <c r="XBV15" s="338"/>
      <c r="XBW15" s="338"/>
      <c r="XBX15" s="338"/>
      <c r="XBY15" s="338"/>
      <c r="XBZ15" s="338"/>
      <c r="XCA15" s="338"/>
      <c r="XCB15" s="338"/>
      <c r="XCC15" s="338"/>
      <c r="XCD15" s="338"/>
      <c r="XCE15" s="338"/>
      <c r="XCF15" s="338"/>
      <c r="XCG15" s="338"/>
      <c r="XCH15" s="338"/>
      <c r="XCI15" s="338"/>
      <c r="XCJ15" s="338"/>
      <c r="XCK15" s="338"/>
      <c r="XCL15" s="338"/>
      <c r="XCM15" s="338"/>
      <c r="XCN15" s="338"/>
      <c r="XCO15" s="338"/>
      <c r="XCP15" s="338"/>
      <c r="XCQ15" s="338"/>
      <c r="XCR15" s="338"/>
      <c r="XCS15" s="338"/>
      <c r="XCT15" s="338"/>
      <c r="XCU15" s="338"/>
      <c r="XCV15" s="338"/>
      <c r="XCW15" s="338"/>
      <c r="XCX15" s="338"/>
      <c r="XCY15" s="338"/>
      <c r="XCZ15" s="338"/>
      <c r="XDA15" s="338"/>
      <c r="XDB15" s="338"/>
      <c r="XDC15" s="338"/>
      <c r="XDD15" s="338"/>
      <c r="XDE15" s="338"/>
      <c r="XDF15" s="338"/>
      <c r="XDG15" s="338"/>
      <c r="XDH15" s="338"/>
      <c r="XDI15" s="338"/>
      <c r="XDJ15" s="338"/>
      <c r="XDK15" s="338"/>
      <c r="XDL15" s="338"/>
      <c r="XDM15" s="338"/>
      <c r="XDN15" s="338"/>
      <c r="XDO15" s="338"/>
      <c r="XDP15" s="338"/>
      <c r="XDQ15" s="338"/>
      <c r="XDR15" s="338"/>
      <c r="XDS15" s="338"/>
      <c r="XDT15" s="338"/>
      <c r="XDU15" s="338"/>
      <c r="XDV15" s="338"/>
      <c r="XDW15" s="338"/>
      <c r="XDX15" s="338"/>
      <c r="XDY15" s="338"/>
      <c r="XDZ15" s="338"/>
      <c r="XEA15" s="338"/>
      <c r="XEB15" s="338"/>
      <c r="XEC15" s="338"/>
      <c r="XED15" s="338"/>
      <c r="XEE15" s="338"/>
      <c r="XEF15" s="338"/>
      <c r="XEG15" s="338"/>
      <c r="XEH15" s="338"/>
      <c r="XEI15" s="338"/>
      <c r="XEJ15" s="338"/>
      <c r="XEK15" s="338"/>
      <c r="XEL15" s="338"/>
      <c r="XEM15" s="338"/>
      <c r="XEN15" s="338"/>
      <c r="XEO15" s="338"/>
      <c r="XEP15" s="338"/>
      <c r="XEQ15" s="338"/>
      <c r="XER15" s="338"/>
      <c r="XES15" s="338"/>
      <c r="XET15" s="338"/>
      <c r="XEU15" s="338"/>
      <c r="XEV15" s="338"/>
      <c r="XEW15" s="338"/>
      <c r="XEX15" s="338"/>
      <c r="XEY15" s="338"/>
      <c r="XEZ15" s="338"/>
      <c r="XFA15" s="338"/>
      <c r="XFB15" s="338"/>
      <c r="XFC15" s="338"/>
      <c r="XFD15" s="338"/>
    </row>
    <row r="16" spans="1:16384" s="195" customFormat="1" ht="14.25" customHeight="1" x14ac:dyDescent="0.2">
      <c r="A16" s="11"/>
    </row>
    <row r="17" spans="1:16384" s="11" customFormat="1" ht="29.45" customHeight="1" x14ac:dyDescent="0.2">
      <c r="B17" s="345" t="s">
        <v>224</v>
      </c>
      <c r="C17" s="344"/>
      <c r="D17" s="344"/>
      <c r="E17" s="344"/>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338"/>
      <c r="DP17" s="338"/>
      <c r="DQ17" s="338"/>
      <c r="DR17" s="338"/>
      <c r="DS17" s="338"/>
      <c r="DT17" s="338"/>
      <c r="DU17" s="338"/>
      <c r="DV17" s="338"/>
      <c r="DW17" s="338"/>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338"/>
      <c r="FM17" s="338"/>
      <c r="FN17" s="338"/>
      <c r="FO17" s="338"/>
      <c r="FP17" s="338"/>
      <c r="FQ17" s="338"/>
      <c r="FR17" s="338"/>
      <c r="FS17" s="338"/>
      <c r="FT17" s="338"/>
      <c r="FU17" s="338"/>
      <c r="FV17" s="338"/>
      <c r="FW17" s="338"/>
      <c r="FX17" s="338"/>
      <c r="FY17" s="338"/>
      <c r="FZ17" s="338"/>
      <c r="GA17" s="338"/>
      <c r="GB17" s="338"/>
      <c r="GC17" s="338"/>
      <c r="GD17" s="338"/>
      <c r="GE17" s="338"/>
      <c r="GF17" s="338"/>
      <c r="GG17" s="338"/>
      <c r="GH17" s="338"/>
      <c r="GI17" s="338"/>
      <c r="GJ17" s="338"/>
      <c r="GK17" s="338"/>
      <c r="GL17" s="338"/>
      <c r="GM17" s="338"/>
      <c r="GN17" s="338"/>
      <c r="GO17" s="338"/>
      <c r="GP17" s="338"/>
      <c r="GQ17" s="338"/>
      <c r="GR17" s="338"/>
      <c r="GS17" s="338"/>
      <c r="GT17" s="338"/>
      <c r="GU17" s="338"/>
      <c r="GV17" s="338"/>
      <c r="GW17" s="338"/>
      <c r="GX17" s="338"/>
      <c r="GY17" s="338"/>
      <c r="GZ17" s="338"/>
      <c r="HA17" s="338"/>
      <c r="HB17" s="338"/>
      <c r="HC17" s="338"/>
      <c r="HD17" s="338"/>
      <c r="HE17" s="338"/>
      <c r="HF17" s="338"/>
      <c r="HG17" s="338"/>
      <c r="HH17" s="338"/>
      <c r="HI17" s="338"/>
      <c r="HJ17" s="338"/>
      <c r="HK17" s="338"/>
      <c r="HL17" s="338"/>
      <c r="HM17" s="338"/>
      <c r="HN17" s="338"/>
      <c r="HO17" s="338"/>
      <c r="HP17" s="338"/>
      <c r="HQ17" s="338"/>
      <c r="HR17" s="338"/>
      <c r="HS17" s="338"/>
      <c r="HT17" s="338"/>
      <c r="HU17" s="338"/>
      <c r="HV17" s="338"/>
      <c r="HW17" s="338"/>
      <c r="HX17" s="338"/>
      <c r="HY17" s="338"/>
      <c r="HZ17" s="338"/>
      <c r="IA17" s="338"/>
      <c r="IB17" s="338"/>
      <c r="IC17" s="338"/>
      <c r="ID17" s="338"/>
      <c r="IE17" s="338"/>
      <c r="IF17" s="338"/>
      <c r="IG17" s="338"/>
      <c r="IH17" s="338"/>
      <c r="II17" s="338"/>
      <c r="IJ17" s="338"/>
      <c r="IK17" s="338"/>
      <c r="IL17" s="338"/>
      <c r="IM17" s="338"/>
      <c r="IN17" s="338"/>
      <c r="IO17" s="338"/>
      <c r="IP17" s="338"/>
      <c r="IQ17" s="338"/>
      <c r="IR17" s="338"/>
      <c r="IS17" s="338"/>
      <c r="IT17" s="338"/>
      <c r="IU17" s="338"/>
      <c r="IV17" s="338"/>
      <c r="IW17" s="338"/>
      <c r="IX17" s="338"/>
      <c r="IY17" s="338"/>
      <c r="IZ17" s="338"/>
      <c r="JA17" s="338"/>
      <c r="JB17" s="338"/>
      <c r="JC17" s="338"/>
      <c r="JD17" s="338"/>
      <c r="JE17" s="338"/>
      <c r="JF17" s="338"/>
      <c r="JG17" s="338"/>
      <c r="JH17" s="338"/>
      <c r="JI17" s="338"/>
      <c r="JJ17" s="338"/>
      <c r="JK17" s="338"/>
      <c r="JL17" s="338"/>
      <c r="JM17" s="338"/>
      <c r="JN17" s="338"/>
      <c r="JO17" s="338"/>
      <c r="JP17" s="338"/>
      <c r="JQ17" s="338"/>
      <c r="JR17" s="338"/>
      <c r="JS17" s="338"/>
      <c r="JT17" s="338"/>
      <c r="JU17" s="338"/>
      <c r="JV17" s="338"/>
      <c r="JW17" s="338"/>
      <c r="JX17" s="338"/>
      <c r="JY17" s="338"/>
      <c r="JZ17" s="338"/>
      <c r="KA17" s="338"/>
      <c r="KB17" s="338"/>
      <c r="KC17" s="338"/>
      <c r="KD17" s="338"/>
      <c r="KE17" s="338"/>
      <c r="KF17" s="338"/>
      <c r="KG17" s="338"/>
      <c r="KH17" s="338"/>
      <c r="KI17" s="338"/>
      <c r="KJ17" s="338"/>
      <c r="KK17" s="338"/>
      <c r="KL17" s="338"/>
      <c r="KM17" s="338"/>
      <c r="KN17" s="338"/>
      <c r="KO17" s="338"/>
      <c r="KP17" s="338"/>
      <c r="KQ17" s="338"/>
      <c r="KR17" s="338"/>
      <c r="KS17" s="338"/>
      <c r="KT17" s="338"/>
      <c r="KU17" s="338"/>
      <c r="KV17" s="338"/>
      <c r="KW17" s="338"/>
      <c r="KX17" s="338"/>
      <c r="KY17" s="338"/>
      <c r="KZ17" s="338"/>
      <c r="LA17" s="338"/>
      <c r="LB17" s="338"/>
      <c r="LC17" s="338"/>
      <c r="LD17" s="338"/>
      <c r="LE17" s="338"/>
      <c r="LF17" s="338"/>
      <c r="LG17" s="338"/>
      <c r="LH17" s="338"/>
      <c r="LI17" s="338"/>
      <c r="LJ17" s="338"/>
      <c r="LK17" s="338"/>
      <c r="LL17" s="338"/>
      <c r="LM17" s="338"/>
      <c r="LN17" s="338"/>
      <c r="LO17" s="338"/>
      <c r="LP17" s="338"/>
      <c r="LQ17" s="338"/>
      <c r="LR17" s="338"/>
      <c r="LS17" s="338"/>
      <c r="LT17" s="338"/>
      <c r="LU17" s="338"/>
      <c r="LV17" s="338"/>
      <c r="LW17" s="338"/>
      <c r="LX17" s="338"/>
      <c r="LY17" s="338"/>
      <c r="LZ17" s="338"/>
      <c r="MA17" s="338"/>
      <c r="MB17" s="338"/>
      <c r="MC17" s="338"/>
      <c r="MD17" s="338"/>
      <c r="ME17" s="338"/>
      <c r="MF17" s="338"/>
      <c r="MG17" s="338"/>
      <c r="MH17" s="338"/>
      <c r="MI17" s="338"/>
      <c r="MJ17" s="338"/>
      <c r="MK17" s="338"/>
      <c r="ML17" s="338"/>
      <c r="MM17" s="338"/>
      <c r="MN17" s="338"/>
      <c r="MO17" s="338"/>
      <c r="MP17" s="338"/>
      <c r="MQ17" s="338"/>
      <c r="MR17" s="338"/>
      <c r="MS17" s="338"/>
      <c r="MT17" s="338"/>
      <c r="MU17" s="338"/>
      <c r="MV17" s="338"/>
      <c r="MW17" s="338"/>
      <c r="MX17" s="338"/>
      <c r="MY17" s="338"/>
      <c r="MZ17" s="338"/>
      <c r="NA17" s="338"/>
      <c r="NB17" s="338"/>
      <c r="NC17" s="338"/>
      <c r="ND17" s="338"/>
      <c r="NE17" s="338"/>
      <c r="NF17" s="338"/>
      <c r="NG17" s="338"/>
      <c r="NH17" s="338"/>
      <c r="NI17" s="338"/>
      <c r="NJ17" s="338"/>
      <c r="NK17" s="338"/>
      <c r="NL17" s="338"/>
      <c r="NM17" s="338"/>
      <c r="NN17" s="338"/>
      <c r="NO17" s="338"/>
      <c r="NP17" s="338"/>
      <c r="NQ17" s="338"/>
      <c r="NR17" s="338"/>
      <c r="NS17" s="338"/>
      <c r="NT17" s="338"/>
      <c r="NU17" s="338"/>
      <c r="NV17" s="338"/>
      <c r="NW17" s="338"/>
      <c r="NX17" s="338"/>
      <c r="NY17" s="338"/>
      <c r="NZ17" s="338"/>
      <c r="OA17" s="338"/>
      <c r="OB17" s="338"/>
      <c r="OC17" s="338"/>
      <c r="OD17" s="338"/>
      <c r="OE17" s="338"/>
      <c r="OF17" s="338"/>
      <c r="OG17" s="338"/>
      <c r="OH17" s="338"/>
      <c r="OI17" s="338"/>
      <c r="OJ17" s="338"/>
      <c r="OK17" s="338"/>
      <c r="OL17" s="338"/>
      <c r="OM17" s="338"/>
      <c r="ON17" s="338"/>
      <c r="OO17" s="338"/>
      <c r="OP17" s="338"/>
      <c r="OQ17" s="338"/>
      <c r="OR17" s="338"/>
      <c r="OS17" s="338"/>
      <c r="OT17" s="338"/>
      <c r="OU17" s="338"/>
      <c r="OV17" s="338"/>
      <c r="OW17" s="338"/>
      <c r="OX17" s="338"/>
      <c r="OY17" s="338"/>
      <c r="OZ17" s="338"/>
      <c r="PA17" s="338"/>
      <c r="PB17" s="338"/>
      <c r="PC17" s="338"/>
      <c r="PD17" s="338"/>
      <c r="PE17" s="338"/>
      <c r="PF17" s="338"/>
      <c r="PG17" s="338"/>
      <c r="PH17" s="338"/>
      <c r="PI17" s="338"/>
      <c r="PJ17" s="338"/>
      <c r="PK17" s="338"/>
      <c r="PL17" s="338"/>
      <c r="PM17" s="338"/>
      <c r="PN17" s="338"/>
      <c r="PO17" s="338"/>
      <c r="PP17" s="338"/>
      <c r="PQ17" s="338"/>
      <c r="PR17" s="338"/>
      <c r="PS17" s="338"/>
      <c r="PT17" s="338"/>
      <c r="PU17" s="338"/>
      <c r="PV17" s="338"/>
      <c r="PW17" s="338"/>
      <c r="PX17" s="338"/>
      <c r="PY17" s="338"/>
      <c r="PZ17" s="338"/>
      <c r="QA17" s="338"/>
      <c r="QB17" s="338"/>
      <c r="QC17" s="338"/>
      <c r="QD17" s="338"/>
      <c r="QE17" s="338"/>
      <c r="QF17" s="338"/>
      <c r="QG17" s="338"/>
      <c r="QH17" s="338"/>
      <c r="QI17" s="338"/>
      <c r="QJ17" s="338"/>
      <c r="QK17" s="338"/>
      <c r="QL17" s="338"/>
      <c r="QM17" s="338"/>
      <c r="QN17" s="338"/>
      <c r="QO17" s="338"/>
      <c r="QP17" s="338"/>
      <c r="QQ17" s="338"/>
      <c r="QR17" s="338"/>
      <c r="QS17" s="338"/>
      <c r="QT17" s="338"/>
      <c r="QU17" s="338"/>
      <c r="QV17" s="338"/>
      <c r="QW17" s="338"/>
      <c r="QX17" s="338"/>
      <c r="QY17" s="338"/>
      <c r="QZ17" s="338"/>
      <c r="RA17" s="338"/>
      <c r="RB17" s="338"/>
      <c r="RC17" s="338"/>
      <c r="RD17" s="338"/>
      <c r="RE17" s="338"/>
      <c r="RF17" s="338"/>
      <c r="RG17" s="338"/>
      <c r="RH17" s="338"/>
      <c r="RI17" s="338"/>
      <c r="RJ17" s="338"/>
      <c r="RK17" s="338"/>
      <c r="RL17" s="338"/>
      <c r="RM17" s="338"/>
      <c r="RN17" s="338"/>
      <c r="RO17" s="338"/>
      <c r="RP17" s="338"/>
      <c r="RQ17" s="338"/>
      <c r="RR17" s="338"/>
      <c r="RS17" s="338"/>
      <c r="RT17" s="338"/>
      <c r="RU17" s="338"/>
      <c r="RV17" s="338"/>
      <c r="RW17" s="338"/>
      <c r="RX17" s="338"/>
      <c r="RY17" s="338"/>
      <c r="RZ17" s="338"/>
      <c r="SA17" s="338"/>
      <c r="SB17" s="338"/>
      <c r="SC17" s="338"/>
      <c r="SD17" s="338"/>
      <c r="SE17" s="338"/>
      <c r="SF17" s="338"/>
      <c r="SG17" s="338"/>
      <c r="SH17" s="338"/>
      <c r="SI17" s="338"/>
      <c r="SJ17" s="338"/>
      <c r="SK17" s="338"/>
      <c r="SL17" s="338"/>
      <c r="SM17" s="338"/>
      <c r="SN17" s="338"/>
      <c r="SO17" s="338"/>
      <c r="SP17" s="338"/>
      <c r="SQ17" s="338"/>
      <c r="SR17" s="338"/>
      <c r="SS17" s="338"/>
      <c r="ST17" s="338"/>
      <c r="SU17" s="338"/>
      <c r="SV17" s="338"/>
      <c r="SW17" s="338"/>
      <c r="SX17" s="338"/>
      <c r="SY17" s="338"/>
      <c r="SZ17" s="338"/>
      <c r="TA17" s="338"/>
      <c r="TB17" s="338"/>
      <c r="TC17" s="338"/>
      <c r="TD17" s="338"/>
      <c r="TE17" s="338"/>
      <c r="TF17" s="338"/>
      <c r="TG17" s="338"/>
      <c r="TH17" s="338"/>
      <c r="TI17" s="338"/>
      <c r="TJ17" s="338"/>
      <c r="TK17" s="338"/>
      <c r="TL17" s="338"/>
      <c r="TM17" s="338"/>
      <c r="TN17" s="338"/>
      <c r="TO17" s="338"/>
      <c r="TP17" s="338"/>
      <c r="TQ17" s="338"/>
      <c r="TR17" s="338"/>
      <c r="TS17" s="338"/>
      <c r="TT17" s="338"/>
      <c r="TU17" s="338"/>
      <c r="TV17" s="338"/>
      <c r="TW17" s="338"/>
      <c r="TX17" s="338"/>
      <c r="TY17" s="338"/>
      <c r="TZ17" s="338"/>
      <c r="UA17" s="338"/>
      <c r="UB17" s="338"/>
      <c r="UC17" s="338"/>
      <c r="UD17" s="338"/>
      <c r="UE17" s="338"/>
      <c r="UF17" s="338"/>
      <c r="UG17" s="338"/>
      <c r="UH17" s="338"/>
      <c r="UI17" s="338"/>
      <c r="UJ17" s="338"/>
      <c r="UK17" s="338"/>
      <c r="UL17" s="338"/>
      <c r="UM17" s="338"/>
      <c r="UN17" s="338"/>
      <c r="UO17" s="338"/>
      <c r="UP17" s="338"/>
      <c r="UQ17" s="338"/>
      <c r="UR17" s="338"/>
      <c r="US17" s="338"/>
      <c r="UT17" s="338"/>
      <c r="UU17" s="338"/>
      <c r="UV17" s="338"/>
      <c r="UW17" s="338"/>
      <c r="UX17" s="338"/>
      <c r="UY17" s="338"/>
      <c r="UZ17" s="338"/>
      <c r="VA17" s="338"/>
      <c r="VB17" s="338"/>
      <c r="VC17" s="338"/>
      <c r="VD17" s="338"/>
      <c r="VE17" s="338"/>
      <c r="VF17" s="338"/>
      <c r="VG17" s="338"/>
      <c r="VH17" s="338"/>
      <c r="VI17" s="338"/>
      <c r="VJ17" s="338"/>
      <c r="VK17" s="338"/>
      <c r="VL17" s="338"/>
      <c r="VM17" s="338"/>
      <c r="VN17" s="338"/>
      <c r="VO17" s="338"/>
      <c r="VP17" s="338"/>
      <c r="VQ17" s="338"/>
      <c r="VR17" s="338"/>
      <c r="VS17" s="338"/>
      <c r="VT17" s="338"/>
      <c r="VU17" s="338"/>
      <c r="VV17" s="338"/>
      <c r="VW17" s="338"/>
      <c r="VX17" s="338"/>
      <c r="VY17" s="338"/>
      <c r="VZ17" s="338"/>
      <c r="WA17" s="338"/>
      <c r="WB17" s="338"/>
      <c r="WC17" s="338"/>
      <c r="WD17" s="338"/>
      <c r="WE17" s="338"/>
      <c r="WF17" s="338"/>
      <c r="WG17" s="338"/>
      <c r="WH17" s="338"/>
      <c r="WI17" s="338"/>
      <c r="WJ17" s="338"/>
      <c r="WK17" s="338"/>
      <c r="WL17" s="338"/>
      <c r="WM17" s="338"/>
      <c r="WN17" s="338"/>
      <c r="WO17" s="338"/>
      <c r="WP17" s="338"/>
      <c r="WQ17" s="338"/>
      <c r="WR17" s="338"/>
      <c r="WS17" s="338"/>
      <c r="WT17" s="338"/>
      <c r="WU17" s="338"/>
      <c r="WV17" s="338"/>
      <c r="WW17" s="338"/>
      <c r="WX17" s="338"/>
      <c r="WY17" s="338"/>
      <c r="WZ17" s="338"/>
      <c r="XA17" s="338"/>
      <c r="XB17" s="338"/>
      <c r="XC17" s="338"/>
      <c r="XD17" s="338"/>
      <c r="XE17" s="338"/>
      <c r="XF17" s="338"/>
      <c r="XG17" s="338"/>
      <c r="XH17" s="338"/>
      <c r="XI17" s="338"/>
      <c r="XJ17" s="338"/>
      <c r="XK17" s="338"/>
      <c r="XL17" s="338"/>
      <c r="XM17" s="338"/>
      <c r="XN17" s="338"/>
      <c r="XO17" s="338"/>
      <c r="XP17" s="338"/>
      <c r="XQ17" s="338"/>
      <c r="XR17" s="338"/>
      <c r="XS17" s="338"/>
      <c r="XT17" s="338"/>
      <c r="XU17" s="338"/>
      <c r="XV17" s="338"/>
      <c r="XW17" s="338"/>
      <c r="XX17" s="338"/>
      <c r="XY17" s="338"/>
      <c r="XZ17" s="338"/>
      <c r="YA17" s="338"/>
      <c r="YB17" s="338"/>
      <c r="YC17" s="338"/>
      <c r="YD17" s="338"/>
      <c r="YE17" s="338"/>
      <c r="YF17" s="338"/>
      <c r="YG17" s="338"/>
      <c r="YH17" s="338"/>
      <c r="YI17" s="338"/>
      <c r="YJ17" s="338"/>
      <c r="YK17" s="338"/>
      <c r="YL17" s="338"/>
      <c r="YM17" s="338"/>
      <c r="YN17" s="338"/>
      <c r="YO17" s="338"/>
      <c r="YP17" s="338"/>
      <c r="YQ17" s="338"/>
      <c r="YR17" s="338"/>
      <c r="YS17" s="338"/>
      <c r="YT17" s="338"/>
      <c r="YU17" s="338"/>
      <c r="YV17" s="338"/>
      <c r="YW17" s="338"/>
      <c r="YX17" s="338"/>
      <c r="YY17" s="338"/>
      <c r="YZ17" s="338"/>
      <c r="ZA17" s="338"/>
      <c r="ZB17" s="338"/>
      <c r="ZC17" s="338"/>
      <c r="ZD17" s="338"/>
      <c r="ZE17" s="338"/>
      <c r="ZF17" s="338"/>
      <c r="ZG17" s="338"/>
      <c r="ZH17" s="338"/>
      <c r="ZI17" s="338"/>
      <c r="ZJ17" s="338"/>
      <c r="ZK17" s="338"/>
      <c r="ZL17" s="338"/>
      <c r="ZM17" s="338"/>
      <c r="ZN17" s="338"/>
      <c r="ZO17" s="338"/>
      <c r="ZP17" s="338"/>
      <c r="ZQ17" s="338"/>
      <c r="ZR17" s="338"/>
      <c r="ZS17" s="338"/>
      <c r="ZT17" s="338"/>
      <c r="ZU17" s="338"/>
      <c r="ZV17" s="338"/>
      <c r="ZW17" s="338"/>
      <c r="ZX17" s="338"/>
      <c r="ZY17" s="338"/>
      <c r="ZZ17" s="338"/>
      <c r="AAA17" s="338"/>
      <c r="AAB17" s="338"/>
      <c r="AAC17" s="338"/>
      <c r="AAD17" s="338"/>
      <c r="AAE17" s="338"/>
      <c r="AAF17" s="338"/>
      <c r="AAG17" s="338"/>
      <c r="AAH17" s="338"/>
      <c r="AAI17" s="338"/>
      <c r="AAJ17" s="338"/>
      <c r="AAK17" s="338"/>
      <c r="AAL17" s="338"/>
      <c r="AAM17" s="338"/>
      <c r="AAN17" s="338"/>
      <c r="AAO17" s="338"/>
      <c r="AAP17" s="338"/>
      <c r="AAQ17" s="338"/>
      <c r="AAR17" s="338"/>
      <c r="AAS17" s="338"/>
      <c r="AAT17" s="338"/>
      <c r="AAU17" s="338"/>
      <c r="AAV17" s="338"/>
      <c r="AAW17" s="338"/>
      <c r="AAX17" s="338"/>
      <c r="AAY17" s="338"/>
      <c r="AAZ17" s="338"/>
      <c r="ABA17" s="338"/>
      <c r="ABB17" s="338"/>
      <c r="ABC17" s="338"/>
      <c r="ABD17" s="338"/>
      <c r="ABE17" s="338"/>
      <c r="ABF17" s="338"/>
      <c r="ABG17" s="338"/>
      <c r="ABH17" s="338"/>
      <c r="ABI17" s="338"/>
      <c r="ABJ17" s="338"/>
      <c r="ABK17" s="338"/>
      <c r="ABL17" s="338"/>
      <c r="ABM17" s="338"/>
      <c r="ABN17" s="338"/>
      <c r="ABO17" s="338"/>
      <c r="ABP17" s="338"/>
      <c r="ABQ17" s="338"/>
      <c r="ABR17" s="338"/>
      <c r="ABS17" s="338"/>
      <c r="ABT17" s="338"/>
      <c r="ABU17" s="338"/>
      <c r="ABV17" s="338"/>
      <c r="ABW17" s="338"/>
      <c r="ABX17" s="338"/>
      <c r="ABY17" s="338"/>
      <c r="ABZ17" s="338"/>
      <c r="ACA17" s="338"/>
      <c r="ACB17" s="338"/>
      <c r="ACC17" s="338"/>
      <c r="ACD17" s="338"/>
      <c r="ACE17" s="338"/>
      <c r="ACF17" s="338"/>
      <c r="ACG17" s="338"/>
      <c r="ACH17" s="338"/>
      <c r="ACI17" s="338"/>
      <c r="ACJ17" s="338"/>
      <c r="ACK17" s="338"/>
      <c r="ACL17" s="338"/>
      <c r="ACM17" s="338"/>
      <c r="ACN17" s="338"/>
      <c r="ACO17" s="338"/>
      <c r="ACP17" s="338"/>
      <c r="ACQ17" s="338"/>
      <c r="ACR17" s="338"/>
      <c r="ACS17" s="338"/>
      <c r="ACT17" s="338"/>
      <c r="ACU17" s="338"/>
      <c r="ACV17" s="338"/>
      <c r="ACW17" s="338"/>
      <c r="ACX17" s="338"/>
      <c r="ACY17" s="338"/>
      <c r="ACZ17" s="338"/>
      <c r="ADA17" s="338"/>
      <c r="ADB17" s="338"/>
      <c r="ADC17" s="338"/>
      <c r="ADD17" s="338"/>
      <c r="ADE17" s="338"/>
      <c r="ADF17" s="338"/>
      <c r="ADG17" s="338"/>
      <c r="ADH17" s="338"/>
      <c r="ADI17" s="338"/>
      <c r="ADJ17" s="338"/>
      <c r="ADK17" s="338"/>
      <c r="ADL17" s="338"/>
      <c r="ADM17" s="338"/>
      <c r="ADN17" s="338"/>
      <c r="ADO17" s="338"/>
      <c r="ADP17" s="338"/>
      <c r="ADQ17" s="338"/>
      <c r="ADR17" s="338"/>
      <c r="ADS17" s="338"/>
      <c r="ADT17" s="338"/>
      <c r="ADU17" s="338"/>
      <c r="ADV17" s="338"/>
      <c r="ADW17" s="338"/>
      <c r="ADX17" s="338"/>
      <c r="ADY17" s="338"/>
      <c r="ADZ17" s="338"/>
      <c r="AEA17" s="338"/>
      <c r="AEB17" s="338"/>
      <c r="AEC17" s="338"/>
      <c r="AED17" s="338"/>
      <c r="AEE17" s="338"/>
      <c r="AEF17" s="338"/>
      <c r="AEG17" s="338"/>
      <c r="AEH17" s="338"/>
      <c r="AEI17" s="338"/>
      <c r="AEJ17" s="338"/>
      <c r="AEK17" s="338"/>
      <c r="AEL17" s="338"/>
      <c r="AEM17" s="338"/>
      <c r="AEN17" s="338"/>
      <c r="AEO17" s="338"/>
      <c r="AEP17" s="338"/>
      <c r="AEQ17" s="338"/>
      <c r="AER17" s="338"/>
      <c r="AES17" s="338"/>
      <c r="AET17" s="338"/>
      <c r="AEU17" s="338"/>
      <c r="AEV17" s="338"/>
      <c r="AEW17" s="338"/>
      <c r="AEX17" s="338"/>
      <c r="AEY17" s="338"/>
      <c r="AEZ17" s="338"/>
      <c r="AFA17" s="338"/>
      <c r="AFB17" s="338"/>
      <c r="AFC17" s="338"/>
      <c r="AFD17" s="338"/>
      <c r="AFE17" s="338"/>
      <c r="AFF17" s="338"/>
      <c r="AFG17" s="338"/>
      <c r="AFH17" s="338"/>
      <c r="AFI17" s="338"/>
      <c r="AFJ17" s="338"/>
      <c r="AFK17" s="338"/>
      <c r="AFL17" s="338"/>
      <c r="AFM17" s="338"/>
      <c r="AFN17" s="338"/>
      <c r="AFO17" s="338"/>
      <c r="AFP17" s="338"/>
      <c r="AFQ17" s="338"/>
      <c r="AFR17" s="338"/>
      <c r="AFS17" s="338"/>
      <c r="AFT17" s="338"/>
      <c r="AFU17" s="338"/>
      <c r="AFV17" s="338"/>
      <c r="AFW17" s="338"/>
      <c r="AFX17" s="338"/>
      <c r="AFY17" s="338"/>
      <c r="AFZ17" s="338"/>
      <c r="AGA17" s="338"/>
      <c r="AGB17" s="338"/>
      <c r="AGC17" s="338"/>
      <c r="AGD17" s="338"/>
      <c r="AGE17" s="338"/>
      <c r="AGF17" s="338"/>
      <c r="AGG17" s="338"/>
      <c r="AGH17" s="338"/>
      <c r="AGI17" s="338"/>
      <c r="AGJ17" s="338"/>
      <c r="AGK17" s="338"/>
      <c r="AGL17" s="338"/>
      <c r="AGM17" s="338"/>
      <c r="AGN17" s="338"/>
      <c r="AGO17" s="338"/>
      <c r="AGP17" s="338"/>
      <c r="AGQ17" s="338"/>
      <c r="AGR17" s="338"/>
      <c r="AGS17" s="338"/>
      <c r="AGT17" s="338"/>
      <c r="AGU17" s="338"/>
      <c r="AGV17" s="338"/>
      <c r="AGW17" s="338"/>
      <c r="AGX17" s="338"/>
      <c r="AGY17" s="338"/>
      <c r="AGZ17" s="338"/>
      <c r="AHA17" s="338"/>
      <c r="AHB17" s="338"/>
      <c r="AHC17" s="338"/>
      <c r="AHD17" s="338"/>
      <c r="AHE17" s="338"/>
      <c r="AHF17" s="338"/>
      <c r="AHG17" s="338"/>
      <c r="AHH17" s="338"/>
      <c r="AHI17" s="338"/>
      <c r="AHJ17" s="338"/>
      <c r="AHK17" s="338"/>
      <c r="AHL17" s="338"/>
      <c r="AHM17" s="338"/>
      <c r="AHN17" s="338"/>
      <c r="AHO17" s="338"/>
      <c r="AHP17" s="338"/>
      <c r="AHQ17" s="338"/>
      <c r="AHR17" s="338"/>
      <c r="AHS17" s="338"/>
      <c r="AHT17" s="338"/>
      <c r="AHU17" s="338"/>
      <c r="AHV17" s="338"/>
      <c r="AHW17" s="338"/>
      <c r="AHX17" s="338"/>
      <c r="AHY17" s="338"/>
      <c r="AHZ17" s="338"/>
      <c r="AIA17" s="338"/>
      <c r="AIB17" s="338"/>
      <c r="AIC17" s="338"/>
      <c r="AID17" s="338"/>
      <c r="AIE17" s="338"/>
      <c r="AIF17" s="338"/>
      <c r="AIG17" s="338"/>
      <c r="AIH17" s="338"/>
      <c r="AII17" s="338"/>
      <c r="AIJ17" s="338"/>
      <c r="AIK17" s="338"/>
      <c r="AIL17" s="338"/>
      <c r="AIM17" s="338"/>
      <c r="AIN17" s="338"/>
      <c r="AIO17" s="338"/>
      <c r="AIP17" s="338"/>
      <c r="AIQ17" s="338"/>
      <c r="AIR17" s="338"/>
      <c r="AIS17" s="338"/>
      <c r="AIT17" s="338"/>
      <c r="AIU17" s="338"/>
      <c r="AIV17" s="338"/>
      <c r="AIW17" s="338"/>
      <c r="AIX17" s="338"/>
      <c r="AIY17" s="338"/>
      <c r="AIZ17" s="338"/>
      <c r="AJA17" s="338"/>
      <c r="AJB17" s="338"/>
      <c r="AJC17" s="338"/>
      <c r="AJD17" s="338"/>
      <c r="AJE17" s="338"/>
      <c r="AJF17" s="338"/>
      <c r="AJG17" s="338"/>
      <c r="AJH17" s="338"/>
      <c r="AJI17" s="338"/>
      <c r="AJJ17" s="338"/>
      <c r="AJK17" s="338"/>
      <c r="AJL17" s="338"/>
      <c r="AJM17" s="338"/>
      <c r="AJN17" s="338"/>
      <c r="AJO17" s="338"/>
      <c r="AJP17" s="338"/>
      <c r="AJQ17" s="338"/>
      <c r="AJR17" s="338"/>
      <c r="AJS17" s="338"/>
      <c r="AJT17" s="338"/>
      <c r="AJU17" s="338"/>
      <c r="AJV17" s="338"/>
      <c r="AJW17" s="338"/>
      <c r="AJX17" s="338"/>
      <c r="AJY17" s="338"/>
      <c r="AJZ17" s="338"/>
      <c r="AKA17" s="338"/>
      <c r="AKB17" s="338"/>
      <c r="AKC17" s="338"/>
      <c r="AKD17" s="338"/>
      <c r="AKE17" s="338"/>
      <c r="AKF17" s="338"/>
      <c r="AKG17" s="338"/>
      <c r="AKH17" s="338"/>
      <c r="AKI17" s="338"/>
      <c r="AKJ17" s="338"/>
      <c r="AKK17" s="338"/>
      <c r="AKL17" s="338"/>
      <c r="AKM17" s="338"/>
      <c r="AKN17" s="338"/>
      <c r="AKO17" s="338"/>
      <c r="AKP17" s="338"/>
      <c r="AKQ17" s="338"/>
      <c r="AKR17" s="338"/>
      <c r="AKS17" s="338"/>
      <c r="AKT17" s="338"/>
      <c r="AKU17" s="338"/>
      <c r="AKV17" s="338"/>
      <c r="AKW17" s="338"/>
      <c r="AKX17" s="338"/>
      <c r="AKY17" s="338"/>
      <c r="AKZ17" s="338"/>
      <c r="ALA17" s="338"/>
      <c r="ALB17" s="338"/>
      <c r="ALC17" s="338"/>
      <c r="ALD17" s="338"/>
      <c r="ALE17" s="338"/>
      <c r="ALF17" s="338"/>
      <c r="ALG17" s="338"/>
      <c r="ALH17" s="338"/>
      <c r="ALI17" s="338"/>
      <c r="ALJ17" s="338"/>
      <c r="ALK17" s="338"/>
      <c r="ALL17" s="338"/>
      <c r="ALM17" s="338"/>
      <c r="ALN17" s="338"/>
      <c r="ALO17" s="338"/>
      <c r="ALP17" s="338"/>
      <c r="ALQ17" s="338"/>
      <c r="ALR17" s="338"/>
      <c r="ALS17" s="338"/>
      <c r="ALT17" s="338"/>
      <c r="ALU17" s="338"/>
      <c r="ALV17" s="338"/>
      <c r="ALW17" s="338"/>
      <c r="ALX17" s="338"/>
      <c r="ALY17" s="338"/>
      <c r="ALZ17" s="338"/>
      <c r="AMA17" s="338"/>
      <c r="AMB17" s="338"/>
      <c r="AMC17" s="338"/>
      <c r="AMD17" s="338"/>
      <c r="AME17" s="338"/>
      <c r="AMF17" s="338"/>
      <c r="AMG17" s="338"/>
      <c r="AMH17" s="338"/>
      <c r="AMI17" s="338"/>
      <c r="AMJ17" s="338"/>
      <c r="AMK17" s="338"/>
      <c r="AML17" s="338"/>
      <c r="AMM17" s="338"/>
      <c r="AMN17" s="338"/>
      <c r="AMO17" s="338"/>
      <c r="AMP17" s="338"/>
      <c r="AMQ17" s="338"/>
      <c r="AMR17" s="338"/>
      <c r="AMS17" s="338"/>
      <c r="AMT17" s="338"/>
      <c r="AMU17" s="338"/>
      <c r="AMV17" s="338"/>
      <c r="AMW17" s="338"/>
      <c r="AMX17" s="338"/>
      <c r="AMY17" s="338"/>
      <c r="AMZ17" s="338"/>
      <c r="ANA17" s="338"/>
      <c r="ANB17" s="338"/>
      <c r="ANC17" s="338"/>
      <c r="AND17" s="338"/>
      <c r="ANE17" s="338"/>
      <c r="ANF17" s="338"/>
      <c r="ANG17" s="338"/>
      <c r="ANH17" s="338"/>
      <c r="ANI17" s="338"/>
      <c r="ANJ17" s="338"/>
      <c r="ANK17" s="338"/>
      <c r="ANL17" s="338"/>
      <c r="ANM17" s="338"/>
      <c r="ANN17" s="338"/>
      <c r="ANO17" s="338"/>
      <c r="ANP17" s="338"/>
      <c r="ANQ17" s="338"/>
      <c r="ANR17" s="338"/>
      <c r="ANS17" s="338"/>
      <c r="ANT17" s="338"/>
      <c r="ANU17" s="338"/>
      <c r="ANV17" s="338"/>
      <c r="ANW17" s="338"/>
      <c r="ANX17" s="338"/>
      <c r="ANY17" s="338"/>
      <c r="ANZ17" s="338"/>
      <c r="AOA17" s="338"/>
      <c r="AOB17" s="338"/>
      <c r="AOC17" s="338"/>
      <c r="AOD17" s="338"/>
      <c r="AOE17" s="338"/>
      <c r="AOF17" s="338"/>
      <c r="AOG17" s="338"/>
      <c r="AOH17" s="338"/>
      <c r="AOI17" s="338"/>
      <c r="AOJ17" s="338"/>
      <c r="AOK17" s="338"/>
      <c r="AOL17" s="338"/>
      <c r="AOM17" s="338"/>
      <c r="AON17" s="338"/>
      <c r="AOO17" s="338"/>
      <c r="AOP17" s="338"/>
      <c r="AOQ17" s="338"/>
      <c r="AOR17" s="338"/>
      <c r="AOS17" s="338"/>
      <c r="AOT17" s="338"/>
      <c r="AOU17" s="338"/>
      <c r="AOV17" s="338"/>
      <c r="AOW17" s="338"/>
      <c r="AOX17" s="338"/>
      <c r="AOY17" s="338"/>
      <c r="AOZ17" s="338"/>
      <c r="APA17" s="338"/>
      <c r="APB17" s="338"/>
      <c r="APC17" s="338"/>
      <c r="APD17" s="338"/>
      <c r="APE17" s="338"/>
      <c r="APF17" s="338"/>
      <c r="APG17" s="338"/>
      <c r="APH17" s="338"/>
      <c r="API17" s="338"/>
      <c r="APJ17" s="338"/>
      <c r="APK17" s="338"/>
      <c r="APL17" s="338"/>
      <c r="APM17" s="338"/>
      <c r="APN17" s="338"/>
      <c r="APO17" s="338"/>
      <c r="APP17" s="338"/>
      <c r="APQ17" s="338"/>
      <c r="APR17" s="338"/>
      <c r="APS17" s="338"/>
      <c r="APT17" s="338"/>
      <c r="APU17" s="338"/>
      <c r="APV17" s="338"/>
      <c r="APW17" s="338"/>
      <c r="APX17" s="338"/>
      <c r="APY17" s="338"/>
      <c r="APZ17" s="338"/>
      <c r="AQA17" s="338"/>
      <c r="AQB17" s="338"/>
      <c r="AQC17" s="338"/>
      <c r="AQD17" s="338"/>
      <c r="AQE17" s="338"/>
      <c r="AQF17" s="338"/>
      <c r="AQG17" s="338"/>
      <c r="AQH17" s="338"/>
      <c r="AQI17" s="338"/>
      <c r="AQJ17" s="338"/>
      <c r="AQK17" s="338"/>
      <c r="AQL17" s="338"/>
      <c r="AQM17" s="338"/>
      <c r="AQN17" s="338"/>
      <c r="AQO17" s="338"/>
      <c r="AQP17" s="338"/>
      <c r="AQQ17" s="338"/>
      <c r="AQR17" s="338"/>
      <c r="AQS17" s="338"/>
      <c r="AQT17" s="338"/>
      <c r="AQU17" s="338"/>
      <c r="AQV17" s="338"/>
      <c r="AQW17" s="338"/>
      <c r="AQX17" s="338"/>
      <c r="AQY17" s="338"/>
      <c r="AQZ17" s="338"/>
      <c r="ARA17" s="338"/>
      <c r="ARB17" s="338"/>
      <c r="ARC17" s="338"/>
      <c r="ARD17" s="338"/>
      <c r="ARE17" s="338"/>
      <c r="ARF17" s="338"/>
      <c r="ARG17" s="338"/>
      <c r="ARH17" s="338"/>
      <c r="ARI17" s="338"/>
      <c r="ARJ17" s="338"/>
      <c r="ARK17" s="338"/>
      <c r="ARL17" s="338"/>
      <c r="ARM17" s="338"/>
      <c r="ARN17" s="338"/>
      <c r="ARO17" s="338"/>
      <c r="ARP17" s="338"/>
      <c r="ARQ17" s="338"/>
      <c r="ARR17" s="338"/>
      <c r="ARS17" s="338"/>
      <c r="ART17" s="338"/>
      <c r="ARU17" s="338"/>
      <c r="ARV17" s="338"/>
      <c r="ARW17" s="338"/>
      <c r="ARX17" s="338"/>
      <c r="ARY17" s="338"/>
      <c r="ARZ17" s="338"/>
      <c r="ASA17" s="338"/>
      <c r="ASB17" s="338"/>
      <c r="ASC17" s="338"/>
      <c r="ASD17" s="338"/>
      <c r="ASE17" s="338"/>
      <c r="ASF17" s="338"/>
      <c r="ASG17" s="338"/>
      <c r="ASH17" s="338"/>
      <c r="ASI17" s="338"/>
      <c r="ASJ17" s="338"/>
      <c r="ASK17" s="338"/>
      <c r="ASL17" s="338"/>
      <c r="ASM17" s="338"/>
      <c r="ASN17" s="338"/>
      <c r="ASO17" s="338"/>
      <c r="ASP17" s="338"/>
      <c r="ASQ17" s="338"/>
      <c r="ASR17" s="338"/>
      <c r="ASS17" s="338"/>
      <c r="AST17" s="338"/>
      <c r="ASU17" s="338"/>
      <c r="ASV17" s="338"/>
      <c r="ASW17" s="338"/>
      <c r="ASX17" s="338"/>
      <c r="ASY17" s="338"/>
      <c r="ASZ17" s="338"/>
      <c r="ATA17" s="338"/>
      <c r="ATB17" s="338"/>
      <c r="ATC17" s="338"/>
      <c r="ATD17" s="338"/>
      <c r="ATE17" s="338"/>
      <c r="ATF17" s="338"/>
      <c r="ATG17" s="338"/>
      <c r="ATH17" s="338"/>
      <c r="ATI17" s="338"/>
      <c r="ATJ17" s="338"/>
      <c r="ATK17" s="338"/>
      <c r="ATL17" s="338"/>
      <c r="ATM17" s="338"/>
      <c r="ATN17" s="338"/>
      <c r="ATO17" s="338"/>
      <c r="ATP17" s="338"/>
      <c r="ATQ17" s="338"/>
      <c r="ATR17" s="338"/>
      <c r="ATS17" s="338"/>
      <c r="ATT17" s="338"/>
      <c r="ATU17" s="338"/>
      <c r="ATV17" s="338"/>
      <c r="ATW17" s="338"/>
      <c r="ATX17" s="338"/>
      <c r="ATY17" s="338"/>
      <c r="ATZ17" s="338"/>
      <c r="AUA17" s="338"/>
      <c r="AUB17" s="338"/>
      <c r="AUC17" s="338"/>
      <c r="AUD17" s="338"/>
      <c r="AUE17" s="338"/>
      <c r="AUF17" s="338"/>
      <c r="AUG17" s="338"/>
      <c r="AUH17" s="338"/>
      <c r="AUI17" s="338"/>
      <c r="AUJ17" s="338"/>
      <c r="AUK17" s="338"/>
      <c r="AUL17" s="338"/>
      <c r="AUM17" s="338"/>
      <c r="AUN17" s="338"/>
      <c r="AUO17" s="338"/>
      <c r="AUP17" s="338"/>
      <c r="AUQ17" s="338"/>
      <c r="AUR17" s="338"/>
      <c r="AUS17" s="338"/>
      <c r="AUT17" s="338"/>
      <c r="AUU17" s="338"/>
      <c r="AUV17" s="338"/>
      <c r="AUW17" s="338"/>
      <c r="AUX17" s="338"/>
      <c r="AUY17" s="338"/>
      <c r="AUZ17" s="338"/>
      <c r="AVA17" s="338"/>
      <c r="AVB17" s="338"/>
      <c r="AVC17" s="338"/>
      <c r="AVD17" s="338"/>
      <c r="AVE17" s="338"/>
      <c r="AVF17" s="338"/>
      <c r="AVG17" s="338"/>
      <c r="AVH17" s="338"/>
      <c r="AVI17" s="338"/>
      <c r="AVJ17" s="338"/>
      <c r="AVK17" s="338"/>
      <c r="AVL17" s="338"/>
      <c r="AVM17" s="338"/>
      <c r="AVN17" s="338"/>
      <c r="AVO17" s="338"/>
      <c r="AVP17" s="338"/>
      <c r="AVQ17" s="338"/>
      <c r="AVR17" s="338"/>
      <c r="AVS17" s="338"/>
      <c r="AVT17" s="338"/>
      <c r="AVU17" s="338"/>
      <c r="AVV17" s="338"/>
      <c r="AVW17" s="338"/>
      <c r="AVX17" s="338"/>
      <c r="AVY17" s="338"/>
      <c r="AVZ17" s="338"/>
      <c r="AWA17" s="338"/>
      <c r="AWB17" s="338"/>
      <c r="AWC17" s="338"/>
      <c r="AWD17" s="338"/>
      <c r="AWE17" s="338"/>
      <c r="AWF17" s="338"/>
      <c r="AWG17" s="338"/>
      <c r="AWH17" s="338"/>
      <c r="AWI17" s="338"/>
      <c r="AWJ17" s="338"/>
      <c r="AWK17" s="338"/>
      <c r="AWL17" s="338"/>
      <c r="AWM17" s="338"/>
      <c r="AWN17" s="338"/>
      <c r="AWO17" s="338"/>
      <c r="AWP17" s="338"/>
      <c r="AWQ17" s="338"/>
      <c r="AWR17" s="338"/>
      <c r="AWS17" s="338"/>
      <c r="AWT17" s="338"/>
      <c r="AWU17" s="338"/>
      <c r="AWV17" s="338"/>
      <c r="AWW17" s="338"/>
      <c r="AWX17" s="338"/>
      <c r="AWY17" s="338"/>
      <c r="AWZ17" s="338"/>
      <c r="AXA17" s="338"/>
      <c r="AXB17" s="338"/>
      <c r="AXC17" s="338"/>
      <c r="AXD17" s="338"/>
      <c r="AXE17" s="338"/>
      <c r="AXF17" s="338"/>
      <c r="AXG17" s="338"/>
      <c r="AXH17" s="338"/>
      <c r="AXI17" s="338"/>
      <c r="AXJ17" s="338"/>
      <c r="AXK17" s="338"/>
      <c r="AXL17" s="338"/>
      <c r="AXM17" s="338"/>
      <c r="AXN17" s="338"/>
      <c r="AXO17" s="338"/>
      <c r="AXP17" s="338"/>
      <c r="AXQ17" s="338"/>
      <c r="AXR17" s="338"/>
      <c r="AXS17" s="338"/>
      <c r="AXT17" s="338"/>
      <c r="AXU17" s="338"/>
      <c r="AXV17" s="338"/>
      <c r="AXW17" s="338"/>
      <c r="AXX17" s="338"/>
      <c r="AXY17" s="338"/>
      <c r="AXZ17" s="338"/>
      <c r="AYA17" s="338"/>
      <c r="AYB17" s="338"/>
      <c r="AYC17" s="338"/>
      <c r="AYD17" s="338"/>
      <c r="AYE17" s="338"/>
      <c r="AYF17" s="338"/>
      <c r="AYG17" s="338"/>
      <c r="AYH17" s="338"/>
      <c r="AYI17" s="338"/>
      <c r="AYJ17" s="338"/>
      <c r="AYK17" s="338"/>
      <c r="AYL17" s="338"/>
      <c r="AYM17" s="338"/>
      <c r="AYN17" s="338"/>
      <c r="AYO17" s="338"/>
      <c r="AYP17" s="338"/>
      <c r="AYQ17" s="338"/>
      <c r="AYR17" s="338"/>
      <c r="AYS17" s="338"/>
      <c r="AYT17" s="338"/>
      <c r="AYU17" s="338"/>
      <c r="AYV17" s="338"/>
      <c r="AYW17" s="338"/>
      <c r="AYX17" s="338"/>
      <c r="AYY17" s="338"/>
      <c r="AYZ17" s="338"/>
      <c r="AZA17" s="338"/>
      <c r="AZB17" s="338"/>
      <c r="AZC17" s="338"/>
      <c r="AZD17" s="338"/>
      <c r="AZE17" s="338"/>
      <c r="AZF17" s="338"/>
      <c r="AZG17" s="338"/>
      <c r="AZH17" s="338"/>
      <c r="AZI17" s="338"/>
      <c r="AZJ17" s="338"/>
      <c r="AZK17" s="338"/>
      <c r="AZL17" s="338"/>
      <c r="AZM17" s="338"/>
      <c r="AZN17" s="338"/>
      <c r="AZO17" s="338"/>
      <c r="AZP17" s="338"/>
      <c r="AZQ17" s="338"/>
      <c r="AZR17" s="338"/>
      <c r="AZS17" s="338"/>
      <c r="AZT17" s="338"/>
      <c r="AZU17" s="338"/>
      <c r="AZV17" s="338"/>
      <c r="AZW17" s="338"/>
      <c r="AZX17" s="338"/>
      <c r="AZY17" s="338"/>
      <c r="AZZ17" s="338"/>
      <c r="BAA17" s="338"/>
      <c r="BAB17" s="338"/>
      <c r="BAC17" s="338"/>
      <c r="BAD17" s="338"/>
      <c r="BAE17" s="338"/>
      <c r="BAF17" s="338"/>
      <c r="BAG17" s="338"/>
      <c r="BAH17" s="338"/>
      <c r="BAI17" s="338"/>
      <c r="BAJ17" s="338"/>
      <c r="BAK17" s="338"/>
      <c r="BAL17" s="338"/>
      <c r="BAM17" s="338"/>
      <c r="BAN17" s="338"/>
      <c r="BAO17" s="338"/>
      <c r="BAP17" s="338"/>
      <c r="BAQ17" s="338"/>
      <c r="BAR17" s="338"/>
      <c r="BAS17" s="338"/>
      <c r="BAT17" s="338"/>
      <c r="BAU17" s="338"/>
      <c r="BAV17" s="338"/>
      <c r="BAW17" s="338"/>
      <c r="BAX17" s="338"/>
      <c r="BAY17" s="338"/>
      <c r="BAZ17" s="338"/>
      <c r="BBA17" s="338"/>
      <c r="BBB17" s="338"/>
      <c r="BBC17" s="338"/>
      <c r="BBD17" s="338"/>
      <c r="BBE17" s="338"/>
      <c r="BBF17" s="338"/>
      <c r="BBG17" s="338"/>
      <c r="BBH17" s="338"/>
      <c r="BBI17" s="338"/>
      <c r="BBJ17" s="338"/>
      <c r="BBK17" s="338"/>
      <c r="BBL17" s="338"/>
      <c r="BBM17" s="338"/>
      <c r="BBN17" s="338"/>
      <c r="BBO17" s="338"/>
      <c r="BBP17" s="338"/>
      <c r="BBQ17" s="338"/>
      <c r="BBR17" s="338"/>
      <c r="BBS17" s="338"/>
      <c r="BBT17" s="338"/>
      <c r="BBU17" s="338"/>
      <c r="BBV17" s="338"/>
      <c r="BBW17" s="338"/>
      <c r="BBX17" s="338"/>
      <c r="BBY17" s="338"/>
      <c r="BBZ17" s="338"/>
      <c r="BCA17" s="338"/>
      <c r="BCB17" s="338"/>
      <c r="BCC17" s="338"/>
      <c r="BCD17" s="338"/>
      <c r="BCE17" s="338"/>
      <c r="BCF17" s="338"/>
      <c r="BCG17" s="338"/>
      <c r="BCH17" s="338"/>
      <c r="BCI17" s="338"/>
      <c r="BCJ17" s="338"/>
      <c r="BCK17" s="338"/>
      <c r="BCL17" s="338"/>
      <c r="BCM17" s="338"/>
      <c r="BCN17" s="338"/>
      <c r="BCO17" s="338"/>
      <c r="BCP17" s="338"/>
      <c r="BCQ17" s="338"/>
      <c r="BCR17" s="338"/>
      <c r="BCS17" s="338"/>
      <c r="BCT17" s="338"/>
      <c r="BCU17" s="338"/>
      <c r="BCV17" s="338"/>
      <c r="BCW17" s="338"/>
      <c r="BCX17" s="338"/>
      <c r="BCY17" s="338"/>
      <c r="BCZ17" s="338"/>
      <c r="BDA17" s="338"/>
      <c r="BDB17" s="338"/>
      <c r="BDC17" s="338"/>
      <c r="BDD17" s="338"/>
      <c r="BDE17" s="338"/>
      <c r="BDF17" s="338"/>
      <c r="BDG17" s="338"/>
      <c r="BDH17" s="338"/>
      <c r="BDI17" s="338"/>
      <c r="BDJ17" s="338"/>
      <c r="BDK17" s="338"/>
      <c r="BDL17" s="338"/>
      <c r="BDM17" s="338"/>
      <c r="BDN17" s="338"/>
      <c r="BDO17" s="338"/>
      <c r="BDP17" s="338"/>
      <c r="BDQ17" s="338"/>
      <c r="BDR17" s="338"/>
      <c r="BDS17" s="338"/>
      <c r="BDT17" s="338"/>
      <c r="BDU17" s="338"/>
      <c r="BDV17" s="338"/>
      <c r="BDW17" s="338"/>
      <c r="BDX17" s="338"/>
      <c r="BDY17" s="338"/>
      <c r="BDZ17" s="338"/>
      <c r="BEA17" s="338"/>
      <c r="BEB17" s="338"/>
      <c r="BEC17" s="338"/>
      <c r="BED17" s="338"/>
      <c r="BEE17" s="338"/>
      <c r="BEF17" s="338"/>
      <c r="BEG17" s="338"/>
      <c r="BEH17" s="338"/>
      <c r="BEI17" s="338"/>
      <c r="BEJ17" s="338"/>
      <c r="BEK17" s="338"/>
      <c r="BEL17" s="338"/>
      <c r="BEM17" s="338"/>
      <c r="BEN17" s="338"/>
      <c r="BEO17" s="338"/>
      <c r="BEP17" s="338"/>
      <c r="BEQ17" s="338"/>
      <c r="BER17" s="338"/>
      <c r="BES17" s="338"/>
      <c r="BET17" s="338"/>
      <c r="BEU17" s="338"/>
      <c r="BEV17" s="338"/>
      <c r="BEW17" s="338"/>
      <c r="BEX17" s="338"/>
      <c r="BEY17" s="338"/>
      <c r="BEZ17" s="338"/>
      <c r="BFA17" s="338"/>
      <c r="BFB17" s="338"/>
      <c r="BFC17" s="338"/>
      <c r="BFD17" s="338"/>
      <c r="BFE17" s="338"/>
      <c r="BFF17" s="338"/>
      <c r="BFG17" s="338"/>
      <c r="BFH17" s="338"/>
      <c r="BFI17" s="338"/>
      <c r="BFJ17" s="338"/>
      <c r="BFK17" s="338"/>
      <c r="BFL17" s="338"/>
      <c r="BFM17" s="338"/>
      <c r="BFN17" s="338"/>
      <c r="BFO17" s="338"/>
      <c r="BFP17" s="338"/>
      <c r="BFQ17" s="338"/>
      <c r="BFR17" s="338"/>
      <c r="BFS17" s="338"/>
      <c r="BFT17" s="338"/>
      <c r="BFU17" s="338"/>
      <c r="BFV17" s="338"/>
      <c r="BFW17" s="338"/>
      <c r="BFX17" s="338"/>
      <c r="BFY17" s="338"/>
      <c r="BFZ17" s="338"/>
      <c r="BGA17" s="338"/>
      <c r="BGB17" s="338"/>
      <c r="BGC17" s="338"/>
      <c r="BGD17" s="338"/>
      <c r="BGE17" s="338"/>
      <c r="BGF17" s="338"/>
      <c r="BGG17" s="338"/>
      <c r="BGH17" s="338"/>
      <c r="BGI17" s="338"/>
      <c r="BGJ17" s="338"/>
      <c r="BGK17" s="338"/>
      <c r="BGL17" s="338"/>
      <c r="BGM17" s="338"/>
      <c r="BGN17" s="338"/>
      <c r="BGO17" s="338"/>
      <c r="BGP17" s="338"/>
      <c r="BGQ17" s="338"/>
      <c r="BGR17" s="338"/>
      <c r="BGS17" s="338"/>
      <c r="BGT17" s="338"/>
      <c r="BGU17" s="338"/>
      <c r="BGV17" s="338"/>
      <c r="BGW17" s="338"/>
      <c r="BGX17" s="338"/>
      <c r="BGY17" s="338"/>
      <c r="BGZ17" s="338"/>
      <c r="BHA17" s="338"/>
      <c r="BHB17" s="338"/>
      <c r="BHC17" s="338"/>
      <c r="BHD17" s="338"/>
      <c r="BHE17" s="338"/>
      <c r="BHF17" s="338"/>
      <c r="BHG17" s="338"/>
      <c r="BHH17" s="338"/>
      <c r="BHI17" s="338"/>
      <c r="BHJ17" s="338"/>
      <c r="BHK17" s="338"/>
      <c r="BHL17" s="338"/>
      <c r="BHM17" s="338"/>
      <c r="BHN17" s="338"/>
      <c r="BHO17" s="338"/>
      <c r="BHP17" s="338"/>
      <c r="BHQ17" s="338"/>
      <c r="BHR17" s="338"/>
      <c r="BHS17" s="338"/>
      <c r="BHT17" s="338"/>
      <c r="BHU17" s="338"/>
      <c r="BHV17" s="338"/>
      <c r="BHW17" s="338"/>
      <c r="BHX17" s="338"/>
      <c r="BHY17" s="338"/>
      <c r="BHZ17" s="338"/>
      <c r="BIA17" s="338"/>
      <c r="BIB17" s="338"/>
      <c r="BIC17" s="338"/>
      <c r="BID17" s="338"/>
      <c r="BIE17" s="338"/>
      <c r="BIF17" s="338"/>
      <c r="BIG17" s="338"/>
      <c r="BIH17" s="338"/>
      <c r="BII17" s="338"/>
      <c r="BIJ17" s="338"/>
      <c r="BIK17" s="338"/>
      <c r="BIL17" s="338"/>
      <c r="BIM17" s="338"/>
      <c r="BIN17" s="338"/>
      <c r="BIO17" s="338"/>
      <c r="BIP17" s="338"/>
      <c r="BIQ17" s="338"/>
      <c r="BIR17" s="338"/>
      <c r="BIS17" s="338"/>
      <c r="BIT17" s="338"/>
      <c r="BIU17" s="338"/>
      <c r="BIV17" s="338"/>
      <c r="BIW17" s="338"/>
      <c r="BIX17" s="338"/>
      <c r="BIY17" s="338"/>
      <c r="BIZ17" s="338"/>
      <c r="BJA17" s="338"/>
      <c r="BJB17" s="338"/>
      <c r="BJC17" s="338"/>
      <c r="BJD17" s="338"/>
      <c r="BJE17" s="338"/>
      <c r="BJF17" s="338"/>
      <c r="BJG17" s="338"/>
      <c r="BJH17" s="338"/>
      <c r="BJI17" s="338"/>
      <c r="BJJ17" s="338"/>
      <c r="BJK17" s="338"/>
      <c r="BJL17" s="338"/>
      <c r="BJM17" s="338"/>
      <c r="BJN17" s="338"/>
      <c r="BJO17" s="338"/>
      <c r="BJP17" s="338"/>
      <c r="BJQ17" s="338"/>
      <c r="BJR17" s="338"/>
      <c r="BJS17" s="338"/>
      <c r="BJT17" s="338"/>
      <c r="BJU17" s="338"/>
      <c r="BJV17" s="338"/>
      <c r="BJW17" s="338"/>
      <c r="BJX17" s="338"/>
      <c r="BJY17" s="338"/>
      <c r="BJZ17" s="338"/>
      <c r="BKA17" s="338"/>
      <c r="BKB17" s="338"/>
      <c r="BKC17" s="338"/>
      <c r="BKD17" s="338"/>
      <c r="BKE17" s="338"/>
      <c r="BKF17" s="338"/>
      <c r="BKG17" s="338"/>
      <c r="BKH17" s="338"/>
      <c r="BKI17" s="338"/>
      <c r="BKJ17" s="338"/>
      <c r="BKK17" s="338"/>
      <c r="BKL17" s="338"/>
      <c r="BKM17" s="338"/>
      <c r="BKN17" s="338"/>
      <c r="BKO17" s="338"/>
      <c r="BKP17" s="338"/>
      <c r="BKQ17" s="338"/>
      <c r="BKR17" s="338"/>
      <c r="BKS17" s="338"/>
      <c r="BKT17" s="338"/>
      <c r="BKU17" s="338"/>
      <c r="BKV17" s="338"/>
      <c r="BKW17" s="338"/>
      <c r="BKX17" s="338"/>
      <c r="BKY17" s="338"/>
      <c r="BKZ17" s="338"/>
      <c r="BLA17" s="338"/>
      <c r="BLB17" s="338"/>
      <c r="BLC17" s="338"/>
      <c r="BLD17" s="338"/>
      <c r="BLE17" s="338"/>
      <c r="BLF17" s="338"/>
      <c r="BLG17" s="338"/>
      <c r="BLH17" s="338"/>
      <c r="BLI17" s="338"/>
      <c r="BLJ17" s="338"/>
      <c r="BLK17" s="338"/>
      <c r="BLL17" s="338"/>
      <c r="BLM17" s="338"/>
      <c r="BLN17" s="338"/>
      <c r="BLO17" s="338"/>
      <c r="BLP17" s="338"/>
      <c r="BLQ17" s="338"/>
      <c r="BLR17" s="338"/>
      <c r="BLS17" s="338"/>
      <c r="BLT17" s="338"/>
      <c r="BLU17" s="338"/>
      <c r="BLV17" s="338"/>
      <c r="BLW17" s="338"/>
      <c r="BLX17" s="338"/>
      <c r="BLY17" s="338"/>
      <c r="BLZ17" s="338"/>
      <c r="BMA17" s="338"/>
      <c r="BMB17" s="338"/>
      <c r="BMC17" s="338"/>
      <c r="BMD17" s="338"/>
      <c r="BME17" s="338"/>
      <c r="BMF17" s="338"/>
      <c r="BMG17" s="338"/>
      <c r="BMH17" s="338"/>
      <c r="BMI17" s="338"/>
      <c r="BMJ17" s="338"/>
      <c r="BMK17" s="338"/>
      <c r="BML17" s="338"/>
      <c r="BMM17" s="338"/>
      <c r="BMN17" s="338"/>
      <c r="BMO17" s="338"/>
      <c r="BMP17" s="338"/>
      <c r="BMQ17" s="338"/>
      <c r="BMR17" s="338"/>
      <c r="BMS17" s="338"/>
      <c r="BMT17" s="338"/>
      <c r="BMU17" s="338"/>
      <c r="BMV17" s="338"/>
      <c r="BMW17" s="338"/>
      <c r="BMX17" s="338"/>
      <c r="BMY17" s="338"/>
      <c r="BMZ17" s="338"/>
      <c r="BNA17" s="338"/>
      <c r="BNB17" s="338"/>
      <c r="BNC17" s="338"/>
      <c r="BND17" s="338"/>
      <c r="BNE17" s="338"/>
      <c r="BNF17" s="338"/>
      <c r="BNG17" s="338"/>
      <c r="BNH17" s="338"/>
      <c r="BNI17" s="338"/>
      <c r="BNJ17" s="338"/>
      <c r="BNK17" s="338"/>
      <c r="BNL17" s="338"/>
      <c r="BNM17" s="338"/>
      <c r="BNN17" s="338"/>
      <c r="BNO17" s="338"/>
      <c r="BNP17" s="338"/>
      <c r="BNQ17" s="338"/>
      <c r="BNR17" s="338"/>
      <c r="BNS17" s="338"/>
      <c r="BNT17" s="338"/>
      <c r="BNU17" s="338"/>
      <c r="BNV17" s="338"/>
      <c r="BNW17" s="338"/>
      <c r="BNX17" s="338"/>
      <c r="BNY17" s="338"/>
      <c r="BNZ17" s="338"/>
      <c r="BOA17" s="338"/>
      <c r="BOB17" s="338"/>
      <c r="BOC17" s="338"/>
      <c r="BOD17" s="338"/>
      <c r="BOE17" s="338"/>
      <c r="BOF17" s="338"/>
      <c r="BOG17" s="338"/>
      <c r="BOH17" s="338"/>
      <c r="BOI17" s="338"/>
      <c r="BOJ17" s="338"/>
      <c r="BOK17" s="338"/>
      <c r="BOL17" s="338"/>
      <c r="BOM17" s="338"/>
      <c r="BON17" s="338"/>
      <c r="BOO17" s="338"/>
      <c r="BOP17" s="338"/>
      <c r="BOQ17" s="338"/>
      <c r="BOR17" s="338"/>
      <c r="BOS17" s="338"/>
      <c r="BOT17" s="338"/>
      <c r="BOU17" s="338"/>
      <c r="BOV17" s="338"/>
      <c r="BOW17" s="338"/>
      <c r="BOX17" s="338"/>
      <c r="BOY17" s="338"/>
      <c r="BOZ17" s="338"/>
      <c r="BPA17" s="338"/>
      <c r="BPB17" s="338"/>
      <c r="BPC17" s="338"/>
      <c r="BPD17" s="338"/>
      <c r="BPE17" s="338"/>
      <c r="BPF17" s="338"/>
      <c r="BPG17" s="338"/>
      <c r="BPH17" s="338"/>
      <c r="BPI17" s="338"/>
      <c r="BPJ17" s="338"/>
      <c r="BPK17" s="338"/>
      <c r="BPL17" s="338"/>
      <c r="BPM17" s="338"/>
      <c r="BPN17" s="338"/>
      <c r="BPO17" s="338"/>
      <c r="BPP17" s="338"/>
      <c r="BPQ17" s="338"/>
      <c r="BPR17" s="338"/>
      <c r="BPS17" s="338"/>
      <c r="BPT17" s="338"/>
      <c r="BPU17" s="338"/>
      <c r="BPV17" s="338"/>
      <c r="BPW17" s="338"/>
      <c r="BPX17" s="338"/>
      <c r="BPY17" s="338"/>
      <c r="BPZ17" s="338"/>
      <c r="BQA17" s="338"/>
      <c r="BQB17" s="338"/>
      <c r="BQC17" s="338"/>
      <c r="BQD17" s="338"/>
      <c r="BQE17" s="338"/>
      <c r="BQF17" s="338"/>
      <c r="BQG17" s="338"/>
      <c r="BQH17" s="338"/>
      <c r="BQI17" s="338"/>
      <c r="BQJ17" s="338"/>
      <c r="BQK17" s="338"/>
      <c r="BQL17" s="338"/>
      <c r="BQM17" s="338"/>
      <c r="BQN17" s="338"/>
      <c r="BQO17" s="338"/>
      <c r="BQP17" s="338"/>
      <c r="BQQ17" s="338"/>
      <c r="BQR17" s="338"/>
      <c r="BQS17" s="338"/>
      <c r="BQT17" s="338"/>
      <c r="BQU17" s="338"/>
      <c r="BQV17" s="338"/>
      <c r="BQW17" s="338"/>
      <c r="BQX17" s="338"/>
      <c r="BQY17" s="338"/>
      <c r="BQZ17" s="338"/>
      <c r="BRA17" s="338"/>
      <c r="BRB17" s="338"/>
      <c r="BRC17" s="338"/>
      <c r="BRD17" s="338"/>
      <c r="BRE17" s="338"/>
      <c r="BRF17" s="338"/>
      <c r="BRG17" s="338"/>
      <c r="BRH17" s="338"/>
      <c r="BRI17" s="338"/>
      <c r="BRJ17" s="338"/>
      <c r="BRK17" s="338"/>
      <c r="BRL17" s="338"/>
      <c r="BRM17" s="338"/>
      <c r="BRN17" s="338"/>
      <c r="BRO17" s="338"/>
      <c r="BRP17" s="338"/>
      <c r="BRQ17" s="338"/>
      <c r="BRR17" s="338"/>
      <c r="BRS17" s="338"/>
      <c r="BRT17" s="338"/>
      <c r="BRU17" s="338"/>
      <c r="BRV17" s="338"/>
      <c r="BRW17" s="338"/>
      <c r="BRX17" s="338"/>
      <c r="BRY17" s="338"/>
      <c r="BRZ17" s="338"/>
      <c r="BSA17" s="338"/>
      <c r="BSB17" s="338"/>
      <c r="BSC17" s="338"/>
      <c r="BSD17" s="338"/>
      <c r="BSE17" s="338"/>
      <c r="BSF17" s="338"/>
      <c r="BSG17" s="338"/>
      <c r="BSH17" s="338"/>
      <c r="BSI17" s="338"/>
      <c r="BSJ17" s="338"/>
      <c r="BSK17" s="338"/>
      <c r="BSL17" s="338"/>
      <c r="BSM17" s="338"/>
      <c r="BSN17" s="338"/>
      <c r="BSO17" s="338"/>
      <c r="BSP17" s="338"/>
      <c r="BSQ17" s="338"/>
      <c r="BSR17" s="338"/>
      <c r="BSS17" s="338"/>
      <c r="BST17" s="338"/>
      <c r="BSU17" s="338"/>
      <c r="BSV17" s="338"/>
      <c r="BSW17" s="338"/>
      <c r="BSX17" s="338"/>
      <c r="BSY17" s="338"/>
      <c r="BSZ17" s="338"/>
      <c r="BTA17" s="338"/>
      <c r="BTB17" s="338"/>
      <c r="BTC17" s="338"/>
      <c r="BTD17" s="338"/>
      <c r="BTE17" s="338"/>
      <c r="BTF17" s="338"/>
      <c r="BTG17" s="338"/>
      <c r="BTH17" s="338"/>
      <c r="BTI17" s="338"/>
      <c r="BTJ17" s="338"/>
      <c r="BTK17" s="338"/>
      <c r="BTL17" s="338"/>
      <c r="BTM17" s="338"/>
      <c r="BTN17" s="338"/>
      <c r="BTO17" s="338"/>
      <c r="BTP17" s="338"/>
      <c r="BTQ17" s="338"/>
      <c r="BTR17" s="338"/>
      <c r="BTS17" s="338"/>
      <c r="BTT17" s="338"/>
      <c r="BTU17" s="338"/>
      <c r="BTV17" s="338"/>
      <c r="BTW17" s="338"/>
      <c r="BTX17" s="338"/>
      <c r="BTY17" s="338"/>
      <c r="BTZ17" s="338"/>
      <c r="BUA17" s="338"/>
      <c r="BUB17" s="338"/>
      <c r="BUC17" s="338"/>
      <c r="BUD17" s="338"/>
      <c r="BUE17" s="338"/>
      <c r="BUF17" s="338"/>
      <c r="BUG17" s="338"/>
      <c r="BUH17" s="338"/>
      <c r="BUI17" s="338"/>
      <c r="BUJ17" s="338"/>
      <c r="BUK17" s="338"/>
      <c r="BUL17" s="338"/>
      <c r="BUM17" s="338"/>
      <c r="BUN17" s="338"/>
      <c r="BUO17" s="338"/>
      <c r="BUP17" s="338"/>
      <c r="BUQ17" s="338"/>
      <c r="BUR17" s="338"/>
      <c r="BUS17" s="338"/>
      <c r="BUT17" s="338"/>
      <c r="BUU17" s="338"/>
      <c r="BUV17" s="338"/>
      <c r="BUW17" s="338"/>
      <c r="BUX17" s="338"/>
      <c r="BUY17" s="338"/>
      <c r="BUZ17" s="338"/>
      <c r="BVA17" s="338"/>
      <c r="BVB17" s="338"/>
      <c r="BVC17" s="338"/>
      <c r="BVD17" s="338"/>
      <c r="BVE17" s="338"/>
      <c r="BVF17" s="338"/>
      <c r="BVG17" s="338"/>
      <c r="BVH17" s="338"/>
      <c r="BVI17" s="338"/>
      <c r="BVJ17" s="338"/>
      <c r="BVK17" s="338"/>
      <c r="BVL17" s="338"/>
      <c r="BVM17" s="338"/>
      <c r="BVN17" s="338"/>
      <c r="BVO17" s="338"/>
      <c r="BVP17" s="338"/>
      <c r="BVQ17" s="338"/>
      <c r="BVR17" s="338"/>
      <c r="BVS17" s="338"/>
      <c r="BVT17" s="338"/>
      <c r="BVU17" s="338"/>
      <c r="BVV17" s="338"/>
      <c r="BVW17" s="338"/>
      <c r="BVX17" s="338"/>
      <c r="BVY17" s="338"/>
      <c r="BVZ17" s="338"/>
      <c r="BWA17" s="338"/>
      <c r="BWB17" s="338"/>
      <c r="BWC17" s="338"/>
      <c r="BWD17" s="338"/>
      <c r="BWE17" s="338"/>
      <c r="BWF17" s="338"/>
      <c r="BWG17" s="338"/>
      <c r="BWH17" s="338"/>
      <c r="BWI17" s="338"/>
      <c r="BWJ17" s="338"/>
      <c r="BWK17" s="338"/>
      <c r="BWL17" s="338"/>
      <c r="BWM17" s="338"/>
      <c r="BWN17" s="338"/>
      <c r="BWO17" s="338"/>
      <c r="BWP17" s="338"/>
      <c r="BWQ17" s="338"/>
      <c r="BWR17" s="338"/>
      <c r="BWS17" s="338"/>
      <c r="BWT17" s="338"/>
      <c r="BWU17" s="338"/>
      <c r="BWV17" s="338"/>
      <c r="BWW17" s="338"/>
      <c r="BWX17" s="338"/>
      <c r="BWY17" s="338"/>
      <c r="BWZ17" s="338"/>
      <c r="BXA17" s="338"/>
      <c r="BXB17" s="338"/>
      <c r="BXC17" s="338"/>
      <c r="BXD17" s="338"/>
      <c r="BXE17" s="338"/>
      <c r="BXF17" s="338"/>
      <c r="BXG17" s="338"/>
      <c r="BXH17" s="338"/>
      <c r="BXI17" s="338"/>
      <c r="BXJ17" s="338"/>
      <c r="BXK17" s="338"/>
      <c r="BXL17" s="338"/>
      <c r="BXM17" s="338"/>
      <c r="BXN17" s="338"/>
      <c r="BXO17" s="338"/>
      <c r="BXP17" s="338"/>
      <c r="BXQ17" s="338"/>
      <c r="BXR17" s="338"/>
      <c r="BXS17" s="338"/>
      <c r="BXT17" s="338"/>
      <c r="BXU17" s="338"/>
      <c r="BXV17" s="338"/>
      <c r="BXW17" s="338"/>
      <c r="BXX17" s="338"/>
      <c r="BXY17" s="338"/>
      <c r="BXZ17" s="338"/>
      <c r="BYA17" s="338"/>
      <c r="BYB17" s="338"/>
      <c r="BYC17" s="338"/>
      <c r="BYD17" s="338"/>
      <c r="BYE17" s="338"/>
      <c r="BYF17" s="338"/>
      <c r="BYG17" s="338"/>
      <c r="BYH17" s="338"/>
      <c r="BYI17" s="338"/>
      <c r="BYJ17" s="338"/>
      <c r="BYK17" s="338"/>
      <c r="BYL17" s="338"/>
      <c r="BYM17" s="338"/>
      <c r="BYN17" s="338"/>
      <c r="BYO17" s="338"/>
      <c r="BYP17" s="338"/>
      <c r="BYQ17" s="338"/>
      <c r="BYR17" s="338"/>
      <c r="BYS17" s="338"/>
      <c r="BYT17" s="338"/>
      <c r="BYU17" s="338"/>
      <c r="BYV17" s="338"/>
      <c r="BYW17" s="338"/>
      <c r="BYX17" s="338"/>
      <c r="BYY17" s="338"/>
      <c r="BYZ17" s="338"/>
      <c r="BZA17" s="338"/>
      <c r="BZB17" s="338"/>
      <c r="BZC17" s="338"/>
      <c r="BZD17" s="338"/>
      <c r="BZE17" s="338"/>
      <c r="BZF17" s="338"/>
      <c r="BZG17" s="338"/>
      <c r="BZH17" s="338"/>
      <c r="BZI17" s="338"/>
      <c r="BZJ17" s="338"/>
      <c r="BZK17" s="338"/>
      <c r="BZL17" s="338"/>
      <c r="BZM17" s="338"/>
      <c r="BZN17" s="338"/>
      <c r="BZO17" s="338"/>
      <c r="BZP17" s="338"/>
      <c r="BZQ17" s="338"/>
      <c r="BZR17" s="338"/>
      <c r="BZS17" s="338"/>
      <c r="BZT17" s="338"/>
      <c r="BZU17" s="338"/>
      <c r="BZV17" s="338"/>
      <c r="BZW17" s="338"/>
      <c r="BZX17" s="338"/>
      <c r="BZY17" s="338"/>
      <c r="BZZ17" s="338"/>
      <c r="CAA17" s="338"/>
      <c r="CAB17" s="338"/>
      <c r="CAC17" s="338"/>
      <c r="CAD17" s="338"/>
      <c r="CAE17" s="338"/>
      <c r="CAF17" s="338"/>
      <c r="CAG17" s="338"/>
      <c r="CAH17" s="338"/>
      <c r="CAI17" s="338"/>
      <c r="CAJ17" s="338"/>
      <c r="CAK17" s="338"/>
      <c r="CAL17" s="338"/>
      <c r="CAM17" s="338"/>
      <c r="CAN17" s="338"/>
      <c r="CAO17" s="338"/>
      <c r="CAP17" s="338"/>
      <c r="CAQ17" s="338"/>
      <c r="CAR17" s="338"/>
      <c r="CAS17" s="338"/>
      <c r="CAT17" s="338"/>
      <c r="CAU17" s="338"/>
      <c r="CAV17" s="338"/>
      <c r="CAW17" s="338"/>
      <c r="CAX17" s="338"/>
      <c r="CAY17" s="338"/>
      <c r="CAZ17" s="338"/>
      <c r="CBA17" s="338"/>
      <c r="CBB17" s="338"/>
      <c r="CBC17" s="338"/>
      <c r="CBD17" s="338"/>
      <c r="CBE17" s="338"/>
      <c r="CBF17" s="338"/>
      <c r="CBG17" s="338"/>
      <c r="CBH17" s="338"/>
      <c r="CBI17" s="338"/>
      <c r="CBJ17" s="338"/>
      <c r="CBK17" s="338"/>
      <c r="CBL17" s="338"/>
      <c r="CBM17" s="338"/>
      <c r="CBN17" s="338"/>
      <c r="CBO17" s="338"/>
      <c r="CBP17" s="338"/>
      <c r="CBQ17" s="338"/>
      <c r="CBR17" s="338"/>
      <c r="CBS17" s="338"/>
      <c r="CBT17" s="338"/>
      <c r="CBU17" s="338"/>
      <c r="CBV17" s="338"/>
      <c r="CBW17" s="338"/>
      <c r="CBX17" s="338"/>
      <c r="CBY17" s="338"/>
      <c r="CBZ17" s="338"/>
      <c r="CCA17" s="338"/>
      <c r="CCB17" s="338"/>
      <c r="CCC17" s="338"/>
      <c r="CCD17" s="338"/>
      <c r="CCE17" s="338"/>
      <c r="CCF17" s="338"/>
      <c r="CCG17" s="338"/>
      <c r="CCH17" s="338"/>
      <c r="CCI17" s="338"/>
      <c r="CCJ17" s="338"/>
      <c r="CCK17" s="338"/>
      <c r="CCL17" s="338"/>
      <c r="CCM17" s="338"/>
      <c r="CCN17" s="338"/>
      <c r="CCO17" s="338"/>
      <c r="CCP17" s="338"/>
      <c r="CCQ17" s="338"/>
      <c r="CCR17" s="338"/>
      <c r="CCS17" s="338"/>
      <c r="CCT17" s="338"/>
      <c r="CCU17" s="338"/>
      <c r="CCV17" s="338"/>
      <c r="CCW17" s="338"/>
      <c r="CCX17" s="338"/>
      <c r="CCY17" s="338"/>
      <c r="CCZ17" s="338"/>
      <c r="CDA17" s="338"/>
      <c r="CDB17" s="338"/>
      <c r="CDC17" s="338"/>
      <c r="CDD17" s="338"/>
      <c r="CDE17" s="338"/>
      <c r="CDF17" s="338"/>
      <c r="CDG17" s="338"/>
      <c r="CDH17" s="338"/>
      <c r="CDI17" s="338"/>
      <c r="CDJ17" s="338"/>
      <c r="CDK17" s="338"/>
      <c r="CDL17" s="338"/>
      <c r="CDM17" s="338"/>
      <c r="CDN17" s="338"/>
      <c r="CDO17" s="338"/>
      <c r="CDP17" s="338"/>
      <c r="CDQ17" s="338"/>
      <c r="CDR17" s="338"/>
      <c r="CDS17" s="338"/>
      <c r="CDT17" s="338"/>
      <c r="CDU17" s="338"/>
      <c r="CDV17" s="338"/>
      <c r="CDW17" s="338"/>
      <c r="CDX17" s="338"/>
      <c r="CDY17" s="338"/>
      <c r="CDZ17" s="338"/>
      <c r="CEA17" s="338"/>
      <c r="CEB17" s="338"/>
      <c r="CEC17" s="338"/>
      <c r="CED17" s="338"/>
      <c r="CEE17" s="338"/>
      <c r="CEF17" s="338"/>
      <c r="CEG17" s="338"/>
      <c r="CEH17" s="338"/>
      <c r="CEI17" s="338"/>
      <c r="CEJ17" s="338"/>
      <c r="CEK17" s="338"/>
      <c r="CEL17" s="338"/>
      <c r="CEM17" s="338"/>
      <c r="CEN17" s="338"/>
      <c r="CEO17" s="338"/>
      <c r="CEP17" s="338"/>
      <c r="CEQ17" s="338"/>
      <c r="CER17" s="338"/>
      <c r="CES17" s="338"/>
      <c r="CET17" s="338"/>
      <c r="CEU17" s="338"/>
      <c r="CEV17" s="338"/>
      <c r="CEW17" s="338"/>
      <c r="CEX17" s="338"/>
      <c r="CEY17" s="338"/>
      <c r="CEZ17" s="338"/>
      <c r="CFA17" s="338"/>
      <c r="CFB17" s="338"/>
      <c r="CFC17" s="338"/>
      <c r="CFD17" s="338"/>
      <c r="CFE17" s="338"/>
      <c r="CFF17" s="338"/>
      <c r="CFG17" s="338"/>
      <c r="CFH17" s="338"/>
      <c r="CFI17" s="338"/>
      <c r="CFJ17" s="338"/>
      <c r="CFK17" s="338"/>
      <c r="CFL17" s="338"/>
      <c r="CFM17" s="338"/>
      <c r="CFN17" s="338"/>
      <c r="CFO17" s="338"/>
      <c r="CFP17" s="338"/>
      <c r="CFQ17" s="338"/>
      <c r="CFR17" s="338"/>
      <c r="CFS17" s="338"/>
      <c r="CFT17" s="338"/>
      <c r="CFU17" s="338"/>
      <c r="CFV17" s="338"/>
      <c r="CFW17" s="338"/>
      <c r="CFX17" s="338"/>
      <c r="CFY17" s="338"/>
      <c r="CFZ17" s="338"/>
      <c r="CGA17" s="338"/>
      <c r="CGB17" s="338"/>
      <c r="CGC17" s="338"/>
      <c r="CGD17" s="338"/>
      <c r="CGE17" s="338"/>
      <c r="CGF17" s="338"/>
      <c r="CGG17" s="338"/>
      <c r="CGH17" s="338"/>
      <c r="CGI17" s="338"/>
      <c r="CGJ17" s="338"/>
      <c r="CGK17" s="338"/>
      <c r="CGL17" s="338"/>
      <c r="CGM17" s="338"/>
      <c r="CGN17" s="338"/>
      <c r="CGO17" s="338"/>
      <c r="CGP17" s="338"/>
      <c r="CGQ17" s="338"/>
      <c r="CGR17" s="338"/>
      <c r="CGS17" s="338"/>
      <c r="CGT17" s="338"/>
      <c r="CGU17" s="338"/>
      <c r="CGV17" s="338"/>
      <c r="CGW17" s="338"/>
      <c r="CGX17" s="338"/>
      <c r="CGY17" s="338"/>
      <c r="CGZ17" s="338"/>
      <c r="CHA17" s="338"/>
      <c r="CHB17" s="338"/>
      <c r="CHC17" s="338"/>
      <c r="CHD17" s="338"/>
      <c r="CHE17" s="338"/>
      <c r="CHF17" s="338"/>
      <c r="CHG17" s="338"/>
      <c r="CHH17" s="338"/>
      <c r="CHI17" s="338"/>
      <c r="CHJ17" s="338"/>
      <c r="CHK17" s="338"/>
      <c r="CHL17" s="338"/>
      <c r="CHM17" s="338"/>
      <c r="CHN17" s="338"/>
      <c r="CHO17" s="338"/>
      <c r="CHP17" s="338"/>
      <c r="CHQ17" s="338"/>
      <c r="CHR17" s="338"/>
      <c r="CHS17" s="338"/>
      <c r="CHT17" s="338"/>
      <c r="CHU17" s="338"/>
      <c r="CHV17" s="338"/>
      <c r="CHW17" s="338"/>
      <c r="CHX17" s="338"/>
      <c r="CHY17" s="338"/>
      <c r="CHZ17" s="338"/>
      <c r="CIA17" s="338"/>
      <c r="CIB17" s="338"/>
      <c r="CIC17" s="338"/>
      <c r="CID17" s="338"/>
      <c r="CIE17" s="338"/>
      <c r="CIF17" s="338"/>
      <c r="CIG17" s="338"/>
      <c r="CIH17" s="338"/>
      <c r="CII17" s="338"/>
      <c r="CIJ17" s="338"/>
      <c r="CIK17" s="338"/>
      <c r="CIL17" s="338"/>
      <c r="CIM17" s="338"/>
      <c r="CIN17" s="338"/>
      <c r="CIO17" s="338"/>
      <c r="CIP17" s="338"/>
      <c r="CIQ17" s="338"/>
      <c r="CIR17" s="338"/>
      <c r="CIS17" s="338"/>
      <c r="CIT17" s="338"/>
      <c r="CIU17" s="338"/>
      <c r="CIV17" s="338"/>
      <c r="CIW17" s="338"/>
      <c r="CIX17" s="338"/>
      <c r="CIY17" s="338"/>
      <c r="CIZ17" s="338"/>
      <c r="CJA17" s="338"/>
      <c r="CJB17" s="338"/>
      <c r="CJC17" s="338"/>
      <c r="CJD17" s="338"/>
      <c r="CJE17" s="338"/>
      <c r="CJF17" s="338"/>
      <c r="CJG17" s="338"/>
      <c r="CJH17" s="338"/>
      <c r="CJI17" s="338"/>
      <c r="CJJ17" s="338"/>
      <c r="CJK17" s="338"/>
      <c r="CJL17" s="338"/>
      <c r="CJM17" s="338"/>
      <c r="CJN17" s="338"/>
      <c r="CJO17" s="338"/>
      <c r="CJP17" s="338"/>
      <c r="CJQ17" s="338"/>
      <c r="CJR17" s="338"/>
      <c r="CJS17" s="338"/>
      <c r="CJT17" s="338"/>
      <c r="CJU17" s="338"/>
      <c r="CJV17" s="338"/>
      <c r="CJW17" s="338"/>
      <c r="CJX17" s="338"/>
      <c r="CJY17" s="338"/>
      <c r="CJZ17" s="338"/>
      <c r="CKA17" s="338"/>
      <c r="CKB17" s="338"/>
      <c r="CKC17" s="338"/>
      <c r="CKD17" s="338"/>
      <c r="CKE17" s="338"/>
      <c r="CKF17" s="338"/>
      <c r="CKG17" s="338"/>
      <c r="CKH17" s="338"/>
      <c r="CKI17" s="338"/>
      <c r="CKJ17" s="338"/>
      <c r="CKK17" s="338"/>
      <c r="CKL17" s="338"/>
      <c r="CKM17" s="338"/>
      <c r="CKN17" s="338"/>
      <c r="CKO17" s="338"/>
      <c r="CKP17" s="338"/>
      <c r="CKQ17" s="338"/>
      <c r="CKR17" s="338"/>
      <c r="CKS17" s="338"/>
      <c r="CKT17" s="338"/>
      <c r="CKU17" s="338"/>
      <c r="CKV17" s="338"/>
      <c r="CKW17" s="338"/>
      <c r="CKX17" s="338"/>
      <c r="CKY17" s="338"/>
      <c r="CKZ17" s="338"/>
      <c r="CLA17" s="338"/>
      <c r="CLB17" s="338"/>
      <c r="CLC17" s="338"/>
      <c r="CLD17" s="338"/>
      <c r="CLE17" s="338"/>
      <c r="CLF17" s="338"/>
      <c r="CLG17" s="338"/>
      <c r="CLH17" s="338"/>
      <c r="CLI17" s="338"/>
      <c r="CLJ17" s="338"/>
      <c r="CLK17" s="338"/>
      <c r="CLL17" s="338"/>
      <c r="CLM17" s="338"/>
      <c r="CLN17" s="338"/>
      <c r="CLO17" s="338"/>
      <c r="CLP17" s="338"/>
      <c r="CLQ17" s="338"/>
      <c r="CLR17" s="338"/>
      <c r="CLS17" s="338"/>
      <c r="CLT17" s="338"/>
      <c r="CLU17" s="338"/>
      <c r="CLV17" s="338"/>
      <c r="CLW17" s="338"/>
      <c r="CLX17" s="338"/>
      <c r="CLY17" s="338"/>
      <c r="CLZ17" s="338"/>
      <c r="CMA17" s="338"/>
      <c r="CMB17" s="338"/>
      <c r="CMC17" s="338"/>
      <c r="CMD17" s="338"/>
      <c r="CME17" s="338"/>
      <c r="CMF17" s="338"/>
      <c r="CMG17" s="338"/>
      <c r="CMH17" s="338"/>
      <c r="CMI17" s="338"/>
      <c r="CMJ17" s="338"/>
      <c r="CMK17" s="338"/>
      <c r="CML17" s="338"/>
      <c r="CMM17" s="338"/>
      <c r="CMN17" s="338"/>
      <c r="CMO17" s="338"/>
      <c r="CMP17" s="338"/>
      <c r="CMQ17" s="338"/>
      <c r="CMR17" s="338"/>
      <c r="CMS17" s="338"/>
      <c r="CMT17" s="338"/>
      <c r="CMU17" s="338"/>
      <c r="CMV17" s="338"/>
      <c r="CMW17" s="338"/>
      <c r="CMX17" s="338"/>
      <c r="CMY17" s="338"/>
      <c r="CMZ17" s="338"/>
      <c r="CNA17" s="338"/>
      <c r="CNB17" s="338"/>
      <c r="CNC17" s="338"/>
      <c r="CND17" s="338"/>
      <c r="CNE17" s="338"/>
      <c r="CNF17" s="338"/>
      <c r="CNG17" s="338"/>
      <c r="CNH17" s="338"/>
      <c r="CNI17" s="338"/>
      <c r="CNJ17" s="338"/>
      <c r="CNK17" s="338"/>
      <c r="CNL17" s="338"/>
      <c r="CNM17" s="338"/>
      <c r="CNN17" s="338"/>
      <c r="CNO17" s="338"/>
      <c r="CNP17" s="338"/>
      <c r="CNQ17" s="338"/>
      <c r="CNR17" s="338"/>
      <c r="CNS17" s="338"/>
      <c r="CNT17" s="338"/>
      <c r="CNU17" s="338"/>
      <c r="CNV17" s="338"/>
      <c r="CNW17" s="338"/>
      <c r="CNX17" s="338"/>
      <c r="CNY17" s="338"/>
      <c r="CNZ17" s="338"/>
      <c r="COA17" s="338"/>
      <c r="COB17" s="338"/>
      <c r="COC17" s="338"/>
      <c r="COD17" s="338"/>
      <c r="COE17" s="338"/>
      <c r="COF17" s="338"/>
      <c r="COG17" s="338"/>
      <c r="COH17" s="338"/>
      <c r="COI17" s="338"/>
      <c r="COJ17" s="338"/>
      <c r="COK17" s="338"/>
      <c r="COL17" s="338"/>
      <c r="COM17" s="338"/>
      <c r="CON17" s="338"/>
      <c r="COO17" s="338"/>
      <c r="COP17" s="338"/>
      <c r="COQ17" s="338"/>
      <c r="COR17" s="338"/>
      <c r="COS17" s="338"/>
      <c r="COT17" s="338"/>
      <c r="COU17" s="338"/>
      <c r="COV17" s="338"/>
      <c r="COW17" s="338"/>
      <c r="COX17" s="338"/>
      <c r="COY17" s="338"/>
      <c r="COZ17" s="338"/>
      <c r="CPA17" s="338"/>
      <c r="CPB17" s="338"/>
      <c r="CPC17" s="338"/>
      <c r="CPD17" s="338"/>
      <c r="CPE17" s="338"/>
      <c r="CPF17" s="338"/>
      <c r="CPG17" s="338"/>
      <c r="CPH17" s="338"/>
      <c r="CPI17" s="338"/>
      <c r="CPJ17" s="338"/>
      <c r="CPK17" s="338"/>
      <c r="CPL17" s="338"/>
      <c r="CPM17" s="338"/>
      <c r="CPN17" s="338"/>
      <c r="CPO17" s="338"/>
      <c r="CPP17" s="338"/>
      <c r="CPQ17" s="338"/>
      <c r="CPR17" s="338"/>
      <c r="CPS17" s="338"/>
      <c r="CPT17" s="338"/>
      <c r="CPU17" s="338"/>
      <c r="CPV17" s="338"/>
      <c r="CPW17" s="338"/>
      <c r="CPX17" s="338"/>
      <c r="CPY17" s="338"/>
      <c r="CPZ17" s="338"/>
      <c r="CQA17" s="338"/>
      <c r="CQB17" s="338"/>
      <c r="CQC17" s="338"/>
      <c r="CQD17" s="338"/>
      <c r="CQE17" s="338"/>
      <c r="CQF17" s="338"/>
      <c r="CQG17" s="338"/>
      <c r="CQH17" s="338"/>
      <c r="CQI17" s="338"/>
      <c r="CQJ17" s="338"/>
      <c r="CQK17" s="338"/>
      <c r="CQL17" s="338"/>
      <c r="CQM17" s="338"/>
      <c r="CQN17" s="338"/>
      <c r="CQO17" s="338"/>
      <c r="CQP17" s="338"/>
      <c r="CQQ17" s="338"/>
      <c r="CQR17" s="338"/>
      <c r="CQS17" s="338"/>
      <c r="CQT17" s="338"/>
      <c r="CQU17" s="338"/>
      <c r="CQV17" s="338"/>
      <c r="CQW17" s="338"/>
      <c r="CQX17" s="338"/>
      <c r="CQY17" s="338"/>
      <c r="CQZ17" s="338"/>
      <c r="CRA17" s="338"/>
      <c r="CRB17" s="338"/>
      <c r="CRC17" s="338"/>
      <c r="CRD17" s="338"/>
      <c r="CRE17" s="338"/>
      <c r="CRF17" s="338"/>
      <c r="CRG17" s="338"/>
      <c r="CRH17" s="338"/>
      <c r="CRI17" s="338"/>
      <c r="CRJ17" s="338"/>
      <c r="CRK17" s="338"/>
      <c r="CRL17" s="338"/>
      <c r="CRM17" s="338"/>
      <c r="CRN17" s="338"/>
      <c r="CRO17" s="338"/>
      <c r="CRP17" s="338"/>
      <c r="CRQ17" s="338"/>
      <c r="CRR17" s="338"/>
      <c r="CRS17" s="338"/>
      <c r="CRT17" s="338"/>
      <c r="CRU17" s="338"/>
      <c r="CRV17" s="338"/>
      <c r="CRW17" s="338"/>
      <c r="CRX17" s="338"/>
      <c r="CRY17" s="338"/>
      <c r="CRZ17" s="338"/>
      <c r="CSA17" s="338"/>
      <c r="CSB17" s="338"/>
      <c r="CSC17" s="338"/>
      <c r="CSD17" s="338"/>
      <c r="CSE17" s="338"/>
      <c r="CSF17" s="338"/>
      <c r="CSG17" s="338"/>
      <c r="CSH17" s="338"/>
      <c r="CSI17" s="338"/>
      <c r="CSJ17" s="338"/>
      <c r="CSK17" s="338"/>
      <c r="CSL17" s="338"/>
      <c r="CSM17" s="338"/>
      <c r="CSN17" s="338"/>
      <c r="CSO17" s="338"/>
      <c r="CSP17" s="338"/>
      <c r="CSQ17" s="338"/>
      <c r="CSR17" s="338"/>
      <c r="CSS17" s="338"/>
      <c r="CST17" s="338"/>
      <c r="CSU17" s="338"/>
      <c r="CSV17" s="338"/>
      <c r="CSW17" s="338"/>
      <c r="CSX17" s="338"/>
      <c r="CSY17" s="338"/>
      <c r="CSZ17" s="338"/>
      <c r="CTA17" s="338"/>
      <c r="CTB17" s="338"/>
      <c r="CTC17" s="338"/>
      <c r="CTD17" s="338"/>
      <c r="CTE17" s="338"/>
      <c r="CTF17" s="338"/>
      <c r="CTG17" s="338"/>
      <c r="CTH17" s="338"/>
      <c r="CTI17" s="338"/>
      <c r="CTJ17" s="338"/>
      <c r="CTK17" s="338"/>
      <c r="CTL17" s="338"/>
      <c r="CTM17" s="338"/>
      <c r="CTN17" s="338"/>
      <c r="CTO17" s="338"/>
      <c r="CTP17" s="338"/>
      <c r="CTQ17" s="338"/>
      <c r="CTR17" s="338"/>
      <c r="CTS17" s="338"/>
      <c r="CTT17" s="338"/>
      <c r="CTU17" s="338"/>
      <c r="CTV17" s="338"/>
      <c r="CTW17" s="338"/>
      <c r="CTX17" s="338"/>
      <c r="CTY17" s="338"/>
      <c r="CTZ17" s="338"/>
      <c r="CUA17" s="338"/>
      <c r="CUB17" s="338"/>
      <c r="CUC17" s="338"/>
      <c r="CUD17" s="338"/>
      <c r="CUE17" s="338"/>
      <c r="CUF17" s="338"/>
      <c r="CUG17" s="338"/>
      <c r="CUH17" s="338"/>
      <c r="CUI17" s="338"/>
      <c r="CUJ17" s="338"/>
      <c r="CUK17" s="338"/>
      <c r="CUL17" s="338"/>
      <c r="CUM17" s="338"/>
      <c r="CUN17" s="338"/>
      <c r="CUO17" s="338"/>
      <c r="CUP17" s="338"/>
      <c r="CUQ17" s="338"/>
      <c r="CUR17" s="338"/>
      <c r="CUS17" s="338"/>
      <c r="CUT17" s="338"/>
      <c r="CUU17" s="338"/>
      <c r="CUV17" s="338"/>
      <c r="CUW17" s="338"/>
      <c r="CUX17" s="338"/>
      <c r="CUY17" s="338"/>
      <c r="CUZ17" s="338"/>
      <c r="CVA17" s="338"/>
      <c r="CVB17" s="338"/>
      <c r="CVC17" s="338"/>
      <c r="CVD17" s="338"/>
      <c r="CVE17" s="338"/>
      <c r="CVF17" s="338"/>
      <c r="CVG17" s="338"/>
      <c r="CVH17" s="338"/>
      <c r="CVI17" s="338"/>
      <c r="CVJ17" s="338"/>
      <c r="CVK17" s="338"/>
      <c r="CVL17" s="338"/>
      <c r="CVM17" s="338"/>
      <c r="CVN17" s="338"/>
      <c r="CVO17" s="338"/>
      <c r="CVP17" s="338"/>
      <c r="CVQ17" s="338"/>
      <c r="CVR17" s="338"/>
      <c r="CVS17" s="338"/>
      <c r="CVT17" s="338"/>
      <c r="CVU17" s="338"/>
      <c r="CVV17" s="338"/>
      <c r="CVW17" s="338"/>
      <c r="CVX17" s="338"/>
      <c r="CVY17" s="338"/>
      <c r="CVZ17" s="338"/>
      <c r="CWA17" s="338"/>
      <c r="CWB17" s="338"/>
      <c r="CWC17" s="338"/>
      <c r="CWD17" s="338"/>
      <c r="CWE17" s="338"/>
      <c r="CWF17" s="338"/>
      <c r="CWG17" s="338"/>
      <c r="CWH17" s="338"/>
      <c r="CWI17" s="338"/>
      <c r="CWJ17" s="338"/>
      <c r="CWK17" s="338"/>
      <c r="CWL17" s="338"/>
      <c r="CWM17" s="338"/>
      <c r="CWN17" s="338"/>
      <c r="CWO17" s="338"/>
      <c r="CWP17" s="338"/>
      <c r="CWQ17" s="338"/>
      <c r="CWR17" s="338"/>
      <c r="CWS17" s="338"/>
      <c r="CWT17" s="338"/>
      <c r="CWU17" s="338"/>
      <c r="CWV17" s="338"/>
      <c r="CWW17" s="338"/>
      <c r="CWX17" s="338"/>
      <c r="CWY17" s="338"/>
      <c r="CWZ17" s="338"/>
      <c r="CXA17" s="338"/>
      <c r="CXB17" s="338"/>
      <c r="CXC17" s="338"/>
      <c r="CXD17" s="338"/>
      <c r="CXE17" s="338"/>
      <c r="CXF17" s="338"/>
      <c r="CXG17" s="338"/>
      <c r="CXH17" s="338"/>
      <c r="CXI17" s="338"/>
      <c r="CXJ17" s="338"/>
      <c r="CXK17" s="338"/>
      <c r="CXL17" s="338"/>
      <c r="CXM17" s="338"/>
      <c r="CXN17" s="338"/>
      <c r="CXO17" s="338"/>
      <c r="CXP17" s="338"/>
      <c r="CXQ17" s="338"/>
      <c r="CXR17" s="338"/>
      <c r="CXS17" s="338"/>
      <c r="CXT17" s="338"/>
      <c r="CXU17" s="338"/>
      <c r="CXV17" s="338"/>
      <c r="CXW17" s="338"/>
      <c r="CXX17" s="338"/>
      <c r="CXY17" s="338"/>
      <c r="CXZ17" s="338"/>
      <c r="CYA17" s="338"/>
      <c r="CYB17" s="338"/>
      <c r="CYC17" s="338"/>
      <c r="CYD17" s="338"/>
      <c r="CYE17" s="338"/>
      <c r="CYF17" s="338"/>
      <c r="CYG17" s="338"/>
      <c r="CYH17" s="338"/>
      <c r="CYI17" s="338"/>
      <c r="CYJ17" s="338"/>
      <c r="CYK17" s="338"/>
      <c r="CYL17" s="338"/>
      <c r="CYM17" s="338"/>
      <c r="CYN17" s="338"/>
      <c r="CYO17" s="338"/>
      <c r="CYP17" s="338"/>
      <c r="CYQ17" s="338"/>
      <c r="CYR17" s="338"/>
      <c r="CYS17" s="338"/>
      <c r="CYT17" s="338"/>
      <c r="CYU17" s="338"/>
      <c r="CYV17" s="338"/>
      <c r="CYW17" s="338"/>
      <c r="CYX17" s="338"/>
      <c r="CYY17" s="338"/>
      <c r="CYZ17" s="338"/>
      <c r="CZA17" s="338"/>
      <c r="CZB17" s="338"/>
      <c r="CZC17" s="338"/>
      <c r="CZD17" s="338"/>
      <c r="CZE17" s="338"/>
      <c r="CZF17" s="338"/>
      <c r="CZG17" s="338"/>
      <c r="CZH17" s="338"/>
      <c r="CZI17" s="338"/>
      <c r="CZJ17" s="338"/>
      <c r="CZK17" s="338"/>
      <c r="CZL17" s="338"/>
      <c r="CZM17" s="338"/>
      <c r="CZN17" s="338"/>
      <c r="CZO17" s="338"/>
      <c r="CZP17" s="338"/>
      <c r="CZQ17" s="338"/>
      <c r="CZR17" s="338"/>
      <c r="CZS17" s="338"/>
      <c r="CZT17" s="338"/>
      <c r="CZU17" s="338"/>
      <c r="CZV17" s="338"/>
      <c r="CZW17" s="338"/>
      <c r="CZX17" s="338"/>
      <c r="CZY17" s="338"/>
      <c r="CZZ17" s="338"/>
      <c r="DAA17" s="338"/>
      <c r="DAB17" s="338"/>
      <c r="DAC17" s="338"/>
      <c r="DAD17" s="338"/>
      <c r="DAE17" s="338"/>
      <c r="DAF17" s="338"/>
      <c r="DAG17" s="338"/>
      <c r="DAH17" s="338"/>
      <c r="DAI17" s="338"/>
      <c r="DAJ17" s="338"/>
      <c r="DAK17" s="338"/>
      <c r="DAL17" s="338"/>
      <c r="DAM17" s="338"/>
      <c r="DAN17" s="338"/>
      <c r="DAO17" s="338"/>
      <c r="DAP17" s="338"/>
      <c r="DAQ17" s="338"/>
      <c r="DAR17" s="338"/>
      <c r="DAS17" s="338"/>
      <c r="DAT17" s="338"/>
      <c r="DAU17" s="338"/>
      <c r="DAV17" s="338"/>
      <c r="DAW17" s="338"/>
      <c r="DAX17" s="338"/>
      <c r="DAY17" s="338"/>
      <c r="DAZ17" s="338"/>
      <c r="DBA17" s="338"/>
      <c r="DBB17" s="338"/>
      <c r="DBC17" s="338"/>
      <c r="DBD17" s="338"/>
      <c r="DBE17" s="338"/>
      <c r="DBF17" s="338"/>
      <c r="DBG17" s="338"/>
      <c r="DBH17" s="338"/>
      <c r="DBI17" s="338"/>
      <c r="DBJ17" s="338"/>
      <c r="DBK17" s="338"/>
      <c r="DBL17" s="338"/>
      <c r="DBM17" s="338"/>
      <c r="DBN17" s="338"/>
      <c r="DBO17" s="338"/>
      <c r="DBP17" s="338"/>
      <c r="DBQ17" s="338"/>
      <c r="DBR17" s="338"/>
      <c r="DBS17" s="338"/>
      <c r="DBT17" s="338"/>
      <c r="DBU17" s="338"/>
      <c r="DBV17" s="338"/>
      <c r="DBW17" s="338"/>
      <c r="DBX17" s="338"/>
      <c r="DBY17" s="338"/>
      <c r="DBZ17" s="338"/>
      <c r="DCA17" s="338"/>
      <c r="DCB17" s="338"/>
      <c r="DCC17" s="338"/>
      <c r="DCD17" s="338"/>
      <c r="DCE17" s="338"/>
      <c r="DCF17" s="338"/>
      <c r="DCG17" s="338"/>
      <c r="DCH17" s="338"/>
      <c r="DCI17" s="338"/>
      <c r="DCJ17" s="338"/>
      <c r="DCK17" s="338"/>
      <c r="DCL17" s="338"/>
      <c r="DCM17" s="338"/>
      <c r="DCN17" s="338"/>
      <c r="DCO17" s="338"/>
      <c r="DCP17" s="338"/>
      <c r="DCQ17" s="338"/>
      <c r="DCR17" s="338"/>
      <c r="DCS17" s="338"/>
      <c r="DCT17" s="338"/>
      <c r="DCU17" s="338"/>
      <c r="DCV17" s="338"/>
      <c r="DCW17" s="338"/>
      <c r="DCX17" s="338"/>
      <c r="DCY17" s="338"/>
      <c r="DCZ17" s="338"/>
      <c r="DDA17" s="338"/>
      <c r="DDB17" s="338"/>
      <c r="DDC17" s="338"/>
      <c r="DDD17" s="338"/>
      <c r="DDE17" s="338"/>
      <c r="DDF17" s="338"/>
      <c r="DDG17" s="338"/>
      <c r="DDH17" s="338"/>
      <c r="DDI17" s="338"/>
      <c r="DDJ17" s="338"/>
      <c r="DDK17" s="338"/>
      <c r="DDL17" s="338"/>
      <c r="DDM17" s="338"/>
      <c r="DDN17" s="338"/>
      <c r="DDO17" s="338"/>
      <c r="DDP17" s="338"/>
      <c r="DDQ17" s="338"/>
      <c r="DDR17" s="338"/>
      <c r="DDS17" s="338"/>
      <c r="DDT17" s="338"/>
      <c r="DDU17" s="338"/>
      <c r="DDV17" s="338"/>
      <c r="DDW17" s="338"/>
      <c r="DDX17" s="338"/>
      <c r="DDY17" s="338"/>
      <c r="DDZ17" s="338"/>
      <c r="DEA17" s="338"/>
      <c r="DEB17" s="338"/>
      <c r="DEC17" s="338"/>
      <c r="DED17" s="338"/>
      <c r="DEE17" s="338"/>
      <c r="DEF17" s="338"/>
      <c r="DEG17" s="338"/>
      <c r="DEH17" s="338"/>
      <c r="DEI17" s="338"/>
      <c r="DEJ17" s="338"/>
      <c r="DEK17" s="338"/>
      <c r="DEL17" s="338"/>
      <c r="DEM17" s="338"/>
      <c r="DEN17" s="338"/>
      <c r="DEO17" s="338"/>
      <c r="DEP17" s="338"/>
      <c r="DEQ17" s="338"/>
      <c r="DER17" s="338"/>
      <c r="DES17" s="338"/>
      <c r="DET17" s="338"/>
      <c r="DEU17" s="338"/>
      <c r="DEV17" s="338"/>
      <c r="DEW17" s="338"/>
      <c r="DEX17" s="338"/>
      <c r="DEY17" s="338"/>
      <c r="DEZ17" s="338"/>
      <c r="DFA17" s="338"/>
      <c r="DFB17" s="338"/>
      <c r="DFC17" s="338"/>
      <c r="DFD17" s="338"/>
      <c r="DFE17" s="338"/>
      <c r="DFF17" s="338"/>
      <c r="DFG17" s="338"/>
      <c r="DFH17" s="338"/>
      <c r="DFI17" s="338"/>
      <c r="DFJ17" s="338"/>
      <c r="DFK17" s="338"/>
      <c r="DFL17" s="338"/>
      <c r="DFM17" s="338"/>
      <c r="DFN17" s="338"/>
      <c r="DFO17" s="338"/>
      <c r="DFP17" s="338"/>
      <c r="DFQ17" s="338"/>
      <c r="DFR17" s="338"/>
      <c r="DFS17" s="338"/>
      <c r="DFT17" s="338"/>
      <c r="DFU17" s="338"/>
      <c r="DFV17" s="338"/>
      <c r="DFW17" s="338"/>
      <c r="DFX17" s="338"/>
      <c r="DFY17" s="338"/>
      <c r="DFZ17" s="338"/>
      <c r="DGA17" s="338"/>
      <c r="DGB17" s="338"/>
      <c r="DGC17" s="338"/>
      <c r="DGD17" s="338"/>
      <c r="DGE17" s="338"/>
      <c r="DGF17" s="338"/>
      <c r="DGG17" s="338"/>
      <c r="DGH17" s="338"/>
      <c r="DGI17" s="338"/>
      <c r="DGJ17" s="338"/>
      <c r="DGK17" s="338"/>
      <c r="DGL17" s="338"/>
      <c r="DGM17" s="338"/>
      <c r="DGN17" s="338"/>
      <c r="DGO17" s="338"/>
      <c r="DGP17" s="338"/>
      <c r="DGQ17" s="338"/>
      <c r="DGR17" s="338"/>
      <c r="DGS17" s="338"/>
      <c r="DGT17" s="338"/>
      <c r="DGU17" s="338"/>
      <c r="DGV17" s="338"/>
      <c r="DGW17" s="338"/>
      <c r="DGX17" s="338"/>
      <c r="DGY17" s="338"/>
      <c r="DGZ17" s="338"/>
      <c r="DHA17" s="338"/>
      <c r="DHB17" s="338"/>
      <c r="DHC17" s="338"/>
      <c r="DHD17" s="338"/>
      <c r="DHE17" s="338"/>
      <c r="DHF17" s="338"/>
      <c r="DHG17" s="338"/>
      <c r="DHH17" s="338"/>
      <c r="DHI17" s="338"/>
      <c r="DHJ17" s="338"/>
      <c r="DHK17" s="338"/>
      <c r="DHL17" s="338"/>
      <c r="DHM17" s="338"/>
      <c r="DHN17" s="338"/>
      <c r="DHO17" s="338"/>
      <c r="DHP17" s="338"/>
      <c r="DHQ17" s="338"/>
      <c r="DHR17" s="338"/>
      <c r="DHS17" s="338"/>
      <c r="DHT17" s="338"/>
      <c r="DHU17" s="338"/>
      <c r="DHV17" s="338"/>
      <c r="DHW17" s="338"/>
      <c r="DHX17" s="338"/>
      <c r="DHY17" s="338"/>
      <c r="DHZ17" s="338"/>
      <c r="DIA17" s="338"/>
      <c r="DIB17" s="338"/>
      <c r="DIC17" s="338"/>
      <c r="DID17" s="338"/>
      <c r="DIE17" s="338"/>
      <c r="DIF17" s="338"/>
      <c r="DIG17" s="338"/>
      <c r="DIH17" s="338"/>
      <c r="DII17" s="338"/>
      <c r="DIJ17" s="338"/>
      <c r="DIK17" s="338"/>
      <c r="DIL17" s="338"/>
      <c r="DIM17" s="338"/>
      <c r="DIN17" s="338"/>
      <c r="DIO17" s="338"/>
      <c r="DIP17" s="338"/>
      <c r="DIQ17" s="338"/>
      <c r="DIR17" s="338"/>
      <c r="DIS17" s="338"/>
      <c r="DIT17" s="338"/>
      <c r="DIU17" s="338"/>
      <c r="DIV17" s="338"/>
      <c r="DIW17" s="338"/>
      <c r="DIX17" s="338"/>
      <c r="DIY17" s="338"/>
      <c r="DIZ17" s="338"/>
      <c r="DJA17" s="338"/>
      <c r="DJB17" s="338"/>
      <c r="DJC17" s="338"/>
      <c r="DJD17" s="338"/>
      <c r="DJE17" s="338"/>
      <c r="DJF17" s="338"/>
      <c r="DJG17" s="338"/>
      <c r="DJH17" s="338"/>
      <c r="DJI17" s="338"/>
      <c r="DJJ17" s="338"/>
      <c r="DJK17" s="338"/>
      <c r="DJL17" s="338"/>
      <c r="DJM17" s="338"/>
      <c r="DJN17" s="338"/>
      <c r="DJO17" s="338"/>
      <c r="DJP17" s="338"/>
      <c r="DJQ17" s="338"/>
      <c r="DJR17" s="338"/>
      <c r="DJS17" s="338"/>
      <c r="DJT17" s="338"/>
      <c r="DJU17" s="338"/>
      <c r="DJV17" s="338"/>
      <c r="DJW17" s="338"/>
      <c r="DJX17" s="338"/>
      <c r="DJY17" s="338"/>
      <c r="DJZ17" s="338"/>
      <c r="DKA17" s="338"/>
      <c r="DKB17" s="338"/>
      <c r="DKC17" s="338"/>
      <c r="DKD17" s="338"/>
      <c r="DKE17" s="338"/>
      <c r="DKF17" s="338"/>
      <c r="DKG17" s="338"/>
      <c r="DKH17" s="338"/>
      <c r="DKI17" s="338"/>
      <c r="DKJ17" s="338"/>
      <c r="DKK17" s="338"/>
      <c r="DKL17" s="338"/>
      <c r="DKM17" s="338"/>
      <c r="DKN17" s="338"/>
      <c r="DKO17" s="338"/>
      <c r="DKP17" s="338"/>
      <c r="DKQ17" s="338"/>
      <c r="DKR17" s="338"/>
      <c r="DKS17" s="338"/>
      <c r="DKT17" s="338"/>
      <c r="DKU17" s="338"/>
      <c r="DKV17" s="338"/>
      <c r="DKW17" s="338"/>
      <c r="DKX17" s="338"/>
      <c r="DKY17" s="338"/>
      <c r="DKZ17" s="338"/>
      <c r="DLA17" s="338"/>
      <c r="DLB17" s="338"/>
      <c r="DLC17" s="338"/>
      <c r="DLD17" s="338"/>
      <c r="DLE17" s="338"/>
      <c r="DLF17" s="338"/>
      <c r="DLG17" s="338"/>
      <c r="DLH17" s="338"/>
      <c r="DLI17" s="338"/>
      <c r="DLJ17" s="338"/>
      <c r="DLK17" s="338"/>
      <c r="DLL17" s="338"/>
      <c r="DLM17" s="338"/>
      <c r="DLN17" s="338"/>
      <c r="DLO17" s="338"/>
      <c r="DLP17" s="338"/>
      <c r="DLQ17" s="338"/>
      <c r="DLR17" s="338"/>
      <c r="DLS17" s="338"/>
      <c r="DLT17" s="338"/>
      <c r="DLU17" s="338"/>
      <c r="DLV17" s="338"/>
      <c r="DLW17" s="338"/>
      <c r="DLX17" s="338"/>
      <c r="DLY17" s="338"/>
      <c r="DLZ17" s="338"/>
      <c r="DMA17" s="338"/>
      <c r="DMB17" s="338"/>
      <c r="DMC17" s="338"/>
      <c r="DMD17" s="338"/>
      <c r="DME17" s="338"/>
      <c r="DMF17" s="338"/>
      <c r="DMG17" s="338"/>
      <c r="DMH17" s="338"/>
      <c r="DMI17" s="338"/>
      <c r="DMJ17" s="338"/>
      <c r="DMK17" s="338"/>
      <c r="DML17" s="338"/>
      <c r="DMM17" s="338"/>
      <c r="DMN17" s="338"/>
      <c r="DMO17" s="338"/>
      <c r="DMP17" s="338"/>
      <c r="DMQ17" s="338"/>
      <c r="DMR17" s="338"/>
      <c r="DMS17" s="338"/>
      <c r="DMT17" s="338"/>
      <c r="DMU17" s="338"/>
      <c r="DMV17" s="338"/>
      <c r="DMW17" s="338"/>
      <c r="DMX17" s="338"/>
      <c r="DMY17" s="338"/>
      <c r="DMZ17" s="338"/>
      <c r="DNA17" s="338"/>
      <c r="DNB17" s="338"/>
      <c r="DNC17" s="338"/>
      <c r="DND17" s="338"/>
      <c r="DNE17" s="338"/>
      <c r="DNF17" s="338"/>
      <c r="DNG17" s="338"/>
      <c r="DNH17" s="338"/>
      <c r="DNI17" s="338"/>
      <c r="DNJ17" s="338"/>
      <c r="DNK17" s="338"/>
      <c r="DNL17" s="338"/>
      <c r="DNM17" s="338"/>
      <c r="DNN17" s="338"/>
      <c r="DNO17" s="338"/>
      <c r="DNP17" s="338"/>
      <c r="DNQ17" s="338"/>
      <c r="DNR17" s="338"/>
      <c r="DNS17" s="338"/>
      <c r="DNT17" s="338"/>
      <c r="DNU17" s="338"/>
      <c r="DNV17" s="338"/>
      <c r="DNW17" s="338"/>
      <c r="DNX17" s="338"/>
      <c r="DNY17" s="338"/>
      <c r="DNZ17" s="338"/>
      <c r="DOA17" s="338"/>
      <c r="DOB17" s="338"/>
      <c r="DOC17" s="338"/>
      <c r="DOD17" s="338"/>
      <c r="DOE17" s="338"/>
      <c r="DOF17" s="338"/>
      <c r="DOG17" s="338"/>
      <c r="DOH17" s="338"/>
      <c r="DOI17" s="338"/>
      <c r="DOJ17" s="338"/>
      <c r="DOK17" s="338"/>
      <c r="DOL17" s="338"/>
      <c r="DOM17" s="338"/>
      <c r="DON17" s="338"/>
      <c r="DOO17" s="338"/>
      <c r="DOP17" s="338"/>
      <c r="DOQ17" s="338"/>
      <c r="DOR17" s="338"/>
      <c r="DOS17" s="338"/>
      <c r="DOT17" s="338"/>
      <c r="DOU17" s="338"/>
      <c r="DOV17" s="338"/>
      <c r="DOW17" s="338"/>
      <c r="DOX17" s="338"/>
      <c r="DOY17" s="338"/>
      <c r="DOZ17" s="338"/>
      <c r="DPA17" s="338"/>
      <c r="DPB17" s="338"/>
      <c r="DPC17" s="338"/>
      <c r="DPD17" s="338"/>
      <c r="DPE17" s="338"/>
      <c r="DPF17" s="338"/>
      <c r="DPG17" s="338"/>
      <c r="DPH17" s="338"/>
      <c r="DPI17" s="338"/>
      <c r="DPJ17" s="338"/>
      <c r="DPK17" s="338"/>
      <c r="DPL17" s="338"/>
      <c r="DPM17" s="338"/>
      <c r="DPN17" s="338"/>
      <c r="DPO17" s="338"/>
      <c r="DPP17" s="338"/>
      <c r="DPQ17" s="338"/>
      <c r="DPR17" s="338"/>
      <c r="DPS17" s="338"/>
      <c r="DPT17" s="338"/>
      <c r="DPU17" s="338"/>
      <c r="DPV17" s="338"/>
      <c r="DPW17" s="338"/>
      <c r="DPX17" s="338"/>
      <c r="DPY17" s="338"/>
      <c r="DPZ17" s="338"/>
      <c r="DQA17" s="338"/>
      <c r="DQB17" s="338"/>
      <c r="DQC17" s="338"/>
      <c r="DQD17" s="338"/>
      <c r="DQE17" s="338"/>
      <c r="DQF17" s="338"/>
      <c r="DQG17" s="338"/>
      <c r="DQH17" s="338"/>
      <c r="DQI17" s="338"/>
      <c r="DQJ17" s="338"/>
      <c r="DQK17" s="338"/>
      <c r="DQL17" s="338"/>
      <c r="DQM17" s="338"/>
      <c r="DQN17" s="338"/>
      <c r="DQO17" s="338"/>
      <c r="DQP17" s="338"/>
      <c r="DQQ17" s="338"/>
      <c r="DQR17" s="338"/>
      <c r="DQS17" s="338"/>
      <c r="DQT17" s="338"/>
      <c r="DQU17" s="338"/>
      <c r="DQV17" s="338"/>
      <c r="DQW17" s="338"/>
      <c r="DQX17" s="338"/>
      <c r="DQY17" s="338"/>
      <c r="DQZ17" s="338"/>
      <c r="DRA17" s="338"/>
      <c r="DRB17" s="338"/>
      <c r="DRC17" s="338"/>
      <c r="DRD17" s="338"/>
      <c r="DRE17" s="338"/>
      <c r="DRF17" s="338"/>
      <c r="DRG17" s="338"/>
      <c r="DRH17" s="338"/>
      <c r="DRI17" s="338"/>
      <c r="DRJ17" s="338"/>
      <c r="DRK17" s="338"/>
      <c r="DRL17" s="338"/>
      <c r="DRM17" s="338"/>
      <c r="DRN17" s="338"/>
      <c r="DRO17" s="338"/>
      <c r="DRP17" s="338"/>
      <c r="DRQ17" s="338"/>
      <c r="DRR17" s="338"/>
      <c r="DRS17" s="338"/>
      <c r="DRT17" s="338"/>
      <c r="DRU17" s="338"/>
      <c r="DRV17" s="338"/>
      <c r="DRW17" s="338"/>
      <c r="DRX17" s="338"/>
      <c r="DRY17" s="338"/>
      <c r="DRZ17" s="338"/>
      <c r="DSA17" s="338"/>
      <c r="DSB17" s="338"/>
      <c r="DSC17" s="338"/>
      <c r="DSD17" s="338"/>
      <c r="DSE17" s="338"/>
      <c r="DSF17" s="338"/>
      <c r="DSG17" s="338"/>
      <c r="DSH17" s="338"/>
      <c r="DSI17" s="338"/>
      <c r="DSJ17" s="338"/>
      <c r="DSK17" s="338"/>
      <c r="DSL17" s="338"/>
      <c r="DSM17" s="338"/>
      <c r="DSN17" s="338"/>
      <c r="DSO17" s="338"/>
      <c r="DSP17" s="338"/>
      <c r="DSQ17" s="338"/>
      <c r="DSR17" s="338"/>
      <c r="DSS17" s="338"/>
      <c r="DST17" s="338"/>
      <c r="DSU17" s="338"/>
      <c r="DSV17" s="338"/>
      <c r="DSW17" s="338"/>
      <c r="DSX17" s="338"/>
      <c r="DSY17" s="338"/>
      <c r="DSZ17" s="338"/>
      <c r="DTA17" s="338"/>
      <c r="DTB17" s="338"/>
      <c r="DTC17" s="338"/>
      <c r="DTD17" s="338"/>
      <c r="DTE17" s="338"/>
      <c r="DTF17" s="338"/>
      <c r="DTG17" s="338"/>
      <c r="DTH17" s="338"/>
      <c r="DTI17" s="338"/>
      <c r="DTJ17" s="338"/>
      <c r="DTK17" s="338"/>
      <c r="DTL17" s="338"/>
      <c r="DTM17" s="338"/>
      <c r="DTN17" s="338"/>
      <c r="DTO17" s="338"/>
      <c r="DTP17" s="338"/>
      <c r="DTQ17" s="338"/>
      <c r="DTR17" s="338"/>
      <c r="DTS17" s="338"/>
      <c r="DTT17" s="338"/>
      <c r="DTU17" s="338"/>
      <c r="DTV17" s="338"/>
      <c r="DTW17" s="338"/>
      <c r="DTX17" s="338"/>
      <c r="DTY17" s="338"/>
      <c r="DTZ17" s="338"/>
      <c r="DUA17" s="338"/>
      <c r="DUB17" s="338"/>
      <c r="DUC17" s="338"/>
      <c r="DUD17" s="338"/>
      <c r="DUE17" s="338"/>
      <c r="DUF17" s="338"/>
      <c r="DUG17" s="338"/>
      <c r="DUH17" s="338"/>
      <c r="DUI17" s="338"/>
      <c r="DUJ17" s="338"/>
      <c r="DUK17" s="338"/>
      <c r="DUL17" s="338"/>
      <c r="DUM17" s="338"/>
      <c r="DUN17" s="338"/>
      <c r="DUO17" s="338"/>
      <c r="DUP17" s="338"/>
      <c r="DUQ17" s="338"/>
      <c r="DUR17" s="338"/>
      <c r="DUS17" s="338"/>
      <c r="DUT17" s="338"/>
      <c r="DUU17" s="338"/>
      <c r="DUV17" s="338"/>
      <c r="DUW17" s="338"/>
      <c r="DUX17" s="338"/>
      <c r="DUY17" s="338"/>
      <c r="DUZ17" s="338"/>
      <c r="DVA17" s="338"/>
      <c r="DVB17" s="338"/>
      <c r="DVC17" s="338"/>
      <c r="DVD17" s="338"/>
      <c r="DVE17" s="338"/>
      <c r="DVF17" s="338"/>
      <c r="DVG17" s="338"/>
      <c r="DVH17" s="338"/>
      <c r="DVI17" s="338"/>
      <c r="DVJ17" s="338"/>
      <c r="DVK17" s="338"/>
      <c r="DVL17" s="338"/>
      <c r="DVM17" s="338"/>
      <c r="DVN17" s="338"/>
      <c r="DVO17" s="338"/>
      <c r="DVP17" s="338"/>
      <c r="DVQ17" s="338"/>
      <c r="DVR17" s="338"/>
      <c r="DVS17" s="338"/>
      <c r="DVT17" s="338"/>
      <c r="DVU17" s="338"/>
      <c r="DVV17" s="338"/>
      <c r="DVW17" s="338"/>
      <c r="DVX17" s="338"/>
      <c r="DVY17" s="338"/>
      <c r="DVZ17" s="338"/>
      <c r="DWA17" s="338"/>
      <c r="DWB17" s="338"/>
      <c r="DWC17" s="338"/>
      <c r="DWD17" s="338"/>
      <c r="DWE17" s="338"/>
      <c r="DWF17" s="338"/>
      <c r="DWG17" s="338"/>
      <c r="DWH17" s="338"/>
      <c r="DWI17" s="338"/>
      <c r="DWJ17" s="338"/>
      <c r="DWK17" s="338"/>
      <c r="DWL17" s="338"/>
      <c r="DWM17" s="338"/>
      <c r="DWN17" s="338"/>
      <c r="DWO17" s="338"/>
      <c r="DWP17" s="338"/>
      <c r="DWQ17" s="338"/>
      <c r="DWR17" s="338"/>
      <c r="DWS17" s="338"/>
      <c r="DWT17" s="338"/>
      <c r="DWU17" s="338"/>
      <c r="DWV17" s="338"/>
      <c r="DWW17" s="338"/>
      <c r="DWX17" s="338"/>
      <c r="DWY17" s="338"/>
      <c r="DWZ17" s="338"/>
      <c r="DXA17" s="338"/>
      <c r="DXB17" s="338"/>
      <c r="DXC17" s="338"/>
      <c r="DXD17" s="338"/>
      <c r="DXE17" s="338"/>
      <c r="DXF17" s="338"/>
      <c r="DXG17" s="338"/>
      <c r="DXH17" s="338"/>
      <c r="DXI17" s="338"/>
      <c r="DXJ17" s="338"/>
      <c r="DXK17" s="338"/>
      <c r="DXL17" s="338"/>
      <c r="DXM17" s="338"/>
      <c r="DXN17" s="338"/>
      <c r="DXO17" s="338"/>
      <c r="DXP17" s="338"/>
      <c r="DXQ17" s="338"/>
      <c r="DXR17" s="338"/>
      <c r="DXS17" s="338"/>
      <c r="DXT17" s="338"/>
      <c r="DXU17" s="338"/>
      <c r="DXV17" s="338"/>
      <c r="DXW17" s="338"/>
      <c r="DXX17" s="338"/>
      <c r="DXY17" s="338"/>
      <c r="DXZ17" s="338"/>
      <c r="DYA17" s="338"/>
      <c r="DYB17" s="338"/>
      <c r="DYC17" s="338"/>
      <c r="DYD17" s="338"/>
      <c r="DYE17" s="338"/>
      <c r="DYF17" s="338"/>
      <c r="DYG17" s="338"/>
      <c r="DYH17" s="338"/>
      <c r="DYI17" s="338"/>
      <c r="DYJ17" s="338"/>
      <c r="DYK17" s="338"/>
      <c r="DYL17" s="338"/>
      <c r="DYM17" s="338"/>
      <c r="DYN17" s="338"/>
      <c r="DYO17" s="338"/>
      <c r="DYP17" s="338"/>
      <c r="DYQ17" s="338"/>
      <c r="DYR17" s="338"/>
      <c r="DYS17" s="338"/>
      <c r="DYT17" s="338"/>
      <c r="DYU17" s="338"/>
      <c r="DYV17" s="338"/>
      <c r="DYW17" s="338"/>
      <c r="DYX17" s="338"/>
      <c r="DYY17" s="338"/>
      <c r="DYZ17" s="338"/>
      <c r="DZA17" s="338"/>
      <c r="DZB17" s="338"/>
      <c r="DZC17" s="338"/>
      <c r="DZD17" s="338"/>
      <c r="DZE17" s="338"/>
      <c r="DZF17" s="338"/>
      <c r="DZG17" s="338"/>
      <c r="DZH17" s="338"/>
      <c r="DZI17" s="338"/>
      <c r="DZJ17" s="338"/>
      <c r="DZK17" s="338"/>
      <c r="DZL17" s="338"/>
      <c r="DZM17" s="338"/>
      <c r="DZN17" s="338"/>
      <c r="DZO17" s="338"/>
      <c r="DZP17" s="338"/>
      <c r="DZQ17" s="338"/>
      <c r="DZR17" s="338"/>
      <c r="DZS17" s="338"/>
      <c r="DZT17" s="338"/>
      <c r="DZU17" s="338"/>
      <c r="DZV17" s="338"/>
      <c r="DZW17" s="338"/>
      <c r="DZX17" s="338"/>
      <c r="DZY17" s="338"/>
      <c r="DZZ17" s="338"/>
      <c r="EAA17" s="338"/>
      <c r="EAB17" s="338"/>
      <c r="EAC17" s="338"/>
      <c r="EAD17" s="338"/>
      <c r="EAE17" s="338"/>
      <c r="EAF17" s="338"/>
      <c r="EAG17" s="338"/>
      <c r="EAH17" s="338"/>
      <c r="EAI17" s="338"/>
      <c r="EAJ17" s="338"/>
      <c r="EAK17" s="338"/>
      <c r="EAL17" s="338"/>
      <c r="EAM17" s="338"/>
      <c r="EAN17" s="338"/>
      <c r="EAO17" s="338"/>
      <c r="EAP17" s="338"/>
      <c r="EAQ17" s="338"/>
      <c r="EAR17" s="338"/>
      <c r="EAS17" s="338"/>
      <c r="EAT17" s="338"/>
      <c r="EAU17" s="338"/>
      <c r="EAV17" s="338"/>
      <c r="EAW17" s="338"/>
      <c r="EAX17" s="338"/>
      <c r="EAY17" s="338"/>
      <c r="EAZ17" s="338"/>
      <c r="EBA17" s="338"/>
      <c r="EBB17" s="338"/>
      <c r="EBC17" s="338"/>
      <c r="EBD17" s="338"/>
      <c r="EBE17" s="338"/>
      <c r="EBF17" s="338"/>
      <c r="EBG17" s="338"/>
      <c r="EBH17" s="338"/>
      <c r="EBI17" s="338"/>
      <c r="EBJ17" s="338"/>
      <c r="EBK17" s="338"/>
      <c r="EBL17" s="338"/>
      <c r="EBM17" s="338"/>
      <c r="EBN17" s="338"/>
      <c r="EBO17" s="338"/>
      <c r="EBP17" s="338"/>
      <c r="EBQ17" s="338"/>
      <c r="EBR17" s="338"/>
      <c r="EBS17" s="338"/>
      <c r="EBT17" s="338"/>
      <c r="EBU17" s="338"/>
      <c r="EBV17" s="338"/>
      <c r="EBW17" s="338"/>
      <c r="EBX17" s="338"/>
      <c r="EBY17" s="338"/>
      <c r="EBZ17" s="338"/>
      <c r="ECA17" s="338"/>
      <c r="ECB17" s="338"/>
      <c r="ECC17" s="338"/>
      <c r="ECD17" s="338"/>
      <c r="ECE17" s="338"/>
      <c r="ECF17" s="338"/>
      <c r="ECG17" s="338"/>
      <c r="ECH17" s="338"/>
      <c r="ECI17" s="338"/>
      <c r="ECJ17" s="338"/>
      <c r="ECK17" s="338"/>
      <c r="ECL17" s="338"/>
      <c r="ECM17" s="338"/>
      <c r="ECN17" s="338"/>
      <c r="ECO17" s="338"/>
      <c r="ECP17" s="338"/>
      <c r="ECQ17" s="338"/>
      <c r="ECR17" s="338"/>
      <c r="ECS17" s="338"/>
      <c r="ECT17" s="338"/>
      <c r="ECU17" s="338"/>
      <c r="ECV17" s="338"/>
      <c r="ECW17" s="338"/>
      <c r="ECX17" s="338"/>
      <c r="ECY17" s="338"/>
      <c r="ECZ17" s="338"/>
      <c r="EDA17" s="338"/>
      <c r="EDB17" s="338"/>
      <c r="EDC17" s="338"/>
      <c r="EDD17" s="338"/>
      <c r="EDE17" s="338"/>
      <c r="EDF17" s="338"/>
      <c r="EDG17" s="338"/>
      <c r="EDH17" s="338"/>
      <c r="EDI17" s="338"/>
      <c r="EDJ17" s="338"/>
      <c r="EDK17" s="338"/>
      <c r="EDL17" s="338"/>
      <c r="EDM17" s="338"/>
      <c r="EDN17" s="338"/>
      <c r="EDO17" s="338"/>
      <c r="EDP17" s="338"/>
      <c r="EDQ17" s="338"/>
      <c r="EDR17" s="338"/>
      <c r="EDS17" s="338"/>
      <c r="EDT17" s="338"/>
      <c r="EDU17" s="338"/>
      <c r="EDV17" s="338"/>
      <c r="EDW17" s="338"/>
      <c r="EDX17" s="338"/>
      <c r="EDY17" s="338"/>
      <c r="EDZ17" s="338"/>
      <c r="EEA17" s="338"/>
      <c r="EEB17" s="338"/>
      <c r="EEC17" s="338"/>
      <c r="EED17" s="338"/>
      <c r="EEE17" s="338"/>
      <c r="EEF17" s="338"/>
      <c r="EEG17" s="338"/>
      <c r="EEH17" s="338"/>
      <c r="EEI17" s="338"/>
      <c r="EEJ17" s="338"/>
      <c r="EEK17" s="338"/>
      <c r="EEL17" s="338"/>
      <c r="EEM17" s="338"/>
      <c r="EEN17" s="338"/>
      <c r="EEO17" s="338"/>
      <c r="EEP17" s="338"/>
      <c r="EEQ17" s="338"/>
      <c r="EER17" s="338"/>
      <c r="EES17" s="338"/>
      <c r="EET17" s="338"/>
      <c r="EEU17" s="338"/>
      <c r="EEV17" s="338"/>
      <c r="EEW17" s="338"/>
      <c r="EEX17" s="338"/>
      <c r="EEY17" s="338"/>
      <c r="EEZ17" s="338"/>
      <c r="EFA17" s="338"/>
      <c r="EFB17" s="338"/>
      <c r="EFC17" s="338"/>
      <c r="EFD17" s="338"/>
      <c r="EFE17" s="338"/>
      <c r="EFF17" s="338"/>
      <c r="EFG17" s="338"/>
      <c r="EFH17" s="338"/>
      <c r="EFI17" s="338"/>
      <c r="EFJ17" s="338"/>
      <c r="EFK17" s="338"/>
      <c r="EFL17" s="338"/>
      <c r="EFM17" s="338"/>
      <c r="EFN17" s="338"/>
      <c r="EFO17" s="338"/>
      <c r="EFP17" s="338"/>
      <c r="EFQ17" s="338"/>
      <c r="EFR17" s="338"/>
      <c r="EFS17" s="338"/>
      <c r="EFT17" s="338"/>
      <c r="EFU17" s="338"/>
      <c r="EFV17" s="338"/>
      <c r="EFW17" s="338"/>
      <c r="EFX17" s="338"/>
      <c r="EFY17" s="338"/>
      <c r="EFZ17" s="338"/>
      <c r="EGA17" s="338"/>
      <c r="EGB17" s="338"/>
      <c r="EGC17" s="338"/>
      <c r="EGD17" s="338"/>
      <c r="EGE17" s="338"/>
      <c r="EGF17" s="338"/>
      <c r="EGG17" s="338"/>
      <c r="EGH17" s="338"/>
      <c r="EGI17" s="338"/>
      <c r="EGJ17" s="338"/>
      <c r="EGK17" s="338"/>
      <c r="EGL17" s="338"/>
      <c r="EGM17" s="338"/>
      <c r="EGN17" s="338"/>
      <c r="EGO17" s="338"/>
      <c r="EGP17" s="338"/>
      <c r="EGQ17" s="338"/>
      <c r="EGR17" s="338"/>
      <c r="EGS17" s="338"/>
      <c r="EGT17" s="338"/>
      <c r="EGU17" s="338"/>
      <c r="EGV17" s="338"/>
      <c r="EGW17" s="338"/>
      <c r="EGX17" s="338"/>
      <c r="EGY17" s="338"/>
      <c r="EGZ17" s="338"/>
      <c r="EHA17" s="338"/>
      <c r="EHB17" s="338"/>
      <c r="EHC17" s="338"/>
      <c r="EHD17" s="338"/>
      <c r="EHE17" s="338"/>
      <c r="EHF17" s="338"/>
      <c r="EHG17" s="338"/>
      <c r="EHH17" s="338"/>
      <c r="EHI17" s="338"/>
      <c r="EHJ17" s="338"/>
      <c r="EHK17" s="338"/>
      <c r="EHL17" s="338"/>
      <c r="EHM17" s="338"/>
      <c r="EHN17" s="338"/>
      <c r="EHO17" s="338"/>
      <c r="EHP17" s="338"/>
      <c r="EHQ17" s="338"/>
      <c r="EHR17" s="338"/>
      <c r="EHS17" s="338"/>
      <c r="EHT17" s="338"/>
      <c r="EHU17" s="338"/>
      <c r="EHV17" s="338"/>
      <c r="EHW17" s="338"/>
      <c r="EHX17" s="338"/>
      <c r="EHY17" s="338"/>
      <c r="EHZ17" s="338"/>
      <c r="EIA17" s="338"/>
      <c r="EIB17" s="338"/>
      <c r="EIC17" s="338"/>
      <c r="EID17" s="338"/>
      <c r="EIE17" s="338"/>
      <c r="EIF17" s="338"/>
      <c r="EIG17" s="338"/>
      <c r="EIH17" s="338"/>
      <c r="EII17" s="338"/>
      <c r="EIJ17" s="338"/>
      <c r="EIK17" s="338"/>
      <c r="EIL17" s="338"/>
      <c r="EIM17" s="338"/>
      <c r="EIN17" s="338"/>
      <c r="EIO17" s="338"/>
      <c r="EIP17" s="338"/>
      <c r="EIQ17" s="338"/>
      <c r="EIR17" s="338"/>
      <c r="EIS17" s="338"/>
      <c r="EIT17" s="338"/>
      <c r="EIU17" s="338"/>
      <c r="EIV17" s="338"/>
      <c r="EIW17" s="338"/>
      <c r="EIX17" s="338"/>
      <c r="EIY17" s="338"/>
      <c r="EIZ17" s="338"/>
      <c r="EJA17" s="338"/>
      <c r="EJB17" s="338"/>
      <c r="EJC17" s="338"/>
      <c r="EJD17" s="338"/>
      <c r="EJE17" s="338"/>
      <c r="EJF17" s="338"/>
      <c r="EJG17" s="338"/>
      <c r="EJH17" s="338"/>
      <c r="EJI17" s="338"/>
      <c r="EJJ17" s="338"/>
      <c r="EJK17" s="338"/>
      <c r="EJL17" s="338"/>
      <c r="EJM17" s="338"/>
      <c r="EJN17" s="338"/>
      <c r="EJO17" s="338"/>
      <c r="EJP17" s="338"/>
      <c r="EJQ17" s="338"/>
      <c r="EJR17" s="338"/>
      <c r="EJS17" s="338"/>
      <c r="EJT17" s="338"/>
      <c r="EJU17" s="338"/>
      <c r="EJV17" s="338"/>
      <c r="EJW17" s="338"/>
      <c r="EJX17" s="338"/>
      <c r="EJY17" s="338"/>
      <c r="EJZ17" s="338"/>
      <c r="EKA17" s="338"/>
      <c r="EKB17" s="338"/>
      <c r="EKC17" s="338"/>
      <c r="EKD17" s="338"/>
      <c r="EKE17" s="338"/>
      <c r="EKF17" s="338"/>
      <c r="EKG17" s="338"/>
      <c r="EKH17" s="338"/>
      <c r="EKI17" s="338"/>
      <c r="EKJ17" s="338"/>
      <c r="EKK17" s="338"/>
      <c r="EKL17" s="338"/>
      <c r="EKM17" s="338"/>
      <c r="EKN17" s="338"/>
      <c r="EKO17" s="338"/>
      <c r="EKP17" s="338"/>
      <c r="EKQ17" s="338"/>
      <c r="EKR17" s="338"/>
      <c r="EKS17" s="338"/>
      <c r="EKT17" s="338"/>
      <c r="EKU17" s="338"/>
      <c r="EKV17" s="338"/>
      <c r="EKW17" s="338"/>
      <c r="EKX17" s="338"/>
      <c r="EKY17" s="338"/>
      <c r="EKZ17" s="338"/>
      <c r="ELA17" s="338"/>
      <c r="ELB17" s="338"/>
      <c r="ELC17" s="338"/>
      <c r="ELD17" s="338"/>
      <c r="ELE17" s="338"/>
      <c r="ELF17" s="338"/>
      <c r="ELG17" s="338"/>
      <c r="ELH17" s="338"/>
      <c r="ELI17" s="338"/>
      <c r="ELJ17" s="338"/>
      <c r="ELK17" s="338"/>
      <c r="ELL17" s="338"/>
      <c r="ELM17" s="338"/>
      <c r="ELN17" s="338"/>
      <c r="ELO17" s="338"/>
      <c r="ELP17" s="338"/>
      <c r="ELQ17" s="338"/>
      <c r="ELR17" s="338"/>
      <c r="ELS17" s="338"/>
      <c r="ELT17" s="338"/>
      <c r="ELU17" s="338"/>
      <c r="ELV17" s="338"/>
      <c r="ELW17" s="338"/>
      <c r="ELX17" s="338"/>
      <c r="ELY17" s="338"/>
      <c r="ELZ17" s="338"/>
      <c r="EMA17" s="338"/>
      <c r="EMB17" s="338"/>
      <c r="EMC17" s="338"/>
      <c r="EMD17" s="338"/>
      <c r="EME17" s="338"/>
      <c r="EMF17" s="338"/>
      <c r="EMG17" s="338"/>
      <c r="EMH17" s="338"/>
      <c r="EMI17" s="338"/>
      <c r="EMJ17" s="338"/>
      <c r="EMK17" s="338"/>
      <c r="EML17" s="338"/>
      <c r="EMM17" s="338"/>
      <c r="EMN17" s="338"/>
      <c r="EMO17" s="338"/>
      <c r="EMP17" s="338"/>
      <c r="EMQ17" s="338"/>
      <c r="EMR17" s="338"/>
      <c r="EMS17" s="338"/>
      <c r="EMT17" s="338"/>
      <c r="EMU17" s="338"/>
      <c r="EMV17" s="338"/>
      <c r="EMW17" s="338"/>
      <c r="EMX17" s="338"/>
      <c r="EMY17" s="338"/>
      <c r="EMZ17" s="338"/>
      <c r="ENA17" s="338"/>
      <c r="ENB17" s="338"/>
      <c r="ENC17" s="338"/>
      <c r="END17" s="338"/>
      <c r="ENE17" s="338"/>
      <c r="ENF17" s="338"/>
      <c r="ENG17" s="338"/>
      <c r="ENH17" s="338"/>
      <c r="ENI17" s="338"/>
      <c r="ENJ17" s="338"/>
      <c r="ENK17" s="338"/>
      <c r="ENL17" s="338"/>
      <c r="ENM17" s="338"/>
      <c r="ENN17" s="338"/>
      <c r="ENO17" s="338"/>
      <c r="ENP17" s="338"/>
      <c r="ENQ17" s="338"/>
      <c r="ENR17" s="338"/>
      <c r="ENS17" s="338"/>
      <c r="ENT17" s="338"/>
      <c r="ENU17" s="338"/>
      <c r="ENV17" s="338"/>
      <c r="ENW17" s="338"/>
      <c r="ENX17" s="338"/>
      <c r="ENY17" s="338"/>
      <c r="ENZ17" s="338"/>
      <c r="EOA17" s="338"/>
      <c r="EOB17" s="338"/>
      <c r="EOC17" s="338"/>
      <c r="EOD17" s="338"/>
      <c r="EOE17" s="338"/>
      <c r="EOF17" s="338"/>
      <c r="EOG17" s="338"/>
      <c r="EOH17" s="338"/>
      <c r="EOI17" s="338"/>
      <c r="EOJ17" s="338"/>
      <c r="EOK17" s="338"/>
      <c r="EOL17" s="338"/>
      <c r="EOM17" s="338"/>
      <c r="EON17" s="338"/>
      <c r="EOO17" s="338"/>
      <c r="EOP17" s="338"/>
      <c r="EOQ17" s="338"/>
      <c r="EOR17" s="338"/>
      <c r="EOS17" s="338"/>
      <c r="EOT17" s="338"/>
      <c r="EOU17" s="338"/>
      <c r="EOV17" s="338"/>
      <c r="EOW17" s="338"/>
      <c r="EOX17" s="338"/>
      <c r="EOY17" s="338"/>
      <c r="EOZ17" s="338"/>
      <c r="EPA17" s="338"/>
      <c r="EPB17" s="338"/>
      <c r="EPC17" s="338"/>
      <c r="EPD17" s="338"/>
      <c r="EPE17" s="338"/>
      <c r="EPF17" s="338"/>
      <c r="EPG17" s="338"/>
      <c r="EPH17" s="338"/>
      <c r="EPI17" s="338"/>
      <c r="EPJ17" s="338"/>
      <c r="EPK17" s="338"/>
      <c r="EPL17" s="338"/>
      <c r="EPM17" s="338"/>
      <c r="EPN17" s="338"/>
      <c r="EPO17" s="338"/>
      <c r="EPP17" s="338"/>
      <c r="EPQ17" s="338"/>
      <c r="EPR17" s="338"/>
      <c r="EPS17" s="338"/>
      <c r="EPT17" s="338"/>
      <c r="EPU17" s="338"/>
      <c r="EPV17" s="338"/>
      <c r="EPW17" s="338"/>
      <c r="EPX17" s="338"/>
      <c r="EPY17" s="338"/>
      <c r="EPZ17" s="338"/>
      <c r="EQA17" s="338"/>
      <c r="EQB17" s="338"/>
      <c r="EQC17" s="338"/>
      <c r="EQD17" s="338"/>
      <c r="EQE17" s="338"/>
      <c r="EQF17" s="338"/>
      <c r="EQG17" s="338"/>
      <c r="EQH17" s="338"/>
      <c r="EQI17" s="338"/>
      <c r="EQJ17" s="338"/>
      <c r="EQK17" s="338"/>
      <c r="EQL17" s="338"/>
      <c r="EQM17" s="338"/>
      <c r="EQN17" s="338"/>
      <c r="EQO17" s="338"/>
      <c r="EQP17" s="338"/>
      <c r="EQQ17" s="338"/>
      <c r="EQR17" s="338"/>
      <c r="EQS17" s="338"/>
      <c r="EQT17" s="338"/>
      <c r="EQU17" s="338"/>
      <c r="EQV17" s="338"/>
      <c r="EQW17" s="338"/>
      <c r="EQX17" s="338"/>
      <c r="EQY17" s="338"/>
      <c r="EQZ17" s="338"/>
      <c r="ERA17" s="338"/>
      <c r="ERB17" s="338"/>
      <c r="ERC17" s="338"/>
      <c r="ERD17" s="338"/>
      <c r="ERE17" s="338"/>
      <c r="ERF17" s="338"/>
      <c r="ERG17" s="338"/>
      <c r="ERH17" s="338"/>
      <c r="ERI17" s="338"/>
      <c r="ERJ17" s="338"/>
      <c r="ERK17" s="338"/>
      <c r="ERL17" s="338"/>
      <c r="ERM17" s="338"/>
      <c r="ERN17" s="338"/>
      <c r="ERO17" s="338"/>
      <c r="ERP17" s="338"/>
      <c r="ERQ17" s="338"/>
      <c r="ERR17" s="338"/>
      <c r="ERS17" s="338"/>
      <c r="ERT17" s="338"/>
      <c r="ERU17" s="338"/>
      <c r="ERV17" s="338"/>
      <c r="ERW17" s="338"/>
      <c r="ERX17" s="338"/>
      <c r="ERY17" s="338"/>
      <c r="ERZ17" s="338"/>
      <c r="ESA17" s="338"/>
      <c r="ESB17" s="338"/>
      <c r="ESC17" s="338"/>
      <c r="ESD17" s="338"/>
      <c r="ESE17" s="338"/>
      <c r="ESF17" s="338"/>
      <c r="ESG17" s="338"/>
      <c r="ESH17" s="338"/>
      <c r="ESI17" s="338"/>
      <c r="ESJ17" s="338"/>
      <c r="ESK17" s="338"/>
      <c r="ESL17" s="338"/>
      <c r="ESM17" s="338"/>
      <c r="ESN17" s="338"/>
      <c r="ESO17" s="338"/>
      <c r="ESP17" s="338"/>
      <c r="ESQ17" s="338"/>
      <c r="ESR17" s="338"/>
      <c r="ESS17" s="338"/>
      <c r="EST17" s="338"/>
      <c r="ESU17" s="338"/>
      <c r="ESV17" s="338"/>
      <c r="ESW17" s="338"/>
      <c r="ESX17" s="338"/>
      <c r="ESY17" s="338"/>
      <c r="ESZ17" s="338"/>
      <c r="ETA17" s="338"/>
      <c r="ETB17" s="338"/>
      <c r="ETC17" s="338"/>
      <c r="ETD17" s="338"/>
      <c r="ETE17" s="338"/>
      <c r="ETF17" s="338"/>
      <c r="ETG17" s="338"/>
      <c r="ETH17" s="338"/>
      <c r="ETI17" s="338"/>
      <c r="ETJ17" s="338"/>
      <c r="ETK17" s="338"/>
      <c r="ETL17" s="338"/>
      <c r="ETM17" s="338"/>
      <c r="ETN17" s="338"/>
      <c r="ETO17" s="338"/>
      <c r="ETP17" s="338"/>
      <c r="ETQ17" s="338"/>
      <c r="ETR17" s="338"/>
      <c r="ETS17" s="338"/>
      <c r="ETT17" s="338"/>
      <c r="ETU17" s="338"/>
      <c r="ETV17" s="338"/>
      <c r="ETW17" s="338"/>
      <c r="ETX17" s="338"/>
      <c r="ETY17" s="338"/>
      <c r="ETZ17" s="338"/>
      <c r="EUA17" s="338"/>
      <c r="EUB17" s="338"/>
      <c r="EUC17" s="338"/>
      <c r="EUD17" s="338"/>
      <c r="EUE17" s="338"/>
      <c r="EUF17" s="338"/>
      <c r="EUG17" s="338"/>
      <c r="EUH17" s="338"/>
      <c r="EUI17" s="338"/>
      <c r="EUJ17" s="338"/>
      <c r="EUK17" s="338"/>
      <c r="EUL17" s="338"/>
      <c r="EUM17" s="338"/>
      <c r="EUN17" s="338"/>
      <c r="EUO17" s="338"/>
      <c r="EUP17" s="338"/>
      <c r="EUQ17" s="338"/>
      <c r="EUR17" s="338"/>
      <c r="EUS17" s="338"/>
      <c r="EUT17" s="338"/>
      <c r="EUU17" s="338"/>
      <c r="EUV17" s="338"/>
      <c r="EUW17" s="338"/>
      <c r="EUX17" s="338"/>
      <c r="EUY17" s="338"/>
      <c r="EUZ17" s="338"/>
      <c r="EVA17" s="338"/>
      <c r="EVB17" s="338"/>
      <c r="EVC17" s="338"/>
      <c r="EVD17" s="338"/>
      <c r="EVE17" s="338"/>
      <c r="EVF17" s="338"/>
      <c r="EVG17" s="338"/>
      <c r="EVH17" s="338"/>
      <c r="EVI17" s="338"/>
      <c r="EVJ17" s="338"/>
      <c r="EVK17" s="338"/>
      <c r="EVL17" s="338"/>
      <c r="EVM17" s="338"/>
      <c r="EVN17" s="338"/>
      <c r="EVO17" s="338"/>
      <c r="EVP17" s="338"/>
      <c r="EVQ17" s="338"/>
      <c r="EVR17" s="338"/>
      <c r="EVS17" s="338"/>
      <c r="EVT17" s="338"/>
      <c r="EVU17" s="338"/>
      <c r="EVV17" s="338"/>
      <c r="EVW17" s="338"/>
      <c r="EVX17" s="338"/>
      <c r="EVY17" s="338"/>
      <c r="EVZ17" s="338"/>
      <c r="EWA17" s="338"/>
      <c r="EWB17" s="338"/>
      <c r="EWC17" s="338"/>
      <c r="EWD17" s="338"/>
      <c r="EWE17" s="338"/>
      <c r="EWF17" s="338"/>
      <c r="EWG17" s="338"/>
      <c r="EWH17" s="338"/>
      <c r="EWI17" s="338"/>
      <c r="EWJ17" s="338"/>
      <c r="EWK17" s="338"/>
      <c r="EWL17" s="338"/>
      <c r="EWM17" s="338"/>
      <c r="EWN17" s="338"/>
      <c r="EWO17" s="338"/>
      <c r="EWP17" s="338"/>
      <c r="EWQ17" s="338"/>
      <c r="EWR17" s="338"/>
      <c r="EWS17" s="338"/>
      <c r="EWT17" s="338"/>
      <c r="EWU17" s="338"/>
      <c r="EWV17" s="338"/>
      <c r="EWW17" s="338"/>
      <c r="EWX17" s="338"/>
      <c r="EWY17" s="338"/>
      <c r="EWZ17" s="338"/>
      <c r="EXA17" s="338"/>
      <c r="EXB17" s="338"/>
      <c r="EXC17" s="338"/>
      <c r="EXD17" s="338"/>
      <c r="EXE17" s="338"/>
      <c r="EXF17" s="338"/>
      <c r="EXG17" s="338"/>
      <c r="EXH17" s="338"/>
      <c r="EXI17" s="338"/>
      <c r="EXJ17" s="338"/>
      <c r="EXK17" s="338"/>
      <c r="EXL17" s="338"/>
      <c r="EXM17" s="338"/>
      <c r="EXN17" s="338"/>
      <c r="EXO17" s="338"/>
      <c r="EXP17" s="338"/>
      <c r="EXQ17" s="338"/>
      <c r="EXR17" s="338"/>
      <c r="EXS17" s="338"/>
      <c r="EXT17" s="338"/>
      <c r="EXU17" s="338"/>
      <c r="EXV17" s="338"/>
      <c r="EXW17" s="338"/>
      <c r="EXX17" s="338"/>
      <c r="EXY17" s="338"/>
      <c r="EXZ17" s="338"/>
      <c r="EYA17" s="338"/>
      <c r="EYB17" s="338"/>
      <c r="EYC17" s="338"/>
      <c r="EYD17" s="338"/>
      <c r="EYE17" s="338"/>
      <c r="EYF17" s="338"/>
      <c r="EYG17" s="338"/>
      <c r="EYH17" s="338"/>
      <c r="EYI17" s="338"/>
      <c r="EYJ17" s="338"/>
      <c r="EYK17" s="338"/>
      <c r="EYL17" s="338"/>
      <c r="EYM17" s="338"/>
      <c r="EYN17" s="338"/>
      <c r="EYO17" s="338"/>
      <c r="EYP17" s="338"/>
      <c r="EYQ17" s="338"/>
      <c r="EYR17" s="338"/>
      <c r="EYS17" s="338"/>
      <c r="EYT17" s="338"/>
      <c r="EYU17" s="338"/>
      <c r="EYV17" s="338"/>
      <c r="EYW17" s="338"/>
      <c r="EYX17" s="338"/>
      <c r="EYY17" s="338"/>
      <c r="EYZ17" s="338"/>
      <c r="EZA17" s="338"/>
      <c r="EZB17" s="338"/>
      <c r="EZC17" s="338"/>
      <c r="EZD17" s="338"/>
      <c r="EZE17" s="338"/>
      <c r="EZF17" s="338"/>
      <c r="EZG17" s="338"/>
      <c r="EZH17" s="338"/>
      <c r="EZI17" s="338"/>
      <c r="EZJ17" s="338"/>
      <c r="EZK17" s="338"/>
      <c r="EZL17" s="338"/>
      <c r="EZM17" s="338"/>
      <c r="EZN17" s="338"/>
      <c r="EZO17" s="338"/>
      <c r="EZP17" s="338"/>
      <c r="EZQ17" s="338"/>
      <c r="EZR17" s="338"/>
      <c r="EZS17" s="338"/>
      <c r="EZT17" s="338"/>
      <c r="EZU17" s="338"/>
      <c r="EZV17" s="338"/>
      <c r="EZW17" s="338"/>
      <c r="EZX17" s="338"/>
      <c r="EZY17" s="338"/>
      <c r="EZZ17" s="338"/>
      <c r="FAA17" s="338"/>
      <c r="FAB17" s="338"/>
      <c r="FAC17" s="338"/>
      <c r="FAD17" s="338"/>
      <c r="FAE17" s="338"/>
      <c r="FAF17" s="338"/>
      <c r="FAG17" s="338"/>
      <c r="FAH17" s="338"/>
      <c r="FAI17" s="338"/>
      <c r="FAJ17" s="338"/>
      <c r="FAK17" s="338"/>
      <c r="FAL17" s="338"/>
      <c r="FAM17" s="338"/>
      <c r="FAN17" s="338"/>
      <c r="FAO17" s="338"/>
      <c r="FAP17" s="338"/>
      <c r="FAQ17" s="338"/>
      <c r="FAR17" s="338"/>
      <c r="FAS17" s="338"/>
      <c r="FAT17" s="338"/>
      <c r="FAU17" s="338"/>
      <c r="FAV17" s="338"/>
      <c r="FAW17" s="338"/>
      <c r="FAX17" s="338"/>
      <c r="FAY17" s="338"/>
      <c r="FAZ17" s="338"/>
      <c r="FBA17" s="338"/>
      <c r="FBB17" s="338"/>
      <c r="FBC17" s="338"/>
      <c r="FBD17" s="338"/>
      <c r="FBE17" s="338"/>
      <c r="FBF17" s="338"/>
      <c r="FBG17" s="338"/>
      <c r="FBH17" s="338"/>
      <c r="FBI17" s="338"/>
      <c r="FBJ17" s="338"/>
      <c r="FBK17" s="338"/>
      <c r="FBL17" s="338"/>
      <c r="FBM17" s="338"/>
      <c r="FBN17" s="338"/>
      <c r="FBO17" s="338"/>
      <c r="FBP17" s="338"/>
      <c r="FBQ17" s="338"/>
      <c r="FBR17" s="338"/>
      <c r="FBS17" s="338"/>
      <c r="FBT17" s="338"/>
      <c r="FBU17" s="338"/>
      <c r="FBV17" s="338"/>
      <c r="FBW17" s="338"/>
      <c r="FBX17" s="338"/>
      <c r="FBY17" s="338"/>
      <c r="FBZ17" s="338"/>
      <c r="FCA17" s="338"/>
      <c r="FCB17" s="338"/>
      <c r="FCC17" s="338"/>
      <c r="FCD17" s="338"/>
      <c r="FCE17" s="338"/>
      <c r="FCF17" s="338"/>
      <c r="FCG17" s="338"/>
      <c r="FCH17" s="338"/>
      <c r="FCI17" s="338"/>
      <c r="FCJ17" s="338"/>
      <c r="FCK17" s="338"/>
      <c r="FCL17" s="338"/>
      <c r="FCM17" s="338"/>
      <c r="FCN17" s="338"/>
      <c r="FCO17" s="338"/>
      <c r="FCP17" s="338"/>
      <c r="FCQ17" s="338"/>
      <c r="FCR17" s="338"/>
      <c r="FCS17" s="338"/>
      <c r="FCT17" s="338"/>
      <c r="FCU17" s="338"/>
      <c r="FCV17" s="338"/>
      <c r="FCW17" s="338"/>
      <c r="FCX17" s="338"/>
      <c r="FCY17" s="338"/>
      <c r="FCZ17" s="338"/>
      <c r="FDA17" s="338"/>
      <c r="FDB17" s="338"/>
      <c r="FDC17" s="338"/>
      <c r="FDD17" s="338"/>
      <c r="FDE17" s="338"/>
      <c r="FDF17" s="338"/>
      <c r="FDG17" s="338"/>
      <c r="FDH17" s="338"/>
      <c r="FDI17" s="338"/>
      <c r="FDJ17" s="338"/>
      <c r="FDK17" s="338"/>
      <c r="FDL17" s="338"/>
      <c r="FDM17" s="338"/>
      <c r="FDN17" s="338"/>
      <c r="FDO17" s="338"/>
      <c r="FDP17" s="338"/>
      <c r="FDQ17" s="338"/>
      <c r="FDR17" s="338"/>
      <c r="FDS17" s="338"/>
      <c r="FDT17" s="338"/>
      <c r="FDU17" s="338"/>
      <c r="FDV17" s="338"/>
      <c r="FDW17" s="338"/>
      <c r="FDX17" s="338"/>
      <c r="FDY17" s="338"/>
      <c r="FDZ17" s="338"/>
      <c r="FEA17" s="338"/>
      <c r="FEB17" s="338"/>
      <c r="FEC17" s="338"/>
      <c r="FED17" s="338"/>
      <c r="FEE17" s="338"/>
      <c r="FEF17" s="338"/>
      <c r="FEG17" s="338"/>
      <c r="FEH17" s="338"/>
      <c r="FEI17" s="338"/>
      <c r="FEJ17" s="338"/>
      <c r="FEK17" s="338"/>
      <c r="FEL17" s="338"/>
      <c r="FEM17" s="338"/>
      <c r="FEN17" s="338"/>
      <c r="FEO17" s="338"/>
      <c r="FEP17" s="338"/>
      <c r="FEQ17" s="338"/>
      <c r="FER17" s="338"/>
      <c r="FES17" s="338"/>
      <c r="FET17" s="338"/>
      <c r="FEU17" s="338"/>
      <c r="FEV17" s="338"/>
      <c r="FEW17" s="338"/>
      <c r="FEX17" s="338"/>
      <c r="FEY17" s="338"/>
      <c r="FEZ17" s="338"/>
      <c r="FFA17" s="338"/>
      <c r="FFB17" s="338"/>
      <c r="FFC17" s="338"/>
      <c r="FFD17" s="338"/>
      <c r="FFE17" s="338"/>
      <c r="FFF17" s="338"/>
      <c r="FFG17" s="338"/>
      <c r="FFH17" s="338"/>
      <c r="FFI17" s="338"/>
      <c r="FFJ17" s="338"/>
      <c r="FFK17" s="338"/>
      <c r="FFL17" s="338"/>
      <c r="FFM17" s="338"/>
      <c r="FFN17" s="338"/>
      <c r="FFO17" s="338"/>
      <c r="FFP17" s="338"/>
      <c r="FFQ17" s="338"/>
      <c r="FFR17" s="338"/>
      <c r="FFS17" s="338"/>
      <c r="FFT17" s="338"/>
      <c r="FFU17" s="338"/>
      <c r="FFV17" s="338"/>
      <c r="FFW17" s="338"/>
      <c r="FFX17" s="338"/>
      <c r="FFY17" s="338"/>
      <c r="FFZ17" s="338"/>
      <c r="FGA17" s="338"/>
      <c r="FGB17" s="338"/>
      <c r="FGC17" s="338"/>
      <c r="FGD17" s="338"/>
      <c r="FGE17" s="338"/>
      <c r="FGF17" s="338"/>
      <c r="FGG17" s="338"/>
      <c r="FGH17" s="338"/>
      <c r="FGI17" s="338"/>
      <c r="FGJ17" s="338"/>
      <c r="FGK17" s="338"/>
      <c r="FGL17" s="338"/>
      <c r="FGM17" s="338"/>
      <c r="FGN17" s="338"/>
      <c r="FGO17" s="338"/>
      <c r="FGP17" s="338"/>
      <c r="FGQ17" s="338"/>
      <c r="FGR17" s="338"/>
      <c r="FGS17" s="338"/>
      <c r="FGT17" s="338"/>
      <c r="FGU17" s="338"/>
      <c r="FGV17" s="338"/>
      <c r="FGW17" s="338"/>
      <c r="FGX17" s="338"/>
      <c r="FGY17" s="338"/>
      <c r="FGZ17" s="338"/>
      <c r="FHA17" s="338"/>
      <c r="FHB17" s="338"/>
      <c r="FHC17" s="338"/>
      <c r="FHD17" s="338"/>
      <c r="FHE17" s="338"/>
      <c r="FHF17" s="338"/>
      <c r="FHG17" s="338"/>
      <c r="FHH17" s="338"/>
      <c r="FHI17" s="338"/>
      <c r="FHJ17" s="338"/>
      <c r="FHK17" s="338"/>
      <c r="FHL17" s="338"/>
      <c r="FHM17" s="338"/>
      <c r="FHN17" s="338"/>
      <c r="FHO17" s="338"/>
      <c r="FHP17" s="338"/>
      <c r="FHQ17" s="338"/>
      <c r="FHR17" s="338"/>
      <c r="FHS17" s="338"/>
      <c r="FHT17" s="338"/>
      <c r="FHU17" s="338"/>
      <c r="FHV17" s="338"/>
      <c r="FHW17" s="338"/>
      <c r="FHX17" s="338"/>
      <c r="FHY17" s="338"/>
      <c r="FHZ17" s="338"/>
      <c r="FIA17" s="338"/>
      <c r="FIB17" s="338"/>
      <c r="FIC17" s="338"/>
      <c r="FID17" s="338"/>
      <c r="FIE17" s="338"/>
      <c r="FIF17" s="338"/>
      <c r="FIG17" s="338"/>
      <c r="FIH17" s="338"/>
      <c r="FII17" s="338"/>
      <c r="FIJ17" s="338"/>
      <c r="FIK17" s="338"/>
      <c r="FIL17" s="338"/>
      <c r="FIM17" s="338"/>
      <c r="FIN17" s="338"/>
      <c r="FIO17" s="338"/>
      <c r="FIP17" s="338"/>
      <c r="FIQ17" s="338"/>
      <c r="FIR17" s="338"/>
      <c r="FIS17" s="338"/>
      <c r="FIT17" s="338"/>
      <c r="FIU17" s="338"/>
      <c r="FIV17" s="338"/>
      <c r="FIW17" s="338"/>
      <c r="FIX17" s="338"/>
      <c r="FIY17" s="338"/>
      <c r="FIZ17" s="338"/>
      <c r="FJA17" s="338"/>
      <c r="FJB17" s="338"/>
      <c r="FJC17" s="338"/>
      <c r="FJD17" s="338"/>
      <c r="FJE17" s="338"/>
      <c r="FJF17" s="338"/>
      <c r="FJG17" s="338"/>
      <c r="FJH17" s="338"/>
      <c r="FJI17" s="338"/>
      <c r="FJJ17" s="338"/>
      <c r="FJK17" s="338"/>
      <c r="FJL17" s="338"/>
      <c r="FJM17" s="338"/>
      <c r="FJN17" s="338"/>
      <c r="FJO17" s="338"/>
      <c r="FJP17" s="338"/>
      <c r="FJQ17" s="338"/>
      <c r="FJR17" s="338"/>
      <c r="FJS17" s="338"/>
      <c r="FJT17" s="338"/>
      <c r="FJU17" s="338"/>
      <c r="FJV17" s="338"/>
      <c r="FJW17" s="338"/>
      <c r="FJX17" s="338"/>
      <c r="FJY17" s="338"/>
      <c r="FJZ17" s="338"/>
      <c r="FKA17" s="338"/>
      <c r="FKB17" s="338"/>
      <c r="FKC17" s="338"/>
      <c r="FKD17" s="338"/>
      <c r="FKE17" s="338"/>
      <c r="FKF17" s="338"/>
      <c r="FKG17" s="338"/>
      <c r="FKH17" s="338"/>
      <c r="FKI17" s="338"/>
      <c r="FKJ17" s="338"/>
      <c r="FKK17" s="338"/>
      <c r="FKL17" s="338"/>
      <c r="FKM17" s="338"/>
      <c r="FKN17" s="338"/>
      <c r="FKO17" s="338"/>
      <c r="FKP17" s="338"/>
      <c r="FKQ17" s="338"/>
      <c r="FKR17" s="338"/>
      <c r="FKS17" s="338"/>
      <c r="FKT17" s="338"/>
      <c r="FKU17" s="338"/>
      <c r="FKV17" s="338"/>
      <c r="FKW17" s="338"/>
      <c r="FKX17" s="338"/>
      <c r="FKY17" s="338"/>
      <c r="FKZ17" s="338"/>
      <c r="FLA17" s="338"/>
      <c r="FLB17" s="338"/>
      <c r="FLC17" s="338"/>
      <c r="FLD17" s="338"/>
      <c r="FLE17" s="338"/>
      <c r="FLF17" s="338"/>
      <c r="FLG17" s="338"/>
      <c r="FLH17" s="338"/>
      <c r="FLI17" s="338"/>
      <c r="FLJ17" s="338"/>
      <c r="FLK17" s="338"/>
      <c r="FLL17" s="338"/>
      <c r="FLM17" s="338"/>
      <c r="FLN17" s="338"/>
      <c r="FLO17" s="338"/>
      <c r="FLP17" s="338"/>
      <c r="FLQ17" s="338"/>
      <c r="FLR17" s="338"/>
      <c r="FLS17" s="338"/>
      <c r="FLT17" s="338"/>
      <c r="FLU17" s="338"/>
      <c r="FLV17" s="338"/>
      <c r="FLW17" s="338"/>
      <c r="FLX17" s="338"/>
      <c r="FLY17" s="338"/>
      <c r="FLZ17" s="338"/>
      <c r="FMA17" s="338"/>
      <c r="FMB17" s="338"/>
      <c r="FMC17" s="338"/>
      <c r="FMD17" s="338"/>
      <c r="FME17" s="338"/>
      <c r="FMF17" s="338"/>
      <c r="FMG17" s="338"/>
      <c r="FMH17" s="338"/>
      <c r="FMI17" s="338"/>
      <c r="FMJ17" s="338"/>
      <c r="FMK17" s="338"/>
      <c r="FML17" s="338"/>
      <c r="FMM17" s="338"/>
      <c r="FMN17" s="338"/>
      <c r="FMO17" s="338"/>
      <c r="FMP17" s="338"/>
      <c r="FMQ17" s="338"/>
      <c r="FMR17" s="338"/>
      <c r="FMS17" s="338"/>
      <c r="FMT17" s="338"/>
      <c r="FMU17" s="338"/>
      <c r="FMV17" s="338"/>
      <c r="FMW17" s="338"/>
      <c r="FMX17" s="338"/>
      <c r="FMY17" s="338"/>
      <c r="FMZ17" s="338"/>
      <c r="FNA17" s="338"/>
      <c r="FNB17" s="338"/>
      <c r="FNC17" s="338"/>
      <c r="FND17" s="338"/>
      <c r="FNE17" s="338"/>
      <c r="FNF17" s="338"/>
      <c r="FNG17" s="338"/>
      <c r="FNH17" s="338"/>
      <c r="FNI17" s="338"/>
      <c r="FNJ17" s="338"/>
      <c r="FNK17" s="338"/>
      <c r="FNL17" s="338"/>
      <c r="FNM17" s="338"/>
      <c r="FNN17" s="338"/>
      <c r="FNO17" s="338"/>
      <c r="FNP17" s="338"/>
      <c r="FNQ17" s="338"/>
      <c r="FNR17" s="338"/>
      <c r="FNS17" s="338"/>
      <c r="FNT17" s="338"/>
      <c r="FNU17" s="338"/>
      <c r="FNV17" s="338"/>
      <c r="FNW17" s="338"/>
      <c r="FNX17" s="338"/>
      <c r="FNY17" s="338"/>
      <c r="FNZ17" s="338"/>
      <c r="FOA17" s="338"/>
      <c r="FOB17" s="338"/>
      <c r="FOC17" s="338"/>
      <c r="FOD17" s="338"/>
      <c r="FOE17" s="338"/>
      <c r="FOF17" s="338"/>
      <c r="FOG17" s="338"/>
      <c r="FOH17" s="338"/>
      <c r="FOI17" s="338"/>
      <c r="FOJ17" s="338"/>
      <c r="FOK17" s="338"/>
      <c r="FOL17" s="338"/>
      <c r="FOM17" s="338"/>
      <c r="FON17" s="338"/>
      <c r="FOO17" s="338"/>
      <c r="FOP17" s="338"/>
      <c r="FOQ17" s="338"/>
      <c r="FOR17" s="338"/>
      <c r="FOS17" s="338"/>
      <c r="FOT17" s="338"/>
      <c r="FOU17" s="338"/>
      <c r="FOV17" s="338"/>
      <c r="FOW17" s="338"/>
      <c r="FOX17" s="338"/>
      <c r="FOY17" s="338"/>
      <c r="FOZ17" s="338"/>
      <c r="FPA17" s="338"/>
      <c r="FPB17" s="338"/>
      <c r="FPC17" s="338"/>
      <c r="FPD17" s="338"/>
      <c r="FPE17" s="338"/>
      <c r="FPF17" s="338"/>
      <c r="FPG17" s="338"/>
      <c r="FPH17" s="338"/>
      <c r="FPI17" s="338"/>
      <c r="FPJ17" s="338"/>
      <c r="FPK17" s="338"/>
      <c r="FPL17" s="338"/>
      <c r="FPM17" s="338"/>
      <c r="FPN17" s="338"/>
      <c r="FPO17" s="338"/>
      <c r="FPP17" s="338"/>
      <c r="FPQ17" s="338"/>
      <c r="FPR17" s="338"/>
      <c r="FPS17" s="338"/>
      <c r="FPT17" s="338"/>
      <c r="FPU17" s="338"/>
      <c r="FPV17" s="338"/>
      <c r="FPW17" s="338"/>
      <c r="FPX17" s="338"/>
      <c r="FPY17" s="338"/>
      <c r="FPZ17" s="338"/>
      <c r="FQA17" s="338"/>
      <c r="FQB17" s="338"/>
      <c r="FQC17" s="338"/>
      <c r="FQD17" s="338"/>
      <c r="FQE17" s="338"/>
      <c r="FQF17" s="338"/>
      <c r="FQG17" s="338"/>
      <c r="FQH17" s="338"/>
      <c r="FQI17" s="338"/>
      <c r="FQJ17" s="338"/>
      <c r="FQK17" s="338"/>
      <c r="FQL17" s="338"/>
      <c r="FQM17" s="338"/>
      <c r="FQN17" s="338"/>
      <c r="FQO17" s="338"/>
      <c r="FQP17" s="338"/>
      <c r="FQQ17" s="338"/>
      <c r="FQR17" s="338"/>
      <c r="FQS17" s="338"/>
      <c r="FQT17" s="338"/>
      <c r="FQU17" s="338"/>
      <c r="FQV17" s="338"/>
      <c r="FQW17" s="338"/>
      <c r="FQX17" s="338"/>
      <c r="FQY17" s="338"/>
      <c r="FQZ17" s="338"/>
      <c r="FRA17" s="338"/>
      <c r="FRB17" s="338"/>
      <c r="FRC17" s="338"/>
      <c r="FRD17" s="338"/>
      <c r="FRE17" s="338"/>
      <c r="FRF17" s="338"/>
      <c r="FRG17" s="338"/>
      <c r="FRH17" s="338"/>
      <c r="FRI17" s="338"/>
      <c r="FRJ17" s="338"/>
      <c r="FRK17" s="338"/>
      <c r="FRL17" s="338"/>
      <c r="FRM17" s="338"/>
      <c r="FRN17" s="338"/>
      <c r="FRO17" s="338"/>
      <c r="FRP17" s="338"/>
      <c r="FRQ17" s="338"/>
      <c r="FRR17" s="338"/>
      <c r="FRS17" s="338"/>
      <c r="FRT17" s="338"/>
      <c r="FRU17" s="338"/>
      <c r="FRV17" s="338"/>
      <c r="FRW17" s="338"/>
      <c r="FRX17" s="338"/>
      <c r="FRY17" s="338"/>
      <c r="FRZ17" s="338"/>
      <c r="FSA17" s="338"/>
      <c r="FSB17" s="338"/>
      <c r="FSC17" s="338"/>
      <c r="FSD17" s="338"/>
      <c r="FSE17" s="338"/>
      <c r="FSF17" s="338"/>
      <c r="FSG17" s="338"/>
      <c r="FSH17" s="338"/>
      <c r="FSI17" s="338"/>
      <c r="FSJ17" s="338"/>
      <c r="FSK17" s="338"/>
      <c r="FSL17" s="338"/>
      <c r="FSM17" s="338"/>
      <c r="FSN17" s="338"/>
      <c r="FSO17" s="338"/>
      <c r="FSP17" s="338"/>
      <c r="FSQ17" s="338"/>
      <c r="FSR17" s="338"/>
      <c r="FSS17" s="338"/>
      <c r="FST17" s="338"/>
      <c r="FSU17" s="338"/>
      <c r="FSV17" s="338"/>
      <c r="FSW17" s="338"/>
      <c r="FSX17" s="338"/>
      <c r="FSY17" s="338"/>
      <c r="FSZ17" s="338"/>
      <c r="FTA17" s="338"/>
      <c r="FTB17" s="338"/>
      <c r="FTC17" s="338"/>
      <c r="FTD17" s="338"/>
      <c r="FTE17" s="338"/>
      <c r="FTF17" s="338"/>
      <c r="FTG17" s="338"/>
      <c r="FTH17" s="338"/>
      <c r="FTI17" s="338"/>
      <c r="FTJ17" s="338"/>
      <c r="FTK17" s="338"/>
      <c r="FTL17" s="338"/>
      <c r="FTM17" s="338"/>
      <c r="FTN17" s="338"/>
      <c r="FTO17" s="338"/>
      <c r="FTP17" s="338"/>
      <c r="FTQ17" s="338"/>
      <c r="FTR17" s="338"/>
      <c r="FTS17" s="338"/>
      <c r="FTT17" s="338"/>
      <c r="FTU17" s="338"/>
      <c r="FTV17" s="338"/>
      <c r="FTW17" s="338"/>
      <c r="FTX17" s="338"/>
      <c r="FTY17" s="338"/>
      <c r="FTZ17" s="338"/>
      <c r="FUA17" s="338"/>
      <c r="FUB17" s="338"/>
      <c r="FUC17" s="338"/>
      <c r="FUD17" s="338"/>
      <c r="FUE17" s="338"/>
      <c r="FUF17" s="338"/>
      <c r="FUG17" s="338"/>
      <c r="FUH17" s="338"/>
      <c r="FUI17" s="338"/>
      <c r="FUJ17" s="338"/>
      <c r="FUK17" s="338"/>
      <c r="FUL17" s="338"/>
      <c r="FUM17" s="338"/>
      <c r="FUN17" s="338"/>
      <c r="FUO17" s="338"/>
      <c r="FUP17" s="338"/>
      <c r="FUQ17" s="338"/>
      <c r="FUR17" s="338"/>
      <c r="FUS17" s="338"/>
      <c r="FUT17" s="338"/>
      <c r="FUU17" s="338"/>
      <c r="FUV17" s="338"/>
      <c r="FUW17" s="338"/>
      <c r="FUX17" s="338"/>
      <c r="FUY17" s="338"/>
      <c r="FUZ17" s="338"/>
      <c r="FVA17" s="338"/>
      <c r="FVB17" s="338"/>
      <c r="FVC17" s="338"/>
      <c r="FVD17" s="338"/>
      <c r="FVE17" s="338"/>
      <c r="FVF17" s="338"/>
      <c r="FVG17" s="338"/>
      <c r="FVH17" s="338"/>
      <c r="FVI17" s="338"/>
      <c r="FVJ17" s="338"/>
      <c r="FVK17" s="338"/>
      <c r="FVL17" s="338"/>
      <c r="FVM17" s="338"/>
      <c r="FVN17" s="338"/>
      <c r="FVO17" s="338"/>
      <c r="FVP17" s="338"/>
      <c r="FVQ17" s="338"/>
      <c r="FVR17" s="338"/>
      <c r="FVS17" s="338"/>
      <c r="FVT17" s="338"/>
      <c r="FVU17" s="338"/>
      <c r="FVV17" s="338"/>
      <c r="FVW17" s="338"/>
      <c r="FVX17" s="338"/>
      <c r="FVY17" s="338"/>
      <c r="FVZ17" s="338"/>
      <c r="FWA17" s="338"/>
      <c r="FWB17" s="338"/>
      <c r="FWC17" s="338"/>
      <c r="FWD17" s="338"/>
      <c r="FWE17" s="338"/>
      <c r="FWF17" s="338"/>
      <c r="FWG17" s="338"/>
      <c r="FWH17" s="338"/>
      <c r="FWI17" s="338"/>
      <c r="FWJ17" s="338"/>
      <c r="FWK17" s="338"/>
      <c r="FWL17" s="338"/>
      <c r="FWM17" s="338"/>
      <c r="FWN17" s="338"/>
      <c r="FWO17" s="338"/>
      <c r="FWP17" s="338"/>
      <c r="FWQ17" s="338"/>
      <c r="FWR17" s="338"/>
      <c r="FWS17" s="338"/>
      <c r="FWT17" s="338"/>
      <c r="FWU17" s="338"/>
      <c r="FWV17" s="338"/>
      <c r="FWW17" s="338"/>
      <c r="FWX17" s="338"/>
      <c r="FWY17" s="338"/>
      <c r="FWZ17" s="338"/>
      <c r="FXA17" s="338"/>
      <c r="FXB17" s="338"/>
      <c r="FXC17" s="338"/>
      <c r="FXD17" s="338"/>
      <c r="FXE17" s="338"/>
      <c r="FXF17" s="338"/>
      <c r="FXG17" s="338"/>
      <c r="FXH17" s="338"/>
      <c r="FXI17" s="338"/>
      <c r="FXJ17" s="338"/>
      <c r="FXK17" s="338"/>
      <c r="FXL17" s="338"/>
      <c r="FXM17" s="338"/>
      <c r="FXN17" s="338"/>
      <c r="FXO17" s="338"/>
      <c r="FXP17" s="338"/>
      <c r="FXQ17" s="338"/>
      <c r="FXR17" s="338"/>
      <c r="FXS17" s="338"/>
      <c r="FXT17" s="338"/>
      <c r="FXU17" s="338"/>
      <c r="FXV17" s="338"/>
      <c r="FXW17" s="338"/>
      <c r="FXX17" s="338"/>
      <c r="FXY17" s="338"/>
      <c r="FXZ17" s="338"/>
      <c r="FYA17" s="338"/>
      <c r="FYB17" s="338"/>
      <c r="FYC17" s="338"/>
      <c r="FYD17" s="338"/>
      <c r="FYE17" s="338"/>
      <c r="FYF17" s="338"/>
      <c r="FYG17" s="338"/>
      <c r="FYH17" s="338"/>
      <c r="FYI17" s="338"/>
      <c r="FYJ17" s="338"/>
      <c r="FYK17" s="338"/>
      <c r="FYL17" s="338"/>
      <c r="FYM17" s="338"/>
      <c r="FYN17" s="338"/>
      <c r="FYO17" s="338"/>
      <c r="FYP17" s="338"/>
      <c r="FYQ17" s="338"/>
      <c r="FYR17" s="338"/>
      <c r="FYS17" s="338"/>
      <c r="FYT17" s="338"/>
      <c r="FYU17" s="338"/>
      <c r="FYV17" s="338"/>
      <c r="FYW17" s="338"/>
      <c r="FYX17" s="338"/>
      <c r="FYY17" s="338"/>
      <c r="FYZ17" s="338"/>
      <c r="FZA17" s="338"/>
      <c r="FZB17" s="338"/>
      <c r="FZC17" s="338"/>
      <c r="FZD17" s="338"/>
      <c r="FZE17" s="338"/>
      <c r="FZF17" s="338"/>
      <c r="FZG17" s="338"/>
      <c r="FZH17" s="338"/>
      <c r="FZI17" s="338"/>
      <c r="FZJ17" s="338"/>
      <c r="FZK17" s="338"/>
      <c r="FZL17" s="338"/>
      <c r="FZM17" s="338"/>
      <c r="FZN17" s="338"/>
      <c r="FZO17" s="338"/>
      <c r="FZP17" s="338"/>
      <c r="FZQ17" s="338"/>
      <c r="FZR17" s="338"/>
      <c r="FZS17" s="338"/>
      <c r="FZT17" s="338"/>
      <c r="FZU17" s="338"/>
      <c r="FZV17" s="338"/>
      <c r="FZW17" s="338"/>
      <c r="FZX17" s="338"/>
      <c r="FZY17" s="338"/>
      <c r="FZZ17" s="338"/>
      <c r="GAA17" s="338"/>
      <c r="GAB17" s="338"/>
      <c r="GAC17" s="338"/>
      <c r="GAD17" s="338"/>
      <c r="GAE17" s="338"/>
      <c r="GAF17" s="338"/>
      <c r="GAG17" s="338"/>
      <c r="GAH17" s="338"/>
      <c r="GAI17" s="338"/>
      <c r="GAJ17" s="338"/>
      <c r="GAK17" s="338"/>
      <c r="GAL17" s="338"/>
      <c r="GAM17" s="338"/>
      <c r="GAN17" s="338"/>
      <c r="GAO17" s="338"/>
      <c r="GAP17" s="338"/>
      <c r="GAQ17" s="338"/>
      <c r="GAR17" s="338"/>
      <c r="GAS17" s="338"/>
      <c r="GAT17" s="338"/>
      <c r="GAU17" s="338"/>
      <c r="GAV17" s="338"/>
      <c r="GAW17" s="338"/>
      <c r="GAX17" s="338"/>
      <c r="GAY17" s="338"/>
      <c r="GAZ17" s="338"/>
      <c r="GBA17" s="338"/>
      <c r="GBB17" s="338"/>
      <c r="GBC17" s="338"/>
      <c r="GBD17" s="338"/>
      <c r="GBE17" s="338"/>
      <c r="GBF17" s="338"/>
      <c r="GBG17" s="338"/>
      <c r="GBH17" s="338"/>
      <c r="GBI17" s="338"/>
      <c r="GBJ17" s="338"/>
      <c r="GBK17" s="338"/>
      <c r="GBL17" s="338"/>
      <c r="GBM17" s="338"/>
      <c r="GBN17" s="338"/>
      <c r="GBO17" s="338"/>
      <c r="GBP17" s="338"/>
      <c r="GBQ17" s="338"/>
      <c r="GBR17" s="338"/>
      <c r="GBS17" s="338"/>
      <c r="GBT17" s="338"/>
      <c r="GBU17" s="338"/>
      <c r="GBV17" s="338"/>
      <c r="GBW17" s="338"/>
      <c r="GBX17" s="338"/>
      <c r="GBY17" s="338"/>
      <c r="GBZ17" s="338"/>
      <c r="GCA17" s="338"/>
      <c r="GCB17" s="338"/>
      <c r="GCC17" s="338"/>
      <c r="GCD17" s="338"/>
      <c r="GCE17" s="338"/>
      <c r="GCF17" s="338"/>
      <c r="GCG17" s="338"/>
      <c r="GCH17" s="338"/>
      <c r="GCI17" s="338"/>
      <c r="GCJ17" s="338"/>
      <c r="GCK17" s="338"/>
      <c r="GCL17" s="338"/>
      <c r="GCM17" s="338"/>
      <c r="GCN17" s="338"/>
      <c r="GCO17" s="338"/>
      <c r="GCP17" s="338"/>
      <c r="GCQ17" s="338"/>
      <c r="GCR17" s="338"/>
      <c r="GCS17" s="338"/>
      <c r="GCT17" s="338"/>
      <c r="GCU17" s="338"/>
      <c r="GCV17" s="338"/>
      <c r="GCW17" s="338"/>
      <c r="GCX17" s="338"/>
      <c r="GCY17" s="338"/>
      <c r="GCZ17" s="338"/>
      <c r="GDA17" s="338"/>
      <c r="GDB17" s="338"/>
      <c r="GDC17" s="338"/>
      <c r="GDD17" s="338"/>
      <c r="GDE17" s="338"/>
      <c r="GDF17" s="338"/>
      <c r="GDG17" s="338"/>
      <c r="GDH17" s="338"/>
      <c r="GDI17" s="338"/>
      <c r="GDJ17" s="338"/>
      <c r="GDK17" s="338"/>
      <c r="GDL17" s="338"/>
      <c r="GDM17" s="338"/>
      <c r="GDN17" s="338"/>
      <c r="GDO17" s="338"/>
      <c r="GDP17" s="338"/>
      <c r="GDQ17" s="338"/>
      <c r="GDR17" s="338"/>
      <c r="GDS17" s="338"/>
      <c r="GDT17" s="338"/>
      <c r="GDU17" s="338"/>
      <c r="GDV17" s="338"/>
      <c r="GDW17" s="338"/>
      <c r="GDX17" s="338"/>
      <c r="GDY17" s="338"/>
      <c r="GDZ17" s="338"/>
      <c r="GEA17" s="338"/>
      <c r="GEB17" s="338"/>
      <c r="GEC17" s="338"/>
      <c r="GED17" s="338"/>
      <c r="GEE17" s="338"/>
      <c r="GEF17" s="338"/>
      <c r="GEG17" s="338"/>
      <c r="GEH17" s="338"/>
      <c r="GEI17" s="338"/>
      <c r="GEJ17" s="338"/>
      <c r="GEK17" s="338"/>
      <c r="GEL17" s="338"/>
      <c r="GEM17" s="338"/>
      <c r="GEN17" s="338"/>
      <c r="GEO17" s="338"/>
      <c r="GEP17" s="338"/>
      <c r="GEQ17" s="338"/>
      <c r="GER17" s="338"/>
      <c r="GES17" s="338"/>
      <c r="GET17" s="338"/>
      <c r="GEU17" s="338"/>
      <c r="GEV17" s="338"/>
      <c r="GEW17" s="338"/>
      <c r="GEX17" s="338"/>
      <c r="GEY17" s="338"/>
      <c r="GEZ17" s="338"/>
      <c r="GFA17" s="338"/>
      <c r="GFB17" s="338"/>
      <c r="GFC17" s="338"/>
      <c r="GFD17" s="338"/>
      <c r="GFE17" s="338"/>
      <c r="GFF17" s="338"/>
      <c r="GFG17" s="338"/>
      <c r="GFH17" s="338"/>
      <c r="GFI17" s="338"/>
      <c r="GFJ17" s="338"/>
      <c r="GFK17" s="338"/>
      <c r="GFL17" s="338"/>
      <c r="GFM17" s="338"/>
      <c r="GFN17" s="338"/>
      <c r="GFO17" s="338"/>
      <c r="GFP17" s="338"/>
      <c r="GFQ17" s="338"/>
      <c r="GFR17" s="338"/>
      <c r="GFS17" s="338"/>
      <c r="GFT17" s="338"/>
      <c r="GFU17" s="338"/>
      <c r="GFV17" s="338"/>
      <c r="GFW17" s="338"/>
      <c r="GFX17" s="338"/>
      <c r="GFY17" s="338"/>
      <c r="GFZ17" s="338"/>
      <c r="GGA17" s="338"/>
      <c r="GGB17" s="338"/>
      <c r="GGC17" s="338"/>
      <c r="GGD17" s="338"/>
      <c r="GGE17" s="338"/>
      <c r="GGF17" s="338"/>
      <c r="GGG17" s="338"/>
      <c r="GGH17" s="338"/>
      <c r="GGI17" s="338"/>
      <c r="GGJ17" s="338"/>
      <c r="GGK17" s="338"/>
      <c r="GGL17" s="338"/>
      <c r="GGM17" s="338"/>
      <c r="GGN17" s="338"/>
      <c r="GGO17" s="338"/>
      <c r="GGP17" s="338"/>
      <c r="GGQ17" s="338"/>
      <c r="GGR17" s="338"/>
      <c r="GGS17" s="338"/>
      <c r="GGT17" s="338"/>
      <c r="GGU17" s="338"/>
      <c r="GGV17" s="338"/>
      <c r="GGW17" s="338"/>
      <c r="GGX17" s="338"/>
      <c r="GGY17" s="338"/>
      <c r="GGZ17" s="338"/>
      <c r="GHA17" s="338"/>
      <c r="GHB17" s="338"/>
      <c r="GHC17" s="338"/>
      <c r="GHD17" s="338"/>
      <c r="GHE17" s="338"/>
      <c r="GHF17" s="338"/>
      <c r="GHG17" s="338"/>
      <c r="GHH17" s="338"/>
      <c r="GHI17" s="338"/>
      <c r="GHJ17" s="338"/>
      <c r="GHK17" s="338"/>
      <c r="GHL17" s="338"/>
      <c r="GHM17" s="338"/>
      <c r="GHN17" s="338"/>
      <c r="GHO17" s="338"/>
      <c r="GHP17" s="338"/>
      <c r="GHQ17" s="338"/>
      <c r="GHR17" s="338"/>
      <c r="GHS17" s="338"/>
      <c r="GHT17" s="338"/>
      <c r="GHU17" s="338"/>
      <c r="GHV17" s="338"/>
      <c r="GHW17" s="338"/>
      <c r="GHX17" s="338"/>
      <c r="GHY17" s="338"/>
      <c r="GHZ17" s="338"/>
      <c r="GIA17" s="338"/>
      <c r="GIB17" s="338"/>
      <c r="GIC17" s="338"/>
      <c r="GID17" s="338"/>
      <c r="GIE17" s="338"/>
      <c r="GIF17" s="338"/>
      <c r="GIG17" s="338"/>
      <c r="GIH17" s="338"/>
      <c r="GII17" s="338"/>
      <c r="GIJ17" s="338"/>
      <c r="GIK17" s="338"/>
      <c r="GIL17" s="338"/>
      <c r="GIM17" s="338"/>
      <c r="GIN17" s="338"/>
      <c r="GIO17" s="338"/>
      <c r="GIP17" s="338"/>
      <c r="GIQ17" s="338"/>
      <c r="GIR17" s="338"/>
      <c r="GIS17" s="338"/>
      <c r="GIT17" s="338"/>
      <c r="GIU17" s="338"/>
      <c r="GIV17" s="338"/>
      <c r="GIW17" s="338"/>
      <c r="GIX17" s="338"/>
      <c r="GIY17" s="338"/>
      <c r="GIZ17" s="338"/>
      <c r="GJA17" s="338"/>
      <c r="GJB17" s="338"/>
      <c r="GJC17" s="338"/>
      <c r="GJD17" s="338"/>
      <c r="GJE17" s="338"/>
      <c r="GJF17" s="338"/>
      <c r="GJG17" s="338"/>
      <c r="GJH17" s="338"/>
      <c r="GJI17" s="338"/>
      <c r="GJJ17" s="338"/>
      <c r="GJK17" s="338"/>
      <c r="GJL17" s="338"/>
      <c r="GJM17" s="338"/>
      <c r="GJN17" s="338"/>
      <c r="GJO17" s="338"/>
      <c r="GJP17" s="338"/>
      <c r="GJQ17" s="338"/>
      <c r="GJR17" s="338"/>
      <c r="GJS17" s="338"/>
      <c r="GJT17" s="338"/>
      <c r="GJU17" s="338"/>
      <c r="GJV17" s="338"/>
      <c r="GJW17" s="338"/>
      <c r="GJX17" s="338"/>
      <c r="GJY17" s="338"/>
      <c r="GJZ17" s="338"/>
      <c r="GKA17" s="338"/>
      <c r="GKB17" s="338"/>
      <c r="GKC17" s="338"/>
      <c r="GKD17" s="338"/>
      <c r="GKE17" s="338"/>
      <c r="GKF17" s="338"/>
      <c r="GKG17" s="338"/>
      <c r="GKH17" s="338"/>
      <c r="GKI17" s="338"/>
      <c r="GKJ17" s="338"/>
      <c r="GKK17" s="338"/>
      <c r="GKL17" s="338"/>
      <c r="GKM17" s="338"/>
      <c r="GKN17" s="338"/>
      <c r="GKO17" s="338"/>
      <c r="GKP17" s="338"/>
      <c r="GKQ17" s="338"/>
      <c r="GKR17" s="338"/>
      <c r="GKS17" s="338"/>
      <c r="GKT17" s="338"/>
      <c r="GKU17" s="338"/>
      <c r="GKV17" s="338"/>
      <c r="GKW17" s="338"/>
      <c r="GKX17" s="338"/>
      <c r="GKY17" s="338"/>
      <c r="GKZ17" s="338"/>
      <c r="GLA17" s="338"/>
      <c r="GLB17" s="338"/>
      <c r="GLC17" s="338"/>
      <c r="GLD17" s="338"/>
      <c r="GLE17" s="338"/>
      <c r="GLF17" s="338"/>
      <c r="GLG17" s="338"/>
      <c r="GLH17" s="338"/>
      <c r="GLI17" s="338"/>
      <c r="GLJ17" s="338"/>
      <c r="GLK17" s="338"/>
      <c r="GLL17" s="338"/>
      <c r="GLM17" s="338"/>
      <c r="GLN17" s="338"/>
      <c r="GLO17" s="338"/>
      <c r="GLP17" s="338"/>
      <c r="GLQ17" s="338"/>
      <c r="GLR17" s="338"/>
      <c r="GLS17" s="338"/>
      <c r="GLT17" s="338"/>
      <c r="GLU17" s="338"/>
      <c r="GLV17" s="338"/>
      <c r="GLW17" s="338"/>
      <c r="GLX17" s="338"/>
      <c r="GLY17" s="338"/>
      <c r="GLZ17" s="338"/>
      <c r="GMA17" s="338"/>
      <c r="GMB17" s="338"/>
      <c r="GMC17" s="338"/>
      <c r="GMD17" s="338"/>
      <c r="GME17" s="338"/>
      <c r="GMF17" s="338"/>
      <c r="GMG17" s="338"/>
      <c r="GMH17" s="338"/>
      <c r="GMI17" s="338"/>
      <c r="GMJ17" s="338"/>
      <c r="GMK17" s="338"/>
      <c r="GML17" s="338"/>
      <c r="GMM17" s="338"/>
      <c r="GMN17" s="338"/>
      <c r="GMO17" s="338"/>
      <c r="GMP17" s="338"/>
      <c r="GMQ17" s="338"/>
      <c r="GMR17" s="338"/>
      <c r="GMS17" s="338"/>
      <c r="GMT17" s="338"/>
      <c r="GMU17" s="338"/>
      <c r="GMV17" s="338"/>
      <c r="GMW17" s="338"/>
      <c r="GMX17" s="338"/>
      <c r="GMY17" s="338"/>
      <c r="GMZ17" s="338"/>
      <c r="GNA17" s="338"/>
      <c r="GNB17" s="338"/>
      <c r="GNC17" s="338"/>
      <c r="GND17" s="338"/>
      <c r="GNE17" s="338"/>
      <c r="GNF17" s="338"/>
      <c r="GNG17" s="338"/>
      <c r="GNH17" s="338"/>
      <c r="GNI17" s="338"/>
      <c r="GNJ17" s="338"/>
      <c r="GNK17" s="338"/>
      <c r="GNL17" s="338"/>
      <c r="GNM17" s="338"/>
      <c r="GNN17" s="338"/>
      <c r="GNO17" s="338"/>
      <c r="GNP17" s="338"/>
      <c r="GNQ17" s="338"/>
      <c r="GNR17" s="338"/>
      <c r="GNS17" s="338"/>
      <c r="GNT17" s="338"/>
      <c r="GNU17" s="338"/>
      <c r="GNV17" s="338"/>
      <c r="GNW17" s="338"/>
      <c r="GNX17" s="338"/>
      <c r="GNY17" s="338"/>
      <c r="GNZ17" s="338"/>
      <c r="GOA17" s="338"/>
      <c r="GOB17" s="338"/>
      <c r="GOC17" s="338"/>
      <c r="GOD17" s="338"/>
      <c r="GOE17" s="338"/>
      <c r="GOF17" s="338"/>
      <c r="GOG17" s="338"/>
      <c r="GOH17" s="338"/>
      <c r="GOI17" s="338"/>
      <c r="GOJ17" s="338"/>
      <c r="GOK17" s="338"/>
      <c r="GOL17" s="338"/>
      <c r="GOM17" s="338"/>
      <c r="GON17" s="338"/>
      <c r="GOO17" s="338"/>
      <c r="GOP17" s="338"/>
      <c r="GOQ17" s="338"/>
      <c r="GOR17" s="338"/>
      <c r="GOS17" s="338"/>
      <c r="GOT17" s="338"/>
      <c r="GOU17" s="338"/>
      <c r="GOV17" s="338"/>
      <c r="GOW17" s="338"/>
      <c r="GOX17" s="338"/>
      <c r="GOY17" s="338"/>
      <c r="GOZ17" s="338"/>
      <c r="GPA17" s="338"/>
      <c r="GPB17" s="338"/>
      <c r="GPC17" s="338"/>
      <c r="GPD17" s="338"/>
      <c r="GPE17" s="338"/>
      <c r="GPF17" s="338"/>
      <c r="GPG17" s="338"/>
      <c r="GPH17" s="338"/>
      <c r="GPI17" s="338"/>
      <c r="GPJ17" s="338"/>
      <c r="GPK17" s="338"/>
      <c r="GPL17" s="338"/>
      <c r="GPM17" s="338"/>
      <c r="GPN17" s="338"/>
      <c r="GPO17" s="338"/>
      <c r="GPP17" s="338"/>
      <c r="GPQ17" s="338"/>
      <c r="GPR17" s="338"/>
      <c r="GPS17" s="338"/>
      <c r="GPT17" s="338"/>
      <c r="GPU17" s="338"/>
      <c r="GPV17" s="338"/>
      <c r="GPW17" s="338"/>
      <c r="GPX17" s="338"/>
      <c r="GPY17" s="338"/>
      <c r="GPZ17" s="338"/>
      <c r="GQA17" s="338"/>
      <c r="GQB17" s="338"/>
      <c r="GQC17" s="338"/>
      <c r="GQD17" s="338"/>
      <c r="GQE17" s="338"/>
      <c r="GQF17" s="338"/>
      <c r="GQG17" s="338"/>
      <c r="GQH17" s="338"/>
      <c r="GQI17" s="338"/>
      <c r="GQJ17" s="338"/>
      <c r="GQK17" s="338"/>
      <c r="GQL17" s="338"/>
      <c r="GQM17" s="338"/>
      <c r="GQN17" s="338"/>
      <c r="GQO17" s="338"/>
      <c r="GQP17" s="338"/>
      <c r="GQQ17" s="338"/>
      <c r="GQR17" s="338"/>
      <c r="GQS17" s="338"/>
      <c r="GQT17" s="338"/>
      <c r="GQU17" s="338"/>
      <c r="GQV17" s="338"/>
      <c r="GQW17" s="338"/>
      <c r="GQX17" s="338"/>
      <c r="GQY17" s="338"/>
      <c r="GQZ17" s="338"/>
      <c r="GRA17" s="338"/>
      <c r="GRB17" s="338"/>
      <c r="GRC17" s="338"/>
      <c r="GRD17" s="338"/>
      <c r="GRE17" s="338"/>
      <c r="GRF17" s="338"/>
      <c r="GRG17" s="338"/>
      <c r="GRH17" s="338"/>
      <c r="GRI17" s="338"/>
      <c r="GRJ17" s="338"/>
      <c r="GRK17" s="338"/>
      <c r="GRL17" s="338"/>
      <c r="GRM17" s="338"/>
      <c r="GRN17" s="338"/>
      <c r="GRO17" s="338"/>
      <c r="GRP17" s="338"/>
      <c r="GRQ17" s="338"/>
      <c r="GRR17" s="338"/>
      <c r="GRS17" s="338"/>
      <c r="GRT17" s="338"/>
      <c r="GRU17" s="338"/>
      <c r="GRV17" s="338"/>
      <c r="GRW17" s="338"/>
      <c r="GRX17" s="338"/>
      <c r="GRY17" s="338"/>
      <c r="GRZ17" s="338"/>
      <c r="GSA17" s="338"/>
      <c r="GSB17" s="338"/>
      <c r="GSC17" s="338"/>
      <c r="GSD17" s="338"/>
      <c r="GSE17" s="338"/>
      <c r="GSF17" s="338"/>
      <c r="GSG17" s="338"/>
      <c r="GSH17" s="338"/>
      <c r="GSI17" s="338"/>
      <c r="GSJ17" s="338"/>
      <c r="GSK17" s="338"/>
      <c r="GSL17" s="338"/>
      <c r="GSM17" s="338"/>
      <c r="GSN17" s="338"/>
      <c r="GSO17" s="338"/>
      <c r="GSP17" s="338"/>
      <c r="GSQ17" s="338"/>
      <c r="GSR17" s="338"/>
      <c r="GSS17" s="338"/>
      <c r="GST17" s="338"/>
      <c r="GSU17" s="338"/>
      <c r="GSV17" s="338"/>
      <c r="GSW17" s="338"/>
      <c r="GSX17" s="338"/>
      <c r="GSY17" s="338"/>
      <c r="GSZ17" s="338"/>
      <c r="GTA17" s="338"/>
      <c r="GTB17" s="338"/>
      <c r="GTC17" s="338"/>
      <c r="GTD17" s="338"/>
      <c r="GTE17" s="338"/>
      <c r="GTF17" s="338"/>
      <c r="GTG17" s="338"/>
      <c r="GTH17" s="338"/>
      <c r="GTI17" s="338"/>
      <c r="GTJ17" s="338"/>
      <c r="GTK17" s="338"/>
      <c r="GTL17" s="338"/>
      <c r="GTM17" s="338"/>
      <c r="GTN17" s="338"/>
      <c r="GTO17" s="338"/>
      <c r="GTP17" s="338"/>
      <c r="GTQ17" s="338"/>
      <c r="GTR17" s="338"/>
      <c r="GTS17" s="338"/>
      <c r="GTT17" s="338"/>
      <c r="GTU17" s="338"/>
      <c r="GTV17" s="338"/>
      <c r="GTW17" s="338"/>
      <c r="GTX17" s="338"/>
      <c r="GTY17" s="338"/>
      <c r="GTZ17" s="338"/>
      <c r="GUA17" s="338"/>
      <c r="GUB17" s="338"/>
      <c r="GUC17" s="338"/>
      <c r="GUD17" s="338"/>
      <c r="GUE17" s="338"/>
      <c r="GUF17" s="338"/>
      <c r="GUG17" s="338"/>
      <c r="GUH17" s="338"/>
      <c r="GUI17" s="338"/>
      <c r="GUJ17" s="338"/>
      <c r="GUK17" s="338"/>
      <c r="GUL17" s="338"/>
      <c r="GUM17" s="338"/>
      <c r="GUN17" s="338"/>
      <c r="GUO17" s="338"/>
      <c r="GUP17" s="338"/>
      <c r="GUQ17" s="338"/>
      <c r="GUR17" s="338"/>
      <c r="GUS17" s="338"/>
      <c r="GUT17" s="338"/>
      <c r="GUU17" s="338"/>
      <c r="GUV17" s="338"/>
      <c r="GUW17" s="338"/>
      <c r="GUX17" s="338"/>
      <c r="GUY17" s="338"/>
      <c r="GUZ17" s="338"/>
      <c r="GVA17" s="338"/>
      <c r="GVB17" s="338"/>
      <c r="GVC17" s="338"/>
      <c r="GVD17" s="338"/>
      <c r="GVE17" s="338"/>
      <c r="GVF17" s="338"/>
      <c r="GVG17" s="338"/>
      <c r="GVH17" s="338"/>
      <c r="GVI17" s="338"/>
      <c r="GVJ17" s="338"/>
      <c r="GVK17" s="338"/>
      <c r="GVL17" s="338"/>
      <c r="GVM17" s="338"/>
      <c r="GVN17" s="338"/>
      <c r="GVO17" s="338"/>
      <c r="GVP17" s="338"/>
      <c r="GVQ17" s="338"/>
      <c r="GVR17" s="338"/>
      <c r="GVS17" s="338"/>
      <c r="GVT17" s="338"/>
      <c r="GVU17" s="338"/>
      <c r="GVV17" s="338"/>
      <c r="GVW17" s="338"/>
      <c r="GVX17" s="338"/>
      <c r="GVY17" s="338"/>
      <c r="GVZ17" s="338"/>
      <c r="GWA17" s="338"/>
      <c r="GWB17" s="338"/>
      <c r="GWC17" s="338"/>
      <c r="GWD17" s="338"/>
      <c r="GWE17" s="338"/>
      <c r="GWF17" s="338"/>
      <c r="GWG17" s="338"/>
      <c r="GWH17" s="338"/>
      <c r="GWI17" s="338"/>
      <c r="GWJ17" s="338"/>
      <c r="GWK17" s="338"/>
      <c r="GWL17" s="338"/>
      <c r="GWM17" s="338"/>
      <c r="GWN17" s="338"/>
      <c r="GWO17" s="338"/>
      <c r="GWP17" s="338"/>
      <c r="GWQ17" s="338"/>
      <c r="GWR17" s="338"/>
      <c r="GWS17" s="338"/>
      <c r="GWT17" s="338"/>
      <c r="GWU17" s="338"/>
      <c r="GWV17" s="338"/>
      <c r="GWW17" s="338"/>
      <c r="GWX17" s="338"/>
      <c r="GWY17" s="338"/>
      <c r="GWZ17" s="338"/>
      <c r="GXA17" s="338"/>
      <c r="GXB17" s="338"/>
      <c r="GXC17" s="338"/>
      <c r="GXD17" s="338"/>
      <c r="GXE17" s="338"/>
      <c r="GXF17" s="338"/>
      <c r="GXG17" s="338"/>
      <c r="GXH17" s="338"/>
      <c r="GXI17" s="338"/>
      <c r="GXJ17" s="338"/>
      <c r="GXK17" s="338"/>
      <c r="GXL17" s="338"/>
      <c r="GXM17" s="338"/>
      <c r="GXN17" s="338"/>
      <c r="GXO17" s="338"/>
      <c r="GXP17" s="338"/>
      <c r="GXQ17" s="338"/>
      <c r="GXR17" s="338"/>
      <c r="GXS17" s="338"/>
      <c r="GXT17" s="338"/>
      <c r="GXU17" s="338"/>
      <c r="GXV17" s="338"/>
      <c r="GXW17" s="338"/>
      <c r="GXX17" s="338"/>
      <c r="GXY17" s="338"/>
      <c r="GXZ17" s="338"/>
      <c r="GYA17" s="338"/>
      <c r="GYB17" s="338"/>
      <c r="GYC17" s="338"/>
      <c r="GYD17" s="338"/>
      <c r="GYE17" s="338"/>
      <c r="GYF17" s="338"/>
      <c r="GYG17" s="338"/>
      <c r="GYH17" s="338"/>
      <c r="GYI17" s="338"/>
      <c r="GYJ17" s="338"/>
      <c r="GYK17" s="338"/>
      <c r="GYL17" s="338"/>
      <c r="GYM17" s="338"/>
      <c r="GYN17" s="338"/>
      <c r="GYO17" s="338"/>
      <c r="GYP17" s="338"/>
      <c r="GYQ17" s="338"/>
      <c r="GYR17" s="338"/>
      <c r="GYS17" s="338"/>
      <c r="GYT17" s="338"/>
      <c r="GYU17" s="338"/>
      <c r="GYV17" s="338"/>
      <c r="GYW17" s="338"/>
      <c r="GYX17" s="338"/>
      <c r="GYY17" s="338"/>
      <c r="GYZ17" s="338"/>
      <c r="GZA17" s="338"/>
      <c r="GZB17" s="338"/>
      <c r="GZC17" s="338"/>
      <c r="GZD17" s="338"/>
      <c r="GZE17" s="338"/>
      <c r="GZF17" s="338"/>
      <c r="GZG17" s="338"/>
      <c r="GZH17" s="338"/>
      <c r="GZI17" s="338"/>
      <c r="GZJ17" s="338"/>
      <c r="GZK17" s="338"/>
      <c r="GZL17" s="338"/>
      <c r="GZM17" s="338"/>
      <c r="GZN17" s="338"/>
      <c r="GZO17" s="338"/>
      <c r="GZP17" s="338"/>
      <c r="GZQ17" s="338"/>
      <c r="GZR17" s="338"/>
      <c r="GZS17" s="338"/>
      <c r="GZT17" s="338"/>
      <c r="GZU17" s="338"/>
      <c r="GZV17" s="338"/>
      <c r="GZW17" s="338"/>
      <c r="GZX17" s="338"/>
      <c r="GZY17" s="338"/>
      <c r="GZZ17" s="338"/>
      <c r="HAA17" s="338"/>
      <c r="HAB17" s="338"/>
      <c r="HAC17" s="338"/>
      <c r="HAD17" s="338"/>
      <c r="HAE17" s="338"/>
      <c r="HAF17" s="338"/>
      <c r="HAG17" s="338"/>
      <c r="HAH17" s="338"/>
      <c r="HAI17" s="338"/>
      <c r="HAJ17" s="338"/>
      <c r="HAK17" s="338"/>
      <c r="HAL17" s="338"/>
      <c r="HAM17" s="338"/>
      <c r="HAN17" s="338"/>
      <c r="HAO17" s="338"/>
      <c r="HAP17" s="338"/>
      <c r="HAQ17" s="338"/>
      <c r="HAR17" s="338"/>
      <c r="HAS17" s="338"/>
      <c r="HAT17" s="338"/>
      <c r="HAU17" s="338"/>
      <c r="HAV17" s="338"/>
      <c r="HAW17" s="338"/>
      <c r="HAX17" s="338"/>
      <c r="HAY17" s="338"/>
      <c r="HAZ17" s="338"/>
      <c r="HBA17" s="338"/>
      <c r="HBB17" s="338"/>
      <c r="HBC17" s="338"/>
      <c r="HBD17" s="338"/>
      <c r="HBE17" s="338"/>
      <c r="HBF17" s="338"/>
      <c r="HBG17" s="338"/>
      <c r="HBH17" s="338"/>
      <c r="HBI17" s="338"/>
      <c r="HBJ17" s="338"/>
      <c r="HBK17" s="338"/>
      <c r="HBL17" s="338"/>
      <c r="HBM17" s="338"/>
      <c r="HBN17" s="338"/>
      <c r="HBO17" s="338"/>
      <c r="HBP17" s="338"/>
      <c r="HBQ17" s="338"/>
      <c r="HBR17" s="338"/>
      <c r="HBS17" s="338"/>
      <c r="HBT17" s="338"/>
      <c r="HBU17" s="338"/>
      <c r="HBV17" s="338"/>
      <c r="HBW17" s="338"/>
      <c r="HBX17" s="338"/>
      <c r="HBY17" s="338"/>
      <c r="HBZ17" s="338"/>
      <c r="HCA17" s="338"/>
      <c r="HCB17" s="338"/>
      <c r="HCC17" s="338"/>
      <c r="HCD17" s="338"/>
      <c r="HCE17" s="338"/>
      <c r="HCF17" s="338"/>
      <c r="HCG17" s="338"/>
      <c r="HCH17" s="338"/>
      <c r="HCI17" s="338"/>
      <c r="HCJ17" s="338"/>
      <c r="HCK17" s="338"/>
      <c r="HCL17" s="338"/>
      <c r="HCM17" s="338"/>
      <c r="HCN17" s="338"/>
      <c r="HCO17" s="338"/>
      <c r="HCP17" s="338"/>
      <c r="HCQ17" s="338"/>
      <c r="HCR17" s="338"/>
      <c r="HCS17" s="338"/>
      <c r="HCT17" s="338"/>
      <c r="HCU17" s="338"/>
      <c r="HCV17" s="338"/>
      <c r="HCW17" s="338"/>
      <c r="HCX17" s="338"/>
      <c r="HCY17" s="338"/>
      <c r="HCZ17" s="338"/>
      <c r="HDA17" s="338"/>
      <c r="HDB17" s="338"/>
      <c r="HDC17" s="338"/>
      <c r="HDD17" s="338"/>
      <c r="HDE17" s="338"/>
      <c r="HDF17" s="338"/>
      <c r="HDG17" s="338"/>
      <c r="HDH17" s="338"/>
      <c r="HDI17" s="338"/>
      <c r="HDJ17" s="338"/>
      <c r="HDK17" s="338"/>
      <c r="HDL17" s="338"/>
      <c r="HDM17" s="338"/>
      <c r="HDN17" s="338"/>
      <c r="HDO17" s="338"/>
      <c r="HDP17" s="338"/>
      <c r="HDQ17" s="338"/>
      <c r="HDR17" s="338"/>
      <c r="HDS17" s="338"/>
      <c r="HDT17" s="338"/>
      <c r="HDU17" s="338"/>
      <c r="HDV17" s="338"/>
      <c r="HDW17" s="338"/>
      <c r="HDX17" s="338"/>
      <c r="HDY17" s="338"/>
      <c r="HDZ17" s="338"/>
      <c r="HEA17" s="338"/>
      <c r="HEB17" s="338"/>
      <c r="HEC17" s="338"/>
      <c r="HED17" s="338"/>
      <c r="HEE17" s="338"/>
      <c r="HEF17" s="338"/>
      <c r="HEG17" s="338"/>
      <c r="HEH17" s="338"/>
      <c r="HEI17" s="338"/>
      <c r="HEJ17" s="338"/>
      <c r="HEK17" s="338"/>
      <c r="HEL17" s="338"/>
      <c r="HEM17" s="338"/>
      <c r="HEN17" s="338"/>
      <c r="HEO17" s="338"/>
      <c r="HEP17" s="338"/>
      <c r="HEQ17" s="338"/>
      <c r="HER17" s="338"/>
      <c r="HES17" s="338"/>
      <c r="HET17" s="338"/>
      <c r="HEU17" s="338"/>
      <c r="HEV17" s="338"/>
      <c r="HEW17" s="338"/>
      <c r="HEX17" s="338"/>
      <c r="HEY17" s="338"/>
      <c r="HEZ17" s="338"/>
      <c r="HFA17" s="338"/>
      <c r="HFB17" s="338"/>
      <c r="HFC17" s="338"/>
      <c r="HFD17" s="338"/>
      <c r="HFE17" s="338"/>
      <c r="HFF17" s="338"/>
      <c r="HFG17" s="338"/>
      <c r="HFH17" s="338"/>
      <c r="HFI17" s="338"/>
      <c r="HFJ17" s="338"/>
      <c r="HFK17" s="338"/>
      <c r="HFL17" s="338"/>
      <c r="HFM17" s="338"/>
      <c r="HFN17" s="338"/>
      <c r="HFO17" s="338"/>
      <c r="HFP17" s="338"/>
      <c r="HFQ17" s="338"/>
      <c r="HFR17" s="338"/>
      <c r="HFS17" s="338"/>
      <c r="HFT17" s="338"/>
      <c r="HFU17" s="338"/>
      <c r="HFV17" s="338"/>
      <c r="HFW17" s="338"/>
      <c r="HFX17" s="338"/>
      <c r="HFY17" s="338"/>
      <c r="HFZ17" s="338"/>
      <c r="HGA17" s="338"/>
      <c r="HGB17" s="338"/>
      <c r="HGC17" s="338"/>
      <c r="HGD17" s="338"/>
      <c r="HGE17" s="338"/>
      <c r="HGF17" s="338"/>
      <c r="HGG17" s="338"/>
      <c r="HGH17" s="338"/>
      <c r="HGI17" s="338"/>
      <c r="HGJ17" s="338"/>
      <c r="HGK17" s="338"/>
      <c r="HGL17" s="338"/>
      <c r="HGM17" s="338"/>
      <c r="HGN17" s="338"/>
      <c r="HGO17" s="338"/>
      <c r="HGP17" s="338"/>
      <c r="HGQ17" s="338"/>
      <c r="HGR17" s="338"/>
      <c r="HGS17" s="338"/>
      <c r="HGT17" s="338"/>
      <c r="HGU17" s="338"/>
      <c r="HGV17" s="338"/>
      <c r="HGW17" s="338"/>
      <c r="HGX17" s="338"/>
      <c r="HGY17" s="338"/>
      <c r="HGZ17" s="338"/>
      <c r="HHA17" s="338"/>
      <c r="HHB17" s="338"/>
      <c r="HHC17" s="338"/>
      <c r="HHD17" s="338"/>
      <c r="HHE17" s="338"/>
      <c r="HHF17" s="338"/>
      <c r="HHG17" s="338"/>
      <c r="HHH17" s="338"/>
      <c r="HHI17" s="338"/>
      <c r="HHJ17" s="338"/>
      <c r="HHK17" s="338"/>
      <c r="HHL17" s="338"/>
      <c r="HHM17" s="338"/>
      <c r="HHN17" s="338"/>
      <c r="HHO17" s="338"/>
      <c r="HHP17" s="338"/>
      <c r="HHQ17" s="338"/>
      <c r="HHR17" s="338"/>
      <c r="HHS17" s="338"/>
      <c r="HHT17" s="338"/>
      <c r="HHU17" s="338"/>
      <c r="HHV17" s="338"/>
      <c r="HHW17" s="338"/>
      <c r="HHX17" s="338"/>
      <c r="HHY17" s="338"/>
      <c r="HHZ17" s="338"/>
      <c r="HIA17" s="338"/>
      <c r="HIB17" s="338"/>
      <c r="HIC17" s="338"/>
      <c r="HID17" s="338"/>
      <c r="HIE17" s="338"/>
      <c r="HIF17" s="338"/>
      <c r="HIG17" s="338"/>
      <c r="HIH17" s="338"/>
      <c r="HII17" s="338"/>
      <c r="HIJ17" s="338"/>
      <c r="HIK17" s="338"/>
      <c r="HIL17" s="338"/>
      <c r="HIM17" s="338"/>
      <c r="HIN17" s="338"/>
      <c r="HIO17" s="338"/>
      <c r="HIP17" s="338"/>
      <c r="HIQ17" s="338"/>
      <c r="HIR17" s="338"/>
      <c r="HIS17" s="338"/>
      <c r="HIT17" s="338"/>
      <c r="HIU17" s="338"/>
      <c r="HIV17" s="338"/>
      <c r="HIW17" s="338"/>
      <c r="HIX17" s="338"/>
      <c r="HIY17" s="338"/>
      <c r="HIZ17" s="338"/>
      <c r="HJA17" s="338"/>
      <c r="HJB17" s="338"/>
      <c r="HJC17" s="338"/>
      <c r="HJD17" s="338"/>
      <c r="HJE17" s="338"/>
      <c r="HJF17" s="338"/>
      <c r="HJG17" s="338"/>
      <c r="HJH17" s="338"/>
      <c r="HJI17" s="338"/>
      <c r="HJJ17" s="338"/>
      <c r="HJK17" s="338"/>
      <c r="HJL17" s="338"/>
      <c r="HJM17" s="338"/>
      <c r="HJN17" s="338"/>
      <c r="HJO17" s="338"/>
      <c r="HJP17" s="338"/>
      <c r="HJQ17" s="338"/>
      <c r="HJR17" s="338"/>
      <c r="HJS17" s="338"/>
      <c r="HJT17" s="338"/>
      <c r="HJU17" s="338"/>
      <c r="HJV17" s="338"/>
      <c r="HJW17" s="338"/>
      <c r="HJX17" s="338"/>
      <c r="HJY17" s="338"/>
      <c r="HJZ17" s="338"/>
      <c r="HKA17" s="338"/>
      <c r="HKB17" s="338"/>
      <c r="HKC17" s="338"/>
      <c r="HKD17" s="338"/>
      <c r="HKE17" s="338"/>
      <c r="HKF17" s="338"/>
      <c r="HKG17" s="338"/>
      <c r="HKH17" s="338"/>
      <c r="HKI17" s="338"/>
      <c r="HKJ17" s="338"/>
      <c r="HKK17" s="338"/>
      <c r="HKL17" s="338"/>
      <c r="HKM17" s="338"/>
      <c r="HKN17" s="338"/>
      <c r="HKO17" s="338"/>
      <c r="HKP17" s="338"/>
      <c r="HKQ17" s="338"/>
      <c r="HKR17" s="338"/>
      <c r="HKS17" s="338"/>
      <c r="HKT17" s="338"/>
      <c r="HKU17" s="338"/>
      <c r="HKV17" s="338"/>
      <c r="HKW17" s="338"/>
      <c r="HKX17" s="338"/>
      <c r="HKY17" s="338"/>
      <c r="HKZ17" s="338"/>
      <c r="HLA17" s="338"/>
      <c r="HLB17" s="338"/>
      <c r="HLC17" s="338"/>
      <c r="HLD17" s="338"/>
      <c r="HLE17" s="338"/>
      <c r="HLF17" s="338"/>
      <c r="HLG17" s="338"/>
      <c r="HLH17" s="338"/>
      <c r="HLI17" s="338"/>
      <c r="HLJ17" s="338"/>
      <c r="HLK17" s="338"/>
      <c r="HLL17" s="338"/>
      <c r="HLM17" s="338"/>
      <c r="HLN17" s="338"/>
      <c r="HLO17" s="338"/>
      <c r="HLP17" s="338"/>
      <c r="HLQ17" s="338"/>
      <c r="HLR17" s="338"/>
      <c r="HLS17" s="338"/>
      <c r="HLT17" s="338"/>
      <c r="HLU17" s="338"/>
      <c r="HLV17" s="338"/>
      <c r="HLW17" s="338"/>
      <c r="HLX17" s="338"/>
      <c r="HLY17" s="338"/>
      <c r="HLZ17" s="338"/>
      <c r="HMA17" s="338"/>
      <c r="HMB17" s="338"/>
      <c r="HMC17" s="338"/>
      <c r="HMD17" s="338"/>
      <c r="HME17" s="338"/>
      <c r="HMF17" s="338"/>
      <c r="HMG17" s="338"/>
      <c r="HMH17" s="338"/>
      <c r="HMI17" s="338"/>
      <c r="HMJ17" s="338"/>
      <c r="HMK17" s="338"/>
      <c r="HML17" s="338"/>
      <c r="HMM17" s="338"/>
      <c r="HMN17" s="338"/>
      <c r="HMO17" s="338"/>
      <c r="HMP17" s="338"/>
      <c r="HMQ17" s="338"/>
      <c r="HMR17" s="338"/>
      <c r="HMS17" s="338"/>
      <c r="HMT17" s="338"/>
      <c r="HMU17" s="338"/>
      <c r="HMV17" s="338"/>
      <c r="HMW17" s="338"/>
      <c r="HMX17" s="338"/>
      <c r="HMY17" s="338"/>
      <c r="HMZ17" s="338"/>
      <c r="HNA17" s="338"/>
      <c r="HNB17" s="338"/>
      <c r="HNC17" s="338"/>
      <c r="HND17" s="338"/>
      <c r="HNE17" s="338"/>
      <c r="HNF17" s="338"/>
      <c r="HNG17" s="338"/>
      <c r="HNH17" s="338"/>
      <c r="HNI17" s="338"/>
      <c r="HNJ17" s="338"/>
      <c r="HNK17" s="338"/>
      <c r="HNL17" s="338"/>
      <c r="HNM17" s="338"/>
      <c r="HNN17" s="338"/>
      <c r="HNO17" s="338"/>
      <c r="HNP17" s="338"/>
      <c r="HNQ17" s="338"/>
      <c r="HNR17" s="338"/>
      <c r="HNS17" s="338"/>
      <c r="HNT17" s="338"/>
      <c r="HNU17" s="338"/>
      <c r="HNV17" s="338"/>
      <c r="HNW17" s="338"/>
      <c r="HNX17" s="338"/>
      <c r="HNY17" s="338"/>
      <c r="HNZ17" s="338"/>
      <c r="HOA17" s="338"/>
      <c r="HOB17" s="338"/>
      <c r="HOC17" s="338"/>
      <c r="HOD17" s="338"/>
      <c r="HOE17" s="338"/>
      <c r="HOF17" s="338"/>
      <c r="HOG17" s="338"/>
      <c r="HOH17" s="338"/>
      <c r="HOI17" s="338"/>
      <c r="HOJ17" s="338"/>
      <c r="HOK17" s="338"/>
      <c r="HOL17" s="338"/>
      <c r="HOM17" s="338"/>
      <c r="HON17" s="338"/>
      <c r="HOO17" s="338"/>
      <c r="HOP17" s="338"/>
      <c r="HOQ17" s="338"/>
      <c r="HOR17" s="338"/>
      <c r="HOS17" s="338"/>
      <c r="HOT17" s="338"/>
      <c r="HOU17" s="338"/>
      <c r="HOV17" s="338"/>
      <c r="HOW17" s="338"/>
      <c r="HOX17" s="338"/>
      <c r="HOY17" s="338"/>
      <c r="HOZ17" s="338"/>
      <c r="HPA17" s="338"/>
      <c r="HPB17" s="338"/>
      <c r="HPC17" s="338"/>
      <c r="HPD17" s="338"/>
      <c r="HPE17" s="338"/>
      <c r="HPF17" s="338"/>
      <c r="HPG17" s="338"/>
      <c r="HPH17" s="338"/>
      <c r="HPI17" s="338"/>
      <c r="HPJ17" s="338"/>
      <c r="HPK17" s="338"/>
      <c r="HPL17" s="338"/>
      <c r="HPM17" s="338"/>
      <c r="HPN17" s="338"/>
      <c r="HPO17" s="338"/>
      <c r="HPP17" s="338"/>
      <c r="HPQ17" s="338"/>
      <c r="HPR17" s="338"/>
      <c r="HPS17" s="338"/>
      <c r="HPT17" s="338"/>
      <c r="HPU17" s="338"/>
      <c r="HPV17" s="338"/>
      <c r="HPW17" s="338"/>
      <c r="HPX17" s="338"/>
      <c r="HPY17" s="338"/>
      <c r="HPZ17" s="338"/>
      <c r="HQA17" s="338"/>
      <c r="HQB17" s="338"/>
      <c r="HQC17" s="338"/>
      <c r="HQD17" s="338"/>
      <c r="HQE17" s="338"/>
      <c r="HQF17" s="338"/>
      <c r="HQG17" s="338"/>
      <c r="HQH17" s="338"/>
      <c r="HQI17" s="338"/>
      <c r="HQJ17" s="338"/>
      <c r="HQK17" s="338"/>
      <c r="HQL17" s="338"/>
      <c r="HQM17" s="338"/>
      <c r="HQN17" s="338"/>
      <c r="HQO17" s="338"/>
      <c r="HQP17" s="338"/>
      <c r="HQQ17" s="338"/>
      <c r="HQR17" s="338"/>
      <c r="HQS17" s="338"/>
      <c r="HQT17" s="338"/>
      <c r="HQU17" s="338"/>
      <c r="HQV17" s="338"/>
      <c r="HQW17" s="338"/>
      <c r="HQX17" s="338"/>
      <c r="HQY17" s="338"/>
      <c r="HQZ17" s="338"/>
      <c r="HRA17" s="338"/>
      <c r="HRB17" s="338"/>
      <c r="HRC17" s="338"/>
      <c r="HRD17" s="338"/>
      <c r="HRE17" s="338"/>
      <c r="HRF17" s="338"/>
      <c r="HRG17" s="338"/>
      <c r="HRH17" s="338"/>
      <c r="HRI17" s="338"/>
      <c r="HRJ17" s="338"/>
      <c r="HRK17" s="338"/>
      <c r="HRL17" s="338"/>
      <c r="HRM17" s="338"/>
      <c r="HRN17" s="338"/>
      <c r="HRO17" s="338"/>
      <c r="HRP17" s="338"/>
      <c r="HRQ17" s="338"/>
      <c r="HRR17" s="338"/>
      <c r="HRS17" s="338"/>
      <c r="HRT17" s="338"/>
      <c r="HRU17" s="338"/>
      <c r="HRV17" s="338"/>
      <c r="HRW17" s="338"/>
      <c r="HRX17" s="338"/>
      <c r="HRY17" s="338"/>
      <c r="HRZ17" s="338"/>
      <c r="HSA17" s="338"/>
      <c r="HSB17" s="338"/>
      <c r="HSC17" s="338"/>
      <c r="HSD17" s="338"/>
      <c r="HSE17" s="338"/>
      <c r="HSF17" s="338"/>
      <c r="HSG17" s="338"/>
      <c r="HSH17" s="338"/>
      <c r="HSI17" s="338"/>
      <c r="HSJ17" s="338"/>
      <c r="HSK17" s="338"/>
      <c r="HSL17" s="338"/>
      <c r="HSM17" s="338"/>
      <c r="HSN17" s="338"/>
      <c r="HSO17" s="338"/>
      <c r="HSP17" s="338"/>
      <c r="HSQ17" s="338"/>
      <c r="HSR17" s="338"/>
      <c r="HSS17" s="338"/>
      <c r="HST17" s="338"/>
      <c r="HSU17" s="338"/>
      <c r="HSV17" s="338"/>
      <c r="HSW17" s="338"/>
      <c r="HSX17" s="338"/>
      <c r="HSY17" s="338"/>
      <c r="HSZ17" s="338"/>
      <c r="HTA17" s="338"/>
      <c r="HTB17" s="338"/>
      <c r="HTC17" s="338"/>
      <c r="HTD17" s="338"/>
      <c r="HTE17" s="338"/>
      <c r="HTF17" s="338"/>
      <c r="HTG17" s="338"/>
      <c r="HTH17" s="338"/>
      <c r="HTI17" s="338"/>
      <c r="HTJ17" s="338"/>
      <c r="HTK17" s="338"/>
      <c r="HTL17" s="338"/>
      <c r="HTM17" s="338"/>
      <c r="HTN17" s="338"/>
      <c r="HTO17" s="338"/>
      <c r="HTP17" s="338"/>
      <c r="HTQ17" s="338"/>
      <c r="HTR17" s="338"/>
      <c r="HTS17" s="338"/>
      <c r="HTT17" s="338"/>
      <c r="HTU17" s="338"/>
      <c r="HTV17" s="338"/>
      <c r="HTW17" s="338"/>
      <c r="HTX17" s="338"/>
      <c r="HTY17" s="338"/>
      <c r="HTZ17" s="338"/>
      <c r="HUA17" s="338"/>
      <c r="HUB17" s="338"/>
      <c r="HUC17" s="338"/>
      <c r="HUD17" s="338"/>
      <c r="HUE17" s="338"/>
      <c r="HUF17" s="338"/>
      <c r="HUG17" s="338"/>
      <c r="HUH17" s="338"/>
      <c r="HUI17" s="338"/>
      <c r="HUJ17" s="338"/>
      <c r="HUK17" s="338"/>
      <c r="HUL17" s="338"/>
      <c r="HUM17" s="338"/>
      <c r="HUN17" s="338"/>
      <c r="HUO17" s="338"/>
      <c r="HUP17" s="338"/>
      <c r="HUQ17" s="338"/>
      <c r="HUR17" s="338"/>
      <c r="HUS17" s="338"/>
      <c r="HUT17" s="338"/>
      <c r="HUU17" s="338"/>
      <c r="HUV17" s="338"/>
      <c r="HUW17" s="338"/>
      <c r="HUX17" s="338"/>
      <c r="HUY17" s="338"/>
      <c r="HUZ17" s="338"/>
      <c r="HVA17" s="338"/>
      <c r="HVB17" s="338"/>
      <c r="HVC17" s="338"/>
      <c r="HVD17" s="338"/>
      <c r="HVE17" s="338"/>
      <c r="HVF17" s="338"/>
      <c r="HVG17" s="338"/>
      <c r="HVH17" s="338"/>
      <c r="HVI17" s="338"/>
      <c r="HVJ17" s="338"/>
      <c r="HVK17" s="338"/>
      <c r="HVL17" s="338"/>
      <c r="HVM17" s="338"/>
      <c r="HVN17" s="338"/>
      <c r="HVO17" s="338"/>
      <c r="HVP17" s="338"/>
      <c r="HVQ17" s="338"/>
      <c r="HVR17" s="338"/>
      <c r="HVS17" s="338"/>
      <c r="HVT17" s="338"/>
      <c r="HVU17" s="338"/>
      <c r="HVV17" s="338"/>
      <c r="HVW17" s="338"/>
      <c r="HVX17" s="338"/>
      <c r="HVY17" s="338"/>
      <c r="HVZ17" s="338"/>
      <c r="HWA17" s="338"/>
      <c r="HWB17" s="338"/>
      <c r="HWC17" s="338"/>
      <c r="HWD17" s="338"/>
      <c r="HWE17" s="338"/>
      <c r="HWF17" s="338"/>
      <c r="HWG17" s="338"/>
      <c r="HWH17" s="338"/>
      <c r="HWI17" s="338"/>
      <c r="HWJ17" s="338"/>
      <c r="HWK17" s="338"/>
      <c r="HWL17" s="338"/>
      <c r="HWM17" s="338"/>
      <c r="HWN17" s="338"/>
      <c r="HWO17" s="338"/>
      <c r="HWP17" s="338"/>
      <c r="HWQ17" s="338"/>
      <c r="HWR17" s="338"/>
      <c r="HWS17" s="338"/>
      <c r="HWT17" s="338"/>
      <c r="HWU17" s="338"/>
      <c r="HWV17" s="338"/>
      <c r="HWW17" s="338"/>
      <c r="HWX17" s="338"/>
      <c r="HWY17" s="338"/>
      <c r="HWZ17" s="338"/>
      <c r="HXA17" s="338"/>
      <c r="HXB17" s="338"/>
      <c r="HXC17" s="338"/>
      <c r="HXD17" s="338"/>
      <c r="HXE17" s="338"/>
      <c r="HXF17" s="338"/>
      <c r="HXG17" s="338"/>
      <c r="HXH17" s="338"/>
      <c r="HXI17" s="338"/>
      <c r="HXJ17" s="338"/>
      <c r="HXK17" s="338"/>
      <c r="HXL17" s="338"/>
      <c r="HXM17" s="338"/>
      <c r="HXN17" s="338"/>
      <c r="HXO17" s="338"/>
      <c r="HXP17" s="338"/>
      <c r="HXQ17" s="338"/>
      <c r="HXR17" s="338"/>
      <c r="HXS17" s="338"/>
      <c r="HXT17" s="338"/>
      <c r="HXU17" s="338"/>
      <c r="HXV17" s="338"/>
      <c r="HXW17" s="338"/>
      <c r="HXX17" s="338"/>
      <c r="HXY17" s="338"/>
      <c r="HXZ17" s="338"/>
      <c r="HYA17" s="338"/>
      <c r="HYB17" s="338"/>
      <c r="HYC17" s="338"/>
      <c r="HYD17" s="338"/>
      <c r="HYE17" s="338"/>
      <c r="HYF17" s="338"/>
      <c r="HYG17" s="338"/>
      <c r="HYH17" s="338"/>
      <c r="HYI17" s="338"/>
      <c r="HYJ17" s="338"/>
      <c r="HYK17" s="338"/>
      <c r="HYL17" s="338"/>
      <c r="HYM17" s="338"/>
      <c r="HYN17" s="338"/>
      <c r="HYO17" s="338"/>
      <c r="HYP17" s="338"/>
      <c r="HYQ17" s="338"/>
      <c r="HYR17" s="338"/>
      <c r="HYS17" s="338"/>
      <c r="HYT17" s="338"/>
      <c r="HYU17" s="338"/>
      <c r="HYV17" s="338"/>
      <c r="HYW17" s="338"/>
      <c r="HYX17" s="338"/>
      <c r="HYY17" s="338"/>
      <c r="HYZ17" s="338"/>
      <c r="HZA17" s="338"/>
      <c r="HZB17" s="338"/>
      <c r="HZC17" s="338"/>
      <c r="HZD17" s="338"/>
      <c r="HZE17" s="338"/>
      <c r="HZF17" s="338"/>
      <c r="HZG17" s="338"/>
      <c r="HZH17" s="338"/>
      <c r="HZI17" s="338"/>
      <c r="HZJ17" s="338"/>
      <c r="HZK17" s="338"/>
      <c r="HZL17" s="338"/>
      <c r="HZM17" s="338"/>
      <c r="HZN17" s="338"/>
      <c r="HZO17" s="338"/>
      <c r="HZP17" s="338"/>
      <c r="HZQ17" s="338"/>
      <c r="HZR17" s="338"/>
      <c r="HZS17" s="338"/>
      <c r="HZT17" s="338"/>
      <c r="HZU17" s="338"/>
      <c r="HZV17" s="338"/>
      <c r="HZW17" s="338"/>
      <c r="HZX17" s="338"/>
      <c r="HZY17" s="338"/>
      <c r="HZZ17" s="338"/>
      <c r="IAA17" s="338"/>
      <c r="IAB17" s="338"/>
      <c r="IAC17" s="338"/>
      <c r="IAD17" s="338"/>
      <c r="IAE17" s="338"/>
      <c r="IAF17" s="338"/>
      <c r="IAG17" s="338"/>
      <c r="IAH17" s="338"/>
      <c r="IAI17" s="338"/>
      <c r="IAJ17" s="338"/>
      <c r="IAK17" s="338"/>
      <c r="IAL17" s="338"/>
      <c r="IAM17" s="338"/>
      <c r="IAN17" s="338"/>
      <c r="IAO17" s="338"/>
      <c r="IAP17" s="338"/>
      <c r="IAQ17" s="338"/>
      <c r="IAR17" s="338"/>
      <c r="IAS17" s="338"/>
      <c r="IAT17" s="338"/>
      <c r="IAU17" s="338"/>
      <c r="IAV17" s="338"/>
      <c r="IAW17" s="338"/>
      <c r="IAX17" s="338"/>
      <c r="IAY17" s="338"/>
      <c r="IAZ17" s="338"/>
      <c r="IBA17" s="338"/>
      <c r="IBB17" s="338"/>
      <c r="IBC17" s="338"/>
      <c r="IBD17" s="338"/>
      <c r="IBE17" s="338"/>
      <c r="IBF17" s="338"/>
      <c r="IBG17" s="338"/>
      <c r="IBH17" s="338"/>
      <c r="IBI17" s="338"/>
      <c r="IBJ17" s="338"/>
      <c r="IBK17" s="338"/>
      <c r="IBL17" s="338"/>
      <c r="IBM17" s="338"/>
      <c r="IBN17" s="338"/>
      <c r="IBO17" s="338"/>
      <c r="IBP17" s="338"/>
      <c r="IBQ17" s="338"/>
      <c r="IBR17" s="338"/>
      <c r="IBS17" s="338"/>
      <c r="IBT17" s="338"/>
      <c r="IBU17" s="338"/>
      <c r="IBV17" s="338"/>
      <c r="IBW17" s="338"/>
      <c r="IBX17" s="338"/>
      <c r="IBY17" s="338"/>
      <c r="IBZ17" s="338"/>
      <c r="ICA17" s="338"/>
      <c r="ICB17" s="338"/>
      <c r="ICC17" s="338"/>
      <c r="ICD17" s="338"/>
      <c r="ICE17" s="338"/>
      <c r="ICF17" s="338"/>
      <c r="ICG17" s="338"/>
      <c r="ICH17" s="338"/>
      <c r="ICI17" s="338"/>
      <c r="ICJ17" s="338"/>
      <c r="ICK17" s="338"/>
      <c r="ICL17" s="338"/>
      <c r="ICM17" s="338"/>
      <c r="ICN17" s="338"/>
      <c r="ICO17" s="338"/>
      <c r="ICP17" s="338"/>
      <c r="ICQ17" s="338"/>
      <c r="ICR17" s="338"/>
      <c r="ICS17" s="338"/>
      <c r="ICT17" s="338"/>
      <c r="ICU17" s="338"/>
      <c r="ICV17" s="338"/>
      <c r="ICW17" s="338"/>
      <c r="ICX17" s="338"/>
      <c r="ICY17" s="338"/>
      <c r="ICZ17" s="338"/>
      <c r="IDA17" s="338"/>
      <c r="IDB17" s="338"/>
      <c r="IDC17" s="338"/>
      <c r="IDD17" s="338"/>
      <c r="IDE17" s="338"/>
      <c r="IDF17" s="338"/>
      <c r="IDG17" s="338"/>
      <c r="IDH17" s="338"/>
      <c r="IDI17" s="338"/>
      <c r="IDJ17" s="338"/>
      <c r="IDK17" s="338"/>
      <c r="IDL17" s="338"/>
      <c r="IDM17" s="338"/>
      <c r="IDN17" s="338"/>
      <c r="IDO17" s="338"/>
      <c r="IDP17" s="338"/>
      <c r="IDQ17" s="338"/>
      <c r="IDR17" s="338"/>
      <c r="IDS17" s="338"/>
      <c r="IDT17" s="338"/>
      <c r="IDU17" s="338"/>
      <c r="IDV17" s="338"/>
      <c r="IDW17" s="338"/>
      <c r="IDX17" s="338"/>
      <c r="IDY17" s="338"/>
      <c r="IDZ17" s="338"/>
      <c r="IEA17" s="338"/>
      <c r="IEB17" s="338"/>
      <c r="IEC17" s="338"/>
      <c r="IED17" s="338"/>
      <c r="IEE17" s="338"/>
      <c r="IEF17" s="338"/>
      <c r="IEG17" s="338"/>
      <c r="IEH17" s="338"/>
      <c r="IEI17" s="338"/>
      <c r="IEJ17" s="338"/>
      <c r="IEK17" s="338"/>
      <c r="IEL17" s="338"/>
      <c r="IEM17" s="338"/>
      <c r="IEN17" s="338"/>
      <c r="IEO17" s="338"/>
      <c r="IEP17" s="338"/>
      <c r="IEQ17" s="338"/>
      <c r="IER17" s="338"/>
      <c r="IES17" s="338"/>
      <c r="IET17" s="338"/>
      <c r="IEU17" s="338"/>
      <c r="IEV17" s="338"/>
      <c r="IEW17" s="338"/>
      <c r="IEX17" s="338"/>
      <c r="IEY17" s="338"/>
      <c r="IEZ17" s="338"/>
      <c r="IFA17" s="338"/>
      <c r="IFB17" s="338"/>
      <c r="IFC17" s="338"/>
      <c r="IFD17" s="338"/>
      <c r="IFE17" s="338"/>
      <c r="IFF17" s="338"/>
      <c r="IFG17" s="338"/>
      <c r="IFH17" s="338"/>
      <c r="IFI17" s="338"/>
      <c r="IFJ17" s="338"/>
      <c r="IFK17" s="338"/>
      <c r="IFL17" s="338"/>
      <c r="IFM17" s="338"/>
      <c r="IFN17" s="338"/>
      <c r="IFO17" s="338"/>
      <c r="IFP17" s="338"/>
      <c r="IFQ17" s="338"/>
      <c r="IFR17" s="338"/>
      <c r="IFS17" s="338"/>
      <c r="IFT17" s="338"/>
      <c r="IFU17" s="338"/>
      <c r="IFV17" s="338"/>
      <c r="IFW17" s="338"/>
      <c r="IFX17" s="338"/>
      <c r="IFY17" s="338"/>
      <c r="IFZ17" s="338"/>
      <c r="IGA17" s="338"/>
      <c r="IGB17" s="338"/>
      <c r="IGC17" s="338"/>
      <c r="IGD17" s="338"/>
      <c r="IGE17" s="338"/>
      <c r="IGF17" s="338"/>
      <c r="IGG17" s="338"/>
      <c r="IGH17" s="338"/>
      <c r="IGI17" s="338"/>
      <c r="IGJ17" s="338"/>
      <c r="IGK17" s="338"/>
      <c r="IGL17" s="338"/>
      <c r="IGM17" s="338"/>
      <c r="IGN17" s="338"/>
      <c r="IGO17" s="338"/>
      <c r="IGP17" s="338"/>
      <c r="IGQ17" s="338"/>
      <c r="IGR17" s="338"/>
      <c r="IGS17" s="338"/>
      <c r="IGT17" s="338"/>
      <c r="IGU17" s="338"/>
      <c r="IGV17" s="338"/>
      <c r="IGW17" s="338"/>
      <c r="IGX17" s="338"/>
      <c r="IGY17" s="338"/>
      <c r="IGZ17" s="338"/>
      <c r="IHA17" s="338"/>
      <c r="IHB17" s="338"/>
      <c r="IHC17" s="338"/>
      <c r="IHD17" s="338"/>
      <c r="IHE17" s="338"/>
      <c r="IHF17" s="338"/>
      <c r="IHG17" s="338"/>
      <c r="IHH17" s="338"/>
      <c r="IHI17" s="338"/>
      <c r="IHJ17" s="338"/>
      <c r="IHK17" s="338"/>
      <c r="IHL17" s="338"/>
      <c r="IHM17" s="338"/>
      <c r="IHN17" s="338"/>
      <c r="IHO17" s="338"/>
      <c r="IHP17" s="338"/>
      <c r="IHQ17" s="338"/>
      <c r="IHR17" s="338"/>
      <c r="IHS17" s="338"/>
      <c r="IHT17" s="338"/>
      <c r="IHU17" s="338"/>
      <c r="IHV17" s="338"/>
      <c r="IHW17" s="338"/>
      <c r="IHX17" s="338"/>
      <c r="IHY17" s="338"/>
      <c r="IHZ17" s="338"/>
      <c r="IIA17" s="338"/>
      <c r="IIB17" s="338"/>
      <c r="IIC17" s="338"/>
      <c r="IID17" s="338"/>
      <c r="IIE17" s="338"/>
      <c r="IIF17" s="338"/>
      <c r="IIG17" s="338"/>
      <c r="IIH17" s="338"/>
      <c r="III17" s="338"/>
      <c r="IIJ17" s="338"/>
      <c r="IIK17" s="338"/>
      <c r="IIL17" s="338"/>
      <c r="IIM17" s="338"/>
      <c r="IIN17" s="338"/>
      <c r="IIO17" s="338"/>
      <c r="IIP17" s="338"/>
      <c r="IIQ17" s="338"/>
      <c r="IIR17" s="338"/>
      <c r="IIS17" s="338"/>
      <c r="IIT17" s="338"/>
      <c r="IIU17" s="338"/>
      <c r="IIV17" s="338"/>
      <c r="IIW17" s="338"/>
      <c r="IIX17" s="338"/>
      <c r="IIY17" s="338"/>
      <c r="IIZ17" s="338"/>
      <c r="IJA17" s="338"/>
      <c r="IJB17" s="338"/>
      <c r="IJC17" s="338"/>
      <c r="IJD17" s="338"/>
      <c r="IJE17" s="338"/>
      <c r="IJF17" s="338"/>
      <c r="IJG17" s="338"/>
      <c r="IJH17" s="338"/>
      <c r="IJI17" s="338"/>
      <c r="IJJ17" s="338"/>
      <c r="IJK17" s="338"/>
      <c r="IJL17" s="338"/>
      <c r="IJM17" s="338"/>
      <c r="IJN17" s="338"/>
      <c r="IJO17" s="338"/>
      <c r="IJP17" s="338"/>
      <c r="IJQ17" s="338"/>
      <c r="IJR17" s="338"/>
      <c r="IJS17" s="338"/>
      <c r="IJT17" s="338"/>
      <c r="IJU17" s="338"/>
      <c r="IJV17" s="338"/>
      <c r="IJW17" s="338"/>
      <c r="IJX17" s="338"/>
      <c r="IJY17" s="338"/>
      <c r="IJZ17" s="338"/>
      <c r="IKA17" s="338"/>
      <c r="IKB17" s="338"/>
      <c r="IKC17" s="338"/>
      <c r="IKD17" s="338"/>
      <c r="IKE17" s="338"/>
      <c r="IKF17" s="338"/>
      <c r="IKG17" s="338"/>
      <c r="IKH17" s="338"/>
      <c r="IKI17" s="338"/>
      <c r="IKJ17" s="338"/>
      <c r="IKK17" s="338"/>
      <c r="IKL17" s="338"/>
      <c r="IKM17" s="338"/>
      <c r="IKN17" s="338"/>
      <c r="IKO17" s="338"/>
      <c r="IKP17" s="338"/>
      <c r="IKQ17" s="338"/>
      <c r="IKR17" s="338"/>
      <c r="IKS17" s="338"/>
      <c r="IKT17" s="338"/>
      <c r="IKU17" s="338"/>
      <c r="IKV17" s="338"/>
      <c r="IKW17" s="338"/>
      <c r="IKX17" s="338"/>
      <c r="IKY17" s="338"/>
      <c r="IKZ17" s="338"/>
      <c r="ILA17" s="338"/>
      <c r="ILB17" s="338"/>
      <c r="ILC17" s="338"/>
      <c r="ILD17" s="338"/>
      <c r="ILE17" s="338"/>
      <c r="ILF17" s="338"/>
      <c r="ILG17" s="338"/>
      <c r="ILH17" s="338"/>
      <c r="ILI17" s="338"/>
      <c r="ILJ17" s="338"/>
      <c r="ILK17" s="338"/>
      <c r="ILL17" s="338"/>
      <c r="ILM17" s="338"/>
      <c r="ILN17" s="338"/>
      <c r="ILO17" s="338"/>
      <c r="ILP17" s="338"/>
      <c r="ILQ17" s="338"/>
      <c r="ILR17" s="338"/>
      <c r="ILS17" s="338"/>
      <c r="ILT17" s="338"/>
      <c r="ILU17" s="338"/>
      <c r="ILV17" s="338"/>
      <c r="ILW17" s="338"/>
      <c r="ILX17" s="338"/>
      <c r="ILY17" s="338"/>
      <c r="ILZ17" s="338"/>
      <c r="IMA17" s="338"/>
      <c r="IMB17" s="338"/>
      <c r="IMC17" s="338"/>
      <c r="IMD17" s="338"/>
      <c r="IME17" s="338"/>
      <c r="IMF17" s="338"/>
      <c r="IMG17" s="338"/>
      <c r="IMH17" s="338"/>
      <c r="IMI17" s="338"/>
      <c r="IMJ17" s="338"/>
      <c r="IMK17" s="338"/>
      <c r="IML17" s="338"/>
      <c r="IMM17" s="338"/>
      <c r="IMN17" s="338"/>
      <c r="IMO17" s="338"/>
      <c r="IMP17" s="338"/>
      <c r="IMQ17" s="338"/>
      <c r="IMR17" s="338"/>
      <c r="IMS17" s="338"/>
      <c r="IMT17" s="338"/>
      <c r="IMU17" s="338"/>
      <c r="IMV17" s="338"/>
      <c r="IMW17" s="338"/>
      <c r="IMX17" s="338"/>
      <c r="IMY17" s="338"/>
      <c r="IMZ17" s="338"/>
      <c r="INA17" s="338"/>
      <c r="INB17" s="338"/>
      <c r="INC17" s="338"/>
      <c r="IND17" s="338"/>
      <c r="INE17" s="338"/>
      <c r="INF17" s="338"/>
      <c r="ING17" s="338"/>
      <c r="INH17" s="338"/>
      <c r="INI17" s="338"/>
      <c r="INJ17" s="338"/>
      <c r="INK17" s="338"/>
      <c r="INL17" s="338"/>
      <c r="INM17" s="338"/>
      <c r="INN17" s="338"/>
      <c r="INO17" s="338"/>
      <c r="INP17" s="338"/>
      <c r="INQ17" s="338"/>
      <c r="INR17" s="338"/>
      <c r="INS17" s="338"/>
      <c r="INT17" s="338"/>
      <c r="INU17" s="338"/>
      <c r="INV17" s="338"/>
      <c r="INW17" s="338"/>
      <c r="INX17" s="338"/>
      <c r="INY17" s="338"/>
      <c r="INZ17" s="338"/>
      <c r="IOA17" s="338"/>
      <c r="IOB17" s="338"/>
      <c r="IOC17" s="338"/>
      <c r="IOD17" s="338"/>
      <c r="IOE17" s="338"/>
      <c r="IOF17" s="338"/>
      <c r="IOG17" s="338"/>
      <c r="IOH17" s="338"/>
      <c r="IOI17" s="338"/>
      <c r="IOJ17" s="338"/>
      <c r="IOK17" s="338"/>
      <c r="IOL17" s="338"/>
      <c r="IOM17" s="338"/>
      <c r="ION17" s="338"/>
      <c r="IOO17" s="338"/>
      <c r="IOP17" s="338"/>
      <c r="IOQ17" s="338"/>
      <c r="IOR17" s="338"/>
      <c r="IOS17" s="338"/>
      <c r="IOT17" s="338"/>
      <c r="IOU17" s="338"/>
      <c r="IOV17" s="338"/>
      <c r="IOW17" s="338"/>
      <c r="IOX17" s="338"/>
      <c r="IOY17" s="338"/>
      <c r="IOZ17" s="338"/>
      <c r="IPA17" s="338"/>
      <c r="IPB17" s="338"/>
      <c r="IPC17" s="338"/>
      <c r="IPD17" s="338"/>
      <c r="IPE17" s="338"/>
      <c r="IPF17" s="338"/>
      <c r="IPG17" s="338"/>
      <c r="IPH17" s="338"/>
      <c r="IPI17" s="338"/>
      <c r="IPJ17" s="338"/>
      <c r="IPK17" s="338"/>
      <c r="IPL17" s="338"/>
      <c r="IPM17" s="338"/>
      <c r="IPN17" s="338"/>
      <c r="IPO17" s="338"/>
      <c r="IPP17" s="338"/>
      <c r="IPQ17" s="338"/>
      <c r="IPR17" s="338"/>
      <c r="IPS17" s="338"/>
      <c r="IPT17" s="338"/>
      <c r="IPU17" s="338"/>
      <c r="IPV17" s="338"/>
      <c r="IPW17" s="338"/>
      <c r="IPX17" s="338"/>
      <c r="IPY17" s="338"/>
      <c r="IPZ17" s="338"/>
      <c r="IQA17" s="338"/>
      <c r="IQB17" s="338"/>
      <c r="IQC17" s="338"/>
      <c r="IQD17" s="338"/>
      <c r="IQE17" s="338"/>
      <c r="IQF17" s="338"/>
      <c r="IQG17" s="338"/>
      <c r="IQH17" s="338"/>
      <c r="IQI17" s="338"/>
      <c r="IQJ17" s="338"/>
      <c r="IQK17" s="338"/>
      <c r="IQL17" s="338"/>
      <c r="IQM17" s="338"/>
      <c r="IQN17" s="338"/>
      <c r="IQO17" s="338"/>
      <c r="IQP17" s="338"/>
      <c r="IQQ17" s="338"/>
      <c r="IQR17" s="338"/>
      <c r="IQS17" s="338"/>
      <c r="IQT17" s="338"/>
      <c r="IQU17" s="338"/>
      <c r="IQV17" s="338"/>
      <c r="IQW17" s="338"/>
      <c r="IQX17" s="338"/>
      <c r="IQY17" s="338"/>
      <c r="IQZ17" s="338"/>
      <c r="IRA17" s="338"/>
      <c r="IRB17" s="338"/>
      <c r="IRC17" s="338"/>
      <c r="IRD17" s="338"/>
      <c r="IRE17" s="338"/>
      <c r="IRF17" s="338"/>
      <c r="IRG17" s="338"/>
      <c r="IRH17" s="338"/>
      <c r="IRI17" s="338"/>
      <c r="IRJ17" s="338"/>
      <c r="IRK17" s="338"/>
      <c r="IRL17" s="338"/>
      <c r="IRM17" s="338"/>
      <c r="IRN17" s="338"/>
      <c r="IRO17" s="338"/>
      <c r="IRP17" s="338"/>
      <c r="IRQ17" s="338"/>
      <c r="IRR17" s="338"/>
      <c r="IRS17" s="338"/>
      <c r="IRT17" s="338"/>
      <c r="IRU17" s="338"/>
      <c r="IRV17" s="338"/>
      <c r="IRW17" s="338"/>
      <c r="IRX17" s="338"/>
      <c r="IRY17" s="338"/>
      <c r="IRZ17" s="338"/>
      <c r="ISA17" s="338"/>
      <c r="ISB17" s="338"/>
      <c r="ISC17" s="338"/>
      <c r="ISD17" s="338"/>
      <c r="ISE17" s="338"/>
      <c r="ISF17" s="338"/>
      <c r="ISG17" s="338"/>
      <c r="ISH17" s="338"/>
      <c r="ISI17" s="338"/>
      <c r="ISJ17" s="338"/>
      <c r="ISK17" s="338"/>
      <c r="ISL17" s="338"/>
      <c r="ISM17" s="338"/>
      <c r="ISN17" s="338"/>
      <c r="ISO17" s="338"/>
      <c r="ISP17" s="338"/>
      <c r="ISQ17" s="338"/>
      <c r="ISR17" s="338"/>
      <c r="ISS17" s="338"/>
      <c r="IST17" s="338"/>
      <c r="ISU17" s="338"/>
      <c r="ISV17" s="338"/>
      <c r="ISW17" s="338"/>
      <c r="ISX17" s="338"/>
      <c r="ISY17" s="338"/>
      <c r="ISZ17" s="338"/>
      <c r="ITA17" s="338"/>
      <c r="ITB17" s="338"/>
      <c r="ITC17" s="338"/>
      <c r="ITD17" s="338"/>
      <c r="ITE17" s="338"/>
      <c r="ITF17" s="338"/>
      <c r="ITG17" s="338"/>
      <c r="ITH17" s="338"/>
      <c r="ITI17" s="338"/>
      <c r="ITJ17" s="338"/>
      <c r="ITK17" s="338"/>
      <c r="ITL17" s="338"/>
      <c r="ITM17" s="338"/>
      <c r="ITN17" s="338"/>
      <c r="ITO17" s="338"/>
      <c r="ITP17" s="338"/>
      <c r="ITQ17" s="338"/>
      <c r="ITR17" s="338"/>
      <c r="ITS17" s="338"/>
      <c r="ITT17" s="338"/>
      <c r="ITU17" s="338"/>
      <c r="ITV17" s="338"/>
      <c r="ITW17" s="338"/>
      <c r="ITX17" s="338"/>
      <c r="ITY17" s="338"/>
      <c r="ITZ17" s="338"/>
      <c r="IUA17" s="338"/>
      <c r="IUB17" s="338"/>
      <c r="IUC17" s="338"/>
      <c r="IUD17" s="338"/>
      <c r="IUE17" s="338"/>
      <c r="IUF17" s="338"/>
      <c r="IUG17" s="338"/>
      <c r="IUH17" s="338"/>
      <c r="IUI17" s="338"/>
      <c r="IUJ17" s="338"/>
      <c r="IUK17" s="338"/>
      <c r="IUL17" s="338"/>
      <c r="IUM17" s="338"/>
      <c r="IUN17" s="338"/>
      <c r="IUO17" s="338"/>
      <c r="IUP17" s="338"/>
      <c r="IUQ17" s="338"/>
      <c r="IUR17" s="338"/>
      <c r="IUS17" s="338"/>
      <c r="IUT17" s="338"/>
      <c r="IUU17" s="338"/>
      <c r="IUV17" s="338"/>
      <c r="IUW17" s="338"/>
      <c r="IUX17" s="338"/>
      <c r="IUY17" s="338"/>
      <c r="IUZ17" s="338"/>
      <c r="IVA17" s="338"/>
      <c r="IVB17" s="338"/>
      <c r="IVC17" s="338"/>
      <c r="IVD17" s="338"/>
      <c r="IVE17" s="338"/>
      <c r="IVF17" s="338"/>
      <c r="IVG17" s="338"/>
      <c r="IVH17" s="338"/>
      <c r="IVI17" s="338"/>
      <c r="IVJ17" s="338"/>
      <c r="IVK17" s="338"/>
      <c r="IVL17" s="338"/>
      <c r="IVM17" s="338"/>
      <c r="IVN17" s="338"/>
      <c r="IVO17" s="338"/>
      <c r="IVP17" s="338"/>
      <c r="IVQ17" s="338"/>
      <c r="IVR17" s="338"/>
      <c r="IVS17" s="338"/>
      <c r="IVT17" s="338"/>
      <c r="IVU17" s="338"/>
      <c r="IVV17" s="338"/>
      <c r="IVW17" s="338"/>
      <c r="IVX17" s="338"/>
      <c r="IVY17" s="338"/>
      <c r="IVZ17" s="338"/>
      <c r="IWA17" s="338"/>
      <c r="IWB17" s="338"/>
      <c r="IWC17" s="338"/>
      <c r="IWD17" s="338"/>
      <c r="IWE17" s="338"/>
      <c r="IWF17" s="338"/>
      <c r="IWG17" s="338"/>
      <c r="IWH17" s="338"/>
      <c r="IWI17" s="338"/>
      <c r="IWJ17" s="338"/>
      <c r="IWK17" s="338"/>
      <c r="IWL17" s="338"/>
      <c r="IWM17" s="338"/>
      <c r="IWN17" s="338"/>
      <c r="IWO17" s="338"/>
      <c r="IWP17" s="338"/>
      <c r="IWQ17" s="338"/>
      <c r="IWR17" s="338"/>
      <c r="IWS17" s="338"/>
      <c r="IWT17" s="338"/>
      <c r="IWU17" s="338"/>
      <c r="IWV17" s="338"/>
      <c r="IWW17" s="338"/>
      <c r="IWX17" s="338"/>
      <c r="IWY17" s="338"/>
      <c r="IWZ17" s="338"/>
      <c r="IXA17" s="338"/>
      <c r="IXB17" s="338"/>
      <c r="IXC17" s="338"/>
      <c r="IXD17" s="338"/>
      <c r="IXE17" s="338"/>
      <c r="IXF17" s="338"/>
      <c r="IXG17" s="338"/>
      <c r="IXH17" s="338"/>
      <c r="IXI17" s="338"/>
      <c r="IXJ17" s="338"/>
      <c r="IXK17" s="338"/>
      <c r="IXL17" s="338"/>
      <c r="IXM17" s="338"/>
      <c r="IXN17" s="338"/>
      <c r="IXO17" s="338"/>
      <c r="IXP17" s="338"/>
      <c r="IXQ17" s="338"/>
      <c r="IXR17" s="338"/>
      <c r="IXS17" s="338"/>
      <c r="IXT17" s="338"/>
      <c r="IXU17" s="338"/>
      <c r="IXV17" s="338"/>
      <c r="IXW17" s="338"/>
      <c r="IXX17" s="338"/>
      <c r="IXY17" s="338"/>
      <c r="IXZ17" s="338"/>
      <c r="IYA17" s="338"/>
      <c r="IYB17" s="338"/>
      <c r="IYC17" s="338"/>
      <c r="IYD17" s="338"/>
      <c r="IYE17" s="338"/>
      <c r="IYF17" s="338"/>
      <c r="IYG17" s="338"/>
      <c r="IYH17" s="338"/>
      <c r="IYI17" s="338"/>
      <c r="IYJ17" s="338"/>
      <c r="IYK17" s="338"/>
      <c r="IYL17" s="338"/>
      <c r="IYM17" s="338"/>
      <c r="IYN17" s="338"/>
      <c r="IYO17" s="338"/>
      <c r="IYP17" s="338"/>
      <c r="IYQ17" s="338"/>
      <c r="IYR17" s="338"/>
      <c r="IYS17" s="338"/>
      <c r="IYT17" s="338"/>
      <c r="IYU17" s="338"/>
      <c r="IYV17" s="338"/>
      <c r="IYW17" s="338"/>
      <c r="IYX17" s="338"/>
      <c r="IYY17" s="338"/>
      <c r="IYZ17" s="338"/>
      <c r="IZA17" s="338"/>
      <c r="IZB17" s="338"/>
      <c r="IZC17" s="338"/>
      <c r="IZD17" s="338"/>
      <c r="IZE17" s="338"/>
      <c r="IZF17" s="338"/>
      <c r="IZG17" s="338"/>
      <c r="IZH17" s="338"/>
      <c r="IZI17" s="338"/>
      <c r="IZJ17" s="338"/>
      <c r="IZK17" s="338"/>
      <c r="IZL17" s="338"/>
      <c r="IZM17" s="338"/>
      <c r="IZN17" s="338"/>
      <c r="IZO17" s="338"/>
      <c r="IZP17" s="338"/>
      <c r="IZQ17" s="338"/>
      <c r="IZR17" s="338"/>
      <c r="IZS17" s="338"/>
      <c r="IZT17" s="338"/>
      <c r="IZU17" s="338"/>
      <c r="IZV17" s="338"/>
      <c r="IZW17" s="338"/>
      <c r="IZX17" s="338"/>
      <c r="IZY17" s="338"/>
      <c r="IZZ17" s="338"/>
      <c r="JAA17" s="338"/>
      <c r="JAB17" s="338"/>
      <c r="JAC17" s="338"/>
      <c r="JAD17" s="338"/>
      <c r="JAE17" s="338"/>
      <c r="JAF17" s="338"/>
      <c r="JAG17" s="338"/>
      <c r="JAH17" s="338"/>
      <c r="JAI17" s="338"/>
      <c r="JAJ17" s="338"/>
      <c r="JAK17" s="338"/>
      <c r="JAL17" s="338"/>
      <c r="JAM17" s="338"/>
      <c r="JAN17" s="338"/>
      <c r="JAO17" s="338"/>
      <c r="JAP17" s="338"/>
      <c r="JAQ17" s="338"/>
      <c r="JAR17" s="338"/>
      <c r="JAS17" s="338"/>
      <c r="JAT17" s="338"/>
      <c r="JAU17" s="338"/>
      <c r="JAV17" s="338"/>
      <c r="JAW17" s="338"/>
      <c r="JAX17" s="338"/>
      <c r="JAY17" s="338"/>
      <c r="JAZ17" s="338"/>
      <c r="JBA17" s="338"/>
      <c r="JBB17" s="338"/>
      <c r="JBC17" s="338"/>
      <c r="JBD17" s="338"/>
      <c r="JBE17" s="338"/>
      <c r="JBF17" s="338"/>
      <c r="JBG17" s="338"/>
      <c r="JBH17" s="338"/>
      <c r="JBI17" s="338"/>
      <c r="JBJ17" s="338"/>
      <c r="JBK17" s="338"/>
      <c r="JBL17" s="338"/>
      <c r="JBM17" s="338"/>
      <c r="JBN17" s="338"/>
      <c r="JBO17" s="338"/>
      <c r="JBP17" s="338"/>
      <c r="JBQ17" s="338"/>
      <c r="JBR17" s="338"/>
      <c r="JBS17" s="338"/>
      <c r="JBT17" s="338"/>
      <c r="JBU17" s="338"/>
      <c r="JBV17" s="338"/>
      <c r="JBW17" s="338"/>
      <c r="JBX17" s="338"/>
      <c r="JBY17" s="338"/>
      <c r="JBZ17" s="338"/>
      <c r="JCA17" s="338"/>
      <c r="JCB17" s="338"/>
      <c r="JCC17" s="338"/>
      <c r="JCD17" s="338"/>
      <c r="JCE17" s="338"/>
      <c r="JCF17" s="338"/>
      <c r="JCG17" s="338"/>
      <c r="JCH17" s="338"/>
      <c r="JCI17" s="338"/>
      <c r="JCJ17" s="338"/>
      <c r="JCK17" s="338"/>
      <c r="JCL17" s="338"/>
      <c r="JCM17" s="338"/>
      <c r="JCN17" s="338"/>
      <c r="JCO17" s="338"/>
      <c r="JCP17" s="338"/>
      <c r="JCQ17" s="338"/>
      <c r="JCR17" s="338"/>
      <c r="JCS17" s="338"/>
      <c r="JCT17" s="338"/>
      <c r="JCU17" s="338"/>
      <c r="JCV17" s="338"/>
      <c r="JCW17" s="338"/>
      <c r="JCX17" s="338"/>
      <c r="JCY17" s="338"/>
      <c r="JCZ17" s="338"/>
      <c r="JDA17" s="338"/>
      <c r="JDB17" s="338"/>
      <c r="JDC17" s="338"/>
      <c r="JDD17" s="338"/>
      <c r="JDE17" s="338"/>
      <c r="JDF17" s="338"/>
      <c r="JDG17" s="338"/>
      <c r="JDH17" s="338"/>
      <c r="JDI17" s="338"/>
      <c r="JDJ17" s="338"/>
      <c r="JDK17" s="338"/>
      <c r="JDL17" s="338"/>
      <c r="JDM17" s="338"/>
      <c r="JDN17" s="338"/>
      <c r="JDO17" s="338"/>
      <c r="JDP17" s="338"/>
      <c r="JDQ17" s="338"/>
      <c r="JDR17" s="338"/>
      <c r="JDS17" s="338"/>
      <c r="JDT17" s="338"/>
      <c r="JDU17" s="338"/>
      <c r="JDV17" s="338"/>
      <c r="JDW17" s="338"/>
      <c r="JDX17" s="338"/>
      <c r="JDY17" s="338"/>
      <c r="JDZ17" s="338"/>
      <c r="JEA17" s="338"/>
      <c r="JEB17" s="338"/>
      <c r="JEC17" s="338"/>
      <c r="JED17" s="338"/>
      <c r="JEE17" s="338"/>
      <c r="JEF17" s="338"/>
      <c r="JEG17" s="338"/>
      <c r="JEH17" s="338"/>
      <c r="JEI17" s="338"/>
      <c r="JEJ17" s="338"/>
      <c r="JEK17" s="338"/>
      <c r="JEL17" s="338"/>
      <c r="JEM17" s="338"/>
      <c r="JEN17" s="338"/>
      <c r="JEO17" s="338"/>
      <c r="JEP17" s="338"/>
      <c r="JEQ17" s="338"/>
      <c r="JER17" s="338"/>
      <c r="JES17" s="338"/>
      <c r="JET17" s="338"/>
      <c r="JEU17" s="338"/>
      <c r="JEV17" s="338"/>
      <c r="JEW17" s="338"/>
      <c r="JEX17" s="338"/>
      <c r="JEY17" s="338"/>
      <c r="JEZ17" s="338"/>
      <c r="JFA17" s="338"/>
      <c r="JFB17" s="338"/>
      <c r="JFC17" s="338"/>
      <c r="JFD17" s="338"/>
      <c r="JFE17" s="338"/>
      <c r="JFF17" s="338"/>
      <c r="JFG17" s="338"/>
      <c r="JFH17" s="338"/>
      <c r="JFI17" s="338"/>
      <c r="JFJ17" s="338"/>
      <c r="JFK17" s="338"/>
      <c r="JFL17" s="338"/>
      <c r="JFM17" s="338"/>
      <c r="JFN17" s="338"/>
      <c r="JFO17" s="338"/>
      <c r="JFP17" s="338"/>
      <c r="JFQ17" s="338"/>
      <c r="JFR17" s="338"/>
      <c r="JFS17" s="338"/>
      <c r="JFT17" s="338"/>
      <c r="JFU17" s="338"/>
      <c r="JFV17" s="338"/>
      <c r="JFW17" s="338"/>
      <c r="JFX17" s="338"/>
      <c r="JFY17" s="338"/>
      <c r="JFZ17" s="338"/>
      <c r="JGA17" s="338"/>
      <c r="JGB17" s="338"/>
      <c r="JGC17" s="338"/>
      <c r="JGD17" s="338"/>
      <c r="JGE17" s="338"/>
      <c r="JGF17" s="338"/>
      <c r="JGG17" s="338"/>
      <c r="JGH17" s="338"/>
      <c r="JGI17" s="338"/>
      <c r="JGJ17" s="338"/>
      <c r="JGK17" s="338"/>
      <c r="JGL17" s="338"/>
      <c r="JGM17" s="338"/>
      <c r="JGN17" s="338"/>
      <c r="JGO17" s="338"/>
      <c r="JGP17" s="338"/>
      <c r="JGQ17" s="338"/>
      <c r="JGR17" s="338"/>
      <c r="JGS17" s="338"/>
      <c r="JGT17" s="338"/>
      <c r="JGU17" s="338"/>
      <c r="JGV17" s="338"/>
      <c r="JGW17" s="338"/>
      <c r="JGX17" s="338"/>
      <c r="JGY17" s="338"/>
      <c r="JGZ17" s="338"/>
      <c r="JHA17" s="338"/>
      <c r="JHB17" s="338"/>
      <c r="JHC17" s="338"/>
      <c r="JHD17" s="338"/>
      <c r="JHE17" s="338"/>
      <c r="JHF17" s="338"/>
      <c r="JHG17" s="338"/>
      <c r="JHH17" s="338"/>
      <c r="JHI17" s="338"/>
      <c r="JHJ17" s="338"/>
      <c r="JHK17" s="338"/>
      <c r="JHL17" s="338"/>
      <c r="JHM17" s="338"/>
      <c r="JHN17" s="338"/>
      <c r="JHO17" s="338"/>
      <c r="JHP17" s="338"/>
      <c r="JHQ17" s="338"/>
      <c r="JHR17" s="338"/>
      <c r="JHS17" s="338"/>
      <c r="JHT17" s="338"/>
      <c r="JHU17" s="338"/>
      <c r="JHV17" s="338"/>
      <c r="JHW17" s="338"/>
      <c r="JHX17" s="338"/>
      <c r="JHY17" s="338"/>
      <c r="JHZ17" s="338"/>
      <c r="JIA17" s="338"/>
      <c r="JIB17" s="338"/>
      <c r="JIC17" s="338"/>
      <c r="JID17" s="338"/>
      <c r="JIE17" s="338"/>
      <c r="JIF17" s="338"/>
      <c r="JIG17" s="338"/>
      <c r="JIH17" s="338"/>
      <c r="JII17" s="338"/>
      <c r="JIJ17" s="338"/>
      <c r="JIK17" s="338"/>
      <c r="JIL17" s="338"/>
      <c r="JIM17" s="338"/>
      <c r="JIN17" s="338"/>
      <c r="JIO17" s="338"/>
      <c r="JIP17" s="338"/>
      <c r="JIQ17" s="338"/>
      <c r="JIR17" s="338"/>
      <c r="JIS17" s="338"/>
      <c r="JIT17" s="338"/>
      <c r="JIU17" s="338"/>
      <c r="JIV17" s="338"/>
      <c r="JIW17" s="338"/>
      <c r="JIX17" s="338"/>
      <c r="JIY17" s="338"/>
      <c r="JIZ17" s="338"/>
      <c r="JJA17" s="338"/>
      <c r="JJB17" s="338"/>
      <c r="JJC17" s="338"/>
      <c r="JJD17" s="338"/>
      <c r="JJE17" s="338"/>
      <c r="JJF17" s="338"/>
      <c r="JJG17" s="338"/>
      <c r="JJH17" s="338"/>
      <c r="JJI17" s="338"/>
      <c r="JJJ17" s="338"/>
      <c r="JJK17" s="338"/>
      <c r="JJL17" s="338"/>
      <c r="JJM17" s="338"/>
      <c r="JJN17" s="338"/>
      <c r="JJO17" s="338"/>
      <c r="JJP17" s="338"/>
      <c r="JJQ17" s="338"/>
      <c r="JJR17" s="338"/>
      <c r="JJS17" s="338"/>
      <c r="JJT17" s="338"/>
      <c r="JJU17" s="338"/>
      <c r="JJV17" s="338"/>
      <c r="JJW17" s="338"/>
      <c r="JJX17" s="338"/>
      <c r="JJY17" s="338"/>
      <c r="JJZ17" s="338"/>
      <c r="JKA17" s="338"/>
      <c r="JKB17" s="338"/>
      <c r="JKC17" s="338"/>
      <c r="JKD17" s="338"/>
      <c r="JKE17" s="338"/>
      <c r="JKF17" s="338"/>
      <c r="JKG17" s="338"/>
      <c r="JKH17" s="338"/>
      <c r="JKI17" s="338"/>
      <c r="JKJ17" s="338"/>
      <c r="JKK17" s="338"/>
      <c r="JKL17" s="338"/>
      <c r="JKM17" s="338"/>
      <c r="JKN17" s="338"/>
      <c r="JKO17" s="338"/>
      <c r="JKP17" s="338"/>
      <c r="JKQ17" s="338"/>
      <c r="JKR17" s="338"/>
      <c r="JKS17" s="338"/>
      <c r="JKT17" s="338"/>
      <c r="JKU17" s="338"/>
      <c r="JKV17" s="338"/>
      <c r="JKW17" s="338"/>
      <c r="JKX17" s="338"/>
      <c r="JKY17" s="338"/>
      <c r="JKZ17" s="338"/>
      <c r="JLA17" s="338"/>
      <c r="JLB17" s="338"/>
      <c r="JLC17" s="338"/>
      <c r="JLD17" s="338"/>
      <c r="JLE17" s="338"/>
      <c r="JLF17" s="338"/>
      <c r="JLG17" s="338"/>
      <c r="JLH17" s="338"/>
      <c r="JLI17" s="338"/>
      <c r="JLJ17" s="338"/>
      <c r="JLK17" s="338"/>
      <c r="JLL17" s="338"/>
      <c r="JLM17" s="338"/>
      <c r="JLN17" s="338"/>
      <c r="JLO17" s="338"/>
      <c r="JLP17" s="338"/>
      <c r="JLQ17" s="338"/>
      <c r="JLR17" s="338"/>
      <c r="JLS17" s="338"/>
      <c r="JLT17" s="338"/>
      <c r="JLU17" s="338"/>
      <c r="JLV17" s="338"/>
      <c r="JLW17" s="338"/>
      <c r="JLX17" s="338"/>
      <c r="JLY17" s="338"/>
      <c r="JLZ17" s="338"/>
      <c r="JMA17" s="338"/>
      <c r="JMB17" s="338"/>
      <c r="JMC17" s="338"/>
      <c r="JMD17" s="338"/>
      <c r="JME17" s="338"/>
      <c r="JMF17" s="338"/>
      <c r="JMG17" s="338"/>
      <c r="JMH17" s="338"/>
      <c r="JMI17" s="338"/>
      <c r="JMJ17" s="338"/>
      <c r="JMK17" s="338"/>
      <c r="JML17" s="338"/>
      <c r="JMM17" s="338"/>
      <c r="JMN17" s="338"/>
      <c r="JMO17" s="338"/>
      <c r="JMP17" s="338"/>
      <c r="JMQ17" s="338"/>
      <c r="JMR17" s="338"/>
      <c r="JMS17" s="338"/>
      <c r="JMT17" s="338"/>
      <c r="JMU17" s="338"/>
      <c r="JMV17" s="338"/>
      <c r="JMW17" s="338"/>
      <c r="JMX17" s="338"/>
      <c r="JMY17" s="338"/>
      <c r="JMZ17" s="338"/>
      <c r="JNA17" s="338"/>
      <c r="JNB17" s="338"/>
      <c r="JNC17" s="338"/>
      <c r="JND17" s="338"/>
      <c r="JNE17" s="338"/>
      <c r="JNF17" s="338"/>
      <c r="JNG17" s="338"/>
      <c r="JNH17" s="338"/>
      <c r="JNI17" s="338"/>
      <c r="JNJ17" s="338"/>
      <c r="JNK17" s="338"/>
      <c r="JNL17" s="338"/>
      <c r="JNM17" s="338"/>
      <c r="JNN17" s="338"/>
      <c r="JNO17" s="338"/>
      <c r="JNP17" s="338"/>
      <c r="JNQ17" s="338"/>
      <c r="JNR17" s="338"/>
      <c r="JNS17" s="338"/>
      <c r="JNT17" s="338"/>
      <c r="JNU17" s="338"/>
      <c r="JNV17" s="338"/>
      <c r="JNW17" s="338"/>
      <c r="JNX17" s="338"/>
      <c r="JNY17" s="338"/>
      <c r="JNZ17" s="338"/>
      <c r="JOA17" s="338"/>
      <c r="JOB17" s="338"/>
      <c r="JOC17" s="338"/>
      <c r="JOD17" s="338"/>
      <c r="JOE17" s="338"/>
      <c r="JOF17" s="338"/>
      <c r="JOG17" s="338"/>
      <c r="JOH17" s="338"/>
      <c r="JOI17" s="338"/>
      <c r="JOJ17" s="338"/>
      <c r="JOK17" s="338"/>
      <c r="JOL17" s="338"/>
      <c r="JOM17" s="338"/>
      <c r="JON17" s="338"/>
      <c r="JOO17" s="338"/>
      <c r="JOP17" s="338"/>
      <c r="JOQ17" s="338"/>
      <c r="JOR17" s="338"/>
      <c r="JOS17" s="338"/>
      <c r="JOT17" s="338"/>
      <c r="JOU17" s="338"/>
      <c r="JOV17" s="338"/>
      <c r="JOW17" s="338"/>
      <c r="JOX17" s="338"/>
      <c r="JOY17" s="338"/>
      <c r="JOZ17" s="338"/>
      <c r="JPA17" s="338"/>
      <c r="JPB17" s="338"/>
      <c r="JPC17" s="338"/>
      <c r="JPD17" s="338"/>
      <c r="JPE17" s="338"/>
      <c r="JPF17" s="338"/>
      <c r="JPG17" s="338"/>
      <c r="JPH17" s="338"/>
      <c r="JPI17" s="338"/>
      <c r="JPJ17" s="338"/>
      <c r="JPK17" s="338"/>
      <c r="JPL17" s="338"/>
      <c r="JPM17" s="338"/>
      <c r="JPN17" s="338"/>
      <c r="JPO17" s="338"/>
      <c r="JPP17" s="338"/>
      <c r="JPQ17" s="338"/>
      <c r="JPR17" s="338"/>
      <c r="JPS17" s="338"/>
      <c r="JPT17" s="338"/>
      <c r="JPU17" s="338"/>
      <c r="JPV17" s="338"/>
      <c r="JPW17" s="338"/>
      <c r="JPX17" s="338"/>
      <c r="JPY17" s="338"/>
      <c r="JPZ17" s="338"/>
      <c r="JQA17" s="338"/>
      <c r="JQB17" s="338"/>
      <c r="JQC17" s="338"/>
      <c r="JQD17" s="338"/>
      <c r="JQE17" s="338"/>
      <c r="JQF17" s="338"/>
      <c r="JQG17" s="338"/>
      <c r="JQH17" s="338"/>
      <c r="JQI17" s="338"/>
      <c r="JQJ17" s="338"/>
      <c r="JQK17" s="338"/>
      <c r="JQL17" s="338"/>
      <c r="JQM17" s="338"/>
      <c r="JQN17" s="338"/>
      <c r="JQO17" s="338"/>
      <c r="JQP17" s="338"/>
      <c r="JQQ17" s="338"/>
      <c r="JQR17" s="338"/>
      <c r="JQS17" s="338"/>
      <c r="JQT17" s="338"/>
      <c r="JQU17" s="338"/>
      <c r="JQV17" s="338"/>
      <c r="JQW17" s="338"/>
      <c r="JQX17" s="338"/>
      <c r="JQY17" s="338"/>
      <c r="JQZ17" s="338"/>
      <c r="JRA17" s="338"/>
      <c r="JRB17" s="338"/>
      <c r="JRC17" s="338"/>
      <c r="JRD17" s="338"/>
      <c r="JRE17" s="338"/>
      <c r="JRF17" s="338"/>
      <c r="JRG17" s="338"/>
      <c r="JRH17" s="338"/>
      <c r="JRI17" s="338"/>
      <c r="JRJ17" s="338"/>
      <c r="JRK17" s="338"/>
      <c r="JRL17" s="338"/>
      <c r="JRM17" s="338"/>
      <c r="JRN17" s="338"/>
      <c r="JRO17" s="338"/>
      <c r="JRP17" s="338"/>
      <c r="JRQ17" s="338"/>
      <c r="JRR17" s="338"/>
      <c r="JRS17" s="338"/>
      <c r="JRT17" s="338"/>
      <c r="JRU17" s="338"/>
      <c r="JRV17" s="338"/>
      <c r="JRW17" s="338"/>
      <c r="JRX17" s="338"/>
      <c r="JRY17" s="338"/>
      <c r="JRZ17" s="338"/>
      <c r="JSA17" s="338"/>
      <c r="JSB17" s="338"/>
      <c r="JSC17" s="338"/>
      <c r="JSD17" s="338"/>
      <c r="JSE17" s="338"/>
      <c r="JSF17" s="338"/>
      <c r="JSG17" s="338"/>
      <c r="JSH17" s="338"/>
      <c r="JSI17" s="338"/>
      <c r="JSJ17" s="338"/>
      <c r="JSK17" s="338"/>
      <c r="JSL17" s="338"/>
      <c r="JSM17" s="338"/>
      <c r="JSN17" s="338"/>
      <c r="JSO17" s="338"/>
      <c r="JSP17" s="338"/>
      <c r="JSQ17" s="338"/>
      <c r="JSR17" s="338"/>
      <c r="JSS17" s="338"/>
      <c r="JST17" s="338"/>
      <c r="JSU17" s="338"/>
      <c r="JSV17" s="338"/>
      <c r="JSW17" s="338"/>
      <c r="JSX17" s="338"/>
      <c r="JSY17" s="338"/>
      <c r="JSZ17" s="338"/>
      <c r="JTA17" s="338"/>
      <c r="JTB17" s="338"/>
      <c r="JTC17" s="338"/>
      <c r="JTD17" s="338"/>
      <c r="JTE17" s="338"/>
      <c r="JTF17" s="338"/>
      <c r="JTG17" s="338"/>
      <c r="JTH17" s="338"/>
      <c r="JTI17" s="338"/>
      <c r="JTJ17" s="338"/>
      <c r="JTK17" s="338"/>
      <c r="JTL17" s="338"/>
      <c r="JTM17" s="338"/>
      <c r="JTN17" s="338"/>
      <c r="JTO17" s="338"/>
      <c r="JTP17" s="338"/>
      <c r="JTQ17" s="338"/>
      <c r="JTR17" s="338"/>
      <c r="JTS17" s="338"/>
      <c r="JTT17" s="338"/>
      <c r="JTU17" s="338"/>
      <c r="JTV17" s="338"/>
      <c r="JTW17" s="338"/>
      <c r="JTX17" s="338"/>
      <c r="JTY17" s="338"/>
      <c r="JTZ17" s="338"/>
      <c r="JUA17" s="338"/>
      <c r="JUB17" s="338"/>
      <c r="JUC17" s="338"/>
      <c r="JUD17" s="338"/>
      <c r="JUE17" s="338"/>
      <c r="JUF17" s="338"/>
      <c r="JUG17" s="338"/>
      <c r="JUH17" s="338"/>
      <c r="JUI17" s="338"/>
      <c r="JUJ17" s="338"/>
      <c r="JUK17" s="338"/>
      <c r="JUL17" s="338"/>
      <c r="JUM17" s="338"/>
      <c r="JUN17" s="338"/>
      <c r="JUO17" s="338"/>
      <c r="JUP17" s="338"/>
      <c r="JUQ17" s="338"/>
      <c r="JUR17" s="338"/>
      <c r="JUS17" s="338"/>
      <c r="JUT17" s="338"/>
      <c r="JUU17" s="338"/>
      <c r="JUV17" s="338"/>
      <c r="JUW17" s="338"/>
      <c r="JUX17" s="338"/>
      <c r="JUY17" s="338"/>
      <c r="JUZ17" s="338"/>
      <c r="JVA17" s="338"/>
      <c r="JVB17" s="338"/>
      <c r="JVC17" s="338"/>
      <c r="JVD17" s="338"/>
      <c r="JVE17" s="338"/>
      <c r="JVF17" s="338"/>
      <c r="JVG17" s="338"/>
      <c r="JVH17" s="338"/>
      <c r="JVI17" s="338"/>
      <c r="JVJ17" s="338"/>
      <c r="JVK17" s="338"/>
      <c r="JVL17" s="338"/>
      <c r="JVM17" s="338"/>
      <c r="JVN17" s="338"/>
      <c r="JVO17" s="338"/>
      <c r="JVP17" s="338"/>
      <c r="JVQ17" s="338"/>
      <c r="JVR17" s="338"/>
      <c r="JVS17" s="338"/>
      <c r="JVT17" s="338"/>
      <c r="JVU17" s="338"/>
      <c r="JVV17" s="338"/>
      <c r="JVW17" s="338"/>
      <c r="JVX17" s="338"/>
      <c r="JVY17" s="338"/>
      <c r="JVZ17" s="338"/>
      <c r="JWA17" s="338"/>
      <c r="JWB17" s="338"/>
      <c r="JWC17" s="338"/>
      <c r="JWD17" s="338"/>
      <c r="JWE17" s="338"/>
      <c r="JWF17" s="338"/>
      <c r="JWG17" s="338"/>
      <c r="JWH17" s="338"/>
      <c r="JWI17" s="338"/>
      <c r="JWJ17" s="338"/>
      <c r="JWK17" s="338"/>
      <c r="JWL17" s="338"/>
      <c r="JWM17" s="338"/>
      <c r="JWN17" s="338"/>
      <c r="JWO17" s="338"/>
      <c r="JWP17" s="338"/>
      <c r="JWQ17" s="338"/>
      <c r="JWR17" s="338"/>
      <c r="JWS17" s="338"/>
      <c r="JWT17" s="338"/>
      <c r="JWU17" s="338"/>
      <c r="JWV17" s="338"/>
      <c r="JWW17" s="338"/>
      <c r="JWX17" s="338"/>
      <c r="JWY17" s="338"/>
      <c r="JWZ17" s="338"/>
      <c r="JXA17" s="338"/>
      <c r="JXB17" s="338"/>
      <c r="JXC17" s="338"/>
      <c r="JXD17" s="338"/>
      <c r="JXE17" s="338"/>
      <c r="JXF17" s="338"/>
      <c r="JXG17" s="338"/>
      <c r="JXH17" s="338"/>
      <c r="JXI17" s="338"/>
      <c r="JXJ17" s="338"/>
      <c r="JXK17" s="338"/>
      <c r="JXL17" s="338"/>
      <c r="JXM17" s="338"/>
      <c r="JXN17" s="338"/>
      <c r="JXO17" s="338"/>
      <c r="JXP17" s="338"/>
      <c r="JXQ17" s="338"/>
      <c r="JXR17" s="338"/>
      <c r="JXS17" s="338"/>
      <c r="JXT17" s="338"/>
      <c r="JXU17" s="338"/>
      <c r="JXV17" s="338"/>
      <c r="JXW17" s="338"/>
      <c r="JXX17" s="338"/>
      <c r="JXY17" s="338"/>
      <c r="JXZ17" s="338"/>
      <c r="JYA17" s="338"/>
      <c r="JYB17" s="338"/>
      <c r="JYC17" s="338"/>
      <c r="JYD17" s="338"/>
      <c r="JYE17" s="338"/>
      <c r="JYF17" s="338"/>
      <c r="JYG17" s="338"/>
      <c r="JYH17" s="338"/>
      <c r="JYI17" s="338"/>
      <c r="JYJ17" s="338"/>
      <c r="JYK17" s="338"/>
      <c r="JYL17" s="338"/>
      <c r="JYM17" s="338"/>
      <c r="JYN17" s="338"/>
      <c r="JYO17" s="338"/>
      <c r="JYP17" s="338"/>
      <c r="JYQ17" s="338"/>
      <c r="JYR17" s="338"/>
      <c r="JYS17" s="338"/>
      <c r="JYT17" s="338"/>
      <c r="JYU17" s="338"/>
      <c r="JYV17" s="338"/>
      <c r="JYW17" s="338"/>
      <c r="JYX17" s="338"/>
      <c r="JYY17" s="338"/>
      <c r="JYZ17" s="338"/>
      <c r="JZA17" s="338"/>
      <c r="JZB17" s="338"/>
      <c r="JZC17" s="338"/>
      <c r="JZD17" s="338"/>
      <c r="JZE17" s="338"/>
      <c r="JZF17" s="338"/>
      <c r="JZG17" s="338"/>
      <c r="JZH17" s="338"/>
      <c r="JZI17" s="338"/>
      <c r="JZJ17" s="338"/>
      <c r="JZK17" s="338"/>
      <c r="JZL17" s="338"/>
      <c r="JZM17" s="338"/>
      <c r="JZN17" s="338"/>
      <c r="JZO17" s="338"/>
      <c r="JZP17" s="338"/>
      <c r="JZQ17" s="338"/>
      <c r="JZR17" s="338"/>
      <c r="JZS17" s="338"/>
      <c r="JZT17" s="338"/>
      <c r="JZU17" s="338"/>
      <c r="JZV17" s="338"/>
      <c r="JZW17" s="338"/>
      <c r="JZX17" s="338"/>
      <c r="JZY17" s="338"/>
      <c r="JZZ17" s="338"/>
      <c r="KAA17" s="338"/>
      <c r="KAB17" s="338"/>
      <c r="KAC17" s="338"/>
      <c r="KAD17" s="338"/>
      <c r="KAE17" s="338"/>
      <c r="KAF17" s="338"/>
      <c r="KAG17" s="338"/>
      <c r="KAH17" s="338"/>
      <c r="KAI17" s="338"/>
      <c r="KAJ17" s="338"/>
      <c r="KAK17" s="338"/>
      <c r="KAL17" s="338"/>
      <c r="KAM17" s="338"/>
      <c r="KAN17" s="338"/>
      <c r="KAO17" s="338"/>
      <c r="KAP17" s="338"/>
      <c r="KAQ17" s="338"/>
      <c r="KAR17" s="338"/>
      <c r="KAS17" s="338"/>
      <c r="KAT17" s="338"/>
      <c r="KAU17" s="338"/>
      <c r="KAV17" s="338"/>
      <c r="KAW17" s="338"/>
      <c r="KAX17" s="338"/>
      <c r="KAY17" s="338"/>
      <c r="KAZ17" s="338"/>
      <c r="KBA17" s="338"/>
      <c r="KBB17" s="338"/>
      <c r="KBC17" s="338"/>
      <c r="KBD17" s="338"/>
      <c r="KBE17" s="338"/>
      <c r="KBF17" s="338"/>
      <c r="KBG17" s="338"/>
      <c r="KBH17" s="338"/>
      <c r="KBI17" s="338"/>
      <c r="KBJ17" s="338"/>
      <c r="KBK17" s="338"/>
      <c r="KBL17" s="338"/>
      <c r="KBM17" s="338"/>
      <c r="KBN17" s="338"/>
      <c r="KBO17" s="338"/>
      <c r="KBP17" s="338"/>
      <c r="KBQ17" s="338"/>
      <c r="KBR17" s="338"/>
      <c r="KBS17" s="338"/>
      <c r="KBT17" s="338"/>
      <c r="KBU17" s="338"/>
      <c r="KBV17" s="338"/>
      <c r="KBW17" s="338"/>
      <c r="KBX17" s="338"/>
      <c r="KBY17" s="338"/>
      <c r="KBZ17" s="338"/>
      <c r="KCA17" s="338"/>
      <c r="KCB17" s="338"/>
      <c r="KCC17" s="338"/>
      <c r="KCD17" s="338"/>
      <c r="KCE17" s="338"/>
      <c r="KCF17" s="338"/>
      <c r="KCG17" s="338"/>
      <c r="KCH17" s="338"/>
      <c r="KCI17" s="338"/>
      <c r="KCJ17" s="338"/>
      <c r="KCK17" s="338"/>
      <c r="KCL17" s="338"/>
      <c r="KCM17" s="338"/>
      <c r="KCN17" s="338"/>
      <c r="KCO17" s="338"/>
      <c r="KCP17" s="338"/>
      <c r="KCQ17" s="338"/>
      <c r="KCR17" s="338"/>
      <c r="KCS17" s="338"/>
      <c r="KCT17" s="338"/>
      <c r="KCU17" s="338"/>
      <c r="KCV17" s="338"/>
      <c r="KCW17" s="338"/>
      <c r="KCX17" s="338"/>
      <c r="KCY17" s="338"/>
      <c r="KCZ17" s="338"/>
      <c r="KDA17" s="338"/>
      <c r="KDB17" s="338"/>
      <c r="KDC17" s="338"/>
      <c r="KDD17" s="338"/>
      <c r="KDE17" s="338"/>
      <c r="KDF17" s="338"/>
      <c r="KDG17" s="338"/>
      <c r="KDH17" s="338"/>
      <c r="KDI17" s="338"/>
      <c r="KDJ17" s="338"/>
      <c r="KDK17" s="338"/>
      <c r="KDL17" s="338"/>
      <c r="KDM17" s="338"/>
      <c r="KDN17" s="338"/>
      <c r="KDO17" s="338"/>
      <c r="KDP17" s="338"/>
      <c r="KDQ17" s="338"/>
      <c r="KDR17" s="338"/>
      <c r="KDS17" s="338"/>
      <c r="KDT17" s="338"/>
      <c r="KDU17" s="338"/>
      <c r="KDV17" s="338"/>
      <c r="KDW17" s="338"/>
      <c r="KDX17" s="338"/>
      <c r="KDY17" s="338"/>
      <c r="KDZ17" s="338"/>
      <c r="KEA17" s="338"/>
      <c r="KEB17" s="338"/>
      <c r="KEC17" s="338"/>
      <c r="KED17" s="338"/>
      <c r="KEE17" s="338"/>
      <c r="KEF17" s="338"/>
      <c r="KEG17" s="338"/>
      <c r="KEH17" s="338"/>
      <c r="KEI17" s="338"/>
      <c r="KEJ17" s="338"/>
      <c r="KEK17" s="338"/>
      <c r="KEL17" s="338"/>
      <c r="KEM17" s="338"/>
      <c r="KEN17" s="338"/>
      <c r="KEO17" s="338"/>
      <c r="KEP17" s="338"/>
      <c r="KEQ17" s="338"/>
      <c r="KER17" s="338"/>
      <c r="KES17" s="338"/>
      <c r="KET17" s="338"/>
      <c r="KEU17" s="338"/>
      <c r="KEV17" s="338"/>
      <c r="KEW17" s="338"/>
      <c r="KEX17" s="338"/>
      <c r="KEY17" s="338"/>
      <c r="KEZ17" s="338"/>
      <c r="KFA17" s="338"/>
      <c r="KFB17" s="338"/>
      <c r="KFC17" s="338"/>
      <c r="KFD17" s="338"/>
      <c r="KFE17" s="338"/>
      <c r="KFF17" s="338"/>
      <c r="KFG17" s="338"/>
      <c r="KFH17" s="338"/>
      <c r="KFI17" s="338"/>
      <c r="KFJ17" s="338"/>
      <c r="KFK17" s="338"/>
      <c r="KFL17" s="338"/>
      <c r="KFM17" s="338"/>
      <c r="KFN17" s="338"/>
      <c r="KFO17" s="338"/>
      <c r="KFP17" s="338"/>
      <c r="KFQ17" s="338"/>
      <c r="KFR17" s="338"/>
      <c r="KFS17" s="338"/>
      <c r="KFT17" s="338"/>
      <c r="KFU17" s="338"/>
      <c r="KFV17" s="338"/>
      <c r="KFW17" s="338"/>
      <c r="KFX17" s="338"/>
      <c r="KFY17" s="338"/>
      <c r="KFZ17" s="338"/>
      <c r="KGA17" s="338"/>
      <c r="KGB17" s="338"/>
      <c r="KGC17" s="338"/>
      <c r="KGD17" s="338"/>
      <c r="KGE17" s="338"/>
      <c r="KGF17" s="338"/>
      <c r="KGG17" s="338"/>
      <c r="KGH17" s="338"/>
      <c r="KGI17" s="338"/>
      <c r="KGJ17" s="338"/>
      <c r="KGK17" s="338"/>
      <c r="KGL17" s="338"/>
      <c r="KGM17" s="338"/>
      <c r="KGN17" s="338"/>
      <c r="KGO17" s="338"/>
      <c r="KGP17" s="338"/>
      <c r="KGQ17" s="338"/>
      <c r="KGR17" s="338"/>
      <c r="KGS17" s="338"/>
      <c r="KGT17" s="338"/>
      <c r="KGU17" s="338"/>
      <c r="KGV17" s="338"/>
      <c r="KGW17" s="338"/>
      <c r="KGX17" s="338"/>
      <c r="KGY17" s="338"/>
      <c r="KGZ17" s="338"/>
      <c r="KHA17" s="338"/>
      <c r="KHB17" s="338"/>
      <c r="KHC17" s="338"/>
      <c r="KHD17" s="338"/>
      <c r="KHE17" s="338"/>
      <c r="KHF17" s="338"/>
      <c r="KHG17" s="338"/>
      <c r="KHH17" s="338"/>
      <c r="KHI17" s="338"/>
      <c r="KHJ17" s="338"/>
      <c r="KHK17" s="338"/>
      <c r="KHL17" s="338"/>
      <c r="KHM17" s="338"/>
      <c r="KHN17" s="338"/>
      <c r="KHO17" s="338"/>
      <c r="KHP17" s="338"/>
      <c r="KHQ17" s="338"/>
      <c r="KHR17" s="338"/>
      <c r="KHS17" s="338"/>
      <c r="KHT17" s="338"/>
      <c r="KHU17" s="338"/>
      <c r="KHV17" s="338"/>
      <c r="KHW17" s="338"/>
      <c r="KHX17" s="338"/>
      <c r="KHY17" s="338"/>
      <c r="KHZ17" s="338"/>
      <c r="KIA17" s="338"/>
      <c r="KIB17" s="338"/>
      <c r="KIC17" s="338"/>
      <c r="KID17" s="338"/>
      <c r="KIE17" s="338"/>
      <c r="KIF17" s="338"/>
      <c r="KIG17" s="338"/>
      <c r="KIH17" s="338"/>
      <c r="KII17" s="338"/>
      <c r="KIJ17" s="338"/>
      <c r="KIK17" s="338"/>
      <c r="KIL17" s="338"/>
      <c r="KIM17" s="338"/>
      <c r="KIN17" s="338"/>
      <c r="KIO17" s="338"/>
      <c r="KIP17" s="338"/>
      <c r="KIQ17" s="338"/>
      <c r="KIR17" s="338"/>
      <c r="KIS17" s="338"/>
      <c r="KIT17" s="338"/>
      <c r="KIU17" s="338"/>
      <c r="KIV17" s="338"/>
      <c r="KIW17" s="338"/>
      <c r="KIX17" s="338"/>
      <c r="KIY17" s="338"/>
      <c r="KIZ17" s="338"/>
      <c r="KJA17" s="338"/>
      <c r="KJB17" s="338"/>
      <c r="KJC17" s="338"/>
      <c r="KJD17" s="338"/>
      <c r="KJE17" s="338"/>
      <c r="KJF17" s="338"/>
      <c r="KJG17" s="338"/>
      <c r="KJH17" s="338"/>
      <c r="KJI17" s="338"/>
      <c r="KJJ17" s="338"/>
      <c r="KJK17" s="338"/>
      <c r="KJL17" s="338"/>
      <c r="KJM17" s="338"/>
      <c r="KJN17" s="338"/>
      <c r="KJO17" s="338"/>
      <c r="KJP17" s="338"/>
      <c r="KJQ17" s="338"/>
      <c r="KJR17" s="338"/>
      <c r="KJS17" s="338"/>
      <c r="KJT17" s="338"/>
      <c r="KJU17" s="338"/>
      <c r="KJV17" s="338"/>
      <c r="KJW17" s="338"/>
      <c r="KJX17" s="338"/>
      <c r="KJY17" s="338"/>
      <c r="KJZ17" s="338"/>
      <c r="KKA17" s="338"/>
      <c r="KKB17" s="338"/>
      <c r="KKC17" s="338"/>
      <c r="KKD17" s="338"/>
      <c r="KKE17" s="338"/>
      <c r="KKF17" s="338"/>
      <c r="KKG17" s="338"/>
      <c r="KKH17" s="338"/>
      <c r="KKI17" s="338"/>
      <c r="KKJ17" s="338"/>
      <c r="KKK17" s="338"/>
      <c r="KKL17" s="338"/>
      <c r="KKM17" s="338"/>
      <c r="KKN17" s="338"/>
      <c r="KKO17" s="338"/>
      <c r="KKP17" s="338"/>
      <c r="KKQ17" s="338"/>
      <c r="KKR17" s="338"/>
      <c r="KKS17" s="338"/>
      <c r="KKT17" s="338"/>
      <c r="KKU17" s="338"/>
      <c r="KKV17" s="338"/>
      <c r="KKW17" s="338"/>
      <c r="KKX17" s="338"/>
      <c r="KKY17" s="338"/>
      <c r="KKZ17" s="338"/>
      <c r="KLA17" s="338"/>
      <c r="KLB17" s="338"/>
      <c r="KLC17" s="338"/>
      <c r="KLD17" s="338"/>
      <c r="KLE17" s="338"/>
      <c r="KLF17" s="338"/>
      <c r="KLG17" s="338"/>
      <c r="KLH17" s="338"/>
      <c r="KLI17" s="338"/>
      <c r="KLJ17" s="338"/>
      <c r="KLK17" s="338"/>
      <c r="KLL17" s="338"/>
      <c r="KLM17" s="338"/>
      <c r="KLN17" s="338"/>
      <c r="KLO17" s="338"/>
      <c r="KLP17" s="338"/>
      <c r="KLQ17" s="338"/>
      <c r="KLR17" s="338"/>
      <c r="KLS17" s="338"/>
      <c r="KLT17" s="338"/>
      <c r="KLU17" s="338"/>
      <c r="KLV17" s="338"/>
      <c r="KLW17" s="338"/>
      <c r="KLX17" s="338"/>
      <c r="KLY17" s="338"/>
      <c r="KLZ17" s="338"/>
      <c r="KMA17" s="338"/>
      <c r="KMB17" s="338"/>
      <c r="KMC17" s="338"/>
      <c r="KMD17" s="338"/>
      <c r="KME17" s="338"/>
      <c r="KMF17" s="338"/>
      <c r="KMG17" s="338"/>
      <c r="KMH17" s="338"/>
      <c r="KMI17" s="338"/>
      <c r="KMJ17" s="338"/>
      <c r="KMK17" s="338"/>
      <c r="KML17" s="338"/>
      <c r="KMM17" s="338"/>
      <c r="KMN17" s="338"/>
      <c r="KMO17" s="338"/>
      <c r="KMP17" s="338"/>
      <c r="KMQ17" s="338"/>
      <c r="KMR17" s="338"/>
      <c r="KMS17" s="338"/>
      <c r="KMT17" s="338"/>
      <c r="KMU17" s="338"/>
      <c r="KMV17" s="338"/>
      <c r="KMW17" s="338"/>
      <c r="KMX17" s="338"/>
      <c r="KMY17" s="338"/>
      <c r="KMZ17" s="338"/>
      <c r="KNA17" s="338"/>
      <c r="KNB17" s="338"/>
      <c r="KNC17" s="338"/>
      <c r="KND17" s="338"/>
      <c r="KNE17" s="338"/>
      <c r="KNF17" s="338"/>
      <c r="KNG17" s="338"/>
      <c r="KNH17" s="338"/>
      <c r="KNI17" s="338"/>
      <c r="KNJ17" s="338"/>
      <c r="KNK17" s="338"/>
      <c r="KNL17" s="338"/>
      <c r="KNM17" s="338"/>
      <c r="KNN17" s="338"/>
      <c r="KNO17" s="338"/>
      <c r="KNP17" s="338"/>
      <c r="KNQ17" s="338"/>
      <c r="KNR17" s="338"/>
      <c r="KNS17" s="338"/>
      <c r="KNT17" s="338"/>
      <c r="KNU17" s="338"/>
      <c r="KNV17" s="338"/>
      <c r="KNW17" s="338"/>
      <c r="KNX17" s="338"/>
      <c r="KNY17" s="338"/>
      <c r="KNZ17" s="338"/>
      <c r="KOA17" s="338"/>
      <c r="KOB17" s="338"/>
      <c r="KOC17" s="338"/>
      <c r="KOD17" s="338"/>
      <c r="KOE17" s="338"/>
      <c r="KOF17" s="338"/>
      <c r="KOG17" s="338"/>
      <c r="KOH17" s="338"/>
      <c r="KOI17" s="338"/>
      <c r="KOJ17" s="338"/>
      <c r="KOK17" s="338"/>
      <c r="KOL17" s="338"/>
      <c r="KOM17" s="338"/>
      <c r="KON17" s="338"/>
      <c r="KOO17" s="338"/>
      <c r="KOP17" s="338"/>
      <c r="KOQ17" s="338"/>
      <c r="KOR17" s="338"/>
      <c r="KOS17" s="338"/>
      <c r="KOT17" s="338"/>
      <c r="KOU17" s="338"/>
      <c r="KOV17" s="338"/>
      <c r="KOW17" s="338"/>
      <c r="KOX17" s="338"/>
      <c r="KOY17" s="338"/>
      <c r="KOZ17" s="338"/>
      <c r="KPA17" s="338"/>
      <c r="KPB17" s="338"/>
      <c r="KPC17" s="338"/>
      <c r="KPD17" s="338"/>
      <c r="KPE17" s="338"/>
      <c r="KPF17" s="338"/>
      <c r="KPG17" s="338"/>
      <c r="KPH17" s="338"/>
      <c r="KPI17" s="338"/>
      <c r="KPJ17" s="338"/>
      <c r="KPK17" s="338"/>
      <c r="KPL17" s="338"/>
      <c r="KPM17" s="338"/>
      <c r="KPN17" s="338"/>
      <c r="KPO17" s="338"/>
      <c r="KPP17" s="338"/>
      <c r="KPQ17" s="338"/>
      <c r="KPR17" s="338"/>
      <c r="KPS17" s="338"/>
      <c r="KPT17" s="338"/>
      <c r="KPU17" s="338"/>
      <c r="KPV17" s="338"/>
      <c r="KPW17" s="338"/>
      <c r="KPX17" s="338"/>
      <c r="KPY17" s="338"/>
      <c r="KPZ17" s="338"/>
      <c r="KQA17" s="338"/>
      <c r="KQB17" s="338"/>
      <c r="KQC17" s="338"/>
      <c r="KQD17" s="338"/>
      <c r="KQE17" s="338"/>
      <c r="KQF17" s="338"/>
      <c r="KQG17" s="338"/>
      <c r="KQH17" s="338"/>
      <c r="KQI17" s="338"/>
      <c r="KQJ17" s="338"/>
      <c r="KQK17" s="338"/>
      <c r="KQL17" s="338"/>
      <c r="KQM17" s="338"/>
      <c r="KQN17" s="338"/>
      <c r="KQO17" s="338"/>
      <c r="KQP17" s="338"/>
      <c r="KQQ17" s="338"/>
      <c r="KQR17" s="338"/>
      <c r="KQS17" s="338"/>
      <c r="KQT17" s="338"/>
      <c r="KQU17" s="338"/>
      <c r="KQV17" s="338"/>
      <c r="KQW17" s="338"/>
      <c r="KQX17" s="338"/>
      <c r="KQY17" s="338"/>
      <c r="KQZ17" s="338"/>
      <c r="KRA17" s="338"/>
      <c r="KRB17" s="338"/>
      <c r="KRC17" s="338"/>
      <c r="KRD17" s="338"/>
      <c r="KRE17" s="338"/>
      <c r="KRF17" s="338"/>
      <c r="KRG17" s="338"/>
      <c r="KRH17" s="338"/>
      <c r="KRI17" s="338"/>
      <c r="KRJ17" s="338"/>
      <c r="KRK17" s="338"/>
      <c r="KRL17" s="338"/>
      <c r="KRM17" s="338"/>
      <c r="KRN17" s="338"/>
      <c r="KRO17" s="338"/>
      <c r="KRP17" s="338"/>
      <c r="KRQ17" s="338"/>
      <c r="KRR17" s="338"/>
      <c r="KRS17" s="338"/>
      <c r="KRT17" s="338"/>
      <c r="KRU17" s="338"/>
      <c r="KRV17" s="338"/>
      <c r="KRW17" s="338"/>
      <c r="KRX17" s="338"/>
      <c r="KRY17" s="338"/>
      <c r="KRZ17" s="338"/>
      <c r="KSA17" s="338"/>
      <c r="KSB17" s="338"/>
      <c r="KSC17" s="338"/>
      <c r="KSD17" s="338"/>
      <c r="KSE17" s="338"/>
      <c r="KSF17" s="338"/>
      <c r="KSG17" s="338"/>
      <c r="KSH17" s="338"/>
      <c r="KSI17" s="338"/>
      <c r="KSJ17" s="338"/>
      <c r="KSK17" s="338"/>
      <c r="KSL17" s="338"/>
      <c r="KSM17" s="338"/>
      <c r="KSN17" s="338"/>
      <c r="KSO17" s="338"/>
      <c r="KSP17" s="338"/>
      <c r="KSQ17" s="338"/>
      <c r="KSR17" s="338"/>
      <c r="KSS17" s="338"/>
      <c r="KST17" s="338"/>
      <c r="KSU17" s="338"/>
      <c r="KSV17" s="338"/>
      <c r="KSW17" s="338"/>
      <c r="KSX17" s="338"/>
      <c r="KSY17" s="338"/>
      <c r="KSZ17" s="338"/>
      <c r="KTA17" s="338"/>
      <c r="KTB17" s="338"/>
      <c r="KTC17" s="338"/>
      <c r="KTD17" s="338"/>
      <c r="KTE17" s="338"/>
      <c r="KTF17" s="338"/>
      <c r="KTG17" s="338"/>
      <c r="KTH17" s="338"/>
      <c r="KTI17" s="338"/>
      <c r="KTJ17" s="338"/>
      <c r="KTK17" s="338"/>
      <c r="KTL17" s="338"/>
      <c r="KTM17" s="338"/>
      <c r="KTN17" s="338"/>
      <c r="KTO17" s="338"/>
      <c r="KTP17" s="338"/>
      <c r="KTQ17" s="338"/>
      <c r="KTR17" s="338"/>
      <c r="KTS17" s="338"/>
      <c r="KTT17" s="338"/>
      <c r="KTU17" s="338"/>
      <c r="KTV17" s="338"/>
      <c r="KTW17" s="338"/>
      <c r="KTX17" s="338"/>
      <c r="KTY17" s="338"/>
      <c r="KTZ17" s="338"/>
      <c r="KUA17" s="338"/>
      <c r="KUB17" s="338"/>
      <c r="KUC17" s="338"/>
      <c r="KUD17" s="338"/>
      <c r="KUE17" s="338"/>
      <c r="KUF17" s="338"/>
      <c r="KUG17" s="338"/>
      <c r="KUH17" s="338"/>
      <c r="KUI17" s="338"/>
      <c r="KUJ17" s="338"/>
      <c r="KUK17" s="338"/>
      <c r="KUL17" s="338"/>
      <c r="KUM17" s="338"/>
      <c r="KUN17" s="338"/>
      <c r="KUO17" s="338"/>
      <c r="KUP17" s="338"/>
      <c r="KUQ17" s="338"/>
      <c r="KUR17" s="338"/>
      <c r="KUS17" s="338"/>
      <c r="KUT17" s="338"/>
      <c r="KUU17" s="338"/>
      <c r="KUV17" s="338"/>
      <c r="KUW17" s="338"/>
      <c r="KUX17" s="338"/>
      <c r="KUY17" s="338"/>
      <c r="KUZ17" s="338"/>
      <c r="KVA17" s="338"/>
      <c r="KVB17" s="338"/>
      <c r="KVC17" s="338"/>
      <c r="KVD17" s="338"/>
      <c r="KVE17" s="338"/>
      <c r="KVF17" s="338"/>
      <c r="KVG17" s="338"/>
      <c r="KVH17" s="338"/>
      <c r="KVI17" s="338"/>
      <c r="KVJ17" s="338"/>
      <c r="KVK17" s="338"/>
      <c r="KVL17" s="338"/>
      <c r="KVM17" s="338"/>
      <c r="KVN17" s="338"/>
      <c r="KVO17" s="338"/>
      <c r="KVP17" s="338"/>
      <c r="KVQ17" s="338"/>
      <c r="KVR17" s="338"/>
      <c r="KVS17" s="338"/>
      <c r="KVT17" s="338"/>
      <c r="KVU17" s="338"/>
      <c r="KVV17" s="338"/>
      <c r="KVW17" s="338"/>
      <c r="KVX17" s="338"/>
      <c r="KVY17" s="338"/>
      <c r="KVZ17" s="338"/>
      <c r="KWA17" s="338"/>
      <c r="KWB17" s="338"/>
      <c r="KWC17" s="338"/>
      <c r="KWD17" s="338"/>
      <c r="KWE17" s="338"/>
      <c r="KWF17" s="338"/>
      <c r="KWG17" s="338"/>
      <c r="KWH17" s="338"/>
      <c r="KWI17" s="338"/>
      <c r="KWJ17" s="338"/>
      <c r="KWK17" s="338"/>
      <c r="KWL17" s="338"/>
      <c r="KWM17" s="338"/>
      <c r="KWN17" s="338"/>
      <c r="KWO17" s="338"/>
      <c r="KWP17" s="338"/>
      <c r="KWQ17" s="338"/>
      <c r="KWR17" s="338"/>
      <c r="KWS17" s="338"/>
      <c r="KWT17" s="338"/>
      <c r="KWU17" s="338"/>
      <c r="KWV17" s="338"/>
      <c r="KWW17" s="338"/>
      <c r="KWX17" s="338"/>
      <c r="KWY17" s="338"/>
      <c r="KWZ17" s="338"/>
      <c r="KXA17" s="338"/>
      <c r="KXB17" s="338"/>
      <c r="KXC17" s="338"/>
      <c r="KXD17" s="338"/>
      <c r="KXE17" s="338"/>
      <c r="KXF17" s="338"/>
      <c r="KXG17" s="338"/>
      <c r="KXH17" s="338"/>
      <c r="KXI17" s="338"/>
      <c r="KXJ17" s="338"/>
      <c r="KXK17" s="338"/>
      <c r="KXL17" s="338"/>
      <c r="KXM17" s="338"/>
      <c r="KXN17" s="338"/>
      <c r="KXO17" s="338"/>
      <c r="KXP17" s="338"/>
      <c r="KXQ17" s="338"/>
      <c r="KXR17" s="338"/>
      <c r="KXS17" s="338"/>
      <c r="KXT17" s="338"/>
      <c r="KXU17" s="338"/>
      <c r="KXV17" s="338"/>
      <c r="KXW17" s="338"/>
      <c r="KXX17" s="338"/>
      <c r="KXY17" s="338"/>
      <c r="KXZ17" s="338"/>
      <c r="KYA17" s="338"/>
      <c r="KYB17" s="338"/>
      <c r="KYC17" s="338"/>
      <c r="KYD17" s="338"/>
      <c r="KYE17" s="338"/>
      <c r="KYF17" s="338"/>
      <c r="KYG17" s="338"/>
      <c r="KYH17" s="338"/>
      <c r="KYI17" s="338"/>
      <c r="KYJ17" s="338"/>
      <c r="KYK17" s="338"/>
      <c r="KYL17" s="338"/>
      <c r="KYM17" s="338"/>
      <c r="KYN17" s="338"/>
      <c r="KYO17" s="338"/>
      <c r="KYP17" s="338"/>
      <c r="KYQ17" s="338"/>
      <c r="KYR17" s="338"/>
      <c r="KYS17" s="338"/>
      <c r="KYT17" s="338"/>
      <c r="KYU17" s="338"/>
      <c r="KYV17" s="338"/>
      <c r="KYW17" s="338"/>
      <c r="KYX17" s="338"/>
      <c r="KYY17" s="338"/>
      <c r="KYZ17" s="338"/>
      <c r="KZA17" s="338"/>
      <c r="KZB17" s="338"/>
      <c r="KZC17" s="338"/>
      <c r="KZD17" s="338"/>
      <c r="KZE17" s="338"/>
      <c r="KZF17" s="338"/>
      <c r="KZG17" s="338"/>
      <c r="KZH17" s="338"/>
      <c r="KZI17" s="338"/>
      <c r="KZJ17" s="338"/>
      <c r="KZK17" s="338"/>
      <c r="KZL17" s="338"/>
      <c r="KZM17" s="338"/>
      <c r="KZN17" s="338"/>
      <c r="KZO17" s="338"/>
      <c r="KZP17" s="338"/>
      <c r="KZQ17" s="338"/>
      <c r="KZR17" s="338"/>
      <c r="KZS17" s="338"/>
      <c r="KZT17" s="338"/>
      <c r="KZU17" s="338"/>
      <c r="KZV17" s="338"/>
      <c r="KZW17" s="338"/>
      <c r="KZX17" s="338"/>
      <c r="KZY17" s="338"/>
      <c r="KZZ17" s="338"/>
      <c r="LAA17" s="338"/>
      <c r="LAB17" s="338"/>
      <c r="LAC17" s="338"/>
      <c r="LAD17" s="338"/>
      <c r="LAE17" s="338"/>
      <c r="LAF17" s="338"/>
      <c r="LAG17" s="338"/>
      <c r="LAH17" s="338"/>
      <c r="LAI17" s="338"/>
      <c r="LAJ17" s="338"/>
      <c r="LAK17" s="338"/>
      <c r="LAL17" s="338"/>
      <c r="LAM17" s="338"/>
      <c r="LAN17" s="338"/>
      <c r="LAO17" s="338"/>
      <c r="LAP17" s="338"/>
      <c r="LAQ17" s="338"/>
      <c r="LAR17" s="338"/>
      <c r="LAS17" s="338"/>
      <c r="LAT17" s="338"/>
      <c r="LAU17" s="338"/>
      <c r="LAV17" s="338"/>
      <c r="LAW17" s="338"/>
      <c r="LAX17" s="338"/>
      <c r="LAY17" s="338"/>
      <c r="LAZ17" s="338"/>
      <c r="LBA17" s="338"/>
      <c r="LBB17" s="338"/>
      <c r="LBC17" s="338"/>
      <c r="LBD17" s="338"/>
      <c r="LBE17" s="338"/>
      <c r="LBF17" s="338"/>
      <c r="LBG17" s="338"/>
      <c r="LBH17" s="338"/>
      <c r="LBI17" s="338"/>
      <c r="LBJ17" s="338"/>
      <c r="LBK17" s="338"/>
      <c r="LBL17" s="338"/>
      <c r="LBM17" s="338"/>
      <c r="LBN17" s="338"/>
      <c r="LBO17" s="338"/>
      <c r="LBP17" s="338"/>
      <c r="LBQ17" s="338"/>
      <c r="LBR17" s="338"/>
      <c r="LBS17" s="338"/>
      <c r="LBT17" s="338"/>
      <c r="LBU17" s="338"/>
      <c r="LBV17" s="338"/>
      <c r="LBW17" s="338"/>
      <c r="LBX17" s="338"/>
      <c r="LBY17" s="338"/>
      <c r="LBZ17" s="338"/>
      <c r="LCA17" s="338"/>
      <c r="LCB17" s="338"/>
      <c r="LCC17" s="338"/>
      <c r="LCD17" s="338"/>
      <c r="LCE17" s="338"/>
      <c r="LCF17" s="338"/>
      <c r="LCG17" s="338"/>
      <c r="LCH17" s="338"/>
      <c r="LCI17" s="338"/>
      <c r="LCJ17" s="338"/>
      <c r="LCK17" s="338"/>
      <c r="LCL17" s="338"/>
      <c r="LCM17" s="338"/>
      <c r="LCN17" s="338"/>
      <c r="LCO17" s="338"/>
      <c r="LCP17" s="338"/>
      <c r="LCQ17" s="338"/>
      <c r="LCR17" s="338"/>
      <c r="LCS17" s="338"/>
      <c r="LCT17" s="338"/>
      <c r="LCU17" s="338"/>
      <c r="LCV17" s="338"/>
      <c r="LCW17" s="338"/>
      <c r="LCX17" s="338"/>
      <c r="LCY17" s="338"/>
      <c r="LCZ17" s="338"/>
      <c r="LDA17" s="338"/>
      <c r="LDB17" s="338"/>
      <c r="LDC17" s="338"/>
      <c r="LDD17" s="338"/>
      <c r="LDE17" s="338"/>
      <c r="LDF17" s="338"/>
      <c r="LDG17" s="338"/>
      <c r="LDH17" s="338"/>
      <c r="LDI17" s="338"/>
      <c r="LDJ17" s="338"/>
      <c r="LDK17" s="338"/>
      <c r="LDL17" s="338"/>
      <c r="LDM17" s="338"/>
      <c r="LDN17" s="338"/>
      <c r="LDO17" s="338"/>
      <c r="LDP17" s="338"/>
      <c r="LDQ17" s="338"/>
      <c r="LDR17" s="338"/>
      <c r="LDS17" s="338"/>
      <c r="LDT17" s="338"/>
      <c r="LDU17" s="338"/>
      <c r="LDV17" s="338"/>
      <c r="LDW17" s="338"/>
      <c r="LDX17" s="338"/>
      <c r="LDY17" s="338"/>
      <c r="LDZ17" s="338"/>
      <c r="LEA17" s="338"/>
      <c r="LEB17" s="338"/>
      <c r="LEC17" s="338"/>
      <c r="LED17" s="338"/>
      <c r="LEE17" s="338"/>
      <c r="LEF17" s="338"/>
      <c r="LEG17" s="338"/>
      <c r="LEH17" s="338"/>
      <c r="LEI17" s="338"/>
      <c r="LEJ17" s="338"/>
      <c r="LEK17" s="338"/>
      <c r="LEL17" s="338"/>
      <c r="LEM17" s="338"/>
      <c r="LEN17" s="338"/>
      <c r="LEO17" s="338"/>
      <c r="LEP17" s="338"/>
      <c r="LEQ17" s="338"/>
      <c r="LER17" s="338"/>
      <c r="LES17" s="338"/>
      <c r="LET17" s="338"/>
      <c r="LEU17" s="338"/>
      <c r="LEV17" s="338"/>
      <c r="LEW17" s="338"/>
      <c r="LEX17" s="338"/>
      <c r="LEY17" s="338"/>
      <c r="LEZ17" s="338"/>
      <c r="LFA17" s="338"/>
      <c r="LFB17" s="338"/>
      <c r="LFC17" s="338"/>
      <c r="LFD17" s="338"/>
      <c r="LFE17" s="338"/>
      <c r="LFF17" s="338"/>
      <c r="LFG17" s="338"/>
      <c r="LFH17" s="338"/>
      <c r="LFI17" s="338"/>
      <c r="LFJ17" s="338"/>
      <c r="LFK17" s="338"/>
      <c r="LFL17" s="338"/>
      <c r="LFM17" s="338"/>
      <c r="LFN17" s="338"/>
      <c r="LFO17" s="338"/>
      <c r="LFP17" s="338"/>
      <c r="LFQ17" s="338"/>
      <c r="LFR17" s="338"/>
      <c r="LFS17" s="338"/>
      <c r="LFT17" s="338"/>
      <c r="LFU17" s="338"/>
      <c r="LFV17" s="338"/>
      <c r="LFW17" s="338"/>
      <c r="LFX17" s="338"/>
      <c r="LFY17" s="338"/>
      <c r="LFZ17" s="338"/>
      <c r="LGA17" s="338"/>
      <c r="LGB17" s="338"/>
      <c r="LGC17" s="338"/>
      <c r="LGD17" s="338"/>
      <c r="LGE17" s="338"/>
      <c r="LGF17" s="338"/>
      <c r="LGG17" s="338"/>
      <c r="LGH17" s="338"/>
      <c r="LGI17" s="338"/>
      <c r="LGJ17" s="338"/>
      <c r="LGK17" s="338"/>
      <c r="LGL17" s="338"/>
      <c r="LGM17" s="338"/>
      <c r="LGN17" s="338"/>
      <c r="LGO17" s="338"/>
      <c r="LGP17" s="338"/>
      <c r="LGQ17" s="338"/>
      <c r="LGR17" s="338"/>
      <c r="LGS17" s="338"/>
      <c r="LGT17" s="338"/>
      <c r="LGU17" s="338"/>
      <c r="LGV17" s="338"/>
      <c r="LGW17" s="338"/>
      <c r="LGX17" s="338"/>
      <c r="LGY17" s="338"/>
      <c r="LGZ17" s="338"/>
      <c r="LHA17" s="338"/>
      <c r="LHB17" s="338"/>
      <c r="LHC17" s="338"/>
      <c r="LHD17" s="338"/>
      <c r="LHE17" s="338"/>
      <c r="LHF17" s="338"/>
      <c r="LHG17" s="338"/>
      <c r="LHH17" s="338"/>
      <c r="LHI17" s="338"/>
      <c r="LHJ17" s="338"/>
      <c r="LHK17" s="338"/>
      <c r="LHL17" s="338"/>
      <c r="LHM17" s="338"/>
      <c r="LHN17" s="338"/>
      <c r="LHO17" s="338"/>
      <c r="LHP17" s="338"/>
      <c r="LHQ17" s="338"/>
      <c r="LHR17" s="338"/>
      <c r="LHS17" s="338"/>
      <c r="LHT17" s="338"/>
      <c r="LHU17" s="338"/>
      <c r="LHV17" s="338"/>
      <c r="LHW17" s="338"/>
      <c r="LHX17" s="338"/>
      <c r="LHY17" s="338"/>
      <c r="LHZ17" s="338"/>
      <c r="LIA17" s="338"/>
      <c r="LIB17" s="338"/>
      <c r="LIC17" s="338"/>
      <c r="LID17" s="338"/>
      <c r="LIE17" s="338"/>
      <c r="LIF17" s="338"/>
      <c r="LIG17" s="338"/>
      <c r="LIH17" s="338"/>
      <c r="LII17" s="338"/>
      <c r="LIJ17" s="338"/>
      <c r="LIK17" s="338"/>
      <c r="LIL17" s="338"/>
      <c r="LIM17" s="338"/>
      <c r="LIN17" s="338"/>
      <c r="LIO17" s="338"/>
      <c r="LIP17" s="338"/>
      <c r="LIQ17" s="338"/>
      <c r="LIR17" s="338"/>
      <c r="LIS17" s="338"/>
      <c r="LIT17" s="338"/>
      <c r="LIU17" s="338"/>
      <c r="LIV17" s="338"/>
      <c r="LIW17" s="338"/>
      <c r="LIX17" s="338"/>
      <c r="LIY17" s="338"/>
      <c r="LIZ17" s="338"/>
      <c r="LJA17" s="338"/>
      <c r="LJB17" s="338"/>
      <c r="LJC17" s="338"/>
      <c r="LJD17" s="338"/>
      <c r="LJE17" s="338"/>
      <c r="LJF17" s="338"/>
      <c r="LJG17" s="338"/>
      <c r="LJH17" s="338"/>
      <c r="LJI17" s="338"/>
      <c r="LJJ17" s="338"/>
      <c r="LJK17" s="338"/>
      <c r="LJL17" s="338"/>
      <c r="LJM17" s="338"/>
      <c r="LJN17" s="338"/>
      <c r="LJO17" s="338"/>
      <c r="LJP17" s="338"/>
      <c r="LJQ17" s="338"/>
      <c r="LJR17" s="338"/>
      <c r="LJS17" s="338"/>
      <c r="LJT17" s="338"/>
      <c r="LJU17" s="338"/>
      <c r="LJV17" s="338"/>
      <c r="LJW17" s="338"/>
      <c r="LJX17" s="338"/>
      <c r="LJY17" s="338"/>
      <c r="LJZ17" s="338"/>
      <c r="LKA17" s="338"/>
      <c r="LKB17" s="338"/>
      <c r="LKC17" s="338"/>
      <c r="LKD17" s="338"/>
      <c r="LKE17" s="338"/>
      <c r="LKF17" s="338"/>
      <c r="LKG17" s="338"/>
      <c r="LKH17" s="338"/>
      <c r="LKI17" s="338"/>
      <c r="LKJ17" s="338"/>
      <c r="LKK17" s="338"/>
      <c r="LKL17" s="338"/>
      <c r="LKM17" s="338"/>
      <c r="LKN17" s="338"/>
      <c r="LKO17" s="338"/>
      <c r="LKP17" s="338"/>
      <c r="LKQ17" s="338"/>
      <c r="LKR17" s="338"/>
      <c r="LKS17" s="338"/>
      <c r="LKT17" s="338"/>
      <c r="LKU17" s="338"/>
      <c r="LKV17" s="338"/>
      <c r="LKW17" s="338"/>
      <c r="LKX17" s="338"/>
      <c r="LKY17" s="338"/>
      <c r="LKZ17" s="338"/>
      <c r="LLA17" s="338"/>
      <c r="LLB17" s="338"/>
      <c r="LLC17" s="338"/>
      <c r="LLD17" s="338"/>
      <c r="LLE17" s="338"/>
      <c r="LLF17" s="338"/>
      <c r="LLG17" s="338"/>
      <c r="LLH17" s="338"/>
      <c r="LLI17" s="338"/>
      <c r="LLJ17" s="338"/>
      <c r="LLK17" s="338"/>
      <c r="LLL17" s="338"/>
      <c r="LLM17" s="338"/>
      <c r="LLN17" s="338"/>
      <c r="LLO17" s="338"/>
      <c r="LLP17" s="338"/>
      <c r="LLQ17" s="338"/>
      <c r="LLR17" s="338"/>
      <c r="LLS17" s="338"/>
      <c r="LLT17" s="338"/>
      <c r="LLU17" s="338"/>
      <c r="LLV17" s="338"/>
      <c r="LLW17" s="338"/>
      <c r="LLX17" s="338"/>
      <c r="LLY17" s="338"/>
      <c r="LLZ17" s="338"/>
      <c r="LMA17" s="338"/>
      <c r="LMB17" s="338"/>
      <c r="LMC17" s="338"/>
      <c r="LMD17" s="338"/>
      <c r="LME17" s="338"/>
      <c r="LMF17" s="338"/>
      <c r="LMG17" s="338"/>
      <c r="LMH17" s="338"/>
      <c r="LMI17" s="338"/>
      <c r="LMJ17" s="338"/>
      <c r="LMK17" s="338"/>
      <c r="LML17" s="338"/>
      <c r="LMM17" s="338"/>
      <c r="LMN17" s="338"/>
      <c r="LMO17" s="338"/>
      <c r="LMP17" s="338"/>
      <c r="LMQ17" s="338"/>
      <c r="LMR17" s="338"/>
      <c r="LMS17" s="338"/>
      <c r="LMT17" s="338"/>
      <c r="LMU17" s="338"/>
      <c r="LMV17" s="338"/>
      <c r="LMW17" s="338"/>
      <c r="LMX17" s="338"/>
      <c r="LMY17" s="338"/>
      <c r="LMZ17" s="338"/>
      <c r="LNA17" s="338"/>
      <c r="LNB17" s="338"/>
      <c r="LNC17" s="338"/>
      <c r="LND17" s="338"/>
      <c r="LNE17" s="338"/>
      <c r="LNF17" s="338"/>
      <c r="LNG17" s="338"/>
      <c r="LNH17" s="338"/>
      <c r="LNI17" s="338"/>
      <c r="LNJ17" s="338"/>
      <c r="LNK17" s="338"/>
      <c r="LNL17" s="338"/>
      <c r="LNM17" s="338"/>
      <c r="LNN17" s="338"/>
      <c r="LNO17" s="338"/>
      <c r="LNP17" s="338"/>
      <c r="LNQ17" s="338"/>
      <c r="LNR17" s="338"/>
      <c r="LNS17" s="338"/>
      <c r="LNT17" s="338"/>
      <c r="LNU17" s="338"/>
      <c r="LNV17" s="338"/>
      <c r="LNW17" s="338"/>
      <c r="LNX17" s="338"/>
      <c r="LNY17" s="338"/>
      <c r="LNZ17" s="338"/>
      <c r="LOA17" s="338"/>
      <c r="LOB17" s="338"/>
      <c r="LOC17" s="338"/>
      <c r="LOD17" s="338"/>
      <c r="LOE17" s="338"/>
      <c r="LOF17" s="338"/>
      <c r="LOG17" s="338"/>
      <c r="LOH17" s="338"/>
      <c r="LOI17" s="338"/>
      <c r="LOJ17" s="338"/>
      <c r="LOK17" s="338"/>
      <c r="LOL17" s="338"/>
      <c r="LOM17" s="338"/>
      <c r="LON17" s="338"/>
      <c r="LOO17" s="338"/>
      <c r="LOP17" s="338"/>
      <c r="LOQ17" s="338"/>
      <c r="LOR17" s="338"/>
      <c r="LOS17" s="338"/>
      <c r="LOT17" s="338"/>
      <c r="LOU17" s="338"/>
      <c r="LOV17" s="338"/>
      <c r="LOW17" s="338"/>
      <c r="LOX17" s="338"/>
      <c r="LOY17" s="338"/>
      <c r="LOZ17" s="338"/>
      <c r="LPA17" s="338"/>
      <c r="LPB17" s="338"/>
      <c r="LPC17" s="338"/>
      <c r="LPD17" s="338"/>
      <c r="LPE17" s="338"/>
      <c r="LPF17" s="338"/>
      <c r="LPG17" s="338"/>
      <c r="LPH17" s="338"/>
      <c r="LPI17" s="338"/>
      <c r="LPJ17" s="338"/>
      <c r="LPK17" s="338"/>
      <c r="LPL17" s="338"/>
      <c r="LPM17" s="338"/>
      <c r="LPN17" s="338"/>
      <c r="LPO17" s="338"/>
      <c r="LPP17" s="338"/>
      <c r="LPQ17" s="338"/>
      <c r="LPR17" s="338"/>
      <c r="LPS17" s="338"/>
      <c r="LPT17" s="338"/>
      <c r="LPU17" s="338"/>
      <c r="LPV17" s="338"/>
      <c r="LPW17" s="338"/>
      <c r="LPX17" s="338"/>
      <c r="LPY17" s="338"/>
      <c r="LPZ17" s="338"/>
      <c r="LQA17" s="338"/>
      <c r="LQB17" s="338"/>
      <c r="LQC17" s="338"/>
      <c r="LQD17" s="338"/>
      <c r="LQE17" s="338"/>
      <c r="LQF17" s="338"/>
      <c r="LQG17" s="338"/>
      <c r="LQH17" s="338"/>
      <c r="LQI17" s="338"/>
      <c r="LQJ17" s="338"/>
      <c r="LQK17" s="338"/>
      <c r="LQL17" s="338"/>
      <c r="LQM17" s="338"/>
      <c r="LQN17" s="338"/>
      <c r="LQO17" s="338"/>
      <c r="LQP17" s="338"/>
      <c r="LQQ17" s="338"/>
      <c r="LQR17" s="338"/>
      <c r="LQS17" s="338"/>
      <c r="LQT17" s="338"/>
      <c r="LQU17" s="338"/>
      <c r="LQV17" s="338"/>
      <c r="LQW17" s="338"/>
      <c r="LQX17" s="338"/>
      <c r="LQY17" s="338"/>
      <c r="LQZ17" s="338"/>
      <c r="LRA17" s="338"/>
      <c r="LRB17" s="338"/>
      <c r="LRC17" s="338"/>
      <c r="LRD17" s="338"/>
      <c r="LRE17" s="338"/>
      <c r="LRF17" s="338"/>
      <c r="LRG17" s="338"/>
      <c r="LRH17" s="338"/>
      <c r="LRI17" s="338"/>
      <c r="LRJ17" s="338"/>
      <c r="LRK17" s="338"/>
      <c r="LRL17" s="338"/>
      <c r="LRM17" s="338"/>
      <c r="LRN17" s="338"/>
      <c r="LRO17" s="338"/>
      <c r="LRP17" s="338"/>
      <c r="LRQ17" s="338"/>
      <c r="LRR17" s="338"/>
      <c r="LRS17" s="338"/>
      <c r="LRT17" s="338"/>
      <c r="LRU17" s="338"/>
      <c r="LRV17" s="338"/>
      <c r="LRW17" s="338"/>
      <c r="LRX17" s="338"/>
      <c r="LRY17" s="338"/>
      <c r="LRZ17" s="338"/>
      <c r="LSA17" s="338"/>
      <c r="LSB17" s="338"/>
      <c r="LSC17" s="338"/>
      <c r="LSD17" s="338"/>
      <c r="LSE17" s="338"/>
      <c r="LSF17" s="338"/>
      <c r="LSG17" s="338"/>
      <c r="LSH17" s="338"/>
      <c r="LSI17" s="338"/>
      <c r="LSJ17" s="338"/>
      <c r="LSK17" s="338"/>
      <c r="LSL17" s="338"/>
      <c r="LSM17" s="338"/>
      <c r="LSN17" s="338"/>
      <c r="LSO17" s="338"/>
      <c r="LSP17" s="338"/>
      <c r="LSQ17" s="338"/>
      <c r="LSR17" s="338"/>
      <c r="LSS17" s="338"/>
      <c r="LST17" s="338"/>
      <c r="LSU17" s="338"/>
      <c r="LSV17" s="338"/>
      <c r="LSW17" s="338"/>
      <c r="LSX17" s="338"/>
      <c r="LSY17" s="338"/>
      <c r="LSZ17" s="338"/>
      <c r="LTA17" s="338"/>
      <c r="LTB17" s="338"/>
      <c r="LTC17" s="338"/>
      <c r="LTD17" s="338"/>
      <c r="LTE17" s="338"/>
      <c r="LTF17" s="338"/>
      <c r="LTG17" s="338"/>
      <c r="LTH17" s="338"/>
      <c r="LTI17" s="338"/>
      <c r="LTJ17" s="338"/>
      <c r="LTK17" s="338"/>
      <c r="LTL17" s="338"/>
      <c r="LTM17" s="338"/>
      <c r="LTN17" s="338"/>
      <c r="LTO17" s="338"/>
      <c r="LTP17" s="338"/>
      <c r="LTQ17" s="338"/>
      <c r="LTR17" s="338"/>
      <c r="LTS17" s="338"/>
      <c r="LTT17" s="338"/>
      <c r="LTU17" s="338"/>
      <c r="LTV17" s="338"/>
      <c r="LTW17" s="338"/>
      <c r="LTX17" s="338"/>
      <c r="LTY17" s="338"/>
      <c r="LTZ17" s="338"/>
      <c r="LUA17" s="338"/>
      <c r="LUB17" s="338"/>
      <c r="LUC17" s="338"/>
      <c r="LUD17" s="338"/>
      <c r="LUE17" s="338"/>
      <c r="LUF17" s="338"/>
      <c r="LUG17" s="338"/>
      <c r="LUH17" s="338"/>
      <c r="LUI17" s="338"/>
      <c r="LUJ17" s="338"/>
      <c r="LUK17" s="338"/>
      <c r="LUL17" s="338"/>
      <c r="LUM17" s="338"/>
      <c r="LUN17" s="338"/>
      <c r="LUO17" s="338"/>
      <c r="LUP17" s="338"/>
      <c r="LUQ17" s="338"/>
      <c r="LUR17" s="338"/>
      <c r="LUS17" s="338"/>
      <c r="LUT17" s="338"/>
      <c r="LUU17" s="338"/>
      <c r="LUV17" s="338"/>
      <c r="LUW17" s="338"/>
      <c r="LUX17" s="338"/>
      <c r="LUY17" s="338"/>
      <c r="LUZ17" s="338"/>
      <c r="LVA17" s="338"/>
      <c r="LVB17" s="338"/>
      <c r="LVC17" s="338"/>
      <c r="LVD17" s="338"/>
      <c r="LVE17" s="338"/>
      <c r="LVF17" s="338"/>
      <c r="LVG17" s="338"/>
      <c r="LVH17" s="338"/>
      <c r="LVI17" s="338"/>
      <c r="LVJ17" s="338"/>
      <c r="LVK17" s="338"/>
      <c r="LVL17" s="338"/>
      <c r="LVM17" s="338"/>
      <c r="LVN17" s="338"/>
      <c r="LVO17" s="338"/>
      <c r="LVP17" s="338"/>
      <c r="LVQ17" s="338"/>
      <c r="LVR17" s="338"/>
      <c r="LVS17" s="338"/>
      <c r="LVT17" s="338"/>
      <c r="LVU17" s="338"/>
      <c r="LVV17" s="338"/>
      <c r="LVW17" s="338"/>
      <c r="LVX17" s="338"/>
      <c r="LVY17" s="338"/>
      <c r="LVZ17" s="338"/>
      <c r="LWA17" s="338"/>
      <c r="LWB17" s="338"/>
      <c r="LWC17" s="338"/>
      <c r="LWD17" s="338"/>
      <c r="LWE17" s="338"/>
      <c r="LWF17" s="338"/>
      <c r="LWG17" s="338"/>
      <c r="LWH17" s="338"/>
      <c r="LWI17" s="338"/>
      <c r="LWJ17" s="338"/>
      <c r="LWK17" s="338"/>
      <c r="LWL17" s="338"/>
      <c r="LWM17" s="338"/>
      <c r="LWN17" s="338"/>
      <c r="LWO17" s="338"/>
      <c r="LWP17" s="338"/>
      <c r="LWQ17" s="338"/>
      <c r="LWR17" s="338"/>
      <c r="LWS17" s="338"/>
      <c r="LWT17" s="338"/>
      <c r="LWU17" s="338"/>
      <c r="LWV17" s="338"/>
      <c r="LWW17" s="338"/>
      <c r="LWX17" s="338"/>
      <c r="LWY17" s="338"/>
      <c r="LWZ17" s="338"/>
      <c r="LXA17" s="338"/>
      <c r="LXB17" s="338"/>
      <c r="LXC17" s="338"/>
      <c r="LXD17" s="338"/>
      <c r="LXE17" s="338"/>
      <c r="LXF17" s="338"/>
      <c r="LXG17" s="338"/>
      <c r="LXH17" s="338"/>
      <c r="LXI17" s="338"/>
      <c r="LXJ17" s="338"/>
      <c r="LXK17" s="338"/>
      <c r="LXL17" s="338"/>
      <c r="LXM17" s="338"/>
      <c r="LXN17" s="338"/>
      <c r="LXO17" s="338"/>
      <c r="LXP17" s="338"/>
      <c r="LXQ17" s="338"/>
      <c r="LXR17" s="338"/>
      <c r="LXS17" s="338"/>
      <c r="LXT17" s="338"/>
      <c r="LXU17" s="338"/>
      <c r="LXV17" s="338"/>
      <c r="LXW17" s="338"/>
      <c r="LXX17" s="338"/>
      <c r="LXY17" s="338"/>
      <c r="LXZ17" s="338"/>
      <c r="LYA17" s="338"/>
      <c r="LYB17" s="338"/>
      <c r="LYC17" s="338"/>
      <c r="LYD17" s="338"/>
      <c r="LYE17" s="338"/>
      <c r="LYF17" s="338"/>
      <c r="LYG17" s="338"/>
      <c r="LYH17" s="338"/>
      <c r="LYI17" s="338"/>
      <c r="LYJ17" s="338"/>
      <c r="LYK17" s="338"/>
      <c r="LYL17" s="338"/>
      <c r="LYM17" s="338"/>
      <c r="LYN17" s="338"/>
      <c r="LYO17" s="338"/>
      <c r="LYP17" s="338"/>
      <c r="LYQ17" s="338"/>
      <c r="LYR17" s="338"/>
      <c r="LYS17" s="338"/>
      <c r="LYT17" s="338"/>
      <c r="LYU17" s="338"/>
      <c r="LYV17" s="338"/>
      <c r="LYW17" s="338"/>
      <c r="LYX17" s="338"/>
      <c r="LYY17" s="338"/>
      <c r="LYZ17" s="338"/>
      <c r="LZA17" s="338"/>
      <c r="LZB17" s="338"/>
      <c r="LZC17" s="338"/>
      <c r="LZD17" s="338"/>
      <c r="LZE17" s="338"/>
      <c r="LZF17" s="338"/>
      <c r="LZG17" s="338"/>
      <c r="LZH17" s="338"/>
      <c r="LZI17" s="338"/>
      <c r="LZJ17" s="338"/>
      <c r="LZK17" s="338"/>
      <c r="LZL17" s="338"/>
      <c r="LZM17" s="338"/>
      <c r="LZN17" s="338"/>
      <c r="LZO17" s="338"/>
      <c r="LZP17" s="338"/>
      <c r="LZQ17" s="338"/>
      <c r="LZR17" s="338"/>
      <c r="LZS17" s="338"/>
      <c r="LZT17" s="338"/>
      <c r="LZU17" s="338"/>
      <c r="LZV17" s="338"/>
      <c r="LZW17" s="338"/>
      <c r="LZX17" s="338"/>
      <c r="LZY17" s="338"/>
      <c r="LZZ17" s="338"/>
      <c r="MAA17" s="338"/>
      <c r="MAB17" s="338"/>
      <c r="MAC17" s="338"/>
      <c r="MAD17" s="338"/>
      <c r="MAE17" s="338"/>
      <c r="MAF17" s="338"/>
      <c r="MAG17" s="338"/>
      <c r="MAH17" s="338"/>
      <c r="MAI17" s="338"/>
      <c r="MAJ17" s="338"/>
      <c r="MAK17" s="338"/>
      <c r="MAL17" s="338"/>
      <c r="MAM17" s="338"/>
      <c r="MAN17" s="338"/>
      <c r="MAO17" s="338"/>
      <c r="MAP17" s="338"/>
      <c r="MAQ17" s="338"/>
      <c r="MAR17" s="338"/>
      <c r="MAS17" s="338"/>
      <c r="MAT17" s="338"/>
      <c r="MAU17" s="338"/>
      <c r="MAV17" s="338"/>
      <c r="MAW17" s="338"/>
      <c r="MAX17" s="338"/>
      <c r="MAY17" s="338"/>
      <c r="MAZ17" s="338"/>
      <c r="MBA17" s="338"/>
      <c r="MBB17" s="338"/>
      <c r="MBC17" s="338"/>
      <c r="MBD17" s="338"/>
      <c r="MBE17" s="338"/>
      <c r="MBF17" s="338"/>
      <c r="MBG17" s="338"/>
      <c r="MBH17" s="338"/>
      <c r="MBI17" s="338"/>
      <c r="MBJ17" s="338"/>
      <c r="MBK17" s="338"/>
      <c r="MBL17" s="338"/>
      <c r="MBM17" s="338"/>
      <c r="MBN17" s="338"/>
      <c r="MBO17" s="338"/>
      <c r="MBP17" s="338"/>
      <c r="MBQ17" s="338"/>
      <c r="MBR17" s="338"/>
      <c r="MBS17" s="338"/>
      <c r="MBT17" s="338"/>
      <c r="MBU17" s="338"/>
      <c r="MBV17" s="338"/>
      <c r="MBW17" s="338"/>
      <c r="MBX17" s="338"/>
      <c r="MBY17" s="338"/>
      <c r="MBZ17" s="338"/>
      <c r="MCA17" s="338"/>
      <c r="MCB17" s="338"/>
      <c r="MCC17" s="338"/>
      <c r="MCD17" s="338"/>
      <c r="MCE17" s="338"/>
      <c r="MCF17" s="338"/>
      <c r="MCG17" s="338"/>
      <c r="MCH17" s="338"/>
      <c r="MCI17" s="338"/>
      <c r="MCJ17" s="338"/>
      <c r="MCK17" s="338"/>
      <c r="MCL17" s="338"/>
      <c r="MCM17" s="338"/>
      <c r="MCN17" s="338"/>
      <c r="MCO17" s="338"/>
      <c r="MCP17" s="338"/>
      <c r="MCQ17" s="338"/>
      <c r="MCR17" s="338"/>
      <c r="MCS17" s="338"/>
      <c r="MCT17" s="338"/>
      <c r="MCU17" s="338"/>
      <c r="MCV17" s="338"/>
      <c r="MCW17" s="338"/>
      <c r="MCX17" s="338"/>
      <c r="MCY17" s="338"/>
      <c r="MCZ17" s="338"/>
      <c r="MDA17" s="338"/>
      <c r="MDB17" s="338"/>
      <c r="MDC17" s="338"/>
      <c r="MDD17" s="338"/>
      <c r="MDE17" s="338"/>
      <c r="MDF17" s="338"/>
      <c r="MDG17" s="338"/>
      <c r="MDH17" s="338"/>
      <c r="MDI17" s="338"/>
      <c r="MDJ17" s="338"/>
      <c r="MDK17" s="338"/>
      <c r="MDL17" s="338"/>
      <c r="MDM17" s="338"/>
      <c r="MDN17" s="338"/>
      <c r="MDO17" s="338"/>
      <c r="MDP17" s="338"/>
      <c r="MDQ17" s="338"/>
      <c r="MDR17" s="338"/>
      <c r="MDS17" s="338"/>
      <c r="MDT17" s="338"/>
      <c r="MDU17" s="338"/>
      <c r="MDV17" s="338"/>
      <c r="MDW17" s="338"/>
      <c r="MDX17" s="338"/>
      <c r="MDY17" s="338"/>
      <c r="MDZ17" s="338"/>
      <c r="MEA17" s="338"/>
      <c r="MEB17" s="338"/>
      <c r="MEC17" s="338"/>
      <c r="MED17" s="338"/>
      <c r="MEE17" s="338"/>
      <c r="MEF17" s="338"/>
      <c r="MEG17" s="338"/>
      <c r="MEH17" s="338"/>
      <c r="MEI17" s="338"/>
      <c r="MEJ17" s="338"/>
      <c r="MEK17" s="338"/>
      <c r="MEL17" s="338"/>
      <c r="MEM17" s="338"/>
      <c r="MEN17" s="338"/>
      <c r="MEO17" s="338"/>
      <c r="MEP17" s="338"/>
      <c r="MEQ17" s="338"/>
      <c r="MER17" s="338"/>
      <c r="MES17" s="338"/>
      <c r="MET17" s="338"/>
      <c r="MEU17" s="338"/>
      <c r="MEV17" s="338"/>
      <c r="MEW17" s="338"/>
      <c r="MEX17" s="338"/>
      <c r="MEY17" s="338"/>
      <c r="MEZ17" s="338"/>
      <c r="MFA17" s="338"/>
      <c r="MFB17" s="338"/>
      <c r="MFC17" s="338"/>
      <c r="MFD17" s="338"/>
      <c r="MFE17" s="338"/>
      <c r="MFF17" s="338"/>
      <c r="MFG17" s="338"/>
      <c r="MFH17" s="338"/>
      <c r="MFI17" s="338"/>
      <c r="MFJ17" s="338"/>
      <c r="MFK17" s="338"/>
      <c r="MFL17" s="338"/>
      <c r="MFM17" s="338"/>
      <c r="MFN17" s="338"/>
      <c r="MFO17" s="338"/>
      <c r="MFP17" s="338"/>
      <c r="MFQ17" s="338"/>
      <c r="MFR17" s="338"/>
      <c r="MFS17" s="338"/>
      <c r="MFT17" s="338"/>
      <c r="MFU17" s="338"/>
      <c r="MFV17" s="338"/>
      <c r="MFW17" s="338"/>
      <c r="MFX17" s="338"/>
      <c r="MFY17" s="338"/>
      <c r="MFZ17" s="338"/>
      <c r="MGA17" s="338"/>
      <c r="MGB17" s="338"/>
      <c r="MGC17" s="338"/>
      <c r="MGD17" s="338"/>
      <c r="MGE17" s="338"/>
      <c r="MGF17" s="338"/>
      <c r="MGG17" s="338"/>
      <c r="MGH17" s="338"/>
      <c r="MGI17" s="338"/>
      <c r="MGJ17" s="338"/>
      <c r="MGK17" s="338"/>
      <c r="MGL17" s="338"/>
      <c r="MGM17" s="338"/>
      <c r="MGN17" s="338"/>
      <c r="MGO17" s="338"/>
      <c r="MGP17" s="338"/>
      <c r="MGQ17" s="338"/>
      <c r="MGR17" s="338"/>
      <c r="MGS17" s="338"/>
      <c r="MGT17" s="338"/>
      <c r="MGU17" s="338"/>
      <c r="MGV17" s="338"/>
      <c r="MGW17" s="338"/>
      <c r="MGX17" s="338"/>
      <c r="MGY17" s="338"/>
      <c r="MGZ17" s="338"/>
      <c r="MHA17" s="338"/>
      <c r="MHB17" s="338"/>
      <c r="MHC17" s="338"/>
      <c r="MHD17" s="338"/>
      <c r="MHE17" s="338"/>
      <c r="MHF17" s="338"/>
      <c r="MHG17" s="338"/>
      <c r="MHH17" s="338"/>
      <c r="MHI17" s="338"/>
      <c r="MHJ17" s="338"/>
      <c r="MHK17" s="338"/>
      <c r="MHL17" s="338"/>
      <c r="MHM17" s="338"/>
      <c r="MHN17" s="338"/>
      <c r="MHO17" s="338"/>
      <c r="MHP17" s="338"/>
      <c r="MHQ17" s="338"/>
      <c r="MHR17" s="338"/>
      <c r="MHS17" s="338"/>
      <c r="MHT17" s="338"/>
      <c r="MHU17" s="338"/>
      <c r="MHV17" s="338"/>
      <c r="MHW17" s="338"/>
      <c r="MHX17" s="338"/>
      <c r="MHY17" s="338"/>
      <c r="MHZ17" s="338"/>
      <c r="MIA17" s="338"/>
      <c r="MIB17" s="338"/>
      <c r="MIC17" s="338"/>
      <c r="MID17" s="338"/>
      <c r="MIE17" s="338"/>
      <c r="MIF17" s="338"/>
      <c r="MIG17" s="338"/>
      <c r="MIH17" s="338"/>
      <c r="MII17" s="338"/>
      <c r="MIJ17" s="338"/>
      <c r="MIK17" s="338"/>
      <c r="MIL17" s="338"/>
      <c r="MIM17" s="338"/>
      <c r="MIN17" s="338"/>
      <c r="MIO17" s="338"/>
      <c r="MIP17" s="338"/>
      <c r="MIQ17" s="338"/>
      <c r="MIR17" s="338"/>
      <c r="MIS17" s="338"/>
      <c r="MIT17" s="338"/>
      <c r="MIU17" s="338"/>
      <c r="MIV17" s="338"/>
      <c r="MIW17" s="338"/>
      <c r="MIX17" s="338"/>
      <c r="MIY17" s="338"/>
      <c r="MIZ17" s="338"/>
      <c r="MJA17" s="338"/>
      <c r="MJB17" s="338"/>
      <c r="MJC17" s="338"/>
      <c r="MJD17" s="338"/>
      <c r="MJE17" s="338"/>
      <c r="MJF17" s="338"/>
      <c r="MJG17" s="338"/>
      <c r="MJH17" s="338"/>
      <c r="MJI17" s="338"/>
      <c r="MJJ17" s="338"/>
      <c r="MJK17" s="338"/>
      <c r="MJL17" s="338"/>
      <c r="MJM17" s="338"/>
      <c r="MJN17" s="338"/>
      <c r="MJO17" s="338"/>
      <c r="MJP17" s="338"/>
      <c r="MJQ17" s="338"/>
      <c r="MJR17" s="338"/>
      <c r="MJS17" s="338"/>
      <c r="MJT17" s="338"/>
      <c r="MJU17" s="338"/>
      <c r="MJV17" s="338"/>
      <c r="MJW17" s="338"/>
      <c r="MJX17" s="338"/>
      <c r="MJY17" s="338"/>
      <c r="MJZ17" s="338"/>
      <c r="MKA17" s="338"/>
      <c r="MKB17" s="338"/>
      <c r="MKC17" s="338"/>
      <c r="MKD17" s="338"/>
      <c r="MKE17" s="338"/>
      <c r="MKF17" s="338"/>
      <c r="MKG17" s="338"/>
      <c r="MKH17" s="338"/>
      <c r="MKI17" s="338"/>
      <c r="MKJ17" s="338"/>
      <c r="MKK17" s="338"/>
      <c r="MKL17" s="338"/>
      <c r="MKM17" s="338"/>
      <c r="MKN17" s="338"/>
      <c r="MKO17" s="338"/>
      <c r="MKP17" s="338"/>
      <c r="MKQ17" s="338"/>
      <c r="MKR17" s="338"/>
      <c r="MKS17" s="338"/>
      <c r="MKT17" s="338"/>
      <c r="MKU17" s="338"/>
      <c r="MKV17" s="338"/>
      <c r="MKW17" s="338"/>
      <c r="MKX17" s="338"/>
      <c r="MKY17" s="338"/>
      <c r="MKZ17" s="338"/>
      <c r="MLA17" s="338"/>
      <c r="MLB17" s="338"/>
      <c r="MLC17" s="338"/>
      <c r="MLD17" s="338"/>
      <c r="MLE17" s="338"/>
      <c r="MLF17" s="338"/>
      <c r="MLG17" s="338"/>
      <c r="MLH17" s="338"/>
      <c r="MLI17" s="338"/>
      <c r="MLJ17" s="338"/>
      <c r="MLK17" s="338"/>
      <c r="MLL17" s="338"/>
      <c r="MLM17" s="338"/>
      <c r="MLN17" s="338"/>
      <c r="MLO17" s="338"/>
      <c r="MLP17" s="338"/>
      <c r="MLQ17" s="338"/>
      <c r="MLR17" s="338"/>
      <c r="MLS17" s="338"/>
      <c r="MLT17" s="338"/>
      <c r="MLU17" s="338"/>
      <c r="MLV17" s="338"/>
      <c r="MLW17" s="338"/>
      <c r="MLX17" s="338"/>
      <c r="MLY17" s="338"/>
      <c r="MLZ17" s="338"/>
      <c r="MMA17" s="338"/>
      <c r="MMB17" s="338"/>
      <c r="MMC17" s="338"/>
      <c r="MMD17" s="338"/>
      <c r="MME17" s="338"/>
      <c r="MMF17" s="338"/>
      <c r="MMG17" s="338"/>
      <c r="MMH17" s="338"/>
      <c r="MMI17" s="338"/>
      <c r="MMJ17" s="338"/>
      <c r="MMK17" s="338"/>
      <c r="MML17" s="338"/>
      <c r="MMM17" s="338"/>
      <c r="MMN17" s="338"/>
      <c r="MMO17" s="338"/>
      <c r="MMP17" s="338"/>
      <c r="MMQ17" s="338"/>
      <c r="MMR17" s="338"/>
      <c r="MMS17" s="338"/>
      <c r="MMT17" s="338"/>
      <c r="MMU17" s="338"/>
      <c r="MMV17" s="338"/>
      <c r="MMW17" s="338"/>
      <c r="MMX17" s="338"/>
      <c r="MMY17" s="338"/>
      <c r="MMZ17" s="338"/>
      <c r="MNA17" s="338"/>
      <c r="MNB17" s="338"/>
      <c r="MNC17" s="338"/>
      <c r="MND17" s="338"/>
      <c r="MNE17" s="338"/>
      <c r="MNF17" s="338"/>
      <c r="MNG17" s="338"/>
      <c r="MNH17" s="338"/>
      <c r="MNI17" s="338"/>
      <c r="MNJ17" s="338"/>
      <c r="MNK17" s="338"/>
      <c r="MNL17" s="338"/>
      <c r="MNM17" s="338"/>
      <c r="MNN17" s="338"/>
      <c r="MNO17" s="338"/>
      <c r="MNP17" s="338"/>
      <c r="MNQ17" s="338"/>
      <c r="MNR17" s="338"/>
      <c r="MNS17" s="338"/>
      <c r="MNT17" s="338"/>
      <c r="MNU17" s="338"/>
      <c r="MNV17" s="338"/>
      <c r="MNW17" s="338"/>
      <c r="MNX17" s="338"/>
      <c r="MNY17" s="338"/>
      <c r="MNZ17" s="338"/>
      <c r="MOA17" s="338"/>
      <c r="MOB17" s="338"/>
      <c r="MOC17" s="338"/>
      <c r="MOD17" s="338"/>
      <c r="MOE17" s="338"/>
      <c r="MOF17" s="338"/>
      <c r="MOG17" s="338"/>
      <c r="MOH17" s="338"/>
      <c r="MOI17" s="338"/>
      <c r="MOJ17" s="338"/>
      <c r="MOK17" s="338"/>
      <c r="MOL17" s="338"/>
      <c r="MOM17" s="338"/>
      <c r="MON17" s="338"/>
      <c r="MOO17" s="338"/>
      <c r="MOP17" s="338"/>
      <c r="MOQ17" s="338"/>
      <c r="MOR17" s="338"/>
      <c r="MOS17" s="338"/>
      <c r="MOT17" s="338"/>
      <c r="MOU17" s="338"/>
      <c r="MOV17" s="338"/>
      <c r="MOW17" s="338"/>
      <c r="MOX17" s="338"/>
      <c r="MOY17" s="338"/>
      <c r="MOZ17" s="338"/>
      <c r="MPA17" s="338"/>
      <c r="MPB17" s="338"/>
      <c r="MPC17" s="338"/>
      <c r="MPD17" s="338"/>
      <c r="MPE17" s="338"/>
      <c r="MPF17" s="338"/>
      <c r="MPG17" s="338"/>
      <c r="MPH17" s="338"/>
      <c r="MPI17" s="338"/>
      <c r="MPJ17" s="338"/>
      <c r="MPK17" s="338"/>
      <c r="MPL17" s="338"/>
      <c r="MPM17" s="338"/>
      <c r="MPN17" s="338"/>
      <c r="MPO17" s="338"/>
      <c r="MPP17" s="338"/>
      <c r="MPQ17" s="338"/>
      <c r="MPR17" s="338"/>
      <c r="MPS17" s="338"/>
      <c r="MPT17" s="338"/>
      <c r="MPU17" s="338"/>
      <c r="MPV17" s="338"/>
      <c r="MPW17" s="338"/>
      <c r="MPX17" s="338"/>
      <c r="MPY17" s="338"/>
      <c r="MPZ17" s="338"/>
      <c r="MQA17" s="338"/>
      <c r="MQB17" s="338"/>
      <c r="MQC17" s="338"/>
      <c r="MQD17" s="338"/>
      <c r="MQE17" s="338"/>
      <c r="MQF17" s="338"/>
      <c r="MQG17" s="338"/>
      <c r="MQH17" s="338"/>
      <c r="MQI17" s="338"/>
      <c r="MQJ17" s="338"/>
      <c r="MQK17" s="338"/>
      <c r="MQL17" s="338"/>
      <c r="MQM17" s="338"/>
      <c r="MQN17" s="338"/>
      <c r="MQO17" s="338"/>
      <c r="MQP17" s="338"/>
      <c r="MQQ17" s="338"/>
      <c r="MQR17" s="338"/>
      <c r="MQS17" s="338"/>
      <c r="MQT17" s="338"/>
      <c r="MQU17" s="338"/>
      <c r="MQV17" s="338"/>
      <c r="MQW17" s="338"/>
      <c r="MQX17" s="338"/>
      <c r="MQY17" s="338"/>
      <c r="MQZ17" s="338"/>
      <c r="MRA17" s="338"/>
      <c r="MRB17" s="338"/>
      <c r="MRC17" s="338"/>
      <c r="MRD17" s="338"/>
      <c r="MRE17" s="338"/>
      <c r="MRF17" s="338"/>
      <c r="MRG17" s="338"/>
      <c r="MRH17" s="338"/>
      <c r="MRI17" s="338"/>
      <c r="MRJ17" s="338"/>
      <c r="MRK17" s="338"/>
      <c r="MRL17" s="338"/>
      <c r="MRM17" s="338"/>
      <c r="MRN17" s="338"/>
      <c r="MRO17" s="338"/>
      <c r="MRP17" s="338"/>
      <c r="MRQ17" s="338"/>
      <c r="MRR17" s="338"/>
      <c r="MRS17" s="338"/>
      <c r="MRT17" s="338"/>
      <c r="MRU17" s="338"/>
      <c r="MRV17" s="338"/>
      <c r="MRW17" s="338"/>
      <c r="MRX17" s="338"/>
      <c r="MRY17" s="338"/>
      <c r="MRZ17" s="338"/>
      <c r="MSA17" s="338"/>
      <c r="MSB17" s="338"/>
      <c r="MSC17" s="338"/>
      <c r="MSD17" s="338"/>
      <c r="MSE17" s="338"/>
      <c r="MSF17" s="338"/>
      <c r="MSG17" s="338"/>
      <c r="MSH17" s="338"/>
      <c r="MSI17" s="338"/>
      <c r="MSJ17" s="338"/>
      <c r="MSK17" s="338"/>
      <c r="MSL17" s="338"/>
      <c r="MSM17" s="338"/>
      <c r="MSN17" s="338"/>
      <c r="MSO17" s="338"/>
      <c r="MSP17" s="338"/>
      <c r="MSQ17" s="338"/>
      <c r="MSR17" s="338"/>
      <c r="MSS17" s="338"/>
      <c r="MST17" s="338"/>
      <c r="MSU17" s="338"/>
      <c r="MSV17" s="338"/>
      <c r="MSW17" s="338"/>
      <c r="MSX17" s="338"/>
      <c r="MSY17" s="338"/>
      <c r="MSZ17" s="338"/>
      <c r="MTA17" s="338"/>
      <c r="MTB17" s="338"/>
      <c r="MTC17" s="338"/>
      <c r="MTD17" s="338"/>
      <c r="MTE17" s="338"/>
      <c r="MTF17" s="338"/>
      <c r="MTG17" s="338"/>
      <c r="MTH17" s="338"/>
      <c r="MTI17" s="338"/>
      <c r="MTJ17" s="338"/>
      <c r="MTK17" s="338"/>
      <c r="MTL17" s="338"/>
      <c r="MTM17" s="338"/>
      <c r="MTN17" s="338"/>
      <c r="MTO17" s="338"/>
      <c r="MTP17" s="338"/>
      <c r="MTQ17" s="338"/>
      <c r="MTR17" s="338"/>
      <c r="MTS17" s="338"/>
      <c r="MTT17" s="338"/>
      <c r="MTU17" s="338"/>
      <c r="MTV17" s="338"/>
      <c r="MTW17" s="338"/>
      <c r="MTX17" s="338"/>
      <c r="MTY17" s="338"/>
      <c r="MTZ17" s="338"/>
      <c r="MUA17" s="338"/>
      <c r="MUB17" s="338"/>
      <c r="MUC17" s="338"/>
      <c r="MUD17" s="338"/>
      <c r="MUE17" s="338"/>
      <c r="MUF17" s="338"/>
      <c r="MUG17" s="338"/>
      <c r="MUH17" s="338"/>
      <c r="MUI17" s="338"/>
      <c r="MUJ17" s="338"/>
      <c r="MUK17" s="338"/>
      <c r="MUL17" s="338"/>
      <c r="MUM17" s="338"/>
      <c r="MUN17" s="338"/>
      <c r="MUO17" s="338"/>
      <c r="MUP17" s="338"/>
      <c r="MUQ17" s="338"/>
      <c r="MUR17" s="338"/>
      <c r="MUS17" s="338"/>
      <c r="MUT17" s="338"/>
      <c r="MUU17" s="338"/>
      <c r="MUV17" s="338"/>
      <c r="MUW17" s="338"/>
      <c r="MUX17" s="338"/>
      <c r="MUY17" s="338"/>
      <c r="MUZ17" s="338"/>
      <c r="MVA17" s="338"/>
      <c r="MVB17" s="338"/>
      <c r="MVC17" s="338"/>
      <c r="MVD17" s="338"/>
      <c r="MVE17" s="338"/>
      <c r="MVF17" s="338"/>
      <c r="MVG17" s="338"/>
      <c r="MVH17" s="338"/>
      <c r="MVI17" s="338"/>
      <c r="MVJ17" s="338"/>
      <c r="MVK17" s="338"/>
      <c r="MVL17" s="338"/>
      <c r="MVM17" s="338"/>
      <c r="MVN17" s="338"/>
      <c r="MVO17" s="338"/>
      <c r="MVP17" s="338"/>
      <c r="MVQ17" s="338"/>
      <c r="MVR17" s="338"/>
      <c r="MVS17" s="338"/>
      <c r="MVT17" s="338"/>
      <c r="MVU17" s="338"/>
      <c r="MVV17" s="338"/>
      <c r="MVW17" s="338"/>
      <c r="MVX17" s="338"/>
      <c r="MVY17" s="338"/>
      <c r="MVZ17" s="338"/>
      <c r="MWA17" s="338"/>
      <c r="MWB17" s="338"/>
      <c r="MWC17" s="338"/>
      <c r="MWD17" s="338"/>
      <c r="MWE17" s="338"/>
      <c r="MWF17" s="338"/>
      <c r="MWG17" s="338"/>
      <c r="MWH17" s="338"/>
      <c r="MWI17" s="338"/>
      <c r="MWJ17" s="338"/>
      <c r="MWK17" s="338"/>
      <c r="MWL17" s="338"/>
      <c r="MWM17" s="338"/>
      <c r="MWN17" s="338"/>
      <c r="MWO17" s="338"/>
      <c r="MWP17" s="338"/>
      <c r="MWQ17" s="338"/>
      <c r="MWR17" s="338"/>
      <c r="MWS17" s="338"/>
      <c r="MWT17" s="338"/>
      <c r="MWU17" s="338"/>
      <c r="MWV17" s="338"/>
      <c r="MWW17" s="338"/>
      <c r="MWX17" s="338"/>
      <c r="MWY17" s="338"/>
      <c r="MWZ17" s="338"/>
      <c r="MXA17" s="338"/>
      <c r="MXB17" s="338"/>
      <c r="MXC17" s="338"/>
      <c r="MXD17" s="338"/>
      <c r="MXE17" s="338"/>
      <c r="MXF17" s="338"/>
      <c r="MXG17" s="338"/>
      <c r="MXH17" s="338"/>
      <c r="MXI17" s="338"/>
      <c r="MXJ17" s="338"/>
      <c r="MXK17" s="338"/>
      <c r="MXL17" s="338"/>
      <c r="MXM17" s="338"/>
      <c r="MXN17" s="338"/>
      <c r="MXO17" s="338"/>
      <c r="MXP17" s="338"/>
      <c r="MXQ17" s="338"/>
      <c r="MXR17" s="338"/>
      <c r="MXS17" s="338"/>
      <c r="MXT17" s="338"/>
      <c r="MXU17" s="338"/>
      <c r="MXV17" s="338"/>
      <c r="MXW17" s="338"/>
      <c r="MXX17" s="338"/>
      <c r="MXY17" s="338"/>
      <c r="MXZ17" s="338"/>
      <c r="MYA17" s="338"/>
      <c r="MYB17" s="338"/>
      <c r="MYC17" s="338"/>
      <c r="MYD17" s="338"/>
      <c r="MYE17" s="338"/>
      <c r="MYF17" s="338"/>
      <c r="MYG17" s="338"/>
      <c r="MYH17" s="338"/>
      <c r="MYI17" s="338"/>
      <c r="MYJ17" s="338"/>
      <c r="MYK17" s="338"/>
      <c r="MYL17" s="338"/>
      <c r="MYM17" s="338"/>
      <c r="MYN17" s="338"/>
      <c r="MYO17" s="338"/>
      <c r="MYP17" s="338"/>
      <c r="MYQ17" s="338"/>
      <c r="MYR17" s="338"/>
      <c r="MYS17" s="338"/>
      <c r="MYT17" s="338"/>
      <c r="MYU17" s="338"/>
      <c r="MYV17" s="338"/>
      <c r="MYW17" s="338"/>
      <c r="MYX17" s="338"/>
      <c r="MYY17" s="338"/>
      <c r="MYZ17" s="338"/>
      <c r="MZA17" s="338"/>
      <c r="MZB17" s="338"/>
      <c r="MZC17" s="338"/>
      <c r="MZD17" s="338"/>
      <c r="MZE17" s="338"/>
      <c r="MZF17" s="338"/>
      <c r="MZG17" s="338"/>
      <c r="MZH17" s="338"/>
      <c r="MZI17" s="338"/>
      <c r="MZJ17" s="338"/>
      <c r="MZK17" s="338"/>
      <c r="MZL17" s="338"/>
      <c r="MZM17" s="338"/>
      <c r="MZN17" s="338"/>
      <c r="MZO17" s="338"/>
      <c r="MZP17" s="338"/>
      <c r="MZQ17" s="338"/>
      <c r="MZR17" s="338"/>
      <c r="MZS17" s="338"/>
      <c r="MZT17" s="338"/>
      <c r="MZU17" s="338"/>
      <c r="MZV17" s="338"/>
      <c r="MZW17" s="338"/>
      <c r="MZX17" s="338"/>
      <c r="MZY17" s="338"/>
      <c r="MZZ17" s="338"/>
      <c r="NAA17" s="338"/>
      <c r="NAB17" s="338"/>
      <c r="NAC17" s="338"/>
      <c r="NAD17" s="338"/>
      <c r="NAE17" s="338"/>
      <c r="NAF17" s="338"/>
      <c r="NAG17" s="338"/>
      <c r="NAH17" s="338"/>
      <c r="NAI17" s="338"/>
      <c r="NAJ17" s="338"/>
      <c r="NAK17" s="338"/>
      <c r="NAL17" s="338"/>
      <c r="NAM17" s="338"/>
      <c r="NAN17" s="338"/>
      <c r="NAO17" s="338"/>
      <c r="NAP17" s="338"/>
      <c r="NAQ17" s="338"/>
      <c r="NAR17" s="338"/>
      <c r="NAS17" s="338"/>
      <c r="NAT17" s="338"/>
      <c r="NAU17" s="338"/>
      <c r="NAV17" s="338"/>
      <c r="NAW17" s="338"/>
      <c r="NAX17" s="338"/>
      <c r="NAY17" s="338"/>
      <c r="NAZ17" s="338"/>
      <c r="NBA17" s="338"/>
      <c r="NBB17" s="338"/>
      <c r="NBC17" s="338"/>
      <c r="NBD17" s="338"/>
      <c r="NBE17" s="338"/>
      <c r="NBF17" s="338"/>
      <c r="NBG17" s="338"/>
      <c r="NBH17" s="338"/>
      <c r="NBI17" s="338"/>
      <c r="NBJ17" s="338"/>
      <c r="NBK17" s="338"/>
      <c r="NBL17" s="338"/>
      <c r="NBM17" s="338"/>
      <c r="NBN17" s="338"/>
      <c r="NBO17" s="338"/>
      <c r="NBP17" s="338"/>
      <c r="NBQ17" s="338"/>
      <c r="NBR17" s="338"/>
      <c r="NBS17" s="338"/>
      <c r="NBT17" s="338"/>
      <c r="NBU17" s="338"/>
      <c r="NBV17" s="338"/>
      <c r="NBW17" s="338"/>
      <c r="NBX17" s="338"/>
      <c r="NBY17" s="338"/>
      <c r="NBZ17" s="338"/>
      <c r="NCA17" s="338"/>
      <c r="NCB17" s="338"/>
      <c r="NCC17" s="338"/>
      <c r="NCD17" s="338"/>
      <c r="NCE17" s="338"/>
      <c r="NCF17" s="338"/>
      <c r="NCG17" s="338"/>
      <c r="NCH17" s="338"/>
      <c r="NCI17" s="338"/>
      <c r="NCJ17" s="338"/>
      <c r="NCK17" s="338"/>
      <c r="NCL17" s="338"/>
      <c r="NCM17" s="338"/>
      <c r="NCN17" s="338"/>
      <c r="NCO17" s="338"/>
      <c r="NCP17" s="338"/>
      <c r="NCQ17" s="338"/>
      <c r="NCR17" s="338"/>
      <c r="NCS17" s="338"/>
      <c r="NCT17" s="338"/>
      <c r="NCU17" s="338"/>
      <c r="NCV17" s="338"/>
      <c r="NCW17" s="338"/>
      <c r="NCX17" s="338"/>
      <c r="NCY17" s="338"/>
      <c r="NCZ17" s="338"/>
      <c r="NDA17" s="338"/>
      <c r="NDB17" s="338"/>
      <c r="NDC17" s="338"/>
      <c r="NDD17" s="338"/>
      <c r="NDE17" s="338"/>
      <c r="NDF17" s="338"/>
      <c r="NDG17" s="338"/>
      <c r="NDH17" s="338"/>
      <c r="NDI17" s="338"/>
      <c r="NDJ17" s="338"/>
      <c r="NDK17" s="338"/>
      <c r="NDL17" s="338"/>
      <c r="NDM17" s="338"/>
      <c r="NDN17" s="338"/>
      <c r="NDO17" s="338"/>
      <c r="NDP17" s="338"/>
      <c r="NDQ17" s="338"/>
      <c r="NDR17" s="338"/>
      <c r="NDS17" s="338"/>
      <c r="NDT17" s="338"/>
      <c r="NDU17" s="338"/>
      <c r="NDV17" s="338"/>
      <c r="NDW17" s="338"/>
      <c r="NDX17" s="338"/>
      <c r="NDY17" s="338"/>
      <c r="NDZ17" s="338"/>
      <c r="NEA17" s="338"/>
      <c r="NEB17" s="338"/>
      <c r="NEC17" s="338"/>
      <c r="NED17" s="338"/>
      <c r="NEE17" s="338"/>
      <c r="NEF17" s="338"/>
      <c r="NEG17" s="338"/>
      <c r="NEH17" s="338"/>
      <c r="NEI17" s="338"/>
      <c r="NEJ17" s="338"/>
      <c r="NEK17" s="338"/>
      <c r="NEL17" s="338"/>
      <c r="NEM17" s="338"/>
      <c r="NEN17" s="338"/>
      <c r="NEO17" s="338"/>
      <c r="NEP17" s="338"/>
      <c r="NEQ17" s="338"/>
      <c r="NER17" s="338"/>
      <c r="NES17" s="338"/>
      <c r="NET17" s="338"/>
      <c r="NEU17" s="338"/>
      <c r="NEV17" s="338"/>
      <c r="NEW17" s="338"/>
      <c r="NEX17" s="338"/>
      <c r="NEY17" s="338"/>
      <c r="NEZ17" s="338"/>
      <c r="NFA17" s="338"/>
      <c r="NFB17" s="338"/>
      <c r="NFC17" s="338"/>
      <c r="NFD17" s="338"/>
      <c r="NFE17" s="338"/>
      <c r="NFF17" s="338"/>
      <c r="NFG17" s="338"/>
      <c r="NFH17" s="338"/>
      <c r="NFI17" s="338"/>
      <c r="NFJ17" s="338"/>
      <c r="NFK17" s="338"/>
      <c r="NFL17" s="338"/>
      <c r="NFM17" s="338"/>
      <c r="NFN17" s="338"/>
      <c r="NFO17" s="338"/>
      <c r="NFP17" s="338"/>
      <c r="NFQ17" s="338"/>
      <c r="NFR17" s="338"/>
      <c r="NFS17" s="338"/>
      <c r="NFT17" s="338"/>
      <c r="NFU17" s="338"/>
      <c r="NFV17" s="338"/>
      <c r="NFW17" s="338"/>
      <c r="NFX17" s="338"/>
      <c r="NFY17" s="338"/>
      <c r="NFZ17" s="338"/>
      <c r="NGA17" s="338"/>
      <c r="NGB17" s="338"/>
      <c r="NGC17" s="338"/>
      <c r="NGD17" s="338"/>
      <c r="NGE17" s="338"/>
      <c r="NGF17" s="338"/>
      <c r="NGG17" s="338"/>
      <c r="NGH17" s="338"/>
      <c r="NGI17" s="338"/>
      <c r="NGJ17" s="338"/>
      <c r="NGK17" s="338"/>
      <c r="NGL17" s="338"/>
      <c r="NGM17" s="338"/>
      <c r="NGN17" s="338"/>
      <c r="NGO17" s="338"/>
      <c r="NGP17" s="338"/>
      <c r="NGQ17" s="338"/>
      <c r="NGR17" s="338"/>
      <c r="NGS17" s="338"/>
      <c r="NGT17" s="338"/>
      <c r="NGU17" s="338"/>
      <c r="NGV17" s="338"/>
      <c r="NGW17" s="338"/>
      <c r="NGX17" s="338"/>
      <c r="NGY17" s="338"/>
      <c r="NGZ17" s="338"/>
      <c r="NHA17" s="338"/>
      <c r="NHB17" s="338"/>
      <c r="NHC17" s="338"/>
      <c r="NHD17" s="338"/>
      <c r="NHE17" s="338"/>
      <c r="NHF17" s="338"/>
      <c r="NHG17" s="338"/>
      <c r="NHH17" s="338"/>
      <c r="NHI17" s="338"/>
      <c r="NHJ17" s="338"/>
      <c r="NHK17" s="338"/>
      <c r="NHL17" s="338"/>
      <c r="NHM17" s="338"/>
      <c r="NHN17" s="338"/>
      <c r="NHO17" s="338"/>
      <c r="NHP17" s="338"/>
      <c r="NHQ17" s="338"/>
      <c r="NHR17" s="338"/>
      <c r="NHS17" s="338"/>
      <c r="NHT17" s="338"/>
      <c r="NHU17" s="338"/>
      <c r="NHV17" s="338"/>
      <c r="NHW17" s="338"/>
      <c r="NHX17" s="338"/>
      <c r="NHY17" s="338"/>
      <c r="NHZ17" s="338"/>
      <c r="NIA17" s="338"/>
      <c r="NIB17" s="338"/>
      <c r="NIC17" s="338"/>
      <c r="NID17" s="338"/>
      <c r="NIE17" s="338"/>
      <c r="NIF17" s="338"/>
      <c r="NIG17" s="338"/>
      <c r="NIH17" s="338"/>
      <c r="NII17" s="338"/>
      <c r="NIJ17" s="338"/>
      <c r="NIK17" s="338"/>
      <c r="NIL17" s="338"/>
      <c r="NIM17" s="338"/>
      <c r="NIN17" s="338"/>
      <c r="NIO17" s="338"/>
      <c r="NIP17" s="338"/>
      <c r="NIQ17" s="338"/>
      <c r="NIR17" s="338"/>
      <c r="NIS17" s="338"/>
      <c r="NIT17" s="338"/>
      <c r="NIU17" s="338"/>
      <c r="NIV17" s="338"/>
      <c r="NIW17" s="338"/>
      <c r="NIX17" s="338"/>
      <c r="NIY17" s="338"/>
      <c r="NIZ17" s="338"/>
      <c r="NJA17" s="338"/>
      <c r="NJB17" s="338"/>
      <c r="NJC17" s="338"/>
      <c r="NJD17" s="338"/>
      <c r="NJE17" s="338"/>
      <c r="NJF17" s="338"/>
      <c r="NJG17" s="338"/>
      <c r="NJH17" s="338"/>
      <c r="NJI17" s="338"/>
      <c r="NJJ17" s="338"/>
      <c r="NJK17" s="338"/>
      <c r="NJL17" s="338"/>
      <c r="NJM17" s="338"/>
      <c r="NJN17" s="338"/>
      <c r="NJO17" s="338"/>
      <c r="NJP17" s="338"/>
      <c r="NJQ17" s="338"/>
      <c r="NJR17" s="338"/>
      <c r="NJS17" s="338"/>
      <c r="NJT17" s="338"/>
      <c r="NJU17" s="338"/>
      <c r="NJV17" s="338"/>
      <c r="NJW17" s="338"/>
      <c r="NJX17" s="338"/>
      <c r="NJY17" s="338"/>
      <c r="NJZ17" s="338"/>
      <c r="NKA17" s="338"/>
      <c r="NKB17" s="338"/>
      <c r="NKC17" s="338"/>
      <c r="NKD17" s="338"/>
      <c r="NKE17" s="338"/>
      <c r="NKF17" s="338"/>
      <c r="NKG17" s="338"/>
      <c r="NKH17" s="338"/>
      <c r="NKI17" s="338"/>
      <c r="NKJ17" s="338"/>
      <c r="NKK17" s="338"/>
      <c r="NKL17" s="338"/>
      <c r="NKM17" s="338"/>
      <c r="NKN17" s="338"/>
      <c r="NKO17" s="338"/>
      <c r="NKP17" s="338"/>
      <c r="NKQ17" s="338"/>
      <c r="NKR17" s="338"/>
      <c r="NKS17" s="338"/>
      <c r="NKT17" s="338"/>
      <c r="NKU17" s="338"/>
      <c r="NKV17" s="338"/>
      <c r="NKW17" s="338"/>
      <c r="NKX17" s="338"/>
      <c r="NKY17" s="338"/>
      <c r="NKZ17" s="338"/>
      <c r="NLA17" s="338"/>
      <c r="NLB17" s="338"/>
      <c r="NLC17" s="338"/>
      <c r="NLD17" s="338"/>
      <c r="NLE17" s="338"/>
      <c r="NLF17" s="338"/>
      <c r="NLG17" s="338"/>
      <c r="NLH17" s="338"/>
      <c r="NLI17" s="338"/>
      <c r="NLJ17" s="338"/>
      <c r="NLK17" s="338"/>
      <c r="NLL17" s="338"/>
      <c r="NLM17" s="338"/>
      <c r="NLN17" s="338"/>
      <c r="NLO17" s="338"/>
      <c r="NLP17" s="338"/>
      <c r="NLQ17" s="338"/>
      <c r="NLR17" s="338"/>
      <c r="NLS17" s="338"/>
      <c r="NLT17" s="338"/>
      <c r="NLU17" s="338"/>
      <c r="NLV17" s="338"/>
      <c r="NLW17" s="338"/>
      <c r="NLX17" s="338"/>
      <c r="NLY17" s="338"/>
      <c r="NLZ17" s="338"/>
      <c r="NMA17" s="338"/>
      <c r="NMB17" s="338"/>
      <c r="NMC17" s="338"/>
      <c r="NMD17" s="338"/>
      <c r="NME17" s="338"/>
      <c r="NMF17" s="338"/>
      <c r="NMG17" s="338"/>
      <c r="NMH17" s="338"/>
      <c r="NMI17" s="338"/>
      <c r="NMJ17" s="338"/>
      <c r="NMK17" s="338"/>
      <c r="NML17" s="338"/>
      <c r="NMM17" s="338"/>
      <c r="NMN17" s="338"/>
      <c r="NMO17" s="338"/>
      <c r="NMP17" s="338"/>
      <c r="NMQ17" s="338"/>
      <c r="NMR17" s="338"/>
      <c r="NMS17" s="338"/>
      <c r="NMT17" s="338"/>
      <c r="NMU17" s="338"/>
      <c r="NMV17" s="338"/>
      <c r="NMW17" s="338"/>
      <c r="NMX17" s="338"/>
      <c r="NMY17" s="338"/>
      <c r="NMZ17" s="338"/>
      <c r="NNA17" s="338"/>
      <c r="NNB17" s="338"/>
      <c r="NNC17" s="338"/>
      <c r="NND17" s="338"/>
      <c r="NNE17" s="338"/>
      <c r="NNF17" s="338"/>
      <c r="NNG17" s="338"/>
      <c r="NNH17" s="338"/>
      <c r="NNI17" s="338"/>
      <c r="NNJ17" s="338"/>
      <c r="NNK17" s="338"/>
      <c r="NNL17" s="338"/>
      <c r="NNM17" s="338"/>
      <c r="NNN17" s="338"/>
      <c r="NNO17" s="338"/>
      <c r="NNP17" s="338"/>
      <c r="NNQ17" s="338"/>
      <c r="NNR17" s="338"/>
      <c r="NNS17" s="338"/>
      <c r="NNT17" s="338"/>
      <c r="NNU17" s="338"/>
      <c r="NNV17" s="338"/>
      <c r="NNW17" s="338"/>
      <c r="NNX17" s="338"/>
      <c r="NNY17" s="338"/>
      <c r="NNZ17" s="338"/>
      <c r="NOA17" s="338"/>
      <c r="NOB17" s="338"/>
      <c r="NOC17" s="338"/>
      <c r="NOD17" s="338"/>
      <c r="NOE17" s="338"/>
      <c r="NOF17" s="338"/>
      <c r="NOG17" s="338"/>
      <c r="NOH17" s="338"/>
      <c r="NOI17" s="338"/>
      <c r="NOJ17" s="338"/>
      <c r="NOK17" s="338"/>
      <c r="NOL17" s="338"/>
      <c r="NOM17" s="338"/>
      <c r="NON17" s="338"/>
      <c r="NOO17" s="338"/>
      <c r="NOP17" s="338"/>
      <c r="NOQ17" s="338"/>
      <c r="NOR17" s="338"/>
      <c r="NOS17" s="338"/>
      <c r="NOT17" s="338"/>
      <c r="NOU17" s="338"/>
      <c r="NOV17" s="338"/>
      <c r="NOW17" s="338"/>
      <c r="NOX17" s="338"/>
      <c r="NOY17" s="338"/>
      <c r="NOZ17" s="338"/>
      <c r="NPA17" s="338"/>
      <c r="NPB17" s="338"/>
      <c r="NPC17" s="338"/>
      <c r="NPD17" s="338"/>
      <c r="NPE17" s="338"/>
      <c r="NPF17" s="338"/>
      <c r="NPG17" s="338"/>
      <c r="NPH17" s="338"/>
      <c r="NPI17" s="338"/>
      <c r="NPJ17" s="338"/>
      <c r="NPK17" s="338"/>
      <c r="NPL17" s="338"/>
      <c r="NPM17" s="338"/>
      <c r="NPN17" s="338"/>
      <c r="NPO17" s="338"/>
      <c r="NPP17" s="338"/>
      <c r="NPQ17" s="338"/>
      <c r="NPR17" s="338"/>
      <c r="NPS17" s="338"/>
      <c r="NPT17" s="338"/>
      <c r="NPU17" s="338"/>
      <c r="NPV17" s="338"/>
      <c r="NPW17" s="338"/>
      <c r="NPX17" s="338"/>
      <c r="NPY17" s="338"/>
      <c r="NPZ17" s="338"/>
      <c r="NQA17" s="338"/>
      <c r="NQB17" s="338"/>
      <c r="NQC17" s="338"/>
      <c r="NQD17" s="338"/>
      <c r="NQE17" s="338"/>
      <c r="NQF17" s="338"/>
      <c r="NQG17" s="338"/>
      <c r="NQH17" s="338"/>
      <c r="NQI17" s="338"/>
      <c r="NQJ17" s="338"/>
      <c r="NQK17" s="338"/>
      <c r="NQL17" s="338"/>
      <c r="NQM17" s="338"/>
      <c r="NQN17" s="338"/>
      <c r="NQO17" s="338"/>
      <c r="NQP17" s="338"/>
      <c r="NQQ17" s="338"/>
      <c r="NQR17" s="338"/>
      <c r="NQS17" s="338"/>
      <c r="NQT17" s="338"/>
      <c r="NQU17" s="338"/>
      <c r="NQV17" s="338"/>
      <c r="NQW17" s="338"/>
      <c r="NQX17" s="338"/>
      <c r="NQY17" s="338"/>
      <c r="NQZ17" s="338"/>
      <c r="NRA17" s="338"/>
      <c r="NRB17" s="338"/>
      <c r="NRC17" s="338"/>
      <c r="NRD17" s="338"/>
      <c r="NRE17" s="338"/>
      <c r="NRF17" s="338"/>
      <c r="NRG17" s="338"/>
      <c r="NRH17" s="338"/>
      <c r="NRI17" s="338"/>
      <c r="NRJ17" s="338"/>
      <c r="NRK17" s="338"/>
      <c r="NRL17" s="338"/>
      <c r="NRM17" s="338"/>
      <c r="NRN17" s="338"/>
      <c r="NRO17" s="338"/>
      <c r="NRP17" s="338"/>
      <c r="NRQ17" s="338"/>
      <c r="NRR17" s="338"/>
      <c r="NRS17" s="338"/>
      <c r="NRT17" s="338"/>
      <c r="NRU17" s="338"/>
      <c r="NRV17" s="338"/>
      <c r="NRW17" s="338"/>
      <c r="NRX17" s="338"/>
      <c r="NRY17" s="338"/>
      <c r="NRZ17" s="338"/>
      <c r="NSA17" s="338"/>
      <c r="NSB17" s="338"/>
      <c r="NSC17" s="338"/>
      <c r="NSD17" s="338"/>
      <c r="NSE17" s="338"/>
      <c r="NSF17" s="338"/>
      <c r="NSG17" s="338"/>
      <c r="NSH17" s="338"/>
      <c r="NSI17" s="338"/>
      <c r="NSJ17" s="338"/>
      <c r="NSK17" s="338"/>
      <c r="NSL17" s="338"/>
      <c r="NSM17" s="338"/>
      <c r="NSN17" s="338"/>
      <c r="NSO17" s="338"/>
      <c r="NSP17" s="338"/>
      <c r="NSQ17" s="338"/>
      <c r="NSR17" s="338"/>
      <c r="NSS17" s="338"/>
      <c r="NST17" s="338"/>
      <c r="NSU17" s="338"/>
      <c r="NSV17" s="338"/>
      <c r="NSW17" s="338"/>
      <c r="NSX17" s="338"/>
      <c r="NSY17" s="338"/>
      <c r="NSZ17" s="338"/>
      <c r="NTA17" s="338"/>
      <c r="NTB17" s="338"/>
      <c r="NTC17" s="338"/>
      <c r="NTD17" s="338"/>
      <c r="NTE17" s="338"/>
      <c r="NTF17" s="338"/>
      <c r="NTG17" s="338"/>
      <c r="NTH17" s="338"/>
      <c r="NTI17" s="338"/>
      <c r="NTJ17" s="338"/>
      <c r="NTK17" s="338"/>
      <c r="NTL17" s="338"/>
      <c r="NTM17" s="338"/>
      <c r="NTN17" s="338"/>
      <c r="NTO17" s="338"/>
      <c r="NTP17" s="338"/>
      <c r="NTQ17" s="338"/>
      <c r="NTR17" s="338"/>
      <c r="NTS17" s="338"/>
      <c r="NTT17" s="338"/>
      <c r="NTU17" s="338"/>
      <c r="NTV17" s="338"/>
      <c r="NTW17" s="338"/>
      <c r="NTX17" s="338"/>
      <c r="NTY17" s="338"/>
      <c r="NTZ17" s="338"/>
      <c r="NUA17" s="338"/>
      <c r="NUB17" s="338"/>
      <c r="NUC17" s="338"/>
      <c r="NUD17" s="338"/>
      <c r="NUE17" s="338"/>
      <c r="NUF17" s="338"/>
      <c r="NUG17" s="338"/>
      <c r="NUH17" s="338"/>
      <c r="NUI17" s="338"/>
      <c r="NUJ17" s="338"/>
      <c r="NUK17" s="338"/>
      <c r="NUL17" s="338"/>
      <c r="NUM17" s="338"/>
      <c r="NUN17" s="338"/>
      <c r="NUO17" s="338"/>
      <c r="NUP17" s="338"/>
      <c r="NUQ17" s="338"/>
      <c r="NUR17" s="338"/>
      <c r="NUS17" s="338"/>
      <c r="NUT17" s="338"/>
      <c r="NUU17" s="338"/>
      <c r="NUV17" s="338"/>
      <c r="NUW17" s="338"/>
      <c r="NUX17" s="338"/>
      <c r="NUY17" s="338"/>
      <c r="NUZ17" s="338"/>
      <c r="NVA17" s="338"/>
      <c r="NVB17" s="338"/>
      <c r="NVC17" s="338"/>
      <c r="NVD17" s="338"/>
      <c r="NVE17" s="338"/>
      <c r="NVF17" s="338"/>
      <c r="NVG17" s="338"/>
      <c r="NVH17" s="338"/>
      <c r="NVI17" s="338"/>
      <c r="NVJ17" s="338"/>
      <c r="NVK17" s="338"/>
      <c r="NVL17" s="338"/>
      <c r="NVM17" s="338"/>
      <c r="NVN17" s="338"/>
      <c r="NVO17" s="338"/>
      <c r="NVP17" s="338"/>
      <c r="NVQ17" s="338"/>
      <c r="NVR17" s="338"/>
      <c r="NVS17" s="338"/>
      <c r="NVT17" s="338"/>
      <c r="NVU17" s="338"/>
      <c r="NVV17" s="338"/>
      <c r="NVW17" s="338"/>
      <c r="NVX17" s="338"/>
      <c r="NVY17" s="338"/>
      <c r="NVZ17" s="338"/>
      <c r="NWA17" s="338"/>
      <c r="NWB17" s="338"/>
      <c r="NWC17" s="338"/>
      <c r="NWD17" s="338"/>
      <c r="NWE17" s="338"/>
      <c r="NWF17" s="338"/>
      <c r="NWG17" s="338"/>
      <c r="NWH17" s="338"/>
      <c r="NWI17" s="338"/>
      <c r="NWJ17" s="338"/>
      <c r="NWK17" s="338"/>
      <c r="NWL17" s="338"/>
      <c r="NWM17" s="338"/>
      <c r="NWN17" s="338"/>
      <c r="NWO17" s="338"/>
      <c r="NWP17" s="338"/>
      <c r="NWQ17" s="338"/>
      <c r="NWR17" s="338"/>
      <c r="NWS17" s="338"/>
      <c r="NWT17" s="338"/>
      <c r="NWU17" s="338"/>
      <c r="NWV17" s="338"/>
      <c r="NWW17" s="338"/>
      <c r="NWX17" s="338"/>
      <c r="NWY17" s="338"/>
      <c r="NWZ17" s="338"/>
      <c r="NXA17" s="338"/>
      <c r="NXB17" s="338"/>
      <c r="NXC17" s="338"/>
      <c r="NXD17" s="338"/>
      <c r="NXE17" s="338"/>
      <c r="NXF17" s="338"/>
      <c r="NXG17" s="338"/>
      <c r="NXH17" s="338"/>
      <c r="NXI17" s="338"/>
      <c r="NXJ17" s="338"/>
      <c r="NXK17" s="338"/>
      <c r="NXL17" s="338"/>
      <c r="NXM17" s="338"/>
      <c r="NXN17" s="338"/>
      <c r="NXO17" s="338"/>
      <c r="NXP17" s="338"/>
      <c r="NXQ17" s="338"/>
      <c r="NXR17" s="338"/>
      <c r="NXS17" s="338"/>
      <c r="NXT17" s="338"/>
      <c r="NXU17" s="338"/>
      <c r="NXV17" s="338"/>
      <c r="NXW17" s="338"/>
      <c r="NXX17" s="338"/>
      <c r="NXY17" s="338"/>
      <c r="NXZ17" s="338"/>
      <c r="NYA17" s="338"/>
      <c r="NYB17" s="338"/>
      <c r="NYC17" s="338"/>
      <c r="NYD17" s="338"/>
      <c r="NYE17" s="338"/>
      <c r="NYF17" s="338"/>
      <c r="NYG17" s="338"/>
      <c r="NYH17" s="338"/>
      <c r="NYI17" s="338"/>
      <c r="NYJ17" s="338"/>
      <c r="NYK17" s="338"/>
      <c r="NYL17" s="338"/>
      <c r="NYM17" s="338"/>
      <c r="NYN17" s="338"/>
      <c r="NYO17" s="338"/>
      <c r="NYP17" s="338"/>
      <c r="NYQ17" s="338"/>
      <c r="NYR17" s="338"/>
      <c r="NYS17" s="338"/>
      <c r="NYT17" s="338"/>
      <c r="NYU17" s="338"/>
      <c r="NYV17" s="338"/>
      <c r="NYW17" s="338"/>
      <c r="NYX17" s="338"/>
      <c r="NYY17" s="338"/>
      <c r="NYZ17" s="338"/>
      <c r="NZA17" s="338"/>
      <c r="NZB17" s="338"/>
      <c r="NZC17" s="338"/>
      <c r="NZD17" s="338"/>
      <c r="NZE17" s="338"/>
      <c r="NZF17" s="338"/>
      <c r="NZG17" s="338"/>
      <c r="NZH17" s="338"/>
      <c r="NZI17" s="338"/>
      <c r="NZJ17" s="338"/>
      <c r="NZK17" s="338"/>
      <c r="NZL17" s="338"/>
      <c r="NZM17" s="338"/>
      <c r="NZN17" s="338"/>
      <c r="NZO17" s="338"/>
      <c r="NZP17" s="338"/>
      <c r="NZQ17" s="338"/>
      <c r="NZR17" s="338"/>
      <c r="NZS17" s="338"/>
      <c r="NZT17" s="338"/>
      <c r="NZU17" s="338"/>
      <c r="NZV17" s="338"/>
      <c r="NZW17" s="338"/>
      <c r="NZX17" s="338"/>
      <c r="NZY17" s="338"/>
      <c r="NZZ17" s="338"/>
      <c r="OAA17" s="338"/>
      <c r="OAB17" s="338"/>
      <c r="OAC17" s="338"/>
      <c r="OAD17" s="338"/>
      <c r="OAE17" s="338"/>
      <c r="OAF17" s="338"/>
      <c r="OAG17" s="338"/>
      <c r="OAH17" s="338"/>
      <c r="OAI17" s="338"/>
      <c r="OAJ17" s="338"/>
      <c r="OAK17" s="338"/>
      <c r="OAL17" s="338"/>
      <c r="OAM17" s="338"/>
      <c r="OAN17" s="338"/>
      <c r="OAO17" s="338"/>
      <c r="OAP17" s="338"/>
      <c r="OAQ17" s="338"/>
      <c r="OAR17" s="338"/>
      <c r="OAS17" s="338"/>
      <c r="OAT17" s="338"/>
      <c r="OAU17" s="338"/>
      <c r="OAV17" s="338"/>
      <c r="OAW17" s="338"/>
      <c r="OAX17" s="338"/>
      <c r="OAY17" s="338"/>
      <c r="OAZ17" s="338"/>
      <c r="OBA17" s="338"/>
      <c r="OBB17" s="338"/>
      <c r="OBC17" s="338"/>
      <c r="OBD17" s="338"/>
      <c r="OBE17" s="338"/>
      <c r="OBF17" s="338"/>
      <c r="OBG17" s="338"/>
      <c r="OBH17" s="338"/>
      <c r="OBI17" s="338"/>
      <c r="OBJ17" s="338"/>
      <c r="OBK17" s="338"/>
      <c r="OBL17" s="338"/>
      <c r="OBM17" s="338"/>
      <c r="OBN17" s="338"/>
      <c r="OBO17" s="338"/>
      <c r="OBP17" s="338"/>
      <c r="OBQ17" s="338"/>
      <c r="OBR17" s="338"/>
      <c r="OBS17" s="338"/>
      <c r="OBT17" s="338"/>
      <c r="OBU17" s="338"/>
      <c r="OBV17" s="338"/>
      <c r="OBW17" s="338"/>
      <c r="OBX17" s="338"/>
      <c r="OBY17" s="338"/>
      <c r="OBZ17" s="338"/>
      <c r="OCA17" s="338"/>
      <c r="OCB17" s="338"/>
      <c r="OCC17" s="338"/>
      <c r="OCD17" s="338"/>
      <c r="OCE17" s="338"/>
      <c r="OCF17" s="338"/>
      <c r="OCG17" s="338"/>
      <c r="OCH17" s="338"/>
      <c r="OCI17" s="338"/>
      <c r="OCJ17" s="338"/>
      <c r="OCK17" s="338"/>
      <c r="OCL17" s="338"/>
      <c r="OCM17" s="338"/>
      <c r="OCN17" s="338"/>
      <c r="OCO17" s="338"/>
      <c r="OCP17" s="338"/>
      <c r="OCQ17" s="338"/>
      <c r="OCR17" s="338"/>
      <c r="OCS17" s="338"/>
      <c r="OCT17" s="338"/>
      <c r="OCU17" s="338"/>
      <c r="OCV17" s="338"/>
      <c r="OCW17" s="338"/>
      <c r="OCX17" s="338"/>
      <c r="OCY17" s="338"/>
      <c r="OCZ17" s="338"/>
      <c r="ODA17" s="338"/>
      <c r="ODB17" s="338"/>
      <c r="ODC17" s="338"/>
      <c r="ODD17" s="338"/>
      <c r="ODE17" s="338"/>
      <c r="ODF17" s="338"/>
      <c r="ODG17" s="338"/>
      <c r="ODH17" s="338"/>
      <c r="ODI17" s="338"/>
      <c r="ODJ17" s="338"/>
      <c r="ODK17" s="338"/>
      <c r="ODL17" s="338"/>
      <c r="ODM17" s="338"/>
      <c r="ODN17" s="338"/>
      <c r="ODO17" s="338"/>
      <c r="ODP17" s="338"/>
      <c r="ODQ17" s="338"/>
      <c r="ODR17" s="338"/>
      <c r="ODS17" s="338"/>
      <c r="ODT17" s="338"/>
      <c r="ODU17" s="338"/>
      <c r="ODV17" s="338"/>
      <c r="ODW17" s="338"/>
      <c r="ODX17" s="338"/>
      <c r="ODY17" s="338"/>
      <c r="ODZ17" s="338"/>
      <c r="OEA17" s="338"/>
      <c r="OEB17" s="338"/>
      <c r="OEC17" s="338"/>
      <c r="OED17" s="338"/>
      <c r="OEE17" s="338"/>
      <c r="OEF17" s="338"/>
      <c r="OEG17" s="338"/>
      <c r="OEH17" s="338"/>
      <c r="OEI17" s="338"/>
      <c r="OEJ17" s="338"/>
      <c r="OEK17" s="338"/>
      <c r="OEL17" s="338"/>
      <c r="OEM17" s="338"/>
      <c r="OEN17" s="338"/>
      <c r="OEO17" s="338"/>
      <c r="OEP17" s="338"/>
      <c r="OEQ17" s="338"/>
      <c r="OER17" s="338"/>
      <c r="OES17" s="338"/>
      <c r="OET17" s="338"/>
      <c r="OEU17" s="338"/>
      <c r="OEV17" s="338"/>
      <c r="OEW17" s="338"/>
      <c r="OEX17" s="338"/>
      <c r="OEY17" s="338"/>
      <c r="OEZ17" s="338"/>
      <c r="OFA17" s="338"/>
      <c r="OFB17" s="338"/>
      <c r="OFC17" s="338"/>
      <c r="OFD17" s="338"/>
      <c r="OFE17" s="338"/>
      <c r="OFF17" s="338"/>
      <c r="OFG17" s="338"/>
      <c r="OFH17" s="338"/>
      <c r="OFI17" s="338"/>
      <c r="OFJ17" s="338"/>
      <c r="OFK17" s="338"/>
      <c r="OFL17" s="338"/>
      <c r="OFM17" s="338"/>
      <c r="OFN17" s="338"/>
      <c r="OFO17" s="338"/>
      <c r="OFP17" s="338"/>
      <c r="OFQ17" s="338"/>
      <c r="OFR17" s="338"/>
      <c r="OFS17" s="338"/>
      <c r="OFT17" s="338"/>
      <c r="OFU17" s="338"/>
      <c r="OFV17" s="338"/>
      <c r="OFW17" s="338"/>
      <c r="OFX17" s="338"/>
      <c r="OFY17" s="338"/>
      <c r="OFZ17" s="338"/>
      <c r="OGA17" s="338"/>
      <c r="OGB17" s="338"/>
      <c r="OGC17" s="338"/>
      <c r="OGD17" s="338"/>
      <c r="OGE17" s="338"/>
      <c r="OGF17" s="338"/>
      <c r="OGG17" s="338"/>
      <c r="OGH17" s="338"/>
      <c r="OGI17" s="338"/>
      <c r="OGJ17" s="338"/>
      <c r="OGK17" s="338"/>
      <c r="OGL17" s="338"/>
      <c r="OGM17" s="338"/>
      <c r="OGN17" s="338"/>
      <c r="OGO17" s="338"/>
      <c r="OGP17" s="338"/>
      <c r="OGQ17" s="338"/>
      <c r="OGR17" s="338"/>
      <c r="OGS17" s="338"/>
      <c r="OGT17" s="338"/>
      <c r="OGU17" s="338"/>
      <c r="OGV17" s="338"/>
      <c r="OGW17" s="338"/>
      <c r="OGX17" s="338"/>
      <c r="OGY17" s="338"/>
      <c r="OGZ17" s="338"/>
      <c r="OHA17" s="338"/>
      <c r="OHB17" s="338"/>
      <c r="OHC17" s="338"/>
      <c r="OHD17" s="338"/>
      <c r="OHE17" s="338"/>
      <c r="OHF17" s="338"/>
      <c r="OHG17" s="338"/>
      <c r="OHH17" s="338"/>
      <c r="OHI17" s="338"/>
      <c r="OHJ17" s="338"/>
      <c r="OHK17" s="338"/>
      <c r="OHL17" s="338"/>
      <c r="OHM17" s="338"/>
      <c r="OHN17" s="338"/>
      <c r="OHO17" s="338"/>
      <c r="OHP17" s="338"/>
      <c r="OHQ17" s="338"/>
      <c r="OHR17" s="338"/>
      <c r="OHS17" s="338"/>
      <c r="OHT17" s="338"/>
      <c r="OHU17" s="338"/>
      <c r="OHV17" s="338"/>
      <c r="OHW17" s="338"/>
      <c r="OHX17" s="338"/>
      <c r="OHY17" s="338"/>
      <c r="OHZ17" s="338"/>
      <c r="OIA17" s="338"/>
      <c r="OIB17" s="338"/>
      <c r="OIC17" s="338"/>
      <c r="OID17" s="338"/>
      <c r="OIE17" s="338"/>
      <c r="OIF17" s="338"/>
      <c r="OIG17" s="338"/>
      <c r="OIH17" s="338"/>
      <c r="OII17" s="338"/>
      <c r="OIJ17" s="338"/>
      <c r="OIK17" s="338"/>
      <c r="OIL17" s="338"/>
      <c r="OIM17" s="338"/>
      <c r="OIN17" s="338"/>
      <c r="OIO17" s="338"/>
      <c r="OIP17" s="338"/>
      <c r="OIQ17" s="338"/>
      <c r="OIR17" s="338"/>
      <c r="OIS17" s="338"/>
      <c r="OIT17" s="338"/>
      <c r="OIU17" s="338"/>
      <c r="OIV17" s="338"/>
      <c r="OIW17" s="338"/>
      <c r="OIX17" s="338"/>
      <c r="OIY17" s="338"/>
      <c r="OIZ17" s="338"/>
      <c r="OJA17" s="338"/>
      <c r="OJB17" s="338"/>
      <c r="OJC17" s="338"/>
      <c r="OJD17" s="338"/>
      <c r="OJE17" s="338"/>
      <c r="OJF17" s="338"/>
      <c r="OJG17" s="338"/>
      <c r="OJH17" s="338"/>
      <c r="OJI17" s="338"/>
      <c r="OJJ17" s="338"/>
      <c r="OJK17" s="338"/>
      <c r="OJL17" s="338"/>
      <c r="OJM17" s="338"/>
      <c r="OJN17" s="338"/>
      <c r="OJO17" s="338"/>
      <c r="OJP17" s="338"/>
      <c r="OJQ17" s="338"/>
      <c r="OJR17" s="338"/>
      <c r="OJS17" s="338"/>
      <c r="OJT17" s="338"/>
      <c r="OJU17" s="338"/>
      <c r="OJV17" s="338"/>
      <c r="OJW17" s="338"/>
      <c r="OJX17" s="338"/>
      <c r="OJY17" s="338"/>
      <c r="OJZ17" s="338"/>
      <c r="OKA17" s="338"/>
      <c r="OKB17" s="338"/>
      <c r="OKC17" s="338"/>
      <c r="OKD17" s="338"/>
      <c r="OKE17" s="338"/>
      <c r="OKF17" s="338"/>
      <c r="OKG17" s="338"/>
      <c r="OKH17" s="338"/>
      <c r="OKI17" s="338"/>
      <c r="OKJ17" s="338"/>
      <c r="OKK17" s="338"/>
      <c r="OKL17" s="338"/>
      <c r="OKM17" s="338"/>
      <c r="OKN17" s="338"/>
      <c r="OKO17" s="338"/>
      <c r="OKP17" s="338"/>
      <c r="OKQ17" s="338"/>
      <c r="OKR17" s="338"/>
      <c r="OKS17" s="338"/>
      <c r="OKT17" s="338"/>
      <c r="OKU17" s="338"/>
      <c r="OKV17" s="338"/>
      <c r="OKW17" s="338"/>
      <c r="OKX17" s="338"/>
      <c r="OKY17" s="338"/>
      <c r="OKZ17" s="338"/>
      <c r="OLA17" s="338"/>
      <c r="OLB17" s="338"/>
      <c r="OLC17" s="338"/>
      <c r="OLD17" s="338"/>
      <c r="OLE17" s="338"/>
      <c r="OLF17" s="338"/>
      <c r="OLG17" s="338"/>
      <c r="OLH17" s="338"/>
      <c r="OLI17" s="338"/>
      <c r="OLJ17" s="338"/>
      <c r="OLK17" s="338"/>
      <c r="OLL17" s="338"/>
      <c r="OLM17" s="338"/>
      <c r="OLN17" s="338"/>
      <c r="OLO17" s="338"/>
      <c r="OLP17" s="338"/>
      <c r="OLQ17" s="338"/>
      <c r="OLR17" s="338"/>
      <c r="OLS17" s="338"/>
      <c r="OLT17" s="338"/>
      <c r="OLU17" s="338"/>
      <c r="OLV17" s="338"/>
      <c r="OLW17" s="338"/>
      <c r="OLX17" s="338"/>
      <c r="OLY17" s="338"/>
      <c r="OLZ17" s="338"/>
      <c r="OMA17" s="338"/>
      <c r="OMB17" s="338"/>
      <c r="OMC17" s="338"/>
      <c r="OMD17" s="338"/>
      <c r="OME17" s="338"/>
      <c r="OMF17" s="338"/>
      <c r="OMG17" s="338"/>
      <c r="OMH17" s="338"/>
      <c r="OMI17" s="338"/>
      <c r="OMJ17" s="338"/>
      <c r="OMK17" s="338"/>
      <c r="OML17" s="338"/>
      <c r="OMM17" s="338"/>
      <c r="OMN17" s="338"/>
      <c r="OMO17" s="338"/>
      <c r="OMP17" s="338"/>
      <c r="OMQ17" s="338"/>
      <c r="OMR17" s="338"/>
      <c r="OMS17" s="338"/>
      <c r="OMT17" s="338"/>
      <c r="OMU17" s="338"/>
      <c r="OMV17" s="338"/>
      <c r="OMW17" s="338"/>
      <c r="OMX17" s="338"/>
      <c r="OMY17" s="338"/>
      <c r="OMZ17" s="338"/>
      <c r="ONA17" s="338"/>
      <c r="ONB17" s="338"/>
      <c r="ONC17" s="338"/>
      <c r="OND17" s="338"/>
      <c r="ONE17" s="338"/>
      <c r="ONF17" s="338"/>
      <c r="ONG17" s="338"/>
      <c r="ONH17" s="338"/>
      <c r="ONI17" s="338"/>
      <c r="ONJ17" s="338"/>
      <c r="ONK17" s="338"/>
      <c r="ONL17" s="338"/>
      <c r="ONM17" s="338"/>
      <c r="ONN17" s="338"/>
      <c r="ONO17" s="338"/>
      <c r="ONP17" s="338"/>
      <c r="ONQ17" s="338"/>
      <c r="ONR17" s="338"/>
      <c r="ONS17" s="338"/>
      <c r="ONT17" s="338"/>
      <c r="ONU17" s="338"/>
      <c r="ONV17" s="338"/>
      <c r="ONW17" s="338"/>
      <c r="ONX17" s="338"/>
      <c r="ONY17" s="338"/>
      <c r="ONZ17" s="338"/>
      <c r="OOA17" s="338"/>
      <c r="OOB17" s="338"/>
      <c r="OOC17" s="338"/>
      <c r="OOD17" s="338"/>
      <c r="OOE17" s="338"/>
      <c r="OOF17" s="338"/>
      <c r="OOG17" s="338"/>
      <c r="OOH17" s="338"/>
      <c r="OOI17" s="338"/>
      <c r="OOJ17" s="338"/>
      <c r="OOK17" s="338"/>
      <c r="OOL17" s="338"/>
      <c r="OOM17" s="338"/>
      <c r="OON17" s="338"/>
      <c r="OOO17" s="338"/>
      <c r="OOP17" s="338"/>
      <c r="OOQ17" s="338"/>
      <c r="OOR17" s="338"/>
      <c r="OOS17" s="338"/>
      <c r="OOT17" s="338"/>
      <c r="OOU17" s="338"/>
      <c r="OOV17" s="338"/>
      <c r="OOW17" s="338"/>
      <c r="OOX17" s="338"/>
      <c r="OOY17" s="338"/>
      <c r="OOZ17" s="338"/>
      <c r="OPA17" s="338"/>
      <c r="OPB17" s="338"/>
      <c r="OPC17" s="338"/>
      <c r="OPD17" s="338"/>
      <c r="OPE17" s="338"/>
      <c r="OPF17" s="338"/>
      <c r="OPG17" s="338"/>
      <c r="OPH17" s="338"/>
      <c r="OPI17" s="338"/>
      <c r="OPJ17" s="338"/>
      <c r="OPK17" s="338"/>
      <c r="OPL17" s="338"/>
      <c r="OPM17" s="338"/>
      <c r="OPN17" s="338"/>
      <c r="OPO17" s="338"/>
      <c r="OPP17" s="338"/>
      <c r="OPQ17" s="338"/>
      <c r="OPR17" s="338"/>
      <c r="OPS17" s="338"/>
      <c r="OPT17" s="338"/>
      <c r="OPU17" s="338"/>
      <c r="OPV17" s="338"/>
      <c r="OPW17" s="338"/>
      <c r="OPX17" s="338"/>
      <c r="OPY17" s="338"/>
      <c r="OPZ17" s="338"/>
      <c r="OQA17" s="338"/>
      <c r="OQB17" s="338"/>
      <c r="OQC17" s="338"/>
      <c r="OQD17" s="338"/>
      <c r="OQE17" s="338"/>
      <c r="OQF17" s="338"/>
      <c r="OQG17" s="338"/>
      <c r="OQH17" s="338"/>
      <c r="OQI17" s="338"/>
      <c r="OQJ17" s="338"/>
      <c r="OQK17" s="338"/>
      <c r="OQL17" s="338"/>
      <c r="OQM17" s="338"/>
      <c r="OQN17" s="338"/>
      <c r="OQO17" s="338"/>
      <c r="OQP17" s="338"/>
      <c r="OQQ17" s="338"/>
      <c r="OQR17" s="338"/>
      <c r="OQS17" s="338"/>
      <c r="OQT17" s="338"/>
      <c r="OQU17" s="338"/>
      <c r="OQV17" s="338"/>
      <c r="OQW17" s="338"/>
      <c r="OQX17" s="338"/>
      <c r="OQY17" s="338"/>
      <c r="OQZ17" s="338"/>
      <c r="ORA17" s="338"/>
      <c r="ORB17" s="338"/>
      <c r="ORC17" s="338"/>
      <c r="ORD17" s="338"/>
      <c r="ORE17" s="338"/>
      <c r="ORF17" s="338"/>
      <c r="ORG17" s="338"/>
      <c r="ORH17" s="338"/>
      <c r="ORI17" s="338"/>
      <c r="ORJ17" s="338"/>
      <c r="ORK17" s="338"/>
      <c r="ORL17" s="338"/>
      <c r="ORM17" s="338"/>
      <c r="ORN17" s="338"/>
      <c r="ORO17" s="338"/>
      <c r="ORP17" s="338"/>
      <c r="ORQ17" s="338"/>
      <c r="ORR17" s="338"/>
      <c r="ORS17" s="338"/>
      <c r="ORT17" s="338"/>
      <c r="ORU17" s="338"/>
      <c r="ORV17" s="338"/>
      <c r="ORW17" s="338"/>
      <c r="ORX17" s="338"/>
      <c r="ORY17" s="338"/>
      <c r="ORZ17" s="338"/>
      <c r="OSA17" s="338"/>
      <c r="OSB17" s="338"/>
      <c r="OSC17" s="338"/>
      <c r="OSD17" s="338"/>
      <c r="OSE17" s="338"/>
      <c r="OSF17" s="338"/>
      <c r="OSG17" s="338"/>
      <c r="OSH17" s="338"/>
      <c r="OSI17" s="338"/>
      <c r="OSJ17" s="338"/>
      <c r="OSK17" s="338"/>
      <c r="OSL17" s="338"/>
      <c r="OSM17" s="338"/>
      <c r="OSN17" s="338"/>
      <c r="OSO17" s="338"/>
      <c r="OSP17" s="338"/>
      <c r="OSQ17" s="338"/>
      <c r="OSR17" s="338"/>
      <c r="OSS17" s="338"/>
      <c r="OST17" s="338"/>
      <c r="OSU17" s="338"/>
      <c r="OSV17" s="338"/>
      <c r="OSW17" s="338"/>
      <c r="OSX17" s="338"/>
      <c r="OSY17" s="338"/>
      <c r="OSZ17" s="338"/>
      <c r="OTA17" s="338"/>
      <c r="OTB17" s="338"/>
      <c r="OTC17" s="338"/>
      <c r="OTD17" s="338"/>
      <c r="OTE17" s="338"/>
      <c r="OTF17" s="338"/>
      <c r="OTG17" s="338"/>
      <c r="OTH17" s="338"/>
      <c r="OTI17" s="338"/>
      <c r="OTJ17" s="338"/>
      <c r="OTK17" s="338"/>
      <c r="OTL17" s="338"/>
      <c r="OTM17" s="338"/>
      <c r="OTN17" s="338"/>
      <c r="OTO17" s="338"/>
      <c r="OTP17" s="338"/>
      <c r="OTQ17" s="338"/>
      <c r="OTR17" s="338"/>
      <c r="OTS17" s="338"/>
      <c r="OTT17" s="338"/>
      <c r="OTU17" s="338"/>
      <c r="OTV17" s="338"/>
      <c r="OTW17" s="338"/>
      <c r="OTX17" s="338"/>
      <c r="OTY17" s="338"/>
      <c r="OTZ17" s="338"/>
      <c r="OUA17" s="338"/>
      <c r="OUB17" s="338"/>
      <c r="OUC17" s="338"/>
      <c r="OUD17" s="338"/>
      <c r="OUE17" s="338"/>
      <c r="OUF17" s="338"/>
      <c r="OUG17" s="338"/>
      <c r="OUH17" s="338"/>
      <c r="OUI17" s="338"/>
      <c r="OUJ17" s="338"/>
      <c r="OUK17" s="338"/>
      <c r="OUL17" s="338"/>
      <c r="OUM17" s="338"/>
      <c r="OUN17" s="338"/>
      <c r="OUO17" s="338"/>
      <c r="OUP17" s="338"/>
      <c r="OUQ17" s="338"/>
      <c r="OUR17" s="338"/>
      <c r="OUS17" s="338"/>
      <c r="OUT17" s="338"/>
      <c r="OUU17" s="338"/>
      <c r="OUV17" s="338"/>
      <c r="OUW17" s="338"/>
      <c r="OUX17" s="338"/>
      <c r="OUY17" s="338"/>
      <c r="OUZ17" s="338"/>
      <c r="OVA17" s="338"/>
      <c r="OVB17" s="338"/>
      <c r="OVC17" s="338"/>
      <c r="OVD17" s="338"/>
      <c r="OVE17" s="338"/>
      <c r="OVF17" s="338"/>
      <c r="OVG17" s="338"/>
      <c r="OVH17" s="338"/>
      <c r="OVI17" s="338"/>
      <c r="OVJ17" s="338"/>
      <c r="OVK17" s="338"/>
      <c r="OVL17" s="338"/>
      <c r="OVM17" s="338"/>
      <c r="OVN17" s="338"/>
      <c r="OVO17" s="338"/>
      <c r="OVP17" s="338"/>
      <c r="OVQ17" s="338"/>
      <c r="OVR17" s="338"/>
      <c r="OVS17" s="338"/>
      <c r="OVT17" s="338"/>
      <c r="OVU17" s="338"/>
      <c r="OVV17" s="338"/>
      <c r="OVW17" s="338"/>
      <c r="OVX17" s="338"/>
      <c r="OVY17" s="338"/>
      <c r="OVZ17" s="338"/>
      <c r="OWA17" s="338"/>
      <c r="OWB17" s="338"/>
      <c r="OWC17" s="338"/>
      <c r="OWD17" s="338"/>
      <c r="OWE17" s="338"/>
      <c r="OWF17" s="338"/>
      <c r="OWG17" s="338"/>
      <c r="OWH17" s="338"/>
      <c r="OWI17" s="338"/>
      <c r="OWJ17" s="338"/>
      <c r="OWK17" s="338"/>
      <c r="OWL17" s="338"/>
      <c r="OWM17" s="338"/>
      <c r="OWN17" s="338"/>
      <c r="OWO17" s="338"/>
      <c r="OWP17" s="338"/>
      <c r="OWQ17" s="338"/>
      <c r="OWR17" s="338"/>
      <c r="OWS17" s="338"/>
      <c r="OWT17" s="338"/>
      <c r="OWU17" s="338"/>
      <c r="OWV17" s="338"/>
      <c r="OWW17" s="338"/>
      <c r="OWX17" s="338"/>
      <c r="OWY17" s="338"/>
      <c r="OWZ17" s="338"/>
      <c r="OXA17" s="338"/>
      <c r="OXB17" s="338"/>
      <c r="OXC17" s="338"/>
      <c r="OXD17" s="338"/>
      <c r="OXE17" s="338"/>
      <c r="OXF17" s="338"/>
      <c r="OXG17" s="338"/>
      <c r="OXH17" s="338"/>
      <c r="OXI17" s="338"/>
      <c r="OXJ17" s="338"/>
      <c r="OXK17" s="338"/>
      <c r="OXL17" s="338"/>
      <c r="OXM17" s="338"/>
      <c r="OXN17" s="338"/>
      <c r="OXO17" s="338"/>
      <c r="OXP17" s="338"/>
      <c r="OXQ17" s="338"/>
      <c r="OXR17" s="338"/>
      <c r="OXS17" s="338"/>
      <c r="OXT17" s="338"/>
      <c r="OXU17" s="338"/>
      <c r="OXV17" s="338"/>
      <c r="OXW17" s="338"/>
      <c r="OXX17" s="338"/>
      <c r="OXY17" s="338"/>
      <c r="OXZ17" s="338"/>
      <c r="OYA17" s="338"/>
      <c r="OYB17" s="338"/>
      <c r="OYC17" s="338"/>
      <c r="OYD17" s="338"/>
      <c r="OYE17" s="338"/>
      <c r="OYF17" s="338"/>
      <c r="OYG17" s="338"/>
      <c r="OYH17" s="338"/>
      <c r="OYI17" s="338"/>
      <c r="OYJ17" s="338"/>
      <c r="OYK17" s="338"/>
      <c r="OYL17" s="338"/>
      <c r="OYM17" s="338"/>
      <c r="OYN17" s="338"/>
      <c r="OYO17" s="338"/>
      <c r="OYP17" s="338"/>
      <c r="OYQ17" s="338"/>
      <c r="OYR17" s="338"/>
      <c r="OYS17" s="338"/>
      <c r="OYT17" s="338"/>
      <c r="OYU17" s="338"/>
      <c r="OYV17" s="338"/>
      <c r="OYW17" s="338"/>
      <c r="OYX17" s="338"/>
      <c r="OYY17" s="338"/>
      <c r="OYZ17" s="338"/>
      <c r="OZA17" s="338"/>
      <c r="OZB17" s="338"/>
      <c r="OZC17" s="338"/>
      <c r="OZD17" s="338"/>
      <c r="OZE17" s="338"/>
      <c r="OZF17" s="338"/>
      <c r="OZG17" s="338"/>
      <c r="OZH17" s="338"/>
      <c r="OZI17" s="338"/>
      <c r="OZJ17" s="338"/>
      <c r="OZK17" s="338"/>
      <c r="OZL17" s="338"/>
      <c r="OZM17" s="338"/>
      <c r="OZN17" s="338"/>
      <c r="OZO17" s="338"/>
      <c r="OZP17" s="338"/>
      <c r="OZQ17" s="338"/>
      <c r="OZR17" s="338"/>
      <c r="OZS17" s="338"/>
      <c r="OZT17" s="338"/>
      <c r="OZU17" s="338"/>
      <c r="OZV17" s="338"/>
      <c r="OZW17" s="338"/>
      <c r="OZX17" s="338"/>
      <c r="OZY17" s="338"/>
      <c r="OZZ17" s="338"/>
      <c r="PAA17" s="338"/>
      <c r="PAB17" s="338"/>
      <c r="PAC17" s="338"/>
      <c r="PAD17" s="338"/>
      <c r="PAE17" s="338"/>
      <c r="PAF17" s="338"/>
      <c r="PAG17" s="338"/>
      <c r="PAH17" s="338"/>
      <c r="PAI17" s="338"/>
      <c r="PAJ17" s="338"/>
      <c r="PAK17" s="338"/>
      <c r="PAL17" s="338"/>
      <c r="PAM17" s="338"/>
      <c r="PAN17" s="338"/>
      <c r="PAO17" s="338"/>
      <c r="PAP17" s="338"/>
      <c r="PAQ17" s="338"/>
      <c r="PAR17" s="338"/>
      <c r="PAS17" s="338"/>
      <c r="PAT17" s="338"/>
      <c r="PAU17" s="338"/>
      <c r="PAV17" s="338"/>
      <c r="PAW17" s="338"/>
      <c r="PAX17" s="338"/>
      <c r="PAY17" s="338"/>
      <c r="PAZ17" s="338"/>
      <c r="PBA17" s="338"/>
      <c r="PBB17" s="338"/>
      <c r="PBC17" s="338"/>
      <c r="PBD17" s="338"/>
      <c r="PBE17" s="338"/>
      <c r="PBF17" s="338"/>
      <c r="PBG17" s="338"/>
      <c r="PBH17" s="338"/>
      <c r="PBI17" s="338"/>
      <c r="PBJ17" s="338"/>
      <c r="PBK17" s="338"/>
      <c r="PBL17" s="338"/>
      <c r="PBM17" s="338"/>
      <c r="PBN17" s="338"/>
      <c r="PBO17" s="338"/>
      <c r="PBP17" s="338"/>
      <c r="PBQ17" s="338"/>
      <c r="PBR17" s="338"/>
      <c r="PBS17" s="338"/>
      <c r="PBT17" s="338"/>
      <c r="PBU17" s="338"/>
      <c r="PBV17" s="338"/>
      <c r="PBW17" s="338"/>
      <c r="PBX17" s="338"/>
      <c r="PBY17" s="338"/>
      <c r="PBZ17" s="338"/>
      <c r="PCA17" s="338"/>
      <c r="PCB17" s="338"/>
      <c r="PCC17" s="338"/>
      <c r="PCD17" s="338"/>
      <c r="PCE17" s="338"/>
      <c r="PCF17" s="338"/>
      <c r="PCG17" s="338"/>
      <c r="PCH17" s="338"/>
      <c r="PCI17" s="338"/>
      <c r="PCJ17" s="338"/>
      <c r="PCK17" s="338"/>
      <c r="PCL17" s="338"/>
      <c r="PCM17" s="338"/>
      <c r="PCN17" s="338"/>
      <c r="PCO17" s="338"/>
      <c r="PCP17" s="338"/>
      <c r="PCQ17" s="338"/>
      <c r="PCR17" s="338"/>
      <c r="PCS17" s="338"/>
      <c r="PCT17" s="338"/>
      <c r="PCU17" s="338"/>
      <c r="PCV17" s="338"/>
      <c r="PCW17" s="338"/>
      <c r="PCX17" s="338"/>
      <c r="PCY17" s="338"/>
      <c r="PCZ17" s="338"/>
      <c r="PDA17" s="338"/>
      <c r="PDB17" s="338"/>
      <c r="PDC17" s="338"/>
      <c r="PDD17" s="338"/>
      <c r="PDE17" s="338"/>
      <c r="PDF17" s="338"/>
      <c r="PDG17" s="338"/>
      <c r="PDH17" s="338"/>
      <c r="PDI17" s="338"/>
      <c r="PDJ17" s="338"/>
      <c r="PDK17" s="338"/>
      <c r="PDL17" s="338"/>
      <c r="PDM17" s="338"/>
      <c r="PDN17" s="338"/>
      <c r="PDO17" s="338"/>
      <c r="PDP17" s="338"/>
      <c r="PDQ17" s="338"/>
      <c r="PDR17" s="338"/>
      <c r="PDS17" s="338"/>
      <c r="PDT17" s="338"/>
      <c r="PDU17" s="338"/>
      <c r="PDV17" s="338"/>
      <c r="PDW17" s="338"/>
      <c r="PDX17" s="338"/>
      <c r="PDY17" s="338"/>
      <c r="PDZ17" s="338"/>
      <c r="PEA17" s="338"/>
      <c r="PEB17" s="338"/>
      <c r="PEC17" s="338"/>
      <c r="PED17" s="338"/>
      <c r="PEE17" s="338"/>
      <c r="PEF17" s="338"/>
      <c r="PEG17" s="338"/>
      <c r="PEH17" s="338"/>
      <c r="PEI17" s="338"/>
      <c r="PEJ17" s="338"/>
      <c r="PEK17" s="338"/>
      <c r="PEL17" s="338"/>
      <c r="PEM17" s="338"/>
      <c r="PEN17" s="338"/>
      <c r="PEO17" s="338"/>
      <c r="PEP17" s="338"/>
      <c r="PEQ17" s="338"/>
      <c r="PER17" s="338"/>
      <c r="PES17" s="338"/>
      <c r="PET17" s="338"/>
      <c r="PEU17" s="338"/>
      <c r="PEV17" s="338"/>
      <c r="PEW17" s="338"/>
      <c r="PEX17" s="338"/>
      <c r="PEY17" s="338"/>
      <c r="PEZ17" s="338"/>
      <c r="PFA17" s="338"/>
      <c r="PFB17" s="338"/>
      <c r="PFC17" s="338"/>
      <c r="PFD17" s="338"/>
      <c r="PFE17" s="338"/>
      <c r="PFF17" s="338"/>
      <c r="PFG17" s="338"/>
      <c r="PFH17" s="338"/>
      <c r="PFI17" s="338"/>
      <c r="PFJ17" s="338"/>
      <c r="PFK17" s="338"/>
      <c r="PFL17" s="338"/>
      <c r="PFM17" s="338"/>
      <c r="PFN17" s="338"/>
      <c r="PFO17" s="338"/>
      <c r="PFP17" s="338"/>
      <c r="PFQ17" s="338"/>
      <c r="PFR17" s="338"/>
      <c r="PFS17" s="338"/>
      <c r="PFT17" s="338"/>
      <c r="PFU17" s="338"/>
      <c r="PFV17" s="338"/>
      <c r="PFW17" s="338"/>
      <c r="PFX17" s="338"/>
      <c r="PFY17" s="338"/>
      <c r="PFZ17" s="338"/>
      <c r="PGA17" s="338"/>
      <c r="PGB17" s="338"/>
      <c r="PGC17" s="338"/>
      <c r="PGD17" s="338"/>
      <c r="PGE17" s="338"/>
      <c r="PGF17" s="338"/>
      <c r="PGG17" s="338"/>
      <c r="PGH17" s="338"/>
      <c r="PGI17" s="338"/>
      <c r="PGJ17" s="338"/>
      <c r="PGK17" s="338"/>
      <c r="PGL17" s="338"/>
      <c r="PGM17" s="338"/>
      <c r="PGN17" s="338"/>
      <c r="PGO17" s="338"/>
      <c r="PGP17" s="338"/>
      <c r="PGQ17" s="338"/>
      <c r="PGR17" s="338"/>
      <c r="PGS17" s="338"/>
      <c r="PGT17" s="338"/>
      <c r="PGU17" s="338"/>
      <c r="PGV17" s="338"/>
      <c r="PGW17" s="338"/>
      <c r="PGX17" s="338"/>
      <c r="PGY17" s="338"/>
      <c r="PGZ17" s="338"/>
      <c r="PHA17" s="338"/>
      <c r="PHB17" s="338"/>
      <c r="PHC17" s="338"/>
      <c r="PHD17" s="338"/>
      <c r="PHE17" s="338"/>
      <c r="PHF17" s="338"/>
      <c r="PHG17" s="338"/>
      <c r="PHH17" s="338"/>
      <c r="PHI17" s="338"/>
      <c r="PHJ17" s="338"/>
      <c r="PHK17" s="338"/>
      <c r="PHL17" s="338"/>
      <c r="PHM17" s="338"/>
      <c r="PHN17" s="338"/>
      <c r="PHO17" s="338"/>
      <c r="PHP17" s="338"/>
      <c r="PHQ17" s="338"/>
      <c r="PHR17" s="338"/>
      <c r="PHS17" s="338"/>
      <c r="PHT17" s="338"/>
      <c r="PHU17" s="338"/>
      <c r="PHV17" s="338"/>
      <c r="PHW17" s="338"/>
      <c r="PHX17" s="338"/>
      <c r="PHY17" s="338"/>
      <c r="PHZ17" s="338"/>
      <c r="PIA17" s="338"/>
      <c r="PIB17" s="338"/>
      <c r="PIC17" s="338"/>
      <c r="PID17" s="338"/>
      <c r="PIE17" s="338"/>
      <c r="PIF17" s="338"/>
      <c r="PIG17" s="338"/>
      <c r="PIH17" s="338"/>
      <c r="PII17" s="338"/>
      <c r="PIJ17" s="338"/>
      <c r="PIK17" s="338"/>
      <c r="PIL17" s="338"/>
      <c r="PIM17" s="338"/>
      <c r="PIN17" s="338"/>
      <c r="PIO17" s="338"/>
      <c r="PIP17" s="338"/>
      <c r="PIQ17" s="338"/>
      <c r="PIR17" s="338"/>
      <c r="PIS17" s="338"/>
      <c r="PIT17" s="338"/>
      <c r="PIU17" s="338"/>
      <c r="PIV17" s="338"/>
      <c r="PIW17" s="338"/>
      <c r="PIX17" s="338"/>
      <c r="PIY17" s="338"/>
      <c r="PIZ17" s="338"/>
      <c r="PJA17" s="338"/>
      <c r="PJB17" s="338"/>
      <c r="PJC17" s="338"/>
      <c r="PJD17" s="338"/>
      <c r="PJE17" s="338"/>
      <c r="PJF17" s="338"/>
      <c r="PJG17" s="338"/>
      <c r="PJH17" s="338"/>
      <c r="PJI17" s="338"/>
      <c r="PJJ17" s="338"/>
      <c r="PJK17" s="338"/>
      <c r="PJL17" s="338"/>
      <c r="PJM17" s="338"/>
      <c r="PJN17" s="338"/>
      <c r="PJO17" s="338"/>
      <c r="PJP17" s="338"/>
      <c r="PJQ17" s="338"/>
      <c r="PJR17" s="338"/>
      <c r="PJS17" s="338"/>
      <c r="PJT17" s="338"/>
      <c r="PJU17" s="338"/>
      <c r="PJV17" s="338"/>
      <c r="PJW17" s="338"/>
      <c r="PJX17" s="338"/>
      <c r="PJY17" s="338"/>
      <c r="PJZ17" s="338"/>
      <c r="PKA17" s="338"/>
      <c r="PKB17" s="338"/>
      <c r="PKC17" s="338"/>
      <c r="PKD17" s="338"/>
      <c r="PKE17" s="338"/>
      <c r="PKF17" s="338"/>
      <c r="PKG17" s="338"/>
      <c r="PKH17" s="338"/>
      <c r="PKI17" s="338"/>
      <c r="PKJ17" s="338"/>
      <c r="PKK17" s="338"/>
      <c r="PKL17" s="338"/>
      <c r="PKM17" s="338"/>
      <c r="PKN17" s="338"/>
      <c r="PKO17" s="338"/>
      <c r="PKP17" s="338"/>
      <c r="PKQ17" s="338"/>
      <c r="PKR17" s="338"/>
      <c r="PKS17" s="338"/>
      <c r="PKT17" s="338"/>
      <c r="PKU17" s="338"/>
      <c r="PKV17" s="338"/>
      <c r="PKW17" s="338"/>
      <c r="PKX17" s="338"/>
      <c r="PKY17" s="338"/>
      <c r="PKZ17" s="338"/>
      <c r="PLA17" s="338"/>
      <c r="PLB17" s="338"/>
      <c r="PLC17" s="338"/>
      <c r="PLD17" s="338"/>
      <c r="PLE17" s="338"/>
      <c r="PLF17" s="338"/>
      <c r="PLG17" s="338"/>
      <c r="PLH17" s="338"/>
      <c r="PLI17" s="338"/>
      <c r="PLJ17" s="338"/>
      <c r="PLK17" s="338"/>
      <c r="PLL17" s="338"/>
      <c r="PLM17" s="338"/>
      <c r="PLN17" s="338"/>
      <c r="PLO17" s="338"/>
      <c r="PLP17" s="338"/>
      <c r="PLQ17" s="338"/>
      <c r="PLR17" s="338"/>
      <c r="PLS17" s="338"/>
      <c r="PLT17" s="338"/>
      <c r="PLU17" s="338"/>
      <c r="PLV17" s="338"/>
      <c r="PLW17" s="338"/>
      <c r="PLX17" s="338"/>
      <c r="PLY17" s="338"/>
      <c r="PLZ17" s="338"/>
      <c r="PMA17" s="338"/>
      <c r="PMB17" s="338"/>
      <c r="PMC17" s="338"/>
      <c r="PMD17" s="338"/>
      <c r="PME17" s="338"/>
      <c r="PMF17" s="338"/>
      <c r="PMG17" s="338"/>
      <c r="PMH17" s="338"/>
      <c r="PMI17" s="338"/>
      <c r="PMJ17" s="338"/>
      <c r="PMK17" s="338"/>
      <c r="PML17" s="338"/>
      <c r="PMM17" s="338"/>
      <c r="PMN17" s="338"/>
      <c r="PMO17" s="338"/>
      <c r="PMP17" s="338"/>
      <c r="PMQ17" s="338"/>
      <c r="PMR17" s="338"/>
      <c r="PMS17" s="338"/>
      <c r="PMT17" s="338"/>
      <c r="PMU17" s="338"/>
      <c r="PMV17" s="338"/>
      <c r="PMW17" s="338"/>
      <c r="PMX17" s="338"/>
      <c r="PMY17" s="338"/>
      <c r="PMZ17" s="338"/>
      <c r="PNA17" s="338"/>
      <c r="PNB17" s="338"/>
      <c r="PNC17" s="338"/>
      <c r="PND17" s="338"/>
      <c r="PNE17" s="338"/>
      <c r="PNF17" s="338"/>
      <c r="PNG17" s="338"/>
      <c r="PNH17" s="338"/>
      <c r="PNI17" s="338"/>
      <c r="PNJ17" s="338"/>
      <c r="PNK17" s="338"/>
      <c r="PNL17" s="338"/>
      <c r="PNM17" s="338"/>
      <c r="PNN17" s="338"/>
      <c r="PNO17" s="338"/>
      <c r="PNP17" s="338"/>
      <c r="PNQ17" s="338"/>
      <c r="PNR17" s="338"/>
      <c r="PNS17" s="338"/>
      <c r="PNT17" s="338"/>
      <c r="PNU17" s="338"/>
      <c r="PNV17" s="338"/>
      <c r="PNW17" s="338"/>
      <c r="PNX17" s="338"/>
      <c r="PNY17" s="338"/>
      <c r="PNZ17" s="338"/>
      <c r="POA17" s="338"/>
      <c r="POB17" s="338"/>
      <c r="POC17" s="338"/>
      <c r="POD17" s="338"/>
      <c r="POE17" s="338"/>
      <c r="POF17" s="338"/>
      <c r="POG17" s="338"/>
      <c r="POH17" s="338"/>
      <c r="POI17" s="338"/>
      <c r="POJ17" s="338"/>
      <c r="POK17" s="338"/>
      <c r="POL17" s="338"/>
      <c r="POM17" s="338"/>
      <c r="PON17" s="338"/>
      <c r="POO17" s="338"/>
      <c r="POP17" s="338"/>
      <c r="POQ17" s="338"/>
      <c r="POR17" s="338"/>
      <c r="POS17" s="338"/>
      <c r="POT17" s="338"/>
      <c r="POU17" s="338"/>
      <c r="POV17" s="338"/>
      <c r="POW17" s="338"/>
      <c r="POX17" s="338"/>
      <c r="POY17" s="338"/>
      <c r="POZ17" s="338"/>
      <c r="PPA17" s="338"/>
      <c r="PPB17" s="338"/>
      <c r="PPC17" s="338"/>
      <c r="PPD17" s="338"/>
      <c r="PPE17" s="338"/>
      <c r="PPF17" s="338"/>
      <c r="PPG17" s="338"/>
      <c r="PPH17" s="338"/>
      <c r="PPI17" s="338"/>
      <c r="PPJ17" s="338"/>
      <c r="PPK17" s="338"/>
      <c r="PPL17" s="338"/>
      <c r="PPM17" s="338"/>
      <c r="PPN17" s="338"/>
      <c r="PPO17" s="338"/>
      <c r="PPP17" s="338"/>
      <c r="PPQ17" s="338"/>
      <c r="PPR17" s="338"/>
      <c r="PPS17" s="338"/>
      <c r="PPT17" s="338"/>
      <c r="PPU17" s="338"/>
      <c r="PPV17" s="338"/>
      <c r="PPW17" s="338"/>
      <c r="PPX17" s="338"/>
      <c r="PPY17" s="338"/>
      <c r="PPZ17" s="338"/>
      <c r="PQA17" s="338"/>
      <c r="PQB17" s="338"/>
      <c r="PQC17" s="338"/>
      <c r="PQD17" s="338"/>
      <c r="PQE17" s="338"/>
      <c r="PQF17" s="338"/>
      <c r="PQG17" s="338"/>
      <c r="PQH17" s="338"/>
      <c r="PQI17" s="338"/>
      <c r="PQJ17" s="338"/>
      <c r="PQK17" s="338"/>
      <c r="PQL17" s="338"/>
      <c r="PQM17" s="338"/>
      <c r="PQN17" s="338"/>
      <c r="PQO17" s="338"/>
      <c r="PQP17" s="338"/>
      <c r="PQQ17" s="338"/>
      <c r="PQR17" s="338"/>
      <c r="PQS17" s="338"/>
      <c r="PQT17" s="338"/>
      <c r="PQU17" s="338"/>
      <c r="PQV17" s="338"/>
      <c r="PQW17" s="338"/>
      <c r="PQX17" s="338"/>
      <c r="PQY17" s="338"/>
      <c r="PQZ17" s="338"/>
      <c r="PRA17" s="338"/>
      <c r="PRB17" s="338"/>
      <c r="PRC17" s="338"/>
      <c r="PRD17" s="338"/>
      <c r="PRE17" s="338"/>
      <c r="PRF17" s="338"/>
      <c r="PRG17" s="338"/>
      <c r="PRH17" s="338"/>
      <c r="PRI17" s="338"/>
      <c r="PRJ17" s="338"/>
      <c r="PRK17" s="338"/>
      <c r="PRL17" s="338"/>
      <c r="PRM17" s="338"/>
      <c r="PRN17" s="338"/>
      <c r="PRO17" s="338"/>
      <c r="PRP17" s="338"/>
      <c r="PRQ17" s="338"/>
      <c r="PRR17" s="338"/>
      <c r="PRS17" s="338"/>
      <c r="PRT17" s="338"/>
      <c r="PRU17" s="338"/>
      <c r="PRV17" s="338"/>
      <c r="PRW17" s="338"/>
      <c r="PRX17" s="338"/>
      <c r="PRY17" s="338"/>
      <c r="PRZ17" s="338"/>
      <c r="PSA17" s="338"/>
      <c r="PSB17" s="338"/>
      <c r="PSC17" s="338"/>
      <c r="PSD17" s="338"/>
      <c r="PSE17" s="338"/>
      <c r="PSF17" s="338"/>
      <c r="PSG17" s="338"/>
      <c r="PSH17" s="338"/>
      <c r="PSI17" s="338"/>
      <c r="PSJ17" s="338"/>
      <c r="PSK17" s="338"/>
      <c r="PSL17" s="338"/>
      <c r="PSM17" s="338"/>
      <c r="PSN17" s="338"/>
      <c r="PSO17" s="338"/>
      <c r="PSP17" s="338"/>
      <c r="PSQ17" s="338"/>
      <c r="PSR17" s="338"/>
      <c r="PSS17" s="338"/>
      <c r="PST17" s="338"/>
      <c r="PSU17" s="338"/>
      <c r="PSV17" s="338"/>
      <c r="PSW17" s="338"/>
      <c r="PSX17" s="338"/>
      <c r="PSY17" s="338"/>
      <c r="PSZ17" s="338"/>
      <c r="PTA17" s="338"/>
      <c r="PTB17" s="338"/>
      <c r="PTC17" s="338"/>
      <c r="PTD17" s="338"/>
      <c r="PTE17" s="338"/>
      <c r="PTF17" s="338"/>
      <c r="PTG17" s="338"/>
      <c r="PTH17" s="338"/>
      <c r="PTI17" s="338"/>
      <c r="PTJ17" s="338"/>
      <c r="PTK17" s="338"/>
      <c r="PTL17" s="338"/>
      <c r="PTM17" s="338"/>
      <c r="PTN17" s="338"/>
      <c r="PTO17" s="338"/>
      <c r="PTP17" s="338"/>
      <c r="PTQ17" s="338"/>
      <c r="PTR17" s="338"/>
      <c r="PTS17" s="338"/>
      <c r="PTT17" s="338"/>
      <c r="PTU17" s="338"/>
      <c r="PTV17" s="338"/>
      <c r="PTW17" s="338"/>
      <c r="PTX17" s="338"/>
      <c r="PTY17" s="338"/>
      <c r="PTZ17" s="338"/>
      <c r="PUA17" s="338"/>
      <c r="PUB17" s="338"/>
      <c r="PUC17" s="338"/>
      <c r="PUD17" s="338"/>
      <c r="PUE17" s="338"/>
      <c r="PUF17" s="338"/>
      <c r="PUG17" s="338"/>
      <c r="PUH17" s="338"/>
      <c r="PUI17" s="338"/>
      <c r="PUJ17" s="338"/>
      <c r="PUK17" s="338"/>
      <c r="PUL17" s="338"/>
      <c r="PUM17" s="338"/>
      <c r="PUN17" s="338"/>
      <c r="PUO17" s="338"/>
      <c r="PUP17" s="338"/>
      <c r="PUQ17" s="338"/>
      <c r="PUR17" s="338"/>
      <c r="PUS17" s="338"/>
      <c r="PUT17" s="338"/>
      <c r="PUU17" s="338"/>
      <c r="PUV17" s="338"/>
      <c r="PUW17" s="338"/>
      <c r="PUX17" s="338"/>
      <c r="PUY17" s="338"/>
      <c r="PUZ17" s="338"/>
      <c r="PVA17" s="338"/>
      <c r="PVB17" s="338"/>
      <c r="PVC17" s="338"/>
      <c r="PVD17" s="338"/>
      <c r="PVE17" s="338"/>
      <c r="PVF17" s="338"/>
      <c r="PVG17" s="338"/>
      <c r="PVH17" s="338"/>
      <c r="PVI17" s="338"/>
      <c r="PVJ17" s="338"/>
      <c r="PVK17" s="338"/>
      <c r="PVL17" s="338"/>
      <c r="PVM17" s="338"/>
      <c r="PVN17" s="338"/>
      <c r="PVO17" s="338"/>
      <c r="PVP17" s="338"/>
      <c r="PVQ17" s="338"/>
      <c r="PVR17" s="338"/>
      <c r="PVS17" s="338"/>
      <c r="PVT17" s="338"/>
      <c r="PVU17" s="338"/>
      <c r="PVV17" s="338"/>
      <c r="PVW17" s="338"/>
      <c r="PVX17" s="338"/>
      <c r="PVY17" s="338"/>
      <c r="PVZ17" s="338"/>
      <c r="PWA17" s="338"/>
      <c r="PWB17" s="338"/>
      <c r="PWC17" s="338"/>
      <c r="PWD17" s="338"/>
      <c r="PWE17" s="338"/>
      <c r="PWF17" s="338"/>
      <c r="PWG17" s="338"/>
      <c r="PWH17" s="338"/>
      <c r="PWI17" s="338"/>
      <c r="PWJ17" s="338"/>
      <c r="PWK17" s="338"/>
      <c r="PWL17" s="338"/>
      <c r="PWM17" s="338"/>
      <c r="PWN17" s="338"/>
      <c r="PWO17" s="338"/>
      <c r="PWP17" s="338"/>
      <c r="PWQ17" s="338"/>
      <c r="PWR17" s="338"/>
      <c r="PWS17" s="338"/>
      <c r="PWT17" s="338"/>
      <c r="PWU17" s="338"/>
      <c r="PWV17" s="338"/>
      <c r="PWW17" s="338"/>
      <c r="PWX17" s="338"/>
      <c r="PWY17" s="338"/>
      <c r="PWZ17" s="338"/>
      <c r="PXA17" s="338"/>
      <c r="PXB17" s="338"/>
      <c r="PXC17" s="338"/>
      <c r="PXD17" s="338"/>
      <c r="PXE17" s="338"/>
      <c r="PXF17" s="338"/>
      <c r="PXG17" s="338"/>
      <c r="PXH17" s="338"/>
      <c r="PXI17" s="338"/>
      <c r="PXJ17" s="338"/>
      <c r="PXK17" s="338"/>
      <c r="PXL17" s="338"/>
      <c r="PXM17" s="338"/>
      <c r="PXN17" s="338"/>
      <c r="PXO17" s="338"/>
      <c r="PXP17" s="338"/>
      <c r="PXQ17" s="338"/>
      <c r="PXR17" s="338"/>
      <c r="PXS17" s="338"/>
      <c r="PXT17" s="338"/>
      <c r="PXU17" s="338"/>
      <c r="PXV17" s="338"/>
      <c r="PXW17" s="338"/>
      <c r="PXX17" s="338"/>
      <c r="PXY17" s="338"/>
      <c r="PXZ17" s="338"/>
      <c r="PYA17" s="338"/>
      <c r="PYB17" s="338"/>
      <c r="PYC17" s="338"/>
      <c r="PYD17" s="338"/>
      <c r="PYE17" s="338"/>
      <c r="PYF17" s="338"/>
      <c r="PYG17" s="338"/>
      <c r="PYH17" s="338"/>
      <c r="PYI17" s="338"/>
      <c r="PYJ17" s="338"/>
      <c r="PYK17" s="338"/>
      <c r="PYL17" s="338"/>
      <c r="PYM17" s="338"/>
      <c r="PYN17" s="338"/>
      <c r="PYO17" s="338"/>
      <c r="PYP17" s="338"/>
      <c r="PYQ17" s="338"/>
      <c r="PYR17" s="338"/>
      <c r="PYS17" s="338"/>
      <c r="PYT17" s="338"/>
      <c r="PYU17" s="338"/>
      <c r="PYV17" s="338"/>
      <c r="PYW17" s="338"/>
      <c r="PYX17" s="338"/>
      <c r="PYY17" s="338"/>
      <c r="PYZ17" s="338"/>
      <c r="PZA17" s="338"/>
      <c r="PZB17" s="338"/>
      <c r="PZC17" s="338"/>
      <c r="PZD17" s="338"/>
      <c r="PZE17" s="338"/>
      <c r="PZF17" s="338"/>
      <c r="PZG17" s="338"/>
      <c r="PZH17" s="338"/>
      <c r="PZI17" s="338"/>
      <c r="PZJ17" s="338"/>
      <c r="PZK17" s="338"/>
      <c r="PZL17" s="338"/>
      <c r="PZM17" s="338"/>
      <c r="PZN17" s="338"/>
      <c r="PZO17" s="338"/>
      <c r="PZP17" s="338"/>
      <c r="PZQ17" s="338"/>
      <c r="PZR17" s="338"/>
      <c r="PZS17" s="338"/>
      <c r="PZT17" s="338"/>
      <c r="PZU17" s="338"/>
      <c r="PZV17" s="338"/>
      <c r="PZW17" s="338"/>
      <c r="PZX17" s="338"/>
      <c r="PZY17" s="338"/>
      <c r="PZZ17" s="338"/>
      <c r="QAA17" s="338"/>
      <c r="QAB17" s="338"/>
      <c r="QAC17" s="338"/>
      <c r="QAD17" s="338"/>
      <c r="QAE17" s="338"/>
      <c r="QAF17" s="338"/>
      <c r="QAG17" s="338"/>
      <c r="QAH17" s="338"/>
      <c r="QAI17" s="338"/>
      <c r="QAJ17" s="338"/>
      <c r="QAK17" s="338"/>
      <c r="QAL17" s="338"/>
      <c r="QAM17" s="338"/>
      <c r="QAN17" s="338"/>
      <c r="QAO17" s="338"/>
      <c r="QAP17" s="338"/>
      <c r="QAQ17" s="338"/>
      <c r="QAR17" s="338"/>
      <c r="QAS17" s="338"/>
      <c r="QAT17" s="338"/>
      <c r="QAU17" s="338"/>
      <c r="QAV17" s="338"/>
      <c r="QAW17" s="338"/>
      <c r="QAX17" s="338"/>
      <c r="QAY17" s="338"/>
      <c r="QAZ17" s="338"/>
      <c r="QBA17" s="338"/>
      <c r="QBB17" s="338"/>
      <c r="QBC17" s="338"/>
      <c r="QBD17" s="338"/>
      <c r="QBE17" s="338"/>
      <c r="QBF17" s="338"/>
      <c r="QBG17" s="338"/>
      <c r="QBH17" s="338"/>
      <c r="QBI17" s="338"/>
      <c r="QBJ17" s="338"/>
      <c r="QBK17" s="338"/>
      <c r="QBL17" s="338"/>
      <c r="QBM17" s="338"/>
      <c r="QBN17" s="338"/>
      <c r="QBO17" s="338"/>
      <c r="QBP17" s="338"/>
      <c r="QBQ17" s="338"/>
      <c r="QBR17" s="338"/>
      <c r="QBS17" s="338"/>
      <c r="QBT17" s="338"/>
      <c r="QBU17" s="338"/>
      <c r="QBV17" s="338"/>
      <c r="QBW17" s="338"/>
      <c r="QBX17" s="338"/>
      <c r="QBY17" s="338"/>
      <c r="QBZ17" s="338"/>
      <c r="QCA17" s="338"/>
      <c r="QCB17" s="338"/>
      <c r="QCC17" s="338"/>
      <c r="QCD17" s="338"/>
      <c r="QCE17" s="338"/>
      <c r="QCF17" s="338"/>
      <c r="QCG17" s="338"/>
      <c r="QCH17" s="338"/>
      <c r="QCI17" s="338"/>
      <c r="QCJ17" s="338"/>
      <c r="QCK17" s="338"/>
      <c r="QCL17" s="338"/>
      <c r="QCM17" s="338"/>
      <c r="QCN17" s="338"/>
      <c r="QCO17" s="338"/>
      <c r="QCP17" s="338"/>
      <c r="QCQ17" s="338"/>
      <c r="QCR17" s="338"/>
      <c r="QCS17" s="338"/>
      <c r="QCT17" s="338"/>
      <c r="QCU17" s="338"/>
      <c r="QCV17" s="338"/>
      <c r="QCW17" s="338"/>
      <c r="QCX17" s="338"/>
      <c r="QCY17" s="338"/>
      <c r="QCZ17" s="338"/>
      <c r="QDA17" s="338"/>
      <c r="QDB17" s="338"/>
      <c r="QDC17" s="338"/>
      <c r="QDD17" s="338"/>
      <c r="QDE17" s="338"/>
      <c r="QDF17" s="338"/>
      <c r="QDG17" s="338"/>
      <c r="QDH17" s="338"/>
      <c r="QDI17" s="338"/>
      <c r="QDJ17" s="338"/>
      <c r="QDK17" s="338"/>
      <c r="QDL17" s="338"/>
      <c r="QDM17" s="338"/>
      <c r="QDN17" s="338"/>
      <c r="QDO17" s="338"/>
      <c r="QDP17" s="338"/>
      <c r="QDQ17" s="338"/>
      <c r="QDR17" s="338"/>
      <c r="QDS17" s="338"/>
      <c r="QDT17" s="338"/>
      <c r="QDU17" s="338"/>
      <c r="QDV17" s="338"/>
      <c r="QDW17" s="338"/>
      <c r="QDX17" s="338"/>
      <c r="QDY17" s="338"/>
      <c r="QDZ17" s="338"/>
      <c r="QEA17" s="338"/>
      <c r="QEB17" s="338"/>
      <c r="QEC17" s="338"/>
      <c r="QED17" s="338"/>
      <c r="QEE17" s="338"/>
      <c r="QEF17" s="338"/>
      <c r="QEG17" s="338"/>
      <c r="QEH17" s="338"/>
      <c r="QEI17" s="338"/>
      <c r="QEJ17" s="338"/>
      <c r="QEK17" s="338"/>
      <c r="QEL17" s="338"/>
      <c r="QEM17" s="338"/>
      <c r="QEN17" s="338"/>
      <c r="QEO17" s="338"/>
      <c r="QEP17" s="338"/>
      <c r="QEQ17" s="338"/>
      <c r="QER17" s="338"/>
      <c r="QES17" s="338"/>
      <c r="QET17" s="338"/>
      <c r="QEU17" s="338"/>
      <c r="QEV17" s="338"/>
      <c r="QEW17" s="338"/>
      <c r="QEX17" s="338"/>
      <c r="QEY17" s="338"/>
      <c r="QEZ17" s="338"/>
      <c r="QFA17" s="338"/>
      <c r="QFB17" s="338"/>
      <c r="QFC17" s="338"/>
      <c r="QFD17" s="338"/>
      <c r="QFE17" s="338"/>
      <c r="QFF17" s="338"/>
      <c r="QFG17" s="338"/>
      <c r="QFH17" s="338"/>
      <c r="QFI17" s="338"/>
      <c r="QFJ17" s="338"/>
      <c r="QFK17" s="338"/>
      <c r="QFL17" s="338"/>
      <c r="QFM17" s="338"/>
      <c r="QFN17" s="338"/>
      <c r="QFO17" s="338"/>
      <c r="QFP17" s="338"/>
      <c r="QFQ17" s="338"/>
      <c r="QFR17" s="338"/>
      <c r="QFS17" s="338"/>
      <c r="QFT17" s="338"/>
      <c r="QFU17" s="338"/>
      <c r="QFV17" s="338"/>
      <c r="QFW17" s="338"/>
      <c r="QFX17" s="338"/>
      <c r="QFY17" s="338"/>
      <c r="QFZ17" s="338"/>
      <c r="QGA17" s="338"/>
      <c r="QGB17" s="338"/>
      <c r="QGC17" s="338"/>
      <c r="QGD17" s="338"/>
      <c r="QGE17" s="338"/>
      <c r="QGF17" s="338"/>
      <c r="QGG17" s="338"/>
      <c r="QGH17" s="338"/>
      <c r="QGI17" s="338"/>
      <c r="QGJ17" s="338"/>
      <c r="QGK17" s="338"/>
      <c r="QGL17" s="338"/>
      <c r="QGM17" s="338"/>
      <c r="QGN17" s="338"/>
      <c r="QGO17" s="338"/>
      <c r="QGP17" s="338"/>
      <c r="QGQ17" s="338"/>
      <c r="QGR17" s="338"/>
      <c r="QGS17" s="338"/>
      <c r="QGT17" s="338"/>
      <c r="QGU17" s="338"/>
      <c r="QGV17" s="338"/>
      <c r="QGW17" s="338"/>
      <c r="QGX17" s="338"/>
      <c r="QGY17" s="338"/>
      <c r="QGZ17" s="338"/>
      <c r="QHA17" s="338"/>
      <c r="QHB17" s="338"/>
      <c r="QHC17" s="338"/>
      <c r="QHD17" s="338"/>
      <c r="QHE17" s="338"/>
      <c r="QHF17" s="338"/>
      <c r="QHG17" s="338"/>
      <c r="QHH17" s="338"/>
      <c r="QHI17" s="338"/>
      <c r="QHJ17" s="338"/>
      <c r="QHK17" s="338"/>
      <c r="QHL17" s="338"/>
      <c r="QHM17" s="338"/>
      <c r="QHN17" s="338"/>
      <c r="QHO17" s="338"/>
      <c r="QHP17" s="338"/>
      <c r="QHQ17" s="338"/>
      <c r="QHR17" s="338"/>
      <c r="QHS17" s="338"/>
      <c r="QHT17" s="338"/>
      <c r="QHU17" s="338"/>
      <c r="QHV17" s="338"/>
      <c r="QHW17" s="338"/>
      <c r="QHX17" s="338"/>
      <c r="QHY17" s="338"/>
      <c r="QHZ17" s="338"/>
      <c r="QIA17" s="338"/>
      <c r="QIB17" s="338"/>
      <c r="QIC17" s="338"/>
      <c r="QID17" s="338"/>
      <c r="QIE17" s="338"/>
      <c r="QIF17" s="338"/>
      <c r="QIG17" s="338"/>
      <c r="QIH17" s="338"/>
      <c r="QII17" s="338"/>
      <c r="QIJ17" s="338"/>
      <c r="QIK17" s="338"/>
      <c r="QIL17" s="338"/>
      <c r="QIM17" s="338"/>
      <c r="QIN17" s="338"/>
      <c r="QIO17" s="338"/>
      <c r="QIP17" s="338"/>
      <c r="QIQ17" s="338"/>
      <c r="QIR17" s="338"/>
      <c r="QIS17" s="338"/>
      <c r="QIT17" s="338"/>
      <c r="QIU17" s="338"/>
      <c r="QIV17" s="338"/>
      <c r="QIW17" s="338"/>
      <c r="QIX17" s="338"/>
      <c r="QIY17" s="338"/>
      <c r="QIZ17" s="338"/>
      <c r="QJA17" s="338"/>
      <c r="QJB17" s="338"/>
      <c r="QJC17" s="338"/>
      <c r="QJD17" s="338"/>
      <c r="QJE17" s="338"/>
      <c r="QJF17" s="338"/>
      <c r="QJG17" s="338"/>
      <c r="QJH17" s="338"/>
      <c r="QJI17" s="338"/>
      <c r="QJJ17" s="338"/>
      <c r="QJK17" s="338"/>
      <c r="QJL17" s="338"/>
      <c r="QJM17" s="338"/>
      <c r="QJN17" s="338"/>
      <c r="QJO17" s="338"/>
      <c r="QJP17" s="338"/>
      <c r="QJQ17" s="338"/>
      <c r="QJR17" s="338"/>
      <c r="QJS17" s="338"/>
      <c r="QJT17" s="338"/>
      <c r="QJU17" s="338"/>
      <c r="QJV17" s="338"/>
      <c r="QJW17" s="338"/>
      <c r="QJX17" s="338"/>
      <c r="QJY17" s="338"/>
      <c r="QJZ17" s="338"/>
      <c r="QKA17" s="338"/>
      <c r="QKB17" s="338"/>
      <c r="QKC17" s="338"/>
      <c r="QKD17" s="338"/>
      <c r="QKE17" s="338"/>
      <c r="QKF17" s="338"/>
      <c r="QKG17" s="338"/>
      <c r="QKH17" s="338"/>
      <c r="QKI17" s="338"/>
      <c r="QKJ17" s="338"/>
      <c r="QKK17" s="338"/>
      <c r="QKL17" s="338"/>
      <c r="QKM17" s="338"/>
      <c r="QKN17" s="338"/>
      <c r="QKO17" s="338"/>
      <c r="QKP17" s="338"/>
      <c r="QKQ17" s="338"/>
      <c r="QKR17" s="338"/>
      <c r="QKS17" s="338"/>
      <c r="QKT17" s="338"/>
      <c r="QKU17" s="338"/>
      <c r="QKV17" s="338"/>
      <c r="QKW17" s="338"/>
      <c r="QKX17" s="338"/>
      <c r="QKY17" s="338"/>
      <c r="QKZ17" s="338"/>
      <c r="QLA17" s="338"/>
      <c r="QLB17" s="338"/>
      <c r="QLC17" s="338"/>
      <c r="QLD17" s="338"/>
      <c r="QLE17" s="338"/>
      <c r="QLF17" s="338"/>
      <c r="QLG17" s="338"/>
      <c r="QLH17" s="338"/>
      <c r="QLI17" s="338"/>
      <c r="QLJ17" s="338"/>
      <c r="QLK17" s="338"/>
      <c r="QLL17" s="338"/>
      <c r="QLM17" s="338"/>
      <c r="QLN17" s="338"/>
      <c r="QLO17" s="338"/>
      <c r="QLP17" s="338"/>
      <c r="QLQ17" s="338"/>
      <c r="QLR17" s="338"/>
      <c r="QLS17" s="338"/>
      <c r="QLT17" s="338"/>
      <c r="QLU17" s="338"/>
      <c r="QLV17" s="338"/>
      <c r="QLW17" s="338"/>
      <c r="QLX17" s="338"/>
      <c r="QLY17" s="338"/>
      <c r="QLZ17" s="338"/>
      <c r="QMA17" s="338"/>
      <c r="QMB17" s="338"/>
      <c r="QMC17" s="338"/>
      <c r="QMD17" s="338"/>
      <c r="QME17" s="338"/>
      <c r="QMF17" s="338"/>
      <c r="QMG17" s="338"/>
      <c r="QMH17" s="338"/>
      <c r="QMI17" s="338"/>
      <c r="QMJ17" s="338"/>
      <c r="QMK17" s="338"/>
      <c r="QML17" s="338"/>
      <c r="QMM17" s="338"/>
      <c r="QMN17" s="338"/>
      <c r="QMO17" s="338"/>
      <c r="QMP17" s="338"/>
      <c r="QMQ17" s="338"/>
      <c r="QMR17" s="338"/>
      <c r="QMS17" s="338"/>
      <c r="QMT17" s="338"/>
      <c r="QMU17" s="338"/>
      <c r="QMV17" s="338"/>
      <c r="QMW17" s="338"/>
      <c r="QMX17" s="338"/>
      <c r="QMY17" s="338"/>
      <c r="QMZ17" s="338"/>
      <c r="QNA17" s="338"/>
      <c r="QNB17" s="338"/>
      <c r="QNC17" s="338"/>
      <c r="QND17" s="338"/>
      <c r="QNE17" s="338"/>
      <c r="QNF17" s="338"/>
      <c r="QNG17" s="338"/>
      <c r="QNH17" s="338"/>
      <c r="QNI17" s="338"/>
      <c r="QNJ17" s="338"/>
      <c r="QNK17" s="338"/>
      <c r="QNL17" s="338"/>
      <c r="QNM17" s="338"/>
      <c r="QNN17" s="338"/>
      <c r="QNO17" s="338"/>
      <c r="QNP17" s="338"/>
      <c r="QNQ17" s="338"/>
      <c r="QNR17" s="338"/>
      <c r="QNS17" s="338"/>
      <c r="QNT17" s="338"/>
      <c r="QNU17" s="338"/>
      <c r="QNV17" s="338"/>
      <c r="QNW17" s="338"/>
      <c r="QNX17" s="338"/>
      <c r="QNY17" s="338"/>
      <c r="QNZ17" s="338"/>
      <c r="QOA17" s="338"/>
      <c r="QOB17" s="338"/>
      <c r="QOC17" s="338"/>
      <c r="QOD17" s="338"/>
      <c r="QOE17" s="338"/>
      <c r="QOF17" s="338"/>
      <c r="QOG17" s="338"/>
      <c r="QOH17" s="338"/>
      <c r="QOI17" s="338"/>
      <c r="QOJ17" s="338"/>
      <c r="QOK17" s="338"/>
      <c r="QOL17" s="338"/>
      <c r="QOM17" s="338"/>
      <c r="QON17" s="338"/>
      <c r="QOO17" s="338"/>
      <c r="QOP17" s="338"/>
      <c r="QOQ17" s="338"/>
      <c r="QOR17" s="338"/>
      <c r="QOS17" s="338"/>
      <c r="QOT17" s="338"/>
      <c r="QOU17" s="338"/>
      <c r="QOV17" s="338"/>
      <c r="QOW17" s="338"/>
      <c r="QOX17" s="338"/>
      <c r="QOY17" s="338"/>
      <c r="QOZ17" s="338"/>
      <c r="QPA17" s="338"/>
      <c r="QPB17" s="338"/>
      <c r="QPC17" s="338"/>
      <c r="QPD17" s="338"/>
      <c r="QPE17" s="338"/>
      <c r="QPF17" s="338"/>
      <c r="QPG17" s="338"/>
      <c r="QPH17" s="338"/>
      <c r="QPI17" s="338"/>
      <c r="QPJ17" s="338"/>
      <c r="QPK17" s="338"/>
      <c r="QPL17" s="338"/>
      <c r="QPM17" s="338"/>
      <c r="QPN17" s="338"/>
      <c r="QPO17" s="338"/>
      <c r="QPP17" s="338"/>
      <c r="QPQ17" s="338"/>
      <c r="QPR17" s="338"/>
      <c r="QPS17" s="338"/>
      <c r="QPT17" s="338"/>
      <c r="QPU17" s="338"/>
      <c r="QPV17" s="338"/>
      <c r="QPW17" s="338"/>
      <c r="QPX17" s="338"/>
      <c r="QPY17" s="338"/>
      <c r="QPZ17" s="338"/>
      <c r="QQA17" s="338"/>
      <c r="QQB17" s="338"/>
      <c r="QQC17" s="338"/>
      <c r="QQD17" s="338"/>
      <c r="QQE17" s="338"/>
      <c r="QQF17" s="338"/>
      <c r="QQG17" s="338"/>
      <c r="QQH17" s="338"/>
      <c r="QQI17" s="338"/>
      <c r="QQJ17" s="338"/>
      <c r="QQK17" s="338"/>
      <c r="QQL17" s="338"/>
      <c r="QQM17" s="338"/>
      <c r="QQN17" s="338"/>
      <c r="QQO17" s="338"/>
      <c r="QQP17" s="338"/>
      <c r="QQQ17" s="338"/>
      <c r="QQR17" s="338"/>
      <c r="QQS17" s="338"/>
      <c r="QQT17" s="338"/>
      <c r="QQU17" s="338"/>
      <c r="QQV17" s="338"/>
      <c r="QQW17" s="338"/>
      <c r="QQX17" s="338"/>
      <c r="QQY17" s="338"/>
      <c r="QQZ17" s="338"/>
      <c r="QRA17" s="338"/>
      <c r="QRB17" s="338"/>
      <c r="QRC17" s="338"/>
      <c r="QRD17" s="338"/>
      <c r="QRE17" s="338"/>
      <c r="QRF17" s="338"/>
      <c r="QRG17" s="338"/>
      <c r="QRH17" s="338"/>
      <c r="QRI17" s="338"/>
      <c r="QRJ17" s="338"/>
      <c r="QRK17" s="338"/>
      <c r="QRL17" s="338"/>
      <c r="QRM17" s="338"/>
      <c r="QRN17" s="338"/>
      <c r="QRO17" s="338"/>
      <c r="QRP17" s="338"/>
      <c r="QRQ17" s="338"/>
      <c r="QRR17" s="338"/>
      <c r="QRS17" s="338"/>
      <c r="QRT17" s="338"/>
      <c r="QRU17" s="338"/>
      <c r="QRV17" s="338"/>
      <c r="QRW17" s="338"/>
      <c r="QRX17" s="338"/>
      <c r="QRY17" s="338"/>
      <c r="QRZ17" s="338"/>
      <c r="QSA17" s="338"/>
      <c r="QSB17" s="338"/>
      <c r="QSC17" s="338"/>
      <c r="QSD17" s="338"/>
      <c r="QSE17" s="338"/>
      <c r="QSF17" s="338"/>
      <c r="QSG17" s="338"/>
      <c r="QSH17" s="338"/>
      <c r="QSI17" s="338"/>
      <c r="QSJ17" s="338"/>
      <c r="QSK17" s="338"/>
      <c r="QSL17" s="338"/>
      <c r="QSM17" s="338"/>
      <c r="QSN17" s="338"/>
      <c r="QSO17" s="338"/>
      <c r="QSP17" s="338"/>
      <c r="QSQ17" s="338"/>
      <c r="QSR17" s="338"/>
      <c r="QSS17" s="338"/>
      <c r="QST17" s="338"/>
      <c r="QSU17" s="338"/>
      <c r="QSV17" s="338"/>
      <c r="QSW17" s="338"/>
      <c r="QSX17" s="338"/>
      <c r="QSY17" s="338"/>
      <c r="QSZ17" s="338"/>
      <c r="QTA17" s="338"/>
      <c r="QTB17" s="338"/>
      <c r="QTC17" s="338"/>
      <c r="QTD17" s="338"/>
      <c r="QTE17" s="338"/>
      <c r="QTF17" s="338"/>
      <c r="QTG17" s="338"/>
      <c r="QTH17" s="338"/>
      <c r="QTI17" s="338"/>
      <c r="QTJ17" s="338"/>
      <c r="QTK17" s="338"/>
      <c r="QTL17" s="338"/>
      <c r="QTM17" s="338"/>
      <c r="QTN17" s="338"/>
      <c r="QTO17" s="338"/>
      <c r="QTP17" s="338"/>
      <c r="QTQ17" s="338"/>
      <c r="QTR17" s="338"/>
      <c r="QTS17" s="338"/>
      <c r="QTT17" s="338"/>
      <c r="QTU17" s="338"/>
      <c r="QTV17" s="338"/>
      <c r="QTW17" s="338"/>
      <c r="QTX17" s="338"/>
      <c r="QTY17" s="338"/>
      <c r="QTZ17" s="338"/>
      <c r="QUA17" s="338"/>
      <c r="QUB17" s="338"/>
      <c r="QUC17" s="338"/>
      <c r="QUD17" s="338"/>
      <c r="QUE17" s="338"/>
      <c r="QUF17" s="338"/>
      <c r="QUG17" s="338"/>
      <c r="QUH17" s="338"/>
      <c r="QUI17" s="338"/>
      <c r="QUJ17" s="338"/>
      <c r="QUK17" s="338"/>
      <c r="QUL17" s="338"/>
      <c r="QUM17" s="338"/>
      <c r="QUN17" s="338"/>
      <c r="QUO17" s="338"/>
      <c r="QUP17" s="338"/>
      <c r="QUQ17" s="338"/>
      <c r="QUR17" s="338"/>
      <c r="QUS17" s="338"/>
      <c r="QUT17" s="338"/>
      <c r="QUU17" s="338"/>
      <c r="QUV17" s="338"/>
      <c r="QUW17" s="338"/>
      <c r="QUX17" s="338"/>
      <c r="QUY17" s="338"/>
      <c r="QUZ17" s="338"/>
      <c r="QVA17" s="338"/>
      <c r="QVB17" s="338"/>
      <c r="QVC17" s="338"/>
      <c r="QVD17" s="338"/>
      <c r="QVE17" s="338"/>
      <c r="QVF17" s="338"/>
      <c r="QVG17" s="338"/>
      <c r="QVH17" s="338"/>
      <c r="QVI17" s="338"/>
      <c r="QVJ17" s="338"/>
      <c r="QVK17" s="338"/>
      <c r="QVL17" s="338"/>
      <c r="QVM17" s="338"/>
      <c r="QVN17" s="338"/>
      <c r="QVO17" s="338"/>
      <c r="QVP17" s="338"/>
      <c r="QVQ17" s="338"/>
      <c r="QVR17" s="338"/>
      <c r="QVS17" s="338"/>
      <c r="QVT17" s="338"/>
      <c r="QVU17" s="338"/>
      <c r="QVV17" s="338"/>
      <c r="QVW17" s="338"/>
      <c r="QVX17" s="338"/>
      <c r="QVY17" s="338"/>
      <c r="QVZ17" s="338"/>
      <c r="QWA17" s="338"/>
      <c r="QWB17" s="338"/>
      <c r="QWC17" s="338"/>
      <c r="QWD17" s="338"/>
      <c r="QWE17" s="338"/>
      <c r="QWF17" s="338"/>
      <c r="QWG17" s="338"/>
      <c r="QWH17" s="338"/>
      <c r="QWI17" s="338"/>
      <c r="QWJ17" s="338"/>
      <c r="QWK17" s="338"/>
      <c r="QWL17" s="338"/>
      <c r="QWM17" s="338"/>
      <c r="QWN17" s="338"/>
      <c r="QWO17" s="338"/>
      <c r="QWP17" s="338"/>
      <c r="QWQ17" s="338"/>
      <c r="QWR17" s="338"/>
      <c r="QWS17" s="338"/>
      <c r="QWT17" s="338"/>
      <c r="QWU17" s="338"/>
      <c r="QWV17" s="338"/>
      <c r="QWW17" s="338"/>
      <c r="QWX17" s="338"/>
      <c r="QWY17" s="338"/>
      <c r="QWZ17" s="338"/>
      <c r="QXA17" s="338"/>
      <c r="QXB17" s="338"/>
      <c r="QXC17" s="338"/>
      <c r="QXD17" s="338"/>
      <c r="QXE17" s="338"/>
      <c r="QXF17" s="338"/>
      <c r="QXG17" s="338"/>
      <c r="QXH17" s="338"/>
      <c r="QXI17" s="338"/>
      <c r="QXJ17" s="338"/>
      <c r="QXK17" s="338"/>
      <c r="QXL17" s="338"/>
      <c r="QXM17" s="338"/>
      <c r="QXN17" s="338"/>
      <c r="QXO17" s="338"/>
      <c r="QXP17" s="338"/>
      <c r="QXQ17" s="338"/>
      <c r="QXR17" s="338"/>
      <c r="QXS17" s="338"/>
      <c r="QXT17" s="338"/>
      <c r="QXU17" s="338"/>
      <c r="QXV17" s="338"/>
      <c r="QXW17" s="338"/>
      <c r="QXX17" s="338"/>
      <c r="QXY17" s="338"/>
      <c r="QXZ17" s="338"/>
      <c r="QYA17" s="338"/>
      <c r="QYB17" s="338"/>
      <c r="QYC17" s="338"/>
      <c r="QYD17" s="338"/>
      <c r="QYE17" s="338"/>
      <c r="QYF17" s="338"/>
      <c r="QYG17" s="338"/>
      <c r="QYH17" s="338"/>
      <c r="QYI17" s="338"/>
      <c r="QYJ17" s="338"/>
      <c r="QYK17" s="338"/>
      <c r="QYL17" s="338"/>
      <c r="QYM17" s="338"/>
      <c r="QYN17" s="338"/>
      <c r="QYO17" s="338"/>
      <c r="QYP17" s="338"/>
      <c r="QYQ17" s="338"/>
      <c r="QYR17" s="338"/>
      <c r="QYS17" s="338"/>
      <c r="QYT17" s="338"/>
      <c r="QYU17" s="338"/>
      <c r="QYV17" s="338"/>
      <c r="QYW17" s="338"/>
      <c r="QYX17" s="338"/>
      <c r="QYY17" s="338"/>
      <c r="QYZ17" s="338"/>
      <c r="QZA17" s="338"/>
      <c r="QZB17" s="338"/>
      <c r="QZC17" s="338"/>
      <c r="QZD17" s="338"/>
      <c r="QZE17" s="338"/>
      <c r="QZF17" s="338"/>
      <c r="QZG17" s="338"/>
      <c r="QZH17" s="338"/>
      <c r="QZI17" s="338"/>
      <c r="QZJ17" s="338"/>
      <c r="QZK17" s="338"/>
      <c r="QZL17" s="338"/>
      <c r="QZM17" s="338"/>
      <c r="QZN17" s="338"/>
      <c r="QZO17" s="338"/>
      <c r="QZP17" s="338"/>
      <c r="QZQ17" s="338"/>
      <c r="QZR17" s="338"/>
      <c r="QZS17" s="338"/>
      <c r="QZT17" s="338"/>
      <c r="QZU17" s="338"/>
      <c r="QZV17" s="338"/>
      <c r="QZW17" s="338"/>
      <c r="QZX17" s="338"/>
      <c r="QZY17" s="338"/>
      <c r="QZZ17" s="338"/>
      <c r="RAA17" s="338"/>
      <c r="RAB17" s="338"/>
      <c r="RAC17" s="338"/>
      <c r="RAD17" s="338"/>
      <c r="RAE17" s="338"/>
      <c r="RAF17" s="338"/>
      <c r="RAG17" s="338"/>
      <c r="RAH17" s="338"/>
      <c r="RAI17" s="338"/>
      <c r="RAJ17" s="338"/>
      <c r="RAK17" s="338"/>
      <c r="RAL17" s="338"/>
      <c r="RAM17" s="338"/>
      <c r="RAN17" s="338"/>
      <c r="RAO17" s="338"/>
      <c r="RAP17" s="338"/>
      <c r="RAQ17" s="338"/>
      <c r="RAR17" s="338"/>
      <c r="RAS17" s="338"/>
      <c r="RAT17" s="338"/>
      <c r="RAU17" s="338"/>
      <c r="RAV17" s="338"/>
      <c r="RAW17" s="338"/>
      <c r="RAX17" s="338"/>
      <c r="RAY17" s="338"/>
      <c r="RAZ17" s="338"/>
      <c r="RBA17" s="338"/>
      <c r="RBB17" s="338"/>
      <c r="RBC17" s="338"/>
      <c r="RBD17" s="338"/>
      <c r="RBE17" s="338"/>
      <c r="RBF17" s="338"/>
      <c r="RBG17" s="338"/>
      <c r="RBH17" s="338"/>
      <c r="RBI17" s="338"/>
      <c r="RBJ17" s="338"/>
      <c r="RBK17" s="338"/>
      <c r="RBL17" s="338"/>
      <c r="RBM17" s="338"/>
      <c r="RBN17" s="338"/>
      <c r="RBO17" s="338"/>
      <c r="RBP17" s="338"/>
      <c r="RBQ17" s="338"/>
      <c r="RBR17" s="338"/>
      <c r="RBS17" s="338"/>
      <c r="RBT17" s="338"/>
      <c r="RBU17" s="338"/>
      <c r="RBV17" s="338"/>
      <c r="RBW17" s="338"/>
      <c r="RBX17" s="338"/>
      <c r="RBY17" s="338"/>
      <c r="RBZ17" s="338"/>
      <c r="RCA17" s="338"/>
      <c r="RCB17" s="338"/>
      <c r="RCC17" s="338"/>
      <c r="RCD17" s="338"/>
      <c r="RCE17" s="338"/>
      <c r="RCF17" s="338"/>
      <c r="RCG17" s="338"/>
      <c r="RCH17" s="338"/>
      <c r="RCI17" s="338"/>
      <c r="RCJ17" s="338"/>
      <c r="RCK17" s="338"/>
      <c r="RCL17" s="338"/>
      <c r="RCM17" s="338"/>
      <c r="RCN17" s="338"/>
      <c r="RCO17" s="338"/>
      <c r="RCP17" s="338"/>
      <c r="RCQ17" s="338"/>
      <c r="RCR17" s="338"/>
      <c r="RCS17" s="338"/>
      <c r="RCT17" s="338"/>
      <c r="RCU17" s="338"/>
      <c r="RCV17" s="338"/>
      <c r="RCW17" s="338"/>
      <c r="RCX17" s="338"/>
      <c r="RCY17" s="338"/>
      <c r="RCZ17" s="338"/>
      <c r="RDA17" s="338"/>
      <c r="RDB17" s="338"/>
      <c r="RDC17" s="338"/>
      <c r="RDD17" s="338"/>
      <c r="RDE17" s="338"/>
      <c r="RDF17" s="338"/>
      <c r="RDG17" s="338"/>
      <c r="RDH17" s="338"/>
      <c r="RDI17" s="338"/>
      <c r="RDJ17" s="338"/>
      <c r="RDK17" s="338"/>
      <c r="RDL17" s="338"/>
      <c r="RDM17" s="338"/>
      <c r="RDN17" s="338"/>
      <c r="RDO17" s="338"/>
      <c r="RDP17" s="338"/>
      <c r="RDQ17" s="338"/>
      <c r="RDR17" s="338"/>
      <c r="RDS17" s="338"/>
      <c r="RDT17" s="338"/>
      <c r="RDU17" s="338"/>
      <c r="RDV17" s="338"/>
      <c r="RDW17" s="338"/>
      <c r="RDX17" s="338"/>
      <c r="RDY17" s="338"/>
      <c r="RDZ17" s="338"/>
      <c r="REA17" s="338"/>
      <c r="REB17" s="338"/>
      <c r="REC17" s="338"/>
      <c r="RED17" s="338"/>
      <c r="REE17" s="338"/>
      <c r="REF17" s="338"/>
      <c r="REG17" s="338"/>
      <c r="REH17" s="338"/>
      <c r="REI17" s="338"/>
      <c r="REJ17" s="338"/>
      <c r="REK17" s="338"/>
      <c r="REL17" s="338"/>
      <c r="REM17" s="338"/>
      <c r="REN17" s="338"/>
      <c r="REO17" s="338"/>
      <c r="REP17" s="338"/>
      <c r="REQ17" s="338"/>
      <c r="RER17" s="338"/>
      <c r="RES17" s="338"/>
      <c r="RET17" s="338"/>
      <c r="REU17" s="338"/>
      <c r="REV17" s="338"/>
      <c r="REW17" s="338"/>
      <c r="REX17" s="338"/>
      <c r="REY17" s="338"/>
      <c r="REZ17" s="338"/>
      <c r="RFA17" s="338"/>
      <c r="RFB17" s="338"/>
      <c r="RFC17" s="338"/>
      <c r="RFD17" s="338"/>
      <c r="RFE17" s="338"/>
      <c r="RFF17" s="338"/>
      <c r="RFG17" s="338"/>
      <c r="RFH17" s="338"/>
      <c r="RFI17" s="338"/>
      <c r="RFJ17" s="338"/>
      <c r="RFK17" s="338"/>
      <c r="RFL17" s="338"/>
      <c r="RFM17" s="338"/>
      <c r="RFN17" s="338"/>
      <c r="RFO17" s="338"/>
      <c r="RFP17" s="338"/>
      <c r="RFQ17" s="338"/>
      <c r="RFR17" s="338"/>
      <c r="RFS17" s="338"/>
      <c r="RFT17" s="338"/>
      <c r="RFU17" s="338"/>
      <c r="RFV17" s="338"/>
      <c r="RFW17" s="338"/>
      <c r="RFX17" s="338"/>
      <c r="RFY17" s="338"/>
      <c r="RFZ17" s="338"/>
      <c r="RGA17" s="338"/>
      <c r="RGB17" s="338"/>
      <c r="RGC17" s="338"/>
      <c r="RGD17" s="338"/>
      <c r="RGE17" s="338"/>
      <c r="RGF17" s="338"/>
      <c r="RGG17" s="338"/>
      <c r="RGH17" s="338"/>
      <c r="RGI17" s="338"/>
      <c r="RGJ17" s="338"/>
      <c r="RGK17" s="338"/>
      <c r="RGL17" s="338"/>
      <c r="RGM17" s="338"/>
      <c r="RGN17" s="338"/>
      <c r="RGO17" s="338"/>
      <c r="RGP17" s="338"/>
      <c r="RGQ17" s="338"/>
      <c r="RGR17" s="338"/>
      <c r="RGS17" s="338"/>
      <c r="RGT17" s="338"/>
      <c r="RGU17" s="338"/>
      <c r="RGV17" s="338"/>
      <c r="RGW17" s="338"/>
      <c r="RGX17" s="338"/>
      <c r="RGY17" s="338"/>
      <c r="RGZ17" s="338"/>
      <c r="RHA17" s="338"/>
      <c r="RHB17" s="338"/>
      <c r="RHC17" s="338"/>
      <c r="RHD17" s="338"/>
      <c r="RHE17" s="338"/>
      <c r="RHF17" s="338"/>
      <c r="RHG17" s="338"/>
      <c r="RHH17" s="338"/>
      <c r="RHI17" s="338"/>
      <c r="RHJ17" s="338"/>
      <c r="RHK17" s="338"/>
      <c r="RHL17" s="338"/>
      <c r="RHM17" s="338"/>
      <c r="RHN17" s="338"/>
      <c r="RHO17" s="338"/>
      <c r="RHP17" s="338"/>
      <c r="RHQ17" s="338"/>
      <c r="RHR17" s="338"/>
      <c r="RHS17" s="338"/>
      <c r="RHT17" s="338"/>
      <c r="RHU17" s="338"/>
      <c r="RHV17" s="338"/>
      <c r="RHW17" s="338"/>
      <c r="RHX17" s="338"/>
      <c r="RHY17" s="338"/>
      <c r="RHZ17" s="338"/>
      <c r="RIA17" s="338"/>
      <c r="RIB17" s="338"/>
      <c r="RIC17" s="338"/>
      <c r="RID17" s="338"/>
      <c r="RIE17" s="338"/>
      <c r="RIF17" s="338"/>
      <c r="RIG17" s="338"/>
      <c r="RIH17" s="338"/>
      <c r="RII17" s="338"/>
      <c r="RIJ17" s="338"/>
      <c r="RIK17" s="338"/>
      <c r="RIL17" s="338"/>
      <c r="RIM17" s="338"/>
      <c r="RIN17" s="338"/>
      <c r="RIO17" s="338"/>
      <c r="RIP17" s="338"/>
      <c r="RIQ17" s="338"/>
      <c r="RIR17" s="338"/>
      <c r="RIS17" s="338"/>
      <c r="RIT17" s="338"/>
      <c r="RIU17" s="338"/>
      <c r="RIV17" s="338"/>
      <c r="RIW17" s="338"/>
      <c r="RIX17" s="338"/>
      <c r="RIY17" s="338"/>
      <c r="RIZ17" s="338"/>
      <c r="RJA17" s="338"/>
      <c r="RJB17" s="338"/>
      <c r="RJC17" s="338"/>
      <c r="RJD17" s="338"/>
      <c r="RJE17" s="338"/>
      <c r="RJF17" s="338"/>
      <c r="RJG17" s="338"/>
      <c r="RJH17" s="338"/>
      <c r="RJI17" s="338"/>
      <c r="RJJ17" s="338"/>
      <c r="RJK17" s="338"/>
      <c r="RJL17" s="338"/>
      <c r="RJM17" s="338"/>
      <c r="RJN17" s="338"/>
      <c r="RJO17" s="338"/>
      <c r="RJP17" s="338"/>
      <c r="RJQ17" s="338"/>
      <c r="RJR17" s="338"/>
      <c r="RJS17" s="338"/>
      <c r="RJT17" s="338"/>
      <c r="RJU17" s="338"/>
      <c r="RJV17" s="338"/>
      <c r="RJW17" s="338"/>
      <c r="RJX17" s="338"/>
      <c r="RJY17" s="338"/>
      <c r="RJZ17" s="338"/>
      <c r="RKA17" s="338"/>
      <c r="RKB17" s="338"/>
      <c r="RKC17" s="338"/>
      <c r="RKD17" s="338"/>
      <c r="RKE17" s="338"/>
      <c r="RKF17" s="338"/>
      <c r="RKG17" s="338"/>
      <c r="RKH17" s="338"/>
      <c r="RKI17" s="338"/>
      <c r="RKJ17" s="338"/>
      <c r="RKK17" s="338"/>
      <c r="RKL17" s="338"/>
      <c r="RKM17" s="338"/>
      <c r="RKN17" s="338"/>
      <c r="RKO17" s="338"/>
      <c r="RKP17" s="338"/>
      <c r="RKQ17" s="338"/>
      <c r="RKR17" s="338"/>
      <c r="RKS17" s="338"/>
      <c r="RKT17" s="338"/>
      <c r="RKU17" s="338"/>
      <c r="RKV17" s="338"/>
      <c r="RKW17" s="338"/>
      <c r="RKX17" s="338"/>
      <c r="RKY17" s="338"/>
      <c r="RKZ17" s="338"/>
      <c r="RLA17" s="338"/>
      <c r="RLB17" s="338"/>
      <c r="RLC17" s="338"/>
      <c r="RLD17" s="338"/>
      <c r="RLE17" s="338"/>
      <c r="RLF17" s="338"/>
      <c r="RLG17" s="338"/>
      <c r="RLH17" s="338"/>
      <c r="RLI17" s="338"/>
      <c r="RLJ17" s="338"/>
      <c r="RLK17" s="338"/>
      <c r="RLL17" s="338"/>
      <c r="RLM17" s="338"/>
      <c r="RLN17" s="338"/>
      <c r="RLO17" s="338"/>
      <c r="RLP17" s="338"/>
      <c r="RLQ17" s="338"/>
      <c r="RLR17" s="338"/>
      <c r="RLS17" s="338"/>
      <c r="RLT17" s="338"/>
      <c r="RLU17" s="338"/>
      <c r="RLV17" s="338"/>
      <c r="RLW17" s="338"/>
      <c r="RLX17" s="338"/>
      <c r="RLY17" s="338"/>
      <c r="RLZ17" s="338"/>
      <c r="RMA17" s="338"/>
      <c r="RMB17" s="338"/>
      <c r="RMC17" s="338"/>
      <c r="RMD17" s="338"/>
      <c r="RME17" s="338"/>
      <c r="RMF17" s="338"/>
      <c r="RMG17" s="338"/>
      <c r="RMH17" s="338"/>
      <c r="RMI17" s="338"/>
      <c r="RMJ17" s="338"/>
      <c r="RMK17" s="338"/>
      <c r="RML17" s="338"/>
      <c r="RMM17" s="338"/>
      <c r="RMN17" s="338"/>
      <c r="RMO17" s="338"/>
      <c r="RMP17" s="338"/>
      <c r="RMQ17" s="338"/>
      <c r="RMR17" s="338"/>
      <c r="RMS17" s="338"/>
      <c r="RMT17" s="338"/>
      <c r="RMU17" s="338"/>
      <c r="RMV17" s="338"/>
      <c r="RMW17" s="338"/>
      <c r="RMX17" s="338"/>
      <c r="RMY17" s="338"/>
      <c r="RMZ17" s="338"/>
      <c r="RNA17" s="338"/>
      <c r="RNB17" s="338"/>
      <c r="RNC17" s="338"/>
      <c r="RND17" s="338"/>
      <c r="RNE17" s="338"/>
      <c r="RNF17" s="338"/>
      <c r="RNG17" s="338"/>
      <c r="RNH17" s="338"/>
      <c r="RNI17" s="338"/>
      <c r="RNJ17" s="338"/>
      <c r="RNK17" s="338"/>
      <c r="RNL17" s="338"/>
      <c r="RNM17" s="338"/>
      <c r="RNN17" s="338"/>
      <c r="RNO17" s="338"/>
      <c r="RNP17" s="338"/>
      <c r="RNQ17" s="338"/>
      <c r="RNR17" s="338"/>
      <c r="RNS17" s="338"/>
      <c r="RNT17" s="338"/>
      <c r="RNU17" s="338"/>
      <c r="RNV17" s="338"/>
      <c r="RNW17" s="338"/>
      <c r="RNX17" s="338"/>
      <c r="RNY17" s="338"/>
      <c r="RNZ17" s="338"/>
      <c r="ROA17" s="338"/>
      <c r="ROB17" s="338"/>
      <c r="ROC17" s="338"/>
      <c r="ROD17" s="338"/>
      <c r="ROE17" s="338"/>
      <c r="ROF17" s="338"/>
      <c r="ROG17" s="338"/>
      <c r="ROH17" s="338"/>
      <c r="ROI17" s="338"/>
      <c r="ROJ17" s="338"/>
      <c r="ROK17" s="338"/>
      <c r="ROL17" s="338"/>
      <c r="ROM17" s="338"/>
      <c r="RON17" s="338"/>
      <c r="ROO17" s="338"/>
      <c r="ROP17" s="338"/>
      <c r="ROQ17" s="338"/>
      <c r="ROR17" s="338"/>
      <c r="ROS17" s="338"/>
      <c r="ROT17" s="338"/>
      <c r="ROU17" s="338"/>
      <c r="ROV17" s="338"/>
      <c r="ROW17" s="338"/>
      <c r="ROX17" s="338"/>
      <c r="ROY17" s="338"/>
      <c r="ROZ17" s="338"/>
      <c r="RPA17" s="338"/>
      <c r="RPB17" s="338"/>
      <c r="RPC17" s="338"/>
      <c r="RPD17" s="338"/>
      <c r="RPE17" s="338"/>
      <c r="RPF17" s="338"/>
      <c r="RPG17" s="338"/>
      <c r="RPH17" s="338"/>
      <c r="RPI17" s="338"/>
      <c r="RPJ17" s="338"/>
      <c r="RPK17" s="338"/>
      <c r="RPL17" s="338"/>
      <c r="RPM17" s="338"/>
      <c r="RPN17" s="338"/>
      <c r="RPO17" s="338"/>
      <c r="RPP17" s="338"/>
      <c r="RPQ17" s="338"/>
      <c r="RPR17" s="338"/>
      <c r="RPS17" s="338"/>
      <c r="RPT17" s="338"/>
      <c r="RPU17" s="338"/>
      <c r="RPV17" s="338"/>
      <c r="RPW17" s="338"/>
      <c r="RPX17" s="338"/>
      <c r="RPY17" s="338"/>
      <c r="RPZ17" s="338"/>
      <c r="RQA17" s="338"/>
      <c r="RQB17" s="338"/>
      <c r="RQC17" s="338"/>
      <c r="RQD17" s="338"/>
      <c r="RQE17" s="338"/>
      <c r="RQF17" s="338"/>
      <c r="RQG17" s="338"/>
      <c r="RQH17" s="338"/>
      <c r="RQI17" s="338"/>
      <c r="RQJ17" s="338"/>
      <c r="RQK17" s="338"/>
      <c r="RQL17" s="338"/>
      <c r="RQM17" s="338"/>
      <c r="RQN17" s="338"/>
      <c r="RQO17" s="338"/>
      <c r="RQP17" s="338"/>
      <c r="RQQ17" s="338"/>
      <c r="RQR17" s="338"/>
      <c r="RQS17" s="338"/>
      <c r="RQT17" s="338"/>
      <c r="RQU17" s="338"/>
      <c r="RQV17" s="338"/>
      <c r="RQW17" s="338"/>
      <c r="RQX17" s="338"/>
      <c r="RQY17" s="338"/>
      <c r="RQZ17" s="338"/>
      <c r="RRA17" s="338"/>
      <c r="RRB17" s="338"/>
      <c r="RRC17" s="338"/>
      <c r="RRD17" s="338"/>
      <c r="RRE17" s="338"/>
      <c r="RRF17" s="338"/>
      <c r="RRG17" s="338"/>
      <c r="RRH17" s="338"/>
      <c r="RRI17" s="338"/>
      <c r="RRJ17" s="338"/>
      <c r="RRK17" s="338"/>
      <c r="RRL17" s="338"/>
      <c r="RRM17" s="338"/>
      <c r="RRN17" s="338"/>
      <c r="RRO17" s="338"/>
      <c r="RRP17" s="338"/>
      <c r="RRQ17" s="338"/>
      <c r="RRR17" s="338"/>
      <c r="RRS17" s="338"/>
      <c r="RRT17" s="338"/>
      <c r="RRU17" s="338"/>
      <c r="RRV17" s="338"/>
      <c r="RRW17" s="338"/>
      <c r="RRX17" s="338"/>
      <c r="RRY17" s="338"/>
      <c r="RRZ17" s="338"/>
      <c r="RSA17" s="338"/>
      <c r="RSB17" s="338"/>
      <c r="RSC17" s="338"/>
      <c r="RSD17" s="338"/>
      <c r="RSE17" s="338"/>
      <c r="RSF17" s="338"/>
      <c r="RSG17" s="338"/>
      <c r="RSH17" s="338"/>
      <c r="RSI17" s="338"/>
      <c r="RSJ17" s="338"/>
      <c r="RSK17" s="338"/>
      <c r="RSL17" s="338"/>
      <c r="RSM17" s="338"/>
      <c r="RSN17" s="338"/>
      <c r="RSO17" s="338"/>
      <c r="RSP17" s="338"/>
      <c r="RSQ17" s="338"/>
      <c r="RSR17" s="338"/>
      <c r="RSS17" s="338"/>
      <c r="RST17" s="338"/>
      <c r="RSU17" s="338"/>
      <c r="RSV17" s="338"/>
      <c r="RSW17" s="338"/>
      <c r="RSX17" s="338"/>
      <c r="RSY17" s="338"/>
      <c r="RSZ17" s="338"/>
      <c r="RTA17" s="338"/>
      <c r="RTB17" s="338"/>
      <c r="RTC17" s="338"/>
      <c r="RTD17" s="338"/>
      <c r="RTE17" s="338"/>
      <c r="RTF17" s="338"/>
      <c r="RTG17" s="338"/>
      <c r="RTH17" s="338"/>
      <c r="RTI17" s="338"/>
      <c r="RTJ17" s="338"/>
      <c r="RTK17" s="338"/>
      <c r="RTL17" s="338"/>
      <c r="RTM17" s="338"/>
      <c r="RTN17" s="338"/>
      <c r="RTO17" s="338"/>
      <c r="RTP17" s="338"/>
      <c r="RTQ17" s="338"/>
      <c r="RTR17" s="338"/>
      <c r="RTS17" s="338"/>
      <c r="RTT17" s="338"/>
      <c r="RTU17" s="338"/>
      <c r="RTV17" s="338"/>
      <c r="RTW17" s="338"/>
      <c r="RTX17" s="338"/>
      <c r="RTY17" s="338"/>
      <c r="RTZ17" s="338"/>
      <c r="RUA17" s="338"/>
      <c r="RUB17" s="338"/>
      <c r="RUC17" s="338"/>
      <c r="RUD17" s="338"/>
      <c r="RUE17" s="338"/>
      <c r="RUF17" s="338"/>
      <c r="RUG17" s="338"/>
      <c r="RUH17" s="338"/>
      <c r="RUI17" s="338"/>
      <c r="RUJ17" s="338"/>
      <c r="RUK17" s="338"/>
      <c r="RUL17" s="338"/>
      <c r="RUM17" s="338"/>
      <c r="RUN17" s="338"/>
      <c r="RUO17" s="338"/>
      <c r="RUP17" s="338"/>
      <c r="RUQ17" s="338"/>
      <c r="RUR17" s="338"/>
      <c r="RUS17" s="338"/>
      <c r="RUT17" s="338"/>
      <c r="RUU17" s="338"/>
      <c r="RUV17" s="338"/>
      <c r="RUW17" s="338"/>
      <c r="RUX17" s="338"/>
      <c r="RUY17" s="338"/>
      <c r="RUZ17" s="338"/>
      <c r="RVA17" s="338"/>
      <c r="RVB17" s="338"/>
      <c r="RVC17" s="338"/>
      <c r="RVD17" s="338"/>
      <c r="RVE17" s="338"/>
      <c r="RVF17" s="338"/>
      <c r="RVG17" s="338"/>
      <c r="RVH17" s="338"/>
      <c r="RVI17" s="338"/>
      <c r="RVJ17" s="338"/>
      <c r="RVK17" s="338"/>
      <c r="RVL17" s="338"/>
      <c r="RVM17" s="338"/>
      <c r="RVN17" s="338"/>
      <c r="RVO17" s="338"/>
      <c r="RVP17" s="338"/>
      <c r="RVQ17" s="338"/>
      <c r="RVR17" s="338"/>
      <c r="RVS17" s="338"/>
      <c r="RVT17" s="338"/>
      <c r="RVU17" s="338"/>
      <c r="RVV17" s="338"/>
      <c r="RVW17" s="338"/>
      <c r="RVX17" s="338"/>
      <c r="RVY17" s="338"/>
      <c r="RVZ17" s="338"/>
      <c r="RWA17" s="338"/>
      <c r="RWB17" s="338"/>
      <c r="RWC17" s="338"/>
      <c r="RWD17" s="338"/>
      <c r="RWE17" s="338"/>
      <c r="RWF17" s="338"/>
      <c r="RWG17" s="338"/>
      <c r="RWH17" s="338"/>
      <c r="RWI17" s="338"/>
      <c r="RWJ17" s="338"/>
      <c r="RWK17" s="338"/>
      <c r="RWL17" s="338"/>
      <c r="RWM17" s="338"/>
      <c r="RWN17" s="338"/>
      <c r="RWO17" s="338"/>
      <c r="RWP17" s="338"/>
      <c r="RWQ17" s="338"/>
      <c r="RWR17" s="338"/>
      <c r="RWS17" s="338"/>
      <c r="RWT17" s="338"/>
      <c r="RWU17" s="338"/>
      <c r="RWV17" s="338"/>
      <c r="RWW17" s="338"/>
      <c r="RWX17" s="338"/>
      <c r="RWY17" s="338"/>
      <c r="RWZ17" s="338"/>
      <c r="RXA17" s="338"/>
      <c r="RXB17" s="338"/>
      <c r="RXC17" s="338"/>
      <c r="RXD17" s="338"/>
      <c r="RXE17" s="338"/>
      <c r="RXF17" s="338"/>
      <c r="RXG17" s="338"/>
      <c r="RXH17" s="338"/>
      <c r="RXI17" s="338"/>
      <c r="RXJ17" s="338"/>
      <c r="RXK17" s="338"/>
      <c r="RXL17" s="338"/>
      <c r="RXM17" s="338"/>
      <c r="RXN17" s="338"/>
      <c r="RXO17" s="338"/>
      <c r="RXP17" s="338"/>
      <c r="RXQ17" s="338"/>
      <c r="RXR17" s="338"/>
      <c r="RXS17" s="338"/>
      <c r="RXT17" s="338"/>
      <c r="RXU17" s="338"/>
      <c r="RXV17" s="338"/>
      <c r="RXW17" s="338"/>
      <c r="RXX17" s="338"/>
      <c r="RXY17" s="338"/>
      <c r="RXZ17" s="338"/>
      <c r="RYA17" s="338"/>
      <c r="RYB17" s="338"/>
      <c r="RYC17" s="338"/>
      <c r="RYD17" s="338"/>
      <c r="RYE17" s="338"/>
      <c r="RYF17" s="338"/>
      <c r="RYG17" s="338"/>
      <c r="RYH17" s="338"/>
      <c r="RYI17" s="338"/>
      <c r="RYJ17" s="338"/>
      <c r="RYK17" s="338"/>
      <c r="RYL17" s="338"/>
      <c r="RYM17" s="338"/>
      <c r="RYN17" s="338"/>
      <c r="RYO17" s="338"/>
      <c r="RYP17" s="338"/>
      <c r="RYQ17" s="338"/>
      <c r="RYR17" s="338"/>
      <c r="RYS17" s="338"/>
      <c r="RYT17" s="338"/>
      <c r="RYU17" s="338"/>
      <c r="RYV17" s="338"/>
      <c r="RYW17" s="338"/>
      <c r="RYX17" s="338"/>
      <c r="RYY17" s="338"/>
      <c r="RYZ17" s="338"/>
      <c r="RZA17" s="338"/>
      <c r="RZB17" s="338"/>
      <c r="RZC17" s="338"/>
      <c r="RZD17" s="338"/>
      <c r="RZE17" s="338"/>
      <c r="RZF17" s="338"/>
      <c r="RZG17" s="338"/>
      <c r="RZH17" s="338"/>
      <c r="RZI17" s="338"/>
      <c r="RZJ17" s="338"/>
      <c r="RZK17" s="338"/>
      <c r="RZL17" s="338"/>
      <c r="RZM17" s="338"/>
      <c r="RZN17" s="338"/>
      <c r="RZO17" s="338"/>
      <c r="RZP17" s="338"/>
      <c r="RZQ17" s="338"/>
      <c r="RZR17" s="338"/>
      <c r="RZS17" s="338"/>
      <c r="RZT17" s="338"/>
      <c r="RZU17" s="338"/>
      <c r="RZV17" s="338"/>
      <c r="RZW17" s="338"/>
      <c r="RZX17" s="338"/>
      <c r="RZY17" s="338"/>
      <c r="RZZ17" s="338"/>
      <c r="SAA17" s="338"/>
      <c r="SAB17" s="338"/>
      <c r="SAC17" s="338"/>
      <c r="SAD17" s="338"/>
      <c r="SAE17" s="338"/>
      <c r="SAF17" s="338"/>
      <c r="SAG17" s="338"/>
      <c r="SAH17" s="338"/>
      <c r="SAI17" s="338"/>
      <c r="SAJ17" s="338"/>
      <c r="SAK17" s="338"/>
      <c r="SAL17" s="338"/>
      <c r="SAM17" s="338"/>
      <c r="SAN17" s="338"/>
      <c r="SAO17" s="338"/>
      <c r="SAP17" s="338"/>
      <c r="SAQ17" s="338"/>
      <c r="SAR17" s="338"/>
      <c r="SAS17" s="338"/>
      <c r="SAT17" s="338"/>
      <c r="SAU17" s="338"/>
      <c r="SAV17" s="338"/>
      <c r="SAW17" s="338"/>
      <c r="SAX17" s="338"/>
      <c r="SAY17" s="338"/>
      <c r="SAZ17" s="338"/>
      <c r="SBA17" s="338"/>
      <c r="SBB17" s="338"/>
      <c r="SBC17" s="338"/>
      <c r="SBD17" s="338"/>
      <c r="SBE17" s="338"/>
      <c r="SBF17" s="338"/>
      <c r="SBG17" s="338"/>
      <c r="SBH17" s="338"/>
      <c r="SBI17" s="338"/>
      <c r="SBJ17" s="338"/>
      <c r="SBK17" s="338"/>
      <c r="SBL17" s="338"/>
      <c r="SBM17" s="338"/>
      <c r="SBN17" s="338"/>
      <c r="SBO17" s="338"/>
      <c r="SBP17" s="338"/>
      <c r="SBQ17" s="338"/>
      <c r="SBR17" s="338"/>
      <c r="SBS17" s="338"/>
      <c r="SBT17" s="338"/>
      <c r="SBU17" s="338"/>
      <c r="SBV17" s="338"/>
      <c r="SBW17" s="338"/>
      <c r="SBX17" s="338"/>
      <c r="SBY17" s="338"/>
      <c r="SBZ17" s="338"/>
      <c r="SCA17" s="338"/>
      <c r="SCB17" s="338"/>
      <c r="SCC17" s="338"/>
      <c r="SCD17" s="338"/>
      <c r="SCE17" s="338"/>
      <c r="SCF17" s="338"/>
      <c r="SCG17" s="338"/>
      <c r="SCH17" s="338"/>
      <c r="SCI17" s="338"/>
      <c r="SCJ17" s="338"/>
      <c r="SCK17" s="338"/>
      <c r="SCL17" s="338"/>
      <c r="SCM17" s="338"/>
      <c r="SCN17" s="338"/>
      <c r="SCO17" s="338"/>
      <c r="SCP17" s="338"/>
      <c r="SCQ17" s="338"/>
      <c r="SCR17" s="338"/>
      <c r="SCS17" s="338"/>
      <c r="SCT17" s="338"/>
      <c r="SCU17" s="338"/>
      <c r="SCV17" s="338"/>
      <c r="SCW17" s="338"/>
      <c r="SCX17" s="338"/>
      <c r="SCY17" s="338"/>
      <c r="SCZ17" s="338"/>
      <c r="SDA17" s="338"/>
      <c r="SDB17" s="338"/>
      <c r="SDC17" s="338"/>
      <c r="SDD17" s="338"/>
      <c r="SDE17" s="338"/>
      <c r="SDF17" s="338"/>
      <c r="SDG17" s="338"/>
      <c r="SDH17" s="338"/>
      <c r="SDI17" s="338"/>
      <c r="SDJ17" s="338"/>
      <c r="SDK17" s="338"/>
      <c r="SDL17" s="338"/>
      <c r="SDM17" s="338"/>
      <c r="SDN17" s="338"/>
      <c r="SDO17" s="338"/>
      <c r="SDP17" s="338"/>
      <c r="SDQ17" s="338"/>
      <c r="SDR17" s="338"/>
      <c r="SDS17" s="338"/>
      <c r="SDT17" s="338"/>
      <c r="SDU17" s="338"/>
      <c r="SDV17" s="338"/>
      <c r="SDW17" s="338"/>
      <c r="SDX17" s="338"/>
      <c r="SDY17" s="338"/>
      <c r="SDZ17" s="338"/>
      <c r="SEA17" s="338"/>
      <c r="SEB17" s="338"/>
      <c r="SEC17" s="338"/>
      <c r="SED17" s="338"/>
      <c r="SEE17" s="338"/>
      <c r="SEF17" s="338"/>
      <c r="SEG17" s="338"/>
      <c r="SEH17" s="338"/>
      <c r="SEI17" s="338"/>
      <c r="SEJ17" s="338"/>
      <c r="SEK17" s="338"/>
      <c r="SEL17" s="338"/>
      <c r="SEM17" s="338"/>
      <c r="SEN17" s="338"/>
      <c r="SEO17" s="338"/>
      <c r="SEP17" s="338"/>
      <c r="SEQ17" s="338"/>
      <c r="SER17" s="338"/>
      <c r="SES17" s="338"/>
      <c r="SET17" s="338"/>
      <c r="SEU17" s="338"/>
      <c r="SEV17" s="338"/>
      <c r="SEW17" s="338"/>
      <c r="SEX17" s="338"/>
      <c r="SEY17" s="338"/>
      <c r="SEZ17" s="338"/>
      <c r="SFA17" s="338"/>
      <c r="SFB17" s="338"/>
      <c r="SFC17" s="338"/>
      <c r="SFD17" s="338"/>
      <c r="SFE17" s="338"/>
      <c r="SFF17" s="338"/>
      <c r="SFG17" s="338"/>
      <c r="SFH17" s="338"/>
      <c r="SFI17" s="338"/>
      <c r="SFJ17" s="338"/>
      <c r="SFK17" s="338"/>
      <c r="SFL17" s="338"/>
      <c r="SFM17" s="338"/>
      <c r="SFN17" s="338"/>
      <c r="SFO17" s="338"/>
      <c r="SFP17" s="338"/>
      <c r="SFQ17" s="338"/>
      <c r="SFR17" s="338"/>
      <c r="SFS17" s="338"/>
      <c r="SFT17" s="338"/>
      <c r="SFU17" s="338"/>
      <c r="SFV17" s="338"/>
      <c r="SFW17" s="338"/>
      <c r="SFX17" s="338"/>
      <c r="SFY17" s="338"/>
      <c r="SFZ17" s="338"/>
      <c r="SGA17" s="338"/>
      <c r="SGB17" s="338"/>
      <c r="SGC17" s="338"/>
      <c r="SGD17" s="338"/>
      <c r="SGE17" s="338"/>
      <c r="SGF17" s="338"/>
      <c r="SGG17" s="338"/>
      <c r="SGH17" s="338"/>
      <c r="SGI17" s="338"/>
      <c r="SGJ17" s="338"/>
      <c r="SGK17" s="338"/>
      <c r="SGL17" s="338"/>
      <c r="SGM17" s="338"/>
      <c r="SGN17" s="338"/>
      <c r="SGO17" s="338"/>
      <c r="SGP17" s="338"/>
      <c r="SGQ17" s="338"/>
      <c r="SGR17" s="338"/>
      <c r="SGS17" s="338"/>
      <c r="SGT17" s="338"/>
      <c r="SGU17" s="338"/>
      <c r="SGV17" s="338"/>
      <c r="SGW17" s="338"/>
      <c r="SGX17" s="338"/>
      <c r="SGY17" s="338"/>
      <c r="SGZ17" s="338"/>
      <c r="SHA17" s="338"/>
      <c r="SHB17" s="338"/>
      <c r="SHC17" s="338"/>
      <c r="SHD17" s="338"/>
      <c r="SHE17" s="338"/>
      <c r="SHF17" s="338"/>
      <c r="SHG17" s="338"/>
      <c r="SHH17" s="338"/>
      <c r="SHI17" s="338"/>
      <c r="SHJ17" s="338"/>
      <c r="SHK17" s="338"/>
      <c r="SHL17" s="338"/>
      <c r="SHM17" s="338"/>
      <c r="SHN17" s="338"/>
      <c r="SHO17" s="338"/>
      <c r="SHP17" s="338"/>
      <c r="SHQ17" s="338"/>
      <c r="SHR17" s="338"/>
      <c r="SHS17" s="338"/>
      <c r="SHT17" s="338"/>
      <c r="SHU17" s="338"/>
      <c r="SHV17" s="338"/>
      <c r="SHW17" s="338"/>
      <c r="SHX17" s="338"/>
      <c r="SHY17" s="338"/>
      <c r="SHZ17" s="338"/>
      <c r="SIA17" s="338"/>
      <c r="SIB17" s="338"/>
      <c r="SIC17" s="338"/>
      <c r="SID17" s="338"/>
      <c r="SIE17" s="338"/>
      <c r="SIF17" s="338"/>
      <c r="SIG17" s="338"/>
      <c r="SIH17" s="338"/>
      <c r="SII17" s="338"/>
      <c r="SIJ17" s="338"/>
      <c r="SIK17" s="338"/>
      <c r="SIL17" s="338"/>
      <c r="SIM17" s="338"/>
      <c r="SIN17" s="338"/>
      <c r="SIO17" s="338"/>
      <c r="SIP17" s="338"/>
      <c r="SIQ17" s="338"/>
      <c r="SIR17" s="338"/>
      <c r="SIS17" s="338"/>
      <c r="SIT17" s="338"/>
      <c r="SIU17" s="338"/>
      <c r="SIV17" s="338"/>
      <c r="SIW17" s="338"/>
      <c r="SIX17" s="338"/>
      <c r="SIY17" s="338"/>
      <c r="SIZ17" s="338"/>
      <c r="SJA17" s="338"/>
      <c r="SJB17" s="338"/>
      <c r="SJC17" s="338"/>
      <c r="SJD17" s="338"/>
      <c r="SJE17" s="338"/>
      <c r="SJF17" s="338"/>
      <c r="SJG17" s="338"/>
      <c r="SJH17" s="338"/>
      <c r="SJI17" s="338"/>
      <c r="SJJ17" s="338"/>
      <c r="SJK17" s="338"/>
      <c r="SJL17" s="338"/>
      <c r="SJM17" s="338"/>
      <c r="SJN17" s="338"/>
      <c r="SJO17" s="338"/>
      <c r="SJP17" s="338"/>
      <c r="SJQ17" s="338"/>
      <c r="SJR17" s="338"/>
      <c r="SJS17" s="338"/>
      <c r="SJT17" s="338"/>
      <c r="SJU17" s="338"/>
      <c r="SJV17" s="338"/>
      <c r="SJW17" s="338"/>
      <c r="SJX17" s="338"/>
      <c r="SJY17" s="338"/>
      <c r="SJZ17" s="338"/>
      <c r="SKA17" s="338"/>
      <c r="SKB17" s="338"/>
      <c r="SKC17" s="338"/>
      <c r="SKD17" s="338"/>
      <c r="SKE17" s="338"/>
      <c r="SKF17" s="338"/>
      <c r="SKG17" s="338"/>
      <c r="SKH17" s="338"/>
      <c r="SKI17" s="338"/>
      <c r="SKJ17" s="338"/>
      <c r="SKK17" s="338"/>
      <c r="SKL17" s="338"/>
      <c r="SKM17" s="338"/>
      <c r="SKN17" s="338"/>
      <c r="SKO17" s="338"/>
      <c r="SKP17" s="338"/>
      <c r="SKQ17" s="338"/>
      <c r="SKR17" s="338"/>
      <c r="SKS17" s="338"/>
      <c r="SKT17" s="338"/>
      <c r="SKU17" s="338"/>
      <c r="SKV17" s="338"/>
      <c r="SKW17" s="338"/>
      <c r="SKX17" s="338"/>
      <c r="SKY17" s="338"/>
      <c r="SKZ17" s="338"/>
      <c r="SLA17" s="338"/>
      <c r="SLB17" s="338"/>
      <c r="SLC17" s="338"/>
      <c r="SLD17" s="338"/>
      <c r="SLE17" s="338"/>
      <c r="SLF17" s="338"/>
      <c r="SLG17" s="338"/>
      <c r="SLH17" s="338"/>
      <c r="SLI17" s="338"/>
      <c r="SLJ17" s="338"/>
      <c r="SLK17" s="338"/>
      <c r="SLL17" s="338"/>
      <c r="SLM17" s="338"/>
      <c r="SLN17" s="338"/>
      <c r="SLO17" s="338"/>
      <c r="SLP17" s="338"/>
      <c r="SLQ17" s="338"/>
      <c r="SLR17" s="338"/>
      <c r="SLS17" s="338"/>
      <c r="SLT17" s="338"/>
      <c r="SLU17" s="338"/>
      <c r="SLV17" s="338"/>
      <c r="SLW17" s="338"/>
      <c r="SLX17" s="338"/>
      <c r="SLY17" s="338"/>
      <c r="SLZ17" s="338"/>
      <c r="SMA17" s="338"/>
      <c r="SMB17" s="338"/>
      <c r="SMC17" s="338"/>
      <c r="SMD17" s="338"/>
      <c r="SME17" s="338"/>
      <c r="SMF17" s="338"/>
      <c r="SMG17" s="338"/>
      <c r="SMH17" s="338"/>
      <c r="SMI17" s="338"/>
      <c r="SMJ17" s="338"/>
      <c r="SMK17" s="338"/>
      <c r="SML17" s="338"/>
      <c r="SMM17" s="338"/>
      <c r="SMN17" s="338"/>
      <c r="SMO17" s="338"/>
      <c r="SMP17" s="338"/>
      <c r="SMQ17" s="338"/>
      <c r="SMR17" s="338"/>
      <c r="SMS17" s="338"/>
      <c r="SMT17" s="338"/>
      <c r="SMU17" s="338"/>
      <c r="SMV17" s="338"/>
      <c r="SMW17" s="338"/>
      <c r="SMX17" s="338"/>
      <c r="SMY17" s="338"/>
      <c r="SMZ17" s="338"/>
      <c r="SNA17" s="338"/>
      <c r="SNB17" s="338"/>
      <c r="SNC17" s="338"/>
      <c r="SND17" s="338"/>
      <c r="SNE17" s="338"/>
      <c r="SNF17" s="338"/>
      <c r="SNG17" s="338"/>
      <c r="SNH17" s="338"/>
      <c r="SNI17" s="338"/>
      <c r="SNJ17" s="338"/>
      <c r="SNK17" s="338"/>
      <c r="SNL17" s="338"/>
      <c r="SNM17" s="338"/>
      <c r="SNN17" s="338"/>
      <c r="SNO17" s="338"/>
      <c r="SNP17" s="338"/>
      <c r="SNQ17" s="338"/>
      <c r="SNR17" s="338"/>
      <c r="SNS17" s="338"/>
      <c r="SNT17" s="338"/>
      <c r="SNU17" s="338"/>
      <c r="SNV17" s="338"/>
      <c r="SNW17" s="338"/>
      <c r="SNX17" s="338"/>
      <c r="SNY17" s="338"/>
      <c r="SNZ17" s="338"/>
      <c r="SOA17" s="338"/>
      <c r="SOB17" s="338"/>
      <c r="SOC17" s="338"/>
      <c r="SOD17" s="338"/>
      <c r="SOE17" s="338"/>
      <c r="SOF17" s="338"/>
      <c r="SOG17" s="338"/>
      <c r="SOH17" s="338"/>
      <c r="SOI17" s="338"/>
      <c r="SOJ17" s="338"/>
      <c r="SOK17" s="338"/>
      <c r="SOL17" s="338"/>
      <c r="SOM17" s="338"/>
      <c r="SON17" s="338"/>
      <c r="SOO17" s="338"/>
      <c r="SOP17" s="338"/>
      <c r="SOQ17" s="338"/>
      <c r="SOR17" s="338"/>
      <c r="SOS17" s="338"/>
      <c r="SOT17" s="338"/>
      <c r="SOU17" s="338"/>
      <c r="SOV17" s="338"/>
      <c r="SOW17" s="338"/>
      <c r="SOX17" s="338"/>
      <c r="SOY17" s="338"/>
      <c r="SOZ17" s="338"/>
      <c r="SPA17" s="338"/>
      <c r="SPB17" s="338"/>
      <c r="SPC17" s="338"/>
      <c r="SPD17" s="338"/>
      <c r="SPE17" s="338"/>
      <c r="SPF17" s="338"/>
      <c r="SPG17" s="338"/>
      <c r="SPH17" s="338"/>
      <c r="SPI17" s="338"/>
      <c r="SPJ17" s="338"/>
      <c r="SPK17" s="338"/>
      <c r="SPL17" s="338"/>
      <c r="SPM17" s="338"/>
      <c r="SPN17" s="338"/>
      <c r="SPO17" s="338"/>
      <c r="SPP17" s="338"/>
      <c r="SPQ17" s="338"/>
      <c r="SPR17" s="338"/>
      <c r="SPS17" s="338"/>
      <c r="SPT17" s="338"/>
      <c r="SPU17" s="338"/>
      <c r="SPV17" s="338"/>
      <c r="SPW17" s="338"/>
      <c r="SPX17" s="338"/>
      <c r="SPY17" s="338"/>
      <c r="SPZ17" s="338"/>
      <c r="SQA17" s="338"/>
      <c r="SQB17" s="338"/>
      <c r="SQC17" s="338"/>
      <c r="SQD17" s="338"/>
      <c r="SQE17" s="338"/>
      <c r="SQF17" s="338"/>
      <c r="SQG17" s="338"/>
      <c r="SQH17" s="338"/>
      <c r="SQI17" s="338"/>
      <c r="SQJ17" s="338"/>
      <c r="SQK17" s="338"/>
      <c r="SQL17" s="338"/>
      <c r="SQM17" s="338"/>
      <c r="SQN17" s="338"/>
      <c r="SQO17" s="338"/>
      <c r="SQP17" s="338"/>
      <c r="SQQ17" s="338"/>
      <c r="SQR17" s="338"/>
      <c r="SQS17" s="338"/>
      <c r="SQT17" s="338"/>
      <c r="SQU17" s="338"/>
      <c r="SQV17" s="338"/>
      <c r="SQW17" s="338"/>
      <c r="SQX17" s="338"/>
      <c r="SQY17" s="338"/>
      <c r="SQZ17" s="338"/>
      <c r="SRA17" s="338"/>
      <c r="SRB17" s="338"/>
      <c r="SRC17" s="338"/>
      <c r="SRD17" s="338"/>
      <c r="SRE17" s="338"/>
      <c r="SRF17" s="338"/>
      <c r="SRG17" s="338"/>
      <c r="SRH17" s="338"/>
      <c r="SRI17" s="338"/>
      <c r="SRJ17" s="338"/>
      <c r="SRK17" s="338"/>
      <c r="SRL17" s="338"/>
      <c r="SRM17" s="338"/>
      <c r="SRN17" s="338"/>
      <c r="SRO17" s="338"/>
      <c r="SRP17" s="338"/>
      <c r="SRQ17" s="338"/>
      <c r="SRR17" s="338"/>
      <c r="SRS17" s="338"/>
      <c r="SRT17" s="338"/>
      <c r="SRU17" s="338"/>
      <c r="SRV17" s="338"/>
      <c r="SRW17" s="338"/>
      <c r="SRX17" s="338"/>
      <c r="SRY17" s="338"/>
      <c r="SRZ17" s="338"/>
      <c r="SSA17" s="338"/>
      <c r="SSB17" s="338"/>
      <c r="SSC17" s="338"/>
      <c r="SSD17" s="338"/>
      <c r="SSE17" s="338"/>
      <c r="SSF17" s="338"/>
      <c r="SSG17" s="338"/>
      <c r="SSH17" s="338"/>
      <c r="SSI17" s="338"/>
      <c r="SSJ17" s="338"/>
      <c r="SSK17" s="338"/>
      <c r="SSL17" s="338"/>
      <c r="SSM17" s="338"/>
      <c r="SSN17" s="338"/>
      <c r="SSO17" s="338"/>
      <c r="SSP17" s="338"/>
      <c r="SSQ17" s="338"/>
      <c r="SSR17" s="338"/>
      <c r="SSS17" s="338"/>
      <c r="SST17" s="338"/>
      <c r="SSU17" s="338"/>
      <c r="SSV17" s="338"/>
      <c r="SSW17" s="338"/>
      <c r="SSX17" s="338"/>
      <c r="SSY17" s="338"/>
      <c r="SSZ17" s="338"/>
      <c r="STA17" s="338"/>
      <c r="STB17" s="338"/>
      <c r="STC17" s="338"/>
      <c r="STD17" s="338"/>
      <c r="STE17" s="338"/>
      <c r="STF17" s="338"/>
      <c r="STG17" s="338"/>
      <c r="STH17" s="338"/>
      <c r="STI17" s="338"/>
      <c r="STJ17" s="338"/>
      <c r="STK17" s="338"/>
      <c r="STL17" s="338"/>
      <c r="STM17" s="338"/>
      <c r="STN17" s="338"/>
      <c r="STO17" s="338"/>
      <c r="STP17" s="338"/>
      <c r="STQ17" s="338"/>
      <c r="STR17" s="338"/>
      <c r="STS17" s="338"/>
      <c r="STT17" s="338"/>
      <c r="STU17" s="338"/>
      <c r="STV17" s="338"/>
      <c r="STW17" s="338"/>
      <c r="STX17" s="338"/>
      <c r="STY17" s="338"/>
      <c r="STZ17" s="338"/>
      <c r="SUA17" s="338"/>
      <c r="SUB17" s="338"/>
      <c r="SUC17" s="338"/>
      <c r="SUD17" s="338"/>
      <c r="SUE17" s="338"/>
      <c r="SUF17" s="338"/>
      <c r="SUG17" s="338"/>
      <c r="SUH17" s="338"/>
      <c r="SUI17" s="338"/>
      <c r="SUJ17" s="338"/>
      <c r="SUK17" s="338"/>
      <c r="SUL17" s="338"/>
      <c r="SUM17" s="338"/>
      <c r="SUN17" s="338"/>
      <c r="SUO17" s="338"/>
      <c r="SUP17" s="338"/>
      <c r="SUQ17" s="338"/>
      <c r="SUR17" s="338"/>
      <c r="SUS17" s="338"/>
      <c r="SUT17" s="338"/>
      <c r="SUU17" s="338"/>
      <c r="SUV17" s="338"/>
      <c r="SUW17" s="338"/>
      <c r="SUX17" s="338"/>
      <c r="SUY17" s="338"/>
      <c r="SUZ17" s="338"/>
      <c r="SVA17" s="338"/>
      <c r="SVB17" s="338"/>
      <c r="SVC17" s="338"/>
      <c r="SVD17" s="338"/>
      <c r="SVE17" s="338"/>
      <c r="SVF17" s="338"/>
      <c r="SVG17" s="338"/>
      <c r="SVH17" s="338"/>
      <c r="SVI17" s="338"/>
      <c r="SVJ17" s="338"/>
      <c r="SVK17" s="338"/>
      <c r="SVL17" s="338"/>
      <c r="SVM17" s="338"/>
      <c r="SVN17" s="338"/>
      <c r="SVO17" s="338"/>
      <c r="SVP17" s="338"/>
      <c r="SVQ17" s="338"/>
      <c r="SVR17" s="338"/>
      <c r="SVS17" s="338"/>
      <c r="SVT17" s="338"/>
      <c r="SVU17" s="338"/>
      <c r="SVV17" s="338"/>
      <c r="SVW17" s="338"/>
      <c r="SVX17" s="338"/>
      <c r="SVY17" s="338"/>
      <c r="SVZ17" s="338"/>
      <c r="SWA17" s="338"/>
      <c r="SWB17" s="338"/>
      <c r="SWC17" s="338"/>
      <c r="SWD17" s="338"/>
      <c r="SWE17" s="338"/>
      <c r="SWF17" s="338"/>
      <c r="SWG17" s="338"/>
      <c r="SWH17" s="338"/>
      <c r="SWI17" s="338"/>
      <c r="SWJ17" s="338"/>
      <c r="SWK17" s="338"/>
      <c r="SWL17" s="338"/>
      <c r="SWM17" s="338"/>
      <c r="SWN17" s="338"/>
      <c r="SWO17" s="338"/>
      <c r="SWP17" s="338"/>
      <c r="SWQ17" s="338"/>
      <c r="SWR17" s="338"/>
      <c r="SWS17" s="338"/>
      <c r="SWT17" s="338"/>
      <c r="SWU17" s="338"/>
      <c r="SWV17" s="338"/>
      <c r="SWW17" s="338"/>
      <c r="SWX17" s="338"/>
      <c r="SWY17" s="338"/>
      <c r="SWZ17" s="338"/>
      <c r="SXA17" s="338"/>
      <c r="SXB17" s="338"/>
      <c r="SXC17" s="338"/>
      <c r="SXD17" s="338"/>
      <c r="SXE17" s="338"/>
      <c r="SXF17" s="338"/>
      <c r="SXG17" s="338"/>
      <c r="SXH17" s="338"/>
      <c r="SXI17" s="338"/>
      <c r="SXJ17" s="338"/>
      <c r="SXK17" s="338"/>
      <c r="SXL17" s="338"/>
      <c r="SXM17" s="338"/>
      <c r="SXN17" s="338"/>
      <c r="SXO17" s="338"/>
      <c r="SXP17" s="338"/>
      <c r="SXQ17" s="338"/>
      <c r="SXR17" s="338"/>
      <c r="SXS17" s="338"/>
      <c r="SXT17" s="338"/>
      <c r="SXU17" s="338"/>
      <c r="SXV17" s="338"/>
      <c r="SXW17" s="338"/>
      <c r="SXX17" s="338"/>
      <c r="SXY17" s="338"/>
      <c r="SXZ17" s="338"/>
      <c r="SYA17" s="338"/>
      <c r="SYB17" s="338"/>
      <c r="SYC17" s="338"/>
      <c r="SYD17" s="338"/>
      <c r="SYE17" s="338"/>
      <c r="SYF17" s="338"/>
      <c r="SYG17" s="338"/>
      <c r="SYH17" s="338"/>
      <c r="SYI17" s="338"/>
      <c r="SYJ17" s="338"/>
      <c r="SYK17" s="338"/>
      <c r="SYL17" s="338"/>
      <c r="SYM17" s="338"/>
      <c r="SYN17" s="338"/>
      <c r="SYO17" s="338"/>
      <c r="SYP17" s="338"/>
      <c r="SYQ17" s="338"/>
      <c r="SYR17" s="338"/>
      <c r="SYS17" s="338"/>
      <c r="SYT17" s="338"/>
      <c r="SYU17" s="338"/>
      <c r="SYV17" s="338"/>
      <c r="SYW17" s="338"/>
      <c r="SYX17" s="338"/>
      <c r="SYY17" s="338"/>
      <c r="SYZ17" s="338"/>
      <c r="SZA17" s="338"/>
      <c r="SZB17" s="338"/>
      <c r="SZC17" s="338"/>
      <c r="SZD17" s="338"/>
      <c r="SZE17" s="338"/>
      <c r="SZF17" s="338"/>
      <c r="SZG17" s="338"/>
      <c r="SZH17" s="338"/>
      <c r="SZI17" s="338"/>
      <c r="SZJ17" s="338"/>
      <c r="SZK17" s="338"/>
      <c r="SZL17" s="338"/>
      <c r="SZM17" s="338"/>
      <c r="SZN17" s="338"/>
      <c r="SZO17" s="338"/>
      <c r="SZP17" s="338"/>
      <c r="SZQ17" s="338"/>
      <c r="SZR17" s="338"/>
      <c r="SZS17" s="338"/>
      <c r="SZT17" s="338"/>
      <c r="SZU17" s="338"/>
      <c r="SZV17" s="338"/>
      <c r="SZW17" s="338"/>
      <c r="SZX17" s="338"/>
      <c r="SZY17" s="338"/>
      <c r="SZZ17" s="338"/>
      <c r="TAA17" s="338"/>
      <c r="TAB17" s="338"/>
      <c r="TAC17" s="338"/>
      <c r="TAD17" s="338"/>
      <c r="TAE17" s="338"/>
      <c r="TAF17" s="338"/>
      <c r="TAG17" s="338"/>
      <c r="TAH17" s="338"/>
      <c r="TAI17" s="338"/>
      <c r="TAJ17" s="338"/>
      <c r="TAK17" s="338"/>
      <c r="TAL17" s="338"/>
      <c r="TAM17" s="338"/>
      <c r="TAN17" s="338"/>
      <c r="TAO17" s="338"/>
      <c r="TAP17" s="338"/>
      <c r="TAQ17" s="338"/>
      <c r="TAR17" s="338"/>
      <c r="TAS17" s="338"/>
      <c r="TAT17" s="338"/>
      <c r="TAU17" s="338"/>
      <c r="TAV17" s="338"/>
      <c r="TAW17" s="338"/>
      <c r="TAX17" s="338"/>
      <c r="TAY17" s="338"/>
      <c r="TAZ17" s="338"/>
      <c r="TBA17" s="338"/>
      <c r="TBB17" s="338"/>
      <c r="TBC17" s="338"/>
      <c r="TBD17" s="338"/>
      <c r="TBE17" s="338"/>
      <c r="TBF17" s="338"/>
      <c r="TBG17" s="338"/>
      <c r="TBH17" s="338"/>
      <c r="TBI17" s="338"/>
      <c r="TBJ17" s="338"/>
      <c r="TBK17" s="338"/>
      <c r="TBL17" s="338"/>
      <c r="TBM17" s="338"/>
      <c r="TBN17" s="338"/>
      <c r="TBO17" s="338"/>
      <c r="TBP17" s="338"/>
      <c r="TBQ17" s="338"/>
      <c r="TBR17" s="338"/>
      <c r="TBS17" s="338"/>
      <c r="TBT17" s="338"/>
      <c r="TBU17" s="338"/>
      <c r="TBV17" s="338"/>
      <c r="TBW17" s="338"/>
      <c r="TBX17" s="338"/>
      <c r="TBY17" s="338"/>
      <c r="TBZ17" s="338"/>
      <c r="TCA17" s="338"/>
      <c r="TCB17" s="338"/>
      <c r="TCC17" s="338"/>
      <c r="TCD17" s="338"/>
      <c r="TCE17" s="338"/>
      <c r="TCF17" s="338"/>
      <c r="TCG17" s="338"/>
      <c r="TCH17" s="338"/>
      <c r="TCI17" s="338"/>
      <c r="TCJ17" s="338"/>
      <c r="TCK17" s="338"/>
      <c r="TCL17" s="338"/>
      <c r="TCM17" s="338"/>
      <c r="TCN17" s="338"/>
      <c r="TCO17" s="338"/>
      <c r="TCP17" s="338"/>
      <c r="TCQ17" s="338"/>
      <c r="TCR17" s="338"/>
      <c r="TCS17" s="338"/>
      <c r="TCT17" s="338"/>
      <c r="TCU17" s="338"/>
      <c r="TCV17" s="338"/>
      <c r="TCW17" s="338"/>
      <c r="TCX17" s="338"/>
      <c r="TCY17" s="338"/>
      <c r="TCZ17" s="338"/>
      <c r="TDA17" s="338"/>
      <c r="TDB17" s="338"/>
      <c r="TDC17" s="338"/>
      <c r="TDD17" s="338"/>
      <c r="TDE17" s="338"/>
      <c r="TDF17" s="338"/>
      <c r="TDG17" s="338"/>
      <c r="TDH17" s="338"/>
      <c r="TDI17" s="338"/>
      <c r="TDJ17" s="338"/>
      <c r="TDK17" s="338"/>
      <c r="TDL17" s="338"/>
      <c r="TDM17" s="338"/>
      <c r="TDN17" s="338"/>
      <c r="TDO17" s="338"/>
      <c r="TDP17" s="338"/>
      <c r="TDQ17" s="338"/>
      <c r="TDR17" s="338"/>
      <c r="TDS17" s="338"/>
      <c r="TDT17" s="338"/>
      <c r="TDU17" s="338"/>
      <c r="TDV17" s="338"/>
      <c r="TDW17" s="338"/>
      <c r="TDX17" s="338"/>
      <c r="TDY17" s="338"/>
      <c r="TDZ17" s="338"/>
      <c r="TEA17" s="338"/>
      <c r="TEB17" s="338"/>
      <c r="TEC17" s="338"/>
      <c r="TED17" s="338"/>
      <c r="TEE17" s="338"/>
      <c r="TEF17" s="338"/>
      <c r="TEG17" s="338"/>
      <c r="TEH17" s="338"/>
      <c r="TEI17" s="338"/>
      <c r="TEJ17" s="338"/>
      <c r="TEK17" s="338"/>
      <c r="TEL17" s="338"/>
      <c r="TEM17" s="338"/>
      <c r="TEN17" s="338"/>
      <c r="TEO17" s="338"/>
      <c r="TEP17" s="338"/>
      <c r="TEQ17" s="338"/>
      <c r="TER17" s="338"/>
      <c r="TES17" s="338"/>
      <c r="TET17" s="338"/>
      <c r="TEU17" s="338"/>
      <c r="TEV17" s="338"/>
      <c r="TEW17" s="338"/>
      <c r="TEX17" s="338"/>
      <c r="TEY17" s="338"/>
      <c r="TEZ17" s="338"/>
      <c r="TFA17" s="338"/>
      <c r="TFB17" s="338"/>
      <c r="TFC17" s="338"/>
      <c r="TFD17" s="338"/>
      <c r="TFE17" s="338"/>
      <c r="TFF17" s="338"/>
      <c r="TFG17" s="338"/>
      <c r="TFH17" s="338"/>
      <c r="TFI17" s="338"/>
      <c r="TFJ17" s="338"/>
      <c r="TFK17" s="338"/>
      <c r="TFL17" s="338"/>
      <c r="TFM17" s="338"/>
      <c r="TFN17" s="338"/>
      <c r="TFO17" s="338"/>
      <c r="TFP17" s="338"/>
      <c r="TFQ17" s="338"/>
      <c r="TFR17" s="338"/>
      <c r="TFS17" s="338"/>
      <c r="TFT17" s="338"/>
      <c r="TFU17" s="338"/>
      <c r="TFV17" s="338"/>
      <c r="TFW17" s="338"/>
      <c r="TFX17" s="338"/>
      <c r="TFY17" s="338"/>
      <c r="TFZ17" s="338"/>
      <c r="TGA17" s="338"/>
      <c r="TGB17" s="338"/>
      <c r="TGC17" s="338"/>
      <c r="TGD17" s="338"/>
      <c r="TGE17" s="338"/>
      <c r="TGF17" s="338"/>
      <c r="TGG17" s="338"/>
      <c r="TGH17" s="338"/>
      <c r="TGI17" s="338"/>
      <c r="TGJ17" s="338"/>
      <c r="TGK17" s="338"/>
      <c r="TGL17" s="338"/>
      <c r="TGM17" s="338"/>
      <c r="TGN17" s="338"/>
      <c r="TGO17" s="338"/>
      <c r="TGP17" s="338"/>
      <c r="TGQ17" s="338"/>
      <c r="TGR17" s="338"/>
      <c r="TGS17" s="338"/>
      <c r="TGT17" s="338"/>
      <c r="TGU17" s="338"/>
      <c r="TGV17" s="338"/>
      <c r="TGW17" s="338"/>
      <c r="TGX17" s="338"/>
      <c r="TGY17" s="338"/>
      <c r="TGZ17" s="338"/>
      <c r="THA17" s="338"/>
      <c r="THB17" s="338"/>
      <c r="THC17" s="338"/>
      <c r="THD17" s="338"/>
      <c r="THE17" s="338"/>
      <c r="THF17" s="338"/>
      <c r="THG17" s="338"/>
      <c r="THH17" s="338"/>
      <c r="THI17" s="338"/>
      <c r="THJ17" s="338"/>
      <c r="THK17" s="338"/>
      <c r="THL17" s="338"/>
      <c r="THM17" s="338"/>
      <c r="THN17" s="338"/>
      <c r="THO17" s="338"/>
      <c r="THP17" s="338"/>
      <c r="THQ17" s="338"/>
      <c r="THR17" s="338"/>
      <c r="THS17" s="338"/>
      <c r="THT17" s="338"/>
      <c r="THU17" s="338"/>
      <c r="THV17" s="338"/>
      <c r="THW17" s="338"/>
      <c r="THX17" s="338"/>
      <c r="THY17" s="338"/>
      <c r="THZ17" s="338"/>
      <c r="TIA17" s="338"/>
      <c r="TIB17" s="338"/>
      <c r="TIC17" s="338"/>
      <c r="TID17" s="338"/>
      <c r="TIE17" s="338"/>
      <c r="TIF17" s="338"/>
      <c r="TIG17" s="338"/>
      <c r="TIH17" s="338"/>
      <c r="TII17" s="338"/>
      <c r="TIJ17" s="338"/>
      <c r="TIK17" s="338"/>
      <c r="TIL17" s="338"/>
      <c r="TIM17" s="338"/>
      <c r="TIN17" s="338"/>
      <c r="TIO17" s="338"/>
      <c r="TIP17" s="338"/>
      <c r="TIQ17" s="338"/>
      <c r="TIR17" s="338"/>
      <c r="TIS17" s="338"/>
      <c r="TIT17" s="338"/>
      <c r="TIU17" s="338"/>
      <c r="TIV17" s="338"/>
      <c r="TIW17" s="338"/>
      <c r="TIX17" s="338"/>
      <c r="TIY17" s="338"/>
      <c r="TIZ17" s="338"/>
      <c r="TJA17" s="338"/>
      <c r="TJB17" s="338"/>
      <c r="TJC17" s="338"/>
      <c r="TJD17" s="338"/>
      <c r="TJE17" s="338"/>
      <c r="TJF17" s="338"/>
      <c r="TJG17" s="338"/>
      <c r="TJH17" s="338"/>
      <c r="TJI17" s="338"/>
      <c r="TJJ17" s="338"/>
      <c r="TJK17" s="338"/>
      <c r="TJL17" s="338"/>
      <c r="TJM17" s="338"/>
      <c r="TJN17" s="338"/>
      <c r="TJO17" s="338"/>
      <c r="TJP17" s="338"/>
      <c r="TJQ17" s="338"/>
      <c r="TJR17" s="338"/>
      <c r="TJS17" s="338"/>
      <c r="TJT17" s="338"/>
      <c r="TJU17" s="338"/>
      <c r="TJV17" s="338"/>
      <c r="TJW17" s="338"/>
      <c r="TJX17" s="338"/>
      <c r="TJY17" s="338"/>
      <c r="TJZ17" s="338"/>
      <c r="TKA17" s="338"/>
      <c r="TKB17" s="338"/>
      <c r="TKC17" s="338"/>
      <c r="TKD17" s="338"/>
      <c r="TKE17" s="338"/>
      <c r="TKF17" s="338"/>
      <c r="TKG17" s="338"/>
      <c r="TKH17" s="338"/>
      <c r="TKI17" s="338"/>
      <c r="TKJ17" s="338"/>
      <c r="TKK17" s="338"/>
      <c r="TKL17" s="338"/>
      <c r="TKM17" s="338"/>
      <c r="TKN17" s="338"/>
      <c r="TKO17" s="338"/>
      <c r="TKP17" s="338"/>
      <c r="TKQ17" s="338"/>
      <c r="TKR17" s="338"/>
      <c r="TKS17" s="338"/>
      <c r="TKT17" s="338"/>
      <c r="TKU17" s="338"/>
      <c r="TKV17" s="338"/>
      <c r="TKW17" s="338"/>
      <c r="TKX17" s="338"/>
      <c r="TKY17" s="338"/>
      <c r="TKZ17" s="338"/>
      <c r="TLA17" s="338"/>
      <c r="TLB17" s="338"/>
      <c r="TLC17" s="338"/>
      <c r="TLD17" s="338"/>
      <c r="TLE17" s="338"/>
      <c r="TLF17" s="338"/>
      <c r="TLG17" s="338"/>
      <c r="TLH17" s="338"/>
      <c r="TLI17" s="338"/>
      <c r="TLJ17" s="338"/>
      <c r="TLK17" s="338"/>
      <c r="TLL17" s="338"/>
      <c r="TLM17" s="338"/>
      <c r="TLN17" s="338"/>
      <c r="TLO17" s="338"/>
      <c r="TLP17" s="338"/>
      <c r="TLQ17" s="338"/>
      <c r="TLR17" s="338"/>
      <c r="TLS17" s="338"/>
      <c r="TLT17" s="338"/>
      <c r="TLU17" s="338"/>
      <c r="TLV17" s="338"/>
      <c r="TLW17" s="338"/>
      <c r="TLX17" s="338"/>
      <c r="TLY17" s="338"/>
      <c r="TLZ17" s="338"/>
      <c r="TMA17" s="338"/>
      <c r="TMB17" s="338"/>
      <c r="TMC17" s="338"/>
      <c r="TMD17" s="338"/>
      <c r="TME17" s="338"/>
      <c r="TMF17" s="338"/>
      <c r="TMG17" s="338"/>
      <c r="TMH17" s="338"/>
      <c r="TMI17" s="338"/>
      <c r="TMJ17" s="338"/>
      <c r="TMK17" s="338"/>
      <c r="TML17" s="338"/>
      <c r="TMM17" s="338"/>
      <c r="TMN17" s="338"/>
      <c r="TMO17" s="338"/>
      <c r="TMP17" s="338"/>
      <c r="TMQ17" s="338"/>
      <c r="TMR17" s="338"/>
      <c r="TMS17" s="338"/>
      <c r="TMT17" s="338"/>
      <c r="TMU17" s="338"/>
      <c r="TMV17" s="338"/>
      <c r="TMW17" s="338"/>
      <c r="TMX17" s="338"/>
      <c r="TMY17" s="338"/>
      <c r="TMZ17" s="338"/>
      <c r="TNA17" s="338"/>
      <c r="TNB17" s="338"/>
      <c r="TNC17" s="338"/>
      <c r="TND17" s="338"/>
      <c r="TNE17" s="338"/>
      <c r="TNF17" s="338"/>
      <c r="TNG17" s="338"/>
      <c r="TNH17" s="338"/>
      <c r="TNI17" s="338"/>
      <c r="TNJ17" s="338"/>
      <c r="TNK17" s="338"/>
      <c r="TNL17" s="338"/>
      <c r="TNM17" s="338"/>
      <c r="TNN17" s="338"/>
      <c r="TNO17" s="338"/>
      <c r="TNP17" s="338"/>
      <c r="TNQ17" s="338"/>
      <c r="TNR17" s="338"/>
      <c r="TNS17" s="338"/>
      <c r="TNT17" s="338"/>
      <c r="TNU17" s="338"/>
      <c r="TNV17" s="338"/>
      <c r="TNW17" s="338"/>
      <c r="TNX17" s="338"/>
      <c r="TNY17" s="338"/>
      <c r="TNZ17" s="338"/>
      <c r="TOA17" s="338"/>
      <c r="TOB17" s="338"/>
      <c r="TOC17" s="338"/>
      <c r="TOD17" s="338"/>
      <c r="TOE17" s="338"/>
      <c r="TOF17" s="338"/>
      <c r="TOG17" s="338"/>
      <c r="TOH17" s="338"/>
      <c r="TOI17" s="338"/>
      <c r="TOJ17" s="338"/>
      <c r="TOK17" s="338"/>
      <c r="TOL17" s="338"/>
      <c r="TOM17" s="338"/>
      <c r="TON17" s="338"/>
      <c r="TOO17" s="338"/>
      <c r="TOP17" s="338"/>
      <c r="TOQ17" s="338"/>
      <c r="TOR17" s="338"/>
      <c r="TOS17" s="338"/>
      <c r="TOT17" s="338"/>
      <c r="TOU17" s="338"/>
      <c r="TOV17" s="338"/>
      <c r="TOW17" s="338"/>
      <c r="TOX17" s="338"/>
      <c r="TOY17" s="338"/>
      <c r="TOZ17" s="338"/>
      <c r="TPA17" s="338"/>
      <c r="TPB17" s="338"/>
      <c r="TPC17" s="338"/>
      <c r="TPD17" s="338"/>
      <c r="TPE17" s="338"/>
      <c r="TPF17" s="338"/>
      <c r="TPG17" s="338"/>
      <c r="TPH17" s="338"/>
      <c r="TPI17" s="338"/>
      <c r="TPJ17" s="338"/>
      <c r="TPK17" s="338"/>
      <c r="TPL17" s="338"/>
      <c r="TPM17" s="338"/>
      <c r="TPN17" s="338"/>
      <c r="TPO17" s="338"/>
      <c r="TPP17" s="338"/>
      <c r="TPQ17" s="338"/>
      <c r="TPR17" s="338"/>
      <c r="TPS17" s="338"/>
      <c r="TPT17" s="338"/>
      <c r="TPU17" s="338"/>
      <c r="TPV17" s="338"/>
      <c r="TPW17" s="338"/>
      <c r="TPX17" s="338"/>
      <c r="TPY17" s="338"/>
      <c r="TPZ17" s="338"/>
      <c r="TQA17" s="338"/>
      <c r="TQB17" s="338"/>
      <c r="TQC17" s="338"/>
      <c r="TQD17" s="338"/>
      <c r="TQE17" s="338"/>
      <c r="TQF17" s="338"/>
      <c r="TQG17" s="338"/>
      <c r="TQH17" s="338"/>
      <c r="TQI17" s="338"/>
      <c r="TQJ17" s="338"/>
      <c r="TQK17" s="338"/>
      <c r="TQL17" s="338"/>
      <c r="TQM17" s="338"/>
      <c r="TQN17" s="338"/>
      <c r="TQO17" s="338"/>
      <c r="TQP17" s="338"/>
      <c r="TQQ17" s="338"/>
      <c r="TQR17" s="338"/>
      <c r="TQS17" s="338"/>
      <c r="TQT17" s="338"/>
      <c r="TQU17" s="338"/>
      <c r="TQV17" s="338"/>
      <c r="TQW17" s="338"/>
      <c r="TQX17" s="338"/>
      <c r="TQY17" s="338"/>
      <c r="TQZ17" s="338"/>
      <c r="TRA17" s="338"/>
      <c r="TRB17" s="338"/>
      <c r="TRC17" s="338"/>
      <c r="TRD17" s="338"/>
      <c r="TRE17" s="338"/>
      <c r="TRF17" s="338"/>
      <c r="TRG17" s="338"/>
      <c r="TRH17" s="338"/>
      <c r="TRI17" s="338"/>
      <c r="TRJ17" s="338"/>
      <c r="TRK17" s="338"/>
      <c r="TRL17" s="338"/>
      <c r="TRM17" s="338"/>
      <c r="TRN17" s="338"/>
      <c r="TRO17" s="338"/>
      <c r="TRP17" s="338"/>
      <c r="TRQ17" s="338"/>
      <c r="TRR17" s="338"/>
      <c r="TRS17" s="338"/>
      <c r="TRT17" s="338"/>
      <c r="TRU17" s="338"/>
      <c r="TRV17" s="338"/>
      <c r="TRW17" s="338"/>
      <c r="TRX17" s="338"/>
      <c r="TRY17" s="338"/>
      <c r="TRZ17" s="338"/>
      <c r="TSA17" s="338"/>
      <c r="TSB17" s="338"/>
      <c r="TSC17" s="338"/>
      <c r="TSD17" s="338"/>
      <c r="TSE17" s="338"/>
      <c r="TSF17" s="338"/>
      <c r="TSG17" s="338"/>
      <c r="TSH17" s="338"/>
      <c r="TSI17" s="338"/>
      <c r="TSJ17" s="338"/>
      <c r="TSK17" s="338"/>
      <c r="TSL17" s="338"/>
      <c r="TSM17" s="338"/>
      <c r="TSN17" s="338"/>
      <c r="TSO17" s="338"/>
      <c r="TSP17" s="338"/>
      <c r="TSQ17" s="338"/>
      <c r="TSR17" s="338"/>
      <c r="TSS17" s="338"/>
      <c r="TST17" s="338"/>
      <c r="TSU17" s="338"/>
      <c r="TSV17" s="338"/>
      <c r="TSW17" s="338"/>
      <c r="TSX17" s="338"/>
      <c r="TSY17" s="338"/>
      <c r="TSZ17" s="338"/>
      <c r="TTA17" s="338"/>
      <c r="TTB17" s="338"/>
      <c r="TTC17" s="338"/>
      <c r="TTD17" s="338"/>
      <c r="TTE17" s="338"/>
      <c r="TTF17" s="338"/>
      <c r="TTG17" s="338"/>
      <c r="TTH17" s="338"/>
      <c r="TTI17" s="338"/>
      <c r="TTJ17" s="338"/>
      <c r="TTK17" s="338"/>
      <c r="TTL17" s="338"/>
      <c r="TTM17" s="338"/>
      <c r="TTN17" s="338"/>
      <c r="TTO17" s="338"/>
      <c r="TTP17" s="338"/>
      <c r="TTQ17" s="338"/>
      <c r="TTR17" s="338"/>
      <c r="TTS17" s="338"/>
      <c r="TTT17" s="338"/>
      <c r="TTU17" s="338"/>
      <c r="TTV17" s="338"/>
      <c r="TTW17" s="338"/>
      <c r="TTX17" s="338"/>
      <c r="TTY17" s="338"/>
      <c r="TTZ17" s="338"/>
      <c r="TUA17" s="338"/>
      <c r="TUB17" s="338"/>
      <c r="TUC17" s="338"/>
      <c r="TUD17" s="338"/>
      <c r="TUE17" s="338"/>
      <c r="TUF17" s="338"/>
      <c r="TUG17" s="338"/>
      <c r="TUH17" s="338"/>
      <c r="TUI17" s="338"/>
      <c r="TUJ17" s="338"/>
      <c r="TUK17" s="338"/>
      <c r="TUL17" s="338"/>
      <c r="TUM17" s="338"/>
      <c r="TUN17" s="338"/>
      <c r="TUO17" s="338"/>
      <c r="TUP17" s="338"/>
      <c r="TUQ17" s="338"/>
      <c r="TUR17" s="338"/>
      <c r="TUS17" s="338"/>
      <c r="TUT17" s="338"/>
      <c r="TUU17" s="338"/>
      <c r="TUV17" s="338"/>
      <c r="TUW17" s="338"/>
      <c r="TUX17" s="338"/>
      <c r="TUY17" s="338"/>
      <c r="TUZ17" s="338"/>
      <c r="TVA17" s="338"/>
      <c r="TVB17" s="338"/>
      <c r="TVC17" s="338"/>
      <c r="TVD17" s="338"/>
      <c r="TVE17" s="338"/>
      <c r="TVF17" s="338"/>
      <c r="TVG17" s="338"/>
      <c r="TVH17" s="338"/>
      <c r="TVI17" s="338"/>
      <c r="TVJ17" s="338"/>
      <c r="TVK17" s="338"/>
      <c r="TVL17" s="338"/>
      <c r="TVM17" s="338"/>
      <c r="TVN17" s="338"/>
      <c r="TVO17" s="338"/>
      <c r="TVP17" s="338"/>
      <c r="TVQ17" s="338"/>
      <c r="TVR17" s="338"/>
      <c r="TVS17" s="338"/>
      <c r="TVT17" s="338"/>
      <c r="TVU17" s="338"/>
      <c r="TVV17" s="338"/>
      <c r="TVW17" s="338"/>
      <c r="TVX17" s="338"/>
      <c r="TVY17" s="338"/>
      <c r="TVZ17" s="338"/>
      <c r="TWA17" s="338"/>
      <c r="TWB17" s="338"/>
      <c r="TWC17" s="338"/>
      <c r="TWD17" s="338"/>
      <c r="TWE17" s="338"/>
      <c r="TWF17" s="338"/>
      <c r="TWG17" s="338"/>
      <c r="TWH17" s="338"/>
      <c r="TWI17" s="338"/>
      <c r="TWJ17" s="338"/>
      <c r="TWK17" s="338"/>
      <c r="TWL17" s="338"/>
      <c r="TWM17" s="338"/>
      <c r="TWN17" s="338"/>
      <c r="TWO17" s="338"/>
      <c r="TWP17" s="338"/>
      <c r="TWQ17" s="338"/>
      <c r="TWR17" s="338"/>
      <c r="TWS17" s="338"/>
      <c r="TWT17" s="338"/>
      <c r="TWU17" s="338"/>
      <c r="TWV17" s="338"/>
      <c r="TWW17" s="338"/>
      <c r="TWX17" s="338"/>
      <c r="TWY17" s="338"/>
      <c r="TWZ17" s="338"/>
      <c r="TXA17" s="338"/>
      <c r="TXB17" s="338"/>
      <c r="TXC17" s="338"/>
      <c r="TXD17" s="338"/>
      <c r="TXE17" s="338"/>
      <c r="TXF17" s="338"/>
      <c r="TXG17" s="338"/>
      <c r="TXH17" s="338"/>
      <c r="TXI17" s="338"/>
      <c r="TXJ17" s="338"/>
      <c r="TXK17" s="338"/>
      <c r="TXL17" s="338"/>
      <c r="TXM17" s="338"/>
      <c r="TXN17" s="338"/>
      <c r="TXO17" s="338"/>
      <c r="TXP17" s="338"/>
      <c r="TXQ17" s="338"/>
      <c r="TXR17" s="338"/>
      <c r="TXS17" s="338"/>
      <c r="TXT17" s="338"/>
      <c r="TXU17" s="338"/>
      <c r="TXV17" s="338"/>
      <c r="TXW17" s="338"/>
      <c r="TXX17" s="338"/>
      <c r="TXY17" s="338"/>
      <c r="TXZ17" s="338"/>
      <c r="TYA17" s="338"/>
      <c r="TYB17" s="338"/>
      <c r="TYC17" s="338"/>
      <c r="TYD17" s="338"/>
      <c r="TYE17" s="338"/>
      <c r="TYF17" s="338"/>
      <c r="TYG17" s="338"/>
      <c r="TYH17" s="338"/>
      <c r="TYI17" s="338"/>
      <c r="TYJ17" s="338"/>
      <c r="TYK17" s="338"/>
      <c r="TYL17" s="338"/>
      <c r="TYM17" s="338"/>
      <c r="TYN17" s="338"/>
      <c r="TYO17" s="338"/>
      <c r="TYP17" s="338"/>
      <c r="TYQ17" s="338"/>
      <c r="TYR17" s="338"/>
      <c r="TYS17" s="338"/>
      <c r="TYT17" s="338"/>
      <c r="TYU17" s="338"/>
      <c r="TYV17" s="338"/>
      <c r="TYW17" s="338"/>
      <c r="TYX17" s="338"/>
      <c r="TYY17" s="338"/>
      <c r="TYZ17" s="338"/>
      <c r="TZA17" s="338"/>
      <c r="TZB17" s="338"/>
      <c r="TZC17" s="338"/>
      <c r="TZD17" s="338"/>
      <c r="TZE17" s="338"/>
      <c r="TZF17" s="338"/>
      <c r="TZG17" s="338"/>
      <c r="TZH17" s="338"/>
      <c r="TZI17" s="338"/>
      <c r="TZJ17" s="338"/>
      <c r="TZK17" s="338"/>
      <c r="TZL17" s="338"/>
      <c r="TZM17" s="338"/>
      <c r="TZN17" s="338"/>
      <c r="TZO17" s="338"/>
      <c r="TZP17" s="338"/>
      <c r="TZQ17" s="338"/>
      <c r="TZR17" s="338"/>
      <c r="TZS17" s="338"/>
      <c r="TZT17" s="338"/>
      <c r="TZU17" s="338"/>
      <c r="TZV17" s="338"/>
      <c r="TZW17" s="338"/>
      <c r="TZX17" s="338"/>
      <c r="TZY17" s="338"/>
      <c r="TZZ17" s="338"/>
      <c r="UAA17" s="338"/>
      <c r="UAB17" s="338"/>
      <c r="UAC17" s="338"/>
      <c r="UAD17" s="338"/>
      <c r="UAE17" s="338"/>
      <c r="UAF17" s="338"/>
      <c r="UAG17" s="338"/>
      <c r="UAH17" s="338"/>
      <c r="UAI17" s="338"/>
      <c r="UAJ17" s="338"/>
      <c r="UAK17" s="338"/>
      <c r="UAL17" s="338"/>
      <c r="UAM17" s="338"/>
      <c r="UAN17" s="338"/>
      <c r="UAO17" s="338"/>
      <c r="UAP17" s="338"/>
      <c r="UAQ17" s="338"/>
      <c r="UAR17" s="338"/>
      <c r="UAS17" s="338"/>
      <c r="UAT17" s="338"/>
      <c r="UAU17" s="338"/>
      <c r="UAV17" s="338"/>
      <c r="UAW17" s="338"/>
      <c r="UAX17" s="338"/>
      <c r="UAY17" s="338"/>
      <c r="UAZ17" s="338"/>
      <c r="UBA17" s="338"/>
      <c r="UBB17" s="338"/>
      <c r="UBC17" s="338"/>
      <c r="UBD17" s="338"/>
      <c r="UBE17" s="338"/>
      <c r="UBF17" s="338"/>
      <c r="UBG17" s="338"/>
      <c r="UBH17" s="338"/>
      <c r="UBI17" s="338"/>
      <c r="UBJ17" s="338"/>
      <c r="UBK17" s="338"/>
      <c r="UBL17" s="338"/>
      <c r="UBM17" s="338"/>
      <c r="UBN17" s="338"/>
      <c r="UBO17" s="338"/>
      <c r="UBP17" s="338"/>
      <c r="UBQ17" s="338"/>
      <c r="UBR17" s="338"/>
      <c r="UBS17" s="338"/>
      <c r="UBT17" s="338"/>
      <c r="UBU17" s="338"/>
      <c r="UBV17" s="338"/>
      <c r="UBW17" s="338"/>
      <c r="UBX17" s="338"/>
      <c r="UBY17" s="338"/>
      <c r="UBZ17" s="338"/>
      <c r="UCA17" s="338"/>
      <c r="UCB17" s="338"/>
      <c r="UCC17" s="338"/>
      <c r="UCD17" s="338"/>
      <c r="UCE17" s="338"/>
      <c r="UCF17" s="338"/>
      <c r="UCG17" s="338"/>
      <c r="UCH17" s="338"/>
      <c r="UCI17" s="338"/>
      <c r="UCJ17" s="338"/>
      <c r="UCK17" s="338"/>
      <c r="UCL17" s="338"/>
      <c r="UCM17" s="338"/>
      <c r="UCN17" s="338"/>
      <c r="UCO17" s="338"/>
      <c r="UCP17" s="338"/>
      <c r="UCQ17" s="338"/>
      <c r="UCR17" s="338"/>
      <c r="UCS17" s="338"/>
      <c r="UCT17" s="338"/>
      <c r="UCU17" s="338"/>
      <c r="UCV17" s="338"/>
      <c r="UCW17" s="338"/>
      <c r="UCX17" s="338"/>
      <c r="UCY17" s="338"/>
      <c r="UCZ17" s="338"/>
      <c r="UDA17" s="338"/>
      <c r="UDB17" s="338"/>
      <c r="UDC17" s="338"/>
      <c r="UDD17" s="338"/>
      <c r="UDE17" s="338"/>
      <c r="UDF17" s="338"/>
      <c r="UDG17" s="338"/>
      <c r="UDH17" s="338"/>
      <c r="UDI17" s="338"/>
      <c r="UDJ17" s="338"/>
      <c r="UDK17" s="338"/>
      <c r="UDL17" s="338"/>
      <c r="UDM17" s="338"/>
      <c r="UDN17" s="338"/>
      <c r="UDO17" s="338"/>
      <c r="UDP17" s="338"/>
      <c r="UDQ17" s="338"/>
      <c r="UDR17" s="338"/>
      <c r="UDS17" s="338"/>
      <c r="UDT17" s="338"/>
      <c r="UDU17" s="338"/>
      <c r="UDV17" s="338"/>
      <c r="UDW17" s="338"/>
      <c r="UDX17" s="338"/>
      <c r="UDY17" s="338"/>
      <c r="UDZ17" s="338"/>
      <c r="UEA17" s="338"/>
      <c r="UEB17" s="338"/>
      <c r="UEC17" s="338"/>
      <c r="UED17" s="338"/>
      <c r="UEE17" s="338"/>
      <c r="UEF17" s="338"/>
      <c r="UEG17" s="338"/>
      <c r="UEH17" s="338"/>
      <c r="UEI17" s="338"/>
      <c r="UEJ17" s="338"/>
      <c r="UEK17" s="338"/>
      <c r="UEL17" s="338"/>
      <c r="UEM17" s="338"/>
      <c r="UEN17" s="338"/>
      <c r="UEO17" s="338"/>
      <c r="UEP17" s="338"/>
      <c r="UEQ17" s="338"/>
      <c r="UER17" s="338"/>
      <c r="UES17" s="338"/>
      <c r="UET17" s="338"/>
      <c r="UEU17" s="338"/>
      <c r="UEV17" s="338"/>
      <c r="UEW17" s="338"/>
      <c r="UEX17" s="338"/>
      <c r="UEY17" s="338"/>
      <c r="UEZ17" s="338"/>
      <c r="UFA17" s="338"/>
      <c r="UFB17" s="338"/>
      <c r="UFC17" s="338"/>
      <c r="UFD17" s="338"/>
      <c r="UFE17" s="338"/>
      <c r="UFF17" s="338"/>
      <c r="UFG17" s="338"/>
      <c r="UFH17" s="338"/>
      <c r="UFI17" s="338"/>
      <c r="UFJ17" s="338"/>
      <c r="UFK17" s="338"/>
      <c r="UFL17" s="338"/>
      <c r="UFM17" s="338"/>
      <c r="UFN17" s="338"/>
      <c r="UFO17" s="338"/>
      <c r="UFP17" s="338"/>
      <c r="UFQ17" s="338"/>
      <c r="UFR17" s="338"/>
      <c r="UFS17" s="338"/>
      <c r="UFT17" s="338"/>
      <c r="UFU17" s="338"/>
      <c r="UFV17" s="338"/>
      <c r="UFW17" s="338"/>
      <c r="UFX17" s="338"/>
      <c r="UFY17" s="338"/>
      <c r="UFZ17" s="338"/>
      <c r="UGA17" s="338"/>
      <c r="UGB17" s="338"/>
      <c r="UGC17" s="338"/>
      <c r="UGD17" s="338"/>
      <c r="UGE17" s="338"/>
      <c r="UGF17" s="338"/>
      <c r="UGG17" s="338"/>
      <c r="UGH17" s="338"/>
      <c r="UGI17" s="338"/>
      <c r="UGJ17" s="338"/>
      <c r="UGK17" s="338"/>
      <c r="UGL17" s="338"/>
      <c r="UGM17" s="338"/>
      <c r="UGN17" s="338"/>
      <c r="UGO17" s="338"/>
      <c r="UGP17" s="338"/>
      <c r="UGQ17" s="338"/>
      <c r="UGR17" s="338"/>
      <c r="UGS17" s="338"/>
      <c r="UGT17" s="338"/>
      <c r="UGU17" s="338"/>
      <c r="UGV17" s="338"/>
      <c r="UGW17" s="338"/>
      <c r="UGX17" s="338"/>
      <c r="UGY17" s="338"/>
      <c r="UGZ17" s="338"/>
      <c r="UHA17" s="338"/>
      <c r="UHB17" s="338"/>
      <c r="UHC17" s="338"/>
      <c r="UHD17" s="338"/>
      <c r="UHE17" s="338"/>
      <c r="UHF17" s="338"/>
      <c r="UHG17" s="338"/>
      <c r="UHH17" s="338"/>
      <c r="UHI17" s="338"/>
      <c r="UHJ17" s="338"/>
      <c r="UHK17" s="338"/>
      <c r="UHL17" s="338"/>
      <c r="UHM17" s="338"/>
      <c r="UHN17" s="338"/>
      <c r="UHO17" s="338"/>
      <c r="UHP17" s="338"/>
      <c r="UHQ17" s="338"/>
      <c r="UHR17" s="338"/>
      <c r="UHS17" s="338"/>
      <c r="UHT17" s="338"/>
      <c r="UHU17" s="338"/>
      <c r="UHV17" s="338"/>
      <c r="UHW17" s="338"/>
      <c r="UHX17" s="338"/>
      <c r="UHY17" s="338"/>
      <c r="UHZ17" s="338"/>
      <c r="UIA17" s="338"/>
      <c r="UIB17" s="338"/>
      <c r="UIC17" s="338"/>
      <c r="UID17" s="338"/>
      <c r="UIE17" s="338"/>
      <c r="UIF17" s="338"/>
      <c r="UIG17" s="338"/>
      <c r="UIH17" s="338"/>
      <c r="UII17" s="338"/>
      <c r="UIJ17" s="338"/>
      <c r="UIK17" s="338"/>
      <c r="UIL17" s="338"/>
      <c r="UIM17" s="338"/>
      <c r="UIN17" s="338"/>
      <c r="UIO17" s="338"/>
      <c r="UIP17" s="338"/>
      <c r="UIQ17" s="338"/>
      <c r="UIR17" s="338"/>
      <c r="UIS17" s="338"/>
      <c r="UIT17" s="338"/>
      <c r="UIU17" s="338"/>
      <c r="UIV17" s="338"/>
      <c r="UIW17" s="338"/>
      <c r="UIX17" s="338"/>
      <c r="UIY17" s="338"/>
      <c r="UIZ17" s="338"/>
      <c r="UJA17" s="338"/>
      <c r="UJB17" s="338"/>
      <c r="UJC17" s="338"/>
      <c r="UJD17" s="338"/>
      <c r="UJE17" s="338"/>
      <c r="UJF17" s="338"/>
      <c r="UJG17" s="338"/>
      <c r="UJH17" s="338"/>
      <c r="UJI17" s="338"/>
      <c r="UJJ17" s="338"/>
      <c r="UJK17" s="338"/>
      <c r="UJL17" s="338"/>
      <c r="UJM17" s="338"/>
      <c r="UJN17" s="338"/>
      <c r="UJO17" s="338"/>
      <c r="UJP17" s="338"/>
      <c r="UJQ17" s="338"/>
      <c r="UJR17" s="338"/>
      <c r="UJS17" s="338"/>
      <c r="UJT17" s="338"/>
      <c r="UJU17" s="338"/>
      <c r="UJV17" s="338"/>
      <c r="UJW17" s="338"/>
      <c r="UJX17" s="338"/>
      <c r="UJY17" s="338"/>
      <c r="UJZ17" s="338"/>
      <c r="UKA17" s="338"/>
      <c r="UKB17" s="338"/>
      <c r="UKC17" s="338"/>
      <c r="UKD17" s="338"/>
      <c r="UKE17" s="338"/>
      <c r="UKF17" s="338"/>
      <c r="UKG17" s="338"/>
      <c r="UKH17" s="338"/>
      <c r="UKI17" s="338"/>
      <c r="UKJ17" s="338"/>
      <c r="UKK17" s="338"/>
      <c r="UKL17" s="338"/>
      <c r="UKM17" s="338"/>
      <c r="UKN17" s="338"/>
      <c r="UKO17" s="338"/>
      <c r="UKP17" s="338"/>
      <c r="UKQ17" s="338"/>
      <c r="UKR17" s="338"/>
      <c r="UKS17" s="338"/>
      <c r="UKT17" s="338"/>
      <c r="UKU17" s="338"/>
      <c r="UKV17" s="338"/>
      <c r="UKW17" s="338"/>
      <c r="UKX17" s="338"/>
      <c r="UKY17" s="338"/>
      <c r="UKZ17" s="338"/>
      <c r="ULA17" s="338"/>
      <c r="ULB17" s="338"/>
      <c r="ULC17" s="338"/>
      <c r="ULD17" s="338"/>
      <c r="ULE17" s="338"/>
      <c r="ULF17" s="338"/>
      <c r="ULG17" s="338"/>
      <c r="ULH17" s="338"/>
      <c r="ULI17" s="338"/>
      <c r="ULJ17" s="338"/>
      <c r="ULK17" s="338"/>
      <c r="ULL17" s="338"/>
      <c r="ULM17" s="338"/>
      <c r="ULN17" s="338"/>
      <c r="ULO17" s="338"/>
      <c r="ULP17" s="338"/>
      <c r="ULQ17" s="338"/>
      <c r="ULR17" s="338"/>
      <c r="ULS17" s="338"/>
      <c r="ULT17" s="338"/>
      <c r="ULU17" s="338"/>
      <c r="ULV17" s="338"/>
      <c r="ULW17" s="338"/>
      <c r="ULX17" s="338"/>
      <c r="ULY17" s="338"/>
      <c r="ULZ17" s="338"/>
      <c r="UMA17" s="338"/>
      <c r="UMB17" s="338"/>
      <c r="UMC17" s="338"/>
      <c r="UMD17" s="338"/>
      <c r="UME17" s="338"/>
      <c r="UMF17" s="338"/>
      <c r="UMG17" s="338"/>
      <c r="UMH17" s="338"/>
      <c r="UMI17" s="338"/>
      <c r="UMJ17" s="338"/>
      <c r="UMK17" s="338"/>
      <c r="UML17" s="338"/>
      <c r="UMM17" s="338"/>
      <c r="UMN17" s="338"/>
      <c r="UMO17" s="338"/>
      <c r="UMP17" s="338"/>
      <c r="UMQ17" s="338"/>
      <c r="UMR17" s="338"/>
      <c r="UMS17" s="338"/>
      <c r="UMT17" s="338"/>
      <c r="UMU17" s="338"/>
      <c r="UMV17" s="338"/>
      <c r="UMW17" s="338"/>
      <c r="UMX17" s="338"/>
      <c r="UMY17" s="338"/>
      <c r="UMZ17" s="338"/>
      <c r="UNA17" s="338"/>
      <c r="UNB17" s="338"/>
      <c r="UNC17" s="338"/>
      <c r="UND17" s="338"/>
      <c r="UNE17" s="338"/>
      <c r="UNF17" s="338"/>
      <c r="UNG17" s="338"/>
      <c r="UNH17" s="338"/>
      <c r="UNI17" s="338"/>
      <c r="UNJ17" s="338"/>
      <c r="UNK17" s="338"/>
      <c r="UNL17" s="338"/>
      <c r="UNM17" s="338"/>
      <c r="UNN17" s="338"/>
      <c r="UNO17" s="338"/>
      <c r="UNP17" s="338"/>
      <c r="UNQ17" s="338"/>
      <c r="UNR17" s="338"/>
      <c r="UNS17" s="338"/>
      <c r="UNT17" s="338"/>
      <c r="UNU17" s="338"/>
      <c r="UNV17" s="338"/>
      <c r="UNW17" s="338"/>
      <c r="UNX17" s="338"/>
      <c r="UNY17" s="338"/>
      <c r="UNZ17" s="338"/>
      <c r="UOA17" s="338"/>
      <c r="UOB17" s="338"/>
      <c r="UOC17" s="338"/>
      <c r="UOD17" s="338"/>
      <c r="UOE17" s="338"/>
      <c r="UOF17" s="338"/>
      <c r="UOG17" s="338"/>
      <c r="UOH17" s="338"/>
      <c r="UOI17" s="338"/>
      <c r="UOJ17" s="338"/>
      <c r="UOK17" s="338"/>
      <c r="UOL17" s="338"/>
      <c r="UOM17" s="338"/>
      <c r="UON17" s="338"/>
      <c r="UOO17" s="338"/>
      <c r="UOP17" s="338"/>
      <c r="UOQ17" s="338"/>
      <c r="UOR17" s="338"/>
      <c r="UOS17" s="338"/>
      <c r="UOT17" s="338"/>
      <c r="UOU17" s="338"/>
      <c r="UOV17" s="338"/>
      <c r="UOW17" s="338"/>
      <c r="UOX17" s="338"/>
      <c r="UOY17" s="338"/>
      <c r="UOZ17" s="338"/>
      <c r="UPA17" s="338"/>
      <c r="UPB17" s="338"/>
      <c r="UPC17" s="338"/>
      <c r="UPD17" s="338"/>
      <c r="UPE17" s="338"/>
      <c r="UPF17" s="338"/>
      <c r="UPG17" s="338"/>
      <c r="UPH17" s="338"/>
      <c r="UPI17" s="338"/>
      <c r="UPJ17" s="338"/>
      <c r="UPK17" s="338"/>
      <c r="UPL17" s="338"/>
      <c r="UPM17" s="338"/>
      <c r="UPN17" s="338"/>
      <c r="UPO17" s="338"/>
      <c r="UPP17" s="338"/>
      <c r="UPQ17" s="338"/>
      <c r="UPR17" s="338"/>
      <c r="UPS17" s="338"/>
      <c r="UPT17" s="338"/>
      <c r="UPU17" s="338"/>
      <c r="UPV17" s="338"/>
      <c r="UPW17" s="338"/>
      <c r="UPX17" s="338"/>
      <c r="UPY17" s="338"/>
      <c r="UPZ17" s="338"/>
      <c r="UQA17" s="338"/>
      <c r="UQB17" s="338"/>
      <c r="UQC17" s="338"/>
      <c r="UQD17" s="338"/>
      <c r="UQE17" s="338"/>
      <c r="UQF17" s="338"/>
      <c r="UQG17" s="338"/>
      <c r="UQH17" s="338"/>
      <c r="UQI17" s="338"/>
      <c r="UQJ17" s="338"/>
      <c r="UQK17" s="338"/>
      <c r="UQL17" s="338"/>
      <c r="UQM17" s="338"/>
      <c r="UQN17" s="338"/>
      <c r="UQO17" s="338"/>
      <c r="UQP17" s="338"/>
      <c r="UQQ17" s="338"/>
      <c r="UQR17" s="338"/>
      <c r="UQS17" s="338"/>
      <c r="UQT17" s="338"/>
      <c r="UQU17" s="338"/>
      <c r="UQV17" s="338"/>
      <c r="UQW17" s="338"/>
      <c r="UQX17" s="338"/>
      <c r="UQY17" s="338"/>
      <c r="UQZ17" s="338"/>
      <c r="URA17" s="338"/>
      <c r="URB17" s="338"/>
      <c r="URC17" s="338"/>
      <c r="URD17" s="338"/>
      <c r="URE17" s="338"/>
      <c r="URF17" s="338"/>
      <c r="URG17" s="338"/>
      <c r="URH17" s="338"/>
      <c r="URI17" s="338"/>
      <c r="URJ17" s="338"/>
      <c r="URK17" s="338"/>
      <c r="URL17" s="338"/>
      <c r="URM17" s="338"/>
      <c r="URN17" s="338"/>
      <c r="URO17" s="338"/>
      <c r="URP17" s="338"/>
      <c r="URQ17" s="338"/>
      <c r="URR17" s="338"/>
      <c r="URS17" s="338"/>
      <c r="URT17" s="338"/>
      <c r="URU17" s="338"/>
      <c r="URV17" s="338"/>
      <c r="URW17" s="338"/>
      <c r="URX17" s="338"/>
      <c r="URY17" s="338"/>
      <c r="URZ17" s="338"/>
      <c r="USA17" s="338"/>
      <c r="USB17" s="338"/>
      <c r="USC17" s="338"/>
      <c r="USD17" s="338"/>
      <c r="USE17" s="338"/>
      <c r="USF17" s="338"/>
      <c r="USG17" s="338"/>
      <c r="USH17" s="338"/>
      <c r="USI17" s="338"/>
      <c r="USJ17" s="338"/>
      <c r="USK17" s="338"/>
      <c r="USL17" s="338"/>
      <c r="USM17" s="338"/>
      <c r="USN17" s="338"/>
      <c r="USO17" s="338"/>
      <c r="USP17" s="338"/>
      <c r="USQ17" s="338"/>
      <c r="USR17" s="338"/>
      <c r="USS17" s="338"/>
      <c r="UST17" s="338"/>
      <c r="USU17" s="338"/>
      <c r="USV17" s="338"/>
      <c r="USW17" s="338"/>
      <c r="USX17" s="338"/>
      <c r="USY17" s="338"/>
      <c r="USZ17" s="338"/>
      <c r="UTA17" s="338"/>
      <c r="UTB17" s="338"/>
      <c r="UTC17" s="338"/>
      <c r="UTD17" s="338"/>
      <c r="UTE17" s="338"/>
      <c r="UTF17" s="338"/>
      <c r="UTG17" s="338"/>
      <c r="UTH17" s="338"/>
      <c r="UTI17" s="338"/>
      <c r="UTJ17" s="338"/>
      <c r="UTK17" s="338"/>
      <c r="UTL17" s="338"/>
      <c r="UTM17" s="338"/>
      <c r="UTN17" s="338"/>
      <c r="UTO17" s="338"/>
      <c r="UTP17" s="338"/>
      <c r="UTQ17" s="338"/>
      <c r="UTR17" s="338"/>
      <c r="UTS17" s="338"/>
      <c r="UTT17" s="338"/>
      <c r="UTU17" s="338"/>
      <c r="UTV17" s="338"/>
      <c r="UTW17" s="338"/>
      <c r="UTX17" s="338"/>
      <c r="UTY17" s="338"/>
      <c r="UTZ17" s="338"/>
      <c r="UUA17" s="338"/>
      <c r="UUB17" s="338"/>
      <c r="UUC17" s="338"/>
      <c r="UUD17" s="338"/>
      <c r="UUE17" s="338"/>
      <c r="UUF17" s="338"/>
      <c r="UUG17" s="338"/>
      <c r="UUH17" s="338"/>
      <c r="UUI17" s="338"/>
      <c r="UUJ17" s="338"/>
      <c r="UUK17" s="338"/>
      <c r="UUL17" s="338"/>
      <c r="UUM17" s="338"/>
      <c r="UUN17" s="338"/>
      <c r="UUO17" s="338"/>
      <c r="UUP17" s="338"/>
      <c r="UUQ17" s="338"/>
      <c r="UUR17" s="338"/>
      <c r="UUS17" s="338"/>
      <c r="UUT17" s="338"/>
      <c r="UUU17" s="338"/>
      <c r="UUV17" s="338"/>
      <c r="UUW17" s="338"/>
      <c r="UUX17" s="338"/>
      <c r="UUY17" s="338"/>
      <c r="UUZ17" s="338"/>
      <c r="UVA17" s="338"/>
      <c r="UVB17" s="338"/>
      <c r="UVC17" s="338"/>
      <c r="UVD17" s="338"/>
      <c r="UVE17" s="338"/>
      <c r="UVF17" s="338"/>
      <c r="UVG17" s="338"/>
      <c r="UVH17" s="338"/>
      <c r="UVI17" s="338"/>
      <c r="UVJ17" s="338"/>
      <c r="UVK17" s="338"/>
      <c r="UVL17" s="338"/>
      <c r="UVM17" s="338"/>
      <c r="UVN17" s="338"/>
      <c r="UVO17" s="338"/>
      <c r="UVP17" s="338"/>
      <c r="UVQ17" s="338"/>
      <c r="UVR17" s="338"/>
      <c r="UVS17" s="338"/>
      <c r="UVT17" s="338"/>
      <c r="UVU17" s="338"/>
      <c r="UVV17" s="338"/>
      <c r="UVW17" s="338"/>
      <c r="UVX17" s="338"/>
      <c r="UVY17" s="338"/>
      <c r="UVZ17" s="338"/>
      <c r="UWA17" s="338"/>
      <c r="UWB17" s="338"/>
      <c r="UWC17" s="338"/>
      <c r="UWD17" s="338"/>
      <c r="UWE17" s="338"/>
      <c r="UWF17" s="338"/>
      <c r="UWG17" s="338"/>
      <c r="UWH17" s="338"/>
      <c r="UWI17" s="338"/>
      <c r="UWJ17" s="338"/>
      <c r="UWK17" s="338"/>
      <c r="UWL17" s="338"/>
      <c r="UWM17" s="338"/>
      <c r="UWN17" s="338"/>
      <c r="UWO17" s="338"/>
      <c r="UWP17" s="338"/>
      <c r="UWQ17" s="338"/>
      <c r="UWR17" s="338"/>
      <c r="UWS17" s="338"/>
      <c r="UWT17" s="338"/>
      <c r="UWU17" s="338"/>
      <c r="UWV17" s="338"/>
      <c r="UWW17" s="338"/>
      <c r="UWX17" s="338"/>
      <c r="UWY17" s="338"/>
      <c r="UWZ17" s="338"/>
      <c r="UXA17" s="338"/>
      <c r="UXB17" s="338"/>
      <c r="UXC17" s="338"/>
      <c r="UXD17" s="338"/>
      <c r="UXE17" s="338"/>
      <c r="UXF17" s="338"/>
      <c r="UXG17" s="338"/>
      <c r="UXH17" s="338"/>
      <c r="UXI17" s="338"/>
      <c r="UXJ17" s="338"/>
      <c r="UXK17" s="338"/>
      <c r="UXL17" s="338"/>
      <c r="UXM17" s="338"/>
      <c r="UXN17" s="338"/>
      <c r="UXO17" s="338"/>
      <c r="UXP17" s="338"/>
      <c r="UXQ17" s="338"/>
      <c r="UXR17" s="338"/>
      <c r="UXS17" s="338"/>
      <c r="UXT17" s="338"/>
      <c r="UXU17" s="338"/>
      <c r="UXV17" s="338"/>
      <c r="UXW17" s="338"/>
      <c r="UXX17" s="338"/>
      <c r="UXY17" s="338"/>
      <c r="UXZ17" s="338"/>
      <c r="UYA17" s="338"/>
      <c r="UYB17" s="338"/>
      <c r="UYC17" s="338"/>
      <c r="UYD17" s="338"/>
      <c r="UYE17" s="338"/>
      <c r="UYF17" s="338"/>
      <c r="UYG17" s="338"/>
      <c r="UYH17" s="338"/>
      <c r="UYI17" s="338"/>
      <c r="UYJ17" s="338"/>
      <c r="UYK17" s="338"/>
      <c r="UYL17" s="338"/>
      <c r="UYM17" s="338"/>
      <c r="UYN17" s="338"/>
      <c r="UYO17" s="338"/>
      <c r="UYP17" s="338"/>
      <c r="UYQ17" s="338"/>
      <c r="UYR17" s="338"/>
      <c r="UYS17" s="338"/>
      <c r="UYT17" s="338"/>
      <c r="UYU17" s="338"/>
      <c r="UYV17" s="338"/>
      <c r="UYW17" s="338"/>
      <c r="UYX17" s="338"/>
      <c r="UYY17" s="338"/>
      <c r="UYZ17" s="338"/>
      <c r="UZA17" s="338"/>
      <c r="UZB17" s="338"/>
      <c r="UZC17" s="338"/>
      <c r="UZD17" s="338"/>
      <c r="UZE17" s="338"/>
      <c r="UZF17" s="338"/>
      <c r="UZG17" s="338"/>
      <c r="UZH17" s="338"/>
      <c r="UZI17" s="338"/>
      <c r="UZJ17" s="338"/>
      <c r="UZK17" s="338"/>
      <c r="UZL17" s="338"/>
      <c r="UZM17" s="338"/>
      <c r="UZN17" s="338"/>
      <c r="UZO17" s="338"/>
      <c r="UZP17" s="338"/>
      <c r="UZQ17" s="338"/>
      <c r="UZR17" s="338"/>
      <c r="UZS17" s="338"/>
      <c r="UZT17" s="338"/>
      <c r="UZU17" s="338"/>
      <c r="UZV17" s="338"/>
      <c r="UZW17" s="338"/>
      <c r="UZX17" s="338"/>
      <c r="UZY17" s="338"/>
      <c r="UZZ17" s="338"/>
      <c r="VAA17" s="338"/>
      <c r="VAB17" s="338"/>
      <c r="VAC17" s="338"/>
      <c r="VAD17" s="338"/>
      <c r="VAE17" s="338"/>
      <c r="VAF17" s="338"/>
      <c r="VAG17" s="338"/>
      <c r="VAH17" s="338"/>
      <c r="VAI17" s="338"/>
      <c r="VAJ17" s="338"/>
      <c r="VAK17" s="338"/>
      <c r="VAL17" s="338"/>
      <c r="VAM17" s="338"/>
      <c r="VAN17" s="338"/>
      <c r="VAO17" s="338"/>
      <c r="VAP17" s="338"/>
      <c r="VAQ17" s="338"/>
      <c r="VAR17" s="338"/>
      <c r="VAS17" s="338"/>
      <c r="VAT17" s="338"/>
      <c r="VAU17" s="338"/>
      <c r="VAV17" s="338"/>
      <c r="VAW17" s="338"/>
      <c r="VAX17" s="338"/>
      <c r="VAY17" s="338"/>
      <c r="VAZ17" s="338"/>
      <c r="VBA17" s="338"/>
      <c r="VBB17" s="338"/>
      <c r="VBC17" s="338"/>
      <c r="VBD17" s="338"/>
      <c r="VBE17" s="338"/>
      <c r="VBF17" s="338"/>
      <c r="VBG17" s="338"/>
      <c r="VBH17" s="338"/>
      <c r="VBI17" s="338"/>
      <c r="VBJ17" s="338"/>
      <c r="VBK17" s="338"/>
      <c r="VBL17" s="338"/>
      <c r="VBM17" s="338"/>
      <c r="VBN17" s="338"/>
      <c r="VBO17" s="338"/>
      <c r="VBP17" s="338"/>
      <c r="VBQ17" s="338"/>
      <c r="VBR17" s="338"/>
      <c r="VBS17" s="338"/>
      <c r="VBT17" s="338"/>
      <c r="VBU17" s="338"/>
      <c r="VBV17" s="338"/>
      <c r="VBW17" s="338"/>
      <c r="VBX17" s="338"/>
      <c r="VBY17" s="338"/>
      <c r="VBZ17" s="338"/>
      <c r="VCA17" s="338"/>
      <c r="VCB17" s="338"/>
      <c r="VCC17" s="338"/>
      <c r="VCD17" s="338"/>
      <c r="VCE17" s="338"/>
      <c r="VCF17" s="338"/>
      <c r="VCG17" s="338"/>
      <c r="VCH17" s="338"/>
      <c r="VCI17" s="338"/>
      <c r="VCJ17" s="338"/>
      <c r="VCK17" s="338"/>
      <c r="VCL17" s="338"/>
      <c r="VCM17" s="338"/>
      <c r="VCN17" s="338"/>
      <c r="VCO17" s="338"/>
      <c r="VCP17" s="338"/>
      <c r="VCQ17" s="338"/>
      <c r="VCR17" s="338"/>
      <c r="VCS17" s="338"/>
      <c r="VCT17" s="338"/>
      <c r="VCU17" s="338"/>
      <c r="VCV17" s="338"/>
      <c r="VCW17" s="338"/>
      <c r="VCX17" s="338"/>
      <c r="VCY17" s="338"/>
      <c r="VCZ17" s="338"/>
      <c r="VDA17" s="338"/>
      <c r="VDB17" s="338"/>
      <c r="VDC17" s="338"/>
      <c r="VDD17" s="338"/>
      <c r="VDE17" s="338"/>
      <c r="VDF17" s="338"/>
      <c r="VDG17" s="338"/>
      <c r="VDH17" s="338"/>
      <c r="VDI17" s="338"/>
      <c r="VDJ17" s="338"/>
      <c r="VDK17" s="338"/>
      <c r="VDL17" s="338"/>
      <c r="VDM17" s="338"/>
      <c r="VDN17" s="338"/>
      <c r="VDO17" s="338"/>
      <c r="VDP17" s="338"/>
      <c r="VDQ17" s="338"/>
      <c r="VDR17" s="338"/>
      <c r="VDS17" s="338"/>
      <c r="VDT17" s="338"/>
      <c r="VDU17" s="338"/>
      <c r="VDV17" s="338"/>
      <c r="VDW17" s="338"/>
      <c r="VDX17" s="338"/>
      <c r="VDY17" s="338"/>
      <c r="VDZ17" s="338"/>
      <c r="VEA17" s="338"/>
      <c r="VEB17" s="338"/>
      <c r="VEC17" s="338"/>
      <c r="VED17" s="338"/>
      <c r="VEE17" s="338"/>
      <c r="VEF17" s="338"/>
      <c r="VEG17" s="338"/>
      <c r="VEH17" s="338"/>
      <c r="VEI17" s="338"/>
      <c r="VEJ17" s="338"/>
      <c r="VEK17" s="338"/>
      <c r="VEL17" s="338"/>
      <c r="VEM17" s="338"/>
      <c r="VEN17" s="338"/>
      <c r="VEO17" s="338"/>
      <c r="VEP17" s="338"/>
      <c r="VEQ17" s="338"/>
      <c r="VER17" s="338"/>
      <c r="VES17" s="338"/>
      <c r="VET17" s="338"/>
      <c r="VEU17" s="338"/>
      <c r="VEV17" s="338"/>
      <c r="VEW17" s="338"/>
      <c r="VEX17" s="338"/>
      <c r="VEY17" s="338"/>
      <c r="VEZ17" s="338"/>
      <c r="VFA17" s="338"/>
      <c r="VFB17" s="338"/>
      <c r="VFC17" s="338"/>
      <c r="VFD17" s="338"/>
      <c r="VFE17" s="338"/>
      <c r="VFF17" s="338"/>
      <c r="VFG17" s="338"/>
      <c r="VFH17" s="338"/>
      <c r="VFI17" s="338"/>
      <c r="VFJ17" s="338"/>
      <c r="VFK17" s="338"/>
      <c r="VFL17" s="338"/>
      <c r="VFM17" s="338"/>
      <c r="VFN17" s="338"/>
      <c r="VFO17" s="338"/>
      <c r="VFP17" s="338"/>
      <c r="VFQ17" s="338"/>
      <c r="VFR17" s="338"/>
      <c r="VFS17" s="338"/>
      <c r="VFT17" s="338"/>
      <c r="VFU17" s="338"/>
      <c r="VFV17" s="338"/>
      <c r="VFW17" s="338"/>
      <c r="VFX17" s="338"/>
      <c r="VFY17" s="338"/>
      <c r="VFZ17" s="338"/>
      <c r="VGA17" s="338"/>
      <c r="VGB17" s="338"/>
      <c r="VGC17" s="338"/>
      <c r="VGD17" s="338"/>
      <c r="VGE17" s="338"/>
      <c r="VGF17" s="338"/>
      <c r="VGG17" s="338"/>
      <c r="VGH17" s="338"/>
      <c r="VGI17" s="338"/>
      <c r="VGJ17" s="338"/>
      <c r="VGK17" s="338"/>
      <c r="VGL17" s="338"/>
      <c r="VGM17" s="338"/>
      <c r="VGN17" s="338"/>
      <c r="VGO17" s="338"/>
      <c r="VGP17" s="338"/>
      <c r="VGQ17" s="338"/>
      <c r="VGR17" s="338"/>
      <c r="VGS17" s="338"/>
      <c r="VGT17" s="338"/>
      <c r="VGU17" s="338"/>
      <c r="VGV17" s="338"/>
      <c r="VGW17" s="338"/>
      <c r="VGX17" s="338"/>
      <c r="VGY17" s="338"/>
      <c r="VGZ17" s="338"/>
      <c r="VHA17" s="338"/>
      <c r="VHB17" s="338"/>
      <c r="VHC17" s="338"/>
      <c r="VHD17" s="338"/>
      <c r="VHE17" s="338"/>
      <c r="VHF17" s="338"/>
      <c r="VHG17" s="338"/>
      <c r="VHH17" s="338"/>
      <c r="VHI17" s="338"/>
      <c r="VHJ17" s="338"/>
      <c r="VHK17" s="338"/>
      <c r="VHL17" s="338"/>
      <c r="VHM17" s="338"/>
      <c r="VHN17" s="338"/>
      <c r="VHO17" s="338"/>
      <c r="VHP17" s="338"/>
      <c r="VHQ17" s="338"/>
      <c r="VHR17" s="338"/>
      <c r="VHS17" s="338"/>
      <c r="VHT17" s="338"/>
      <c r="VHU17" s="338"/>
      <c r="VHV17" s="338"/>
      <c r="VHW17" s="338"/>
      <c r="VHX17" s="338"/>
      <c r="VHY17" s="338"/>
      <c r="VHZ17" s="338"/>
      <c r="VIA17" s="338"/>
      <c r="VIB17" s="338"/>
      <c r="VIC17" s="338"/>
      <c r="VID17" s="338"/>
      <c r="VIE17" s="338"/>
      <c r="VIF17" s="338"/>
      <c r="VIG17" s="338"/>
      <c r="VIH17" s="338"/>
      <c r="VII17" s="338"/>
      <c r="VIJ17" s="338"/>
      <c r="VIK17" s="338"/>
      <c r="VIL17" s="338"/>
      <c r="VIM17" s="338"/>
      <c r="VIN17" s="338"/>
      <c r="VIO17" s="338"/>
      <c r="VIP17" s="338"/>
      <c r="VIQ17" s="338"/>
      <c r="VIR17" s="338"/>
      <c r="VIS17" s="338"/>
      <c r="VIT17" s="338"/>
      <c r="VIU17" s="338"/>
      <c r="VIV17" s="338"/>
      <c r="VIW17" s="338"/>
      <c r="VIX17" s="338"/>
      <c r="VIY17" s="338"/>
      <c r="VIZ17" s="338"/>
      <c r="VJA17" s="338"/>
      <c r="VJB17" s="338"/>
      <c r="VJC17" s="338"/>
      <c r="VJD17" s="338"/>
      <c r="VJE17" s="338"/>
      <c r="VJF17" s="338"/>
      <c r="VJG17" s="338"/>
      <c r="VJH17" s="338"/>
      <c r="VJI17" s="338"/>
      <c r="VJJ17" s="338"/>
      <c r="VJK17" s="338"/>
      <c r="VJL17" s="338"/>
      <c r="VJM17" s="338"/>
      <c r="VJN17" s="338"/>
      <c r="VJO17" s="338"/>
      <c r="VJP17" s="338"/>
      <c r="VJQ17" s="338"/>
      <c r="VJR17" s="338"/>
      <c r="VJS17" s="338"/>
      <c r="VJT17" s="338"/>
      <c r="VJU17" s="338"/>
      <c r="VJV17" s="338"/>
      <c r="VJW17" s="338"/>
      <c r="VJX17" s="338"/>
      <c r="VJY17" s="338"/>
      <c r="VJZ17" s="338"/>
      <c r="VKA17" s="338"/>
      <c r="VKB17" s="338"/>
      <c r="VKC17" s="338"/>
      <c r="VKD17" s="338"/>
      <c r="VKE17" s="338"/>
      <c r="VKF17" s="338"/>
      <c r="VKG17" s="338"/>
      <c r="VKH17" s="338"/>
      <c r="VKI17" s="338"/>
      <c r="VKJ17" s="338"/>
      <c r="VKK17" s="338"/>
      <c r="VKL17" s="338"/>
      <c r="VKM17" s="338"/>
      <c r="VKN17" s="338"/>
      <c r="VKO17" s="338"/>
      <c r="VKP17" s="338"/>
      <c r="VKQ17" s="338"/>
      <c r="VKR17" s="338"/>
      <c r="VKS17" s="338"/>
      <c r="VKT17" s="338"/>
      <c r="VKU17" s="338"/>
      <c r="VKV17" s="338"/>
      <c r="VKW17" s="338"/>
      <c r="VKX17" s="338"/>
      <c r="VKY17" s="338"/>
      <c r="VKZ17" s="338"/>
      <c r="VLA17" s="338"/>
      <c r="VLB17" s="338"/>
      <c r="VLC17" s="338"/>
      <c r="VLD17" s="338"/>
      <c r="VLE17" s="338"/>
      <c r="VLF17" s="338"/>
      <c r="VLG17" s="338"/>
      <c r="VLH17" s="338"/>
      <c r="VLI17" s="338"/>
      <c r="VLJ17" s="338"/>
      <c r="VLK17" s="338"/>
      <c r="VLL17" s="338"/>
      <c r="VLM17" s="338"/>
      <c r="VLN17" s="338"/>
      <c r="VLO17" s="338"/>
      <c r="VLP17" s="338"/>
      <c r="VLQ17" s="338"/>
      <c r="VLR17" s="338"/>
      <c r="VLS17" s="338"/>
      <c r="VLT17" s="338"/>
      <c r="VLU17" s="338"/>
      <c r="VLV17" s="338"/>
      <c r="VLW17" s="338"/>
      <c r="VLX17" s="338"/>
      <c r="VLY17" s="338"/>
      <c r="VLZ17" s="338"/>
      <c r="VMA17" s="338"/>
      <c r="VMB17" s="338"/>
      <c r="VMC17" s="338"/>
      <c r="VMD17" s="338"/>
      <c r="VME17" s="338"/>
      <c r="VMF17" s="338"/>
      <c r="VMG17" s="338"/>
      <c r="VMH17" s="338"/>
      <c r="VMI17" s="338"/>
      <c r="VMJ17" s="338"/>
      <c r="VMK17" s="338"/>
      <c r="VML17" s="338"/>
      <c r="VMM17" s="338"/>
      <c r="VMN17" s="338"/>
      <c r="VMO17" s="338"/>
      <c r="VMP17" s="338"/>
      <c r="VMQ17" s="338"/>
      <c r="VMR17" s="338"/>
      <c r="VMS17" s="338"/>
      <c r="VMT17" s="338"/>
      <c r="VMU17" s="338"/>
      <c r="VMV17" s="338"/>
      <c r="VMW17" s="338"/>
      <c r="VMX17" s="338"/>
      <c r="VMY17" s="338"/>
      <c r="VMZ17" s="338"/>
      <c r="VNA17" s="338"/>
      <c r="VNB17" s="338"/>
      <c r="VNC17" s="338"/>
      <c r="VND17" s="338"/>
      <c r="VNE17" s="338"/>
      <c r="VNF17" s="338"/>
      <c r="VNG17" s="338"/>
      <c r="VNH17" s="338"/>
      <c r="VNI17" s="338"/>
      <c r="VNJ17" s="338"/>
      <c r="VNK17" s="338"/>
      <c r="VNL17" s="338"/>
      <c r="VNM17" s="338"/>
      <c r="VNN17" s="338"/>
      <c r="VNO17" s="338"/>
      <c r="VNP17" s="338"/>
      <c r="VNQ17" s="338"/>
      <c r="VNR17" s="338"/>
      <c r="VNS17" s="338"/>
      <c r="VNT17" s="338"/>
      <c r="VNU17" s="338"/>
      <c r="VNV17" s="338"/>
      <c r="VNW17" s="338"/>
      <c r="VNX17" s="338"/>
      <c r="VNY17" s="338"/>
      <c r="VNZ17" s="338"/>
      <c r="VOA17" s="338"/>
      <c r="VOB17" s="338"/>
      <c r="VOC17" s="338"/>
      <c r="VOD17" s="338"/>
      <c r="VOE17" s="338"/>
      <c r="VOF17" s="338"/>
      <c r="VOG17" s="338"/>
      <c r="VOH17" s="338"/>
      <c r="VOI17" s="338"/>
      <c r="VOJ17" s="338"/>
      <c r="VOK17" s="338"/>
      <c r="VOL17" s="338"/>
      <c r="VOM17" s="338"/>
      <c r="VON17" s="338"/>
      <c r="VOO17" s="338"/>
      <c r="VOP17" s="338"/>
      <c r="VOQ17" s="338"/>
      <c r="VOR17" s="338"/>
      <c r="VOS17" s="338"/>
      <c r="VOT17" s="338"/>
      <c r="VOU17" s="338"/>
      <c r="VOV17" s="338"/>
      <c r="VOW17" s="338"/>
      <c r="VOX17" s="338"/>
      <c r="VOY17" s="338"/>
      <c r="VOZ17" s="338"/>
      <c r="VPA17" s="338"/>
      <c r="VPB17" s="338"/>
      <c r="VPC17" s="338"/>
      <c r="VPD17" s="338"/>
      <c r="VPE17" s="338"/>
      <c r="VPF17" s="338"/>
      <c r="VPG17" s="338"/>
      <c r="VPH17" s="338"/>
      <c r="VPI17" s="338"/>
      <c r="VPJ17" s="338"/>
      <c r="VPK17" s="338"/>
      <c r="VPL17" s="338"/>
      <c r="VPM17" s="338"/>
      <c r="VPN17" s="338"/>
      <c r="VPO17" s="338"/>
      <c r="VPP17" s="338"/>
      <c r="VPQ17" s="338"/>
      <c r="VPR17" s="338"/>
      <c r="VPS17" s="338"/>
      <c r="VPT17" s="338"/>
      <c r="VPU17" s="338"/>
      <c r="VPV17" s="338"/>
      <c r="VPW17" s="338"/>
      <c r="VPX17" s="338"/>
      <c r="VPY17" s="338"/>
      <c r="VPZ17" s="338"/>
      <c r="VQA17" s="338"/>
      <c r="VQB17" s="338"/>
      <c r="VQC17" s="338"/>
      <c r="VQD17" s="338"/>
      <c r="VQE17" s="338"/>
      <c r="VQF17" s="338"/>
      <c r="VQG17" s="338"/>
      <c r="VQH17" s="338"/>
      <c r="VQI17" s="338"/>
      <c r="VQJ17" s="338"/>
      <c r="VQK17" s="338"/>
      <c r="VQL17" s="338"/>
      <c r="VQM17" s="338"/>
      <c r="VQN17" s="338"/>
      <c r="VQO17" s="338"/>
      <c r="VQP17" s="338"/>
      <c r="VQQ17" s="338"/>
      <c r="VQR17" s="338"/>
      <c r="VQS17" s="338"/>
      <c r="VQT17" s="338"/>
      <c r="VQU17" s="338"/>
      <c r="VQV17" s="338"/>
      <c r="VQW17" s="338"/>
      <c r="VQX17" s="338"/>
      <c r="VQY17" s="338"/>
      <c r="VQZ17" s="338"/>
      <c r="VRA17" s="338"/>
      <c r="VRB17" s="338"/>
      <c r="VRC17" s="338"/>
      <c r="VRD17" s="338"/>
      <c r="VRE17" s="338"/>
      <c r="VRF17" s="338"/>
      <c r="VRG17" s="338"/>
      <c r="VRH17" s="338"/>
      <c r="VRI17" s="338"/>
      <c r="VRJ17" s="338"/>
      <c r="VRK17" s="338"/>
      <c r="VRL17" s="338"/>
      <c r="VRM17" s="338"/>
      <c r="VRN17" s="338"/>
      <c r="VRO17" s="338"/>
      <c r="VRP17" s="338"/>
      <c r="VRQ17" s="338"/>
      <c r="VRR17" s="338"/>
      <c r="VRS17" s="338"/>
      <c r="VRT17" s="338"/>
      <c r="VRU17" s="338"/>
      <c r="VRV17" s="338"/>
      <c r="VRW17" s="338"/>
      <c r="VRX17" s="338"/>
      <c r="VRY17" s="338"/>
      <c r="VRZ17" s="338"/>
      <c r="VSA17" s="338"/>
      <c r="VSB17" s="338"/>
      <c r="VSC17" s="338"/>
      <c r="VSD17" s="338"/>
      <c r="VSE17" s="338"/>
      <c r="VSF17" s="338"/>
      <c r="VSG17" s="338"/>
      <c r="VSH17" s="338"/>
      <c r="VSI17" s="338"/>
      <c r="VSJ17" s="338"/>
      <c r="VSK17" s="338"/>
      <c r="VSL17" s="338"/>
      <c r="VSM17" s="338"/>
      <c r="VSN17" s="338"/>
      <c r="VSO17" s="338"/>
      <c r="VSP17" s="338"/>
      <c r="VSQ17" s="338"/>
      <c r="VSR17" s="338"/>
      <c r="VSS17" s="338"/>
      <c r="VST17" s="338"/>
      <c r="VSU17" s="338"/>
      <c r="VSV17" s="338"/>
      <c r="VSW17" s="338"/>
      <c r="VSX17" s="338"/>
      <c r="VSY17" s="338"/>
      <c r="VSZ17" s="338"/>
      <c r="VTA17" s="338"/>
      <c r="VTB17" s="338"/>
      <c r="VTC17" s="338"/>
      <c r="VTD17" s="338"/>
      <c r="VTE17" s="338"/>
      <c r="VTF17" s="338"/>
      <c r="VTG17" s="338"/>
      <c r="VTH17" s="338"/>
      <c r="VTI17" s="338"/>
      <c r="VTJ17" s="338"/>
      <c r="VTK17" s="338"/>
      <c r="VTL17" s="338"/>
      <c r="VTM17" s="338"/>
      <c r="VTN17" s="338"/>
      <c r="VTO17" s="338"/>
      <c r="VTP17" s="338"/>
      <c r="VTQ17" s="338"/>
      <c r="VTR17" s="338"/>
      <c r="VTS17" s="338"/>
      <c r="VTT17" s="338"/>
      <c r="VTU17" s="338"/>
      <c r="VTV17" s="338"/>
      <c r="VTW17" s="338"/>
      <c r="VTX17" s="338"/>
      <c r="VTY17" s="338"/>
      <c r="VTZ17" s="338"/>
      <c r="VUA17" s="338"/>
      <c r="VUB17" s="338"/>
      <c r="VUC17" s="338"/>
      <c r="VUD17" s="338"/>
      <c r="VUE17" s="338"/>
      <c r="VUF17" s="338"/>
      <c r="VUG17" s="338"/>
      <c r="VUH17" s="338"/>
      <c r="VUI17" s="338"/>
      <c r="VUJ17" s="338"/>
      <c r="VUK17" s="338"/>
      <c r="VUL17" s="338"/>
      <c r="VUM17" s="338"/>
      <c r="VUN17" s="338"/>
      <c r="VUO17" s="338"/>
      <c r="VUP17" s="338"/>
      <c r="VUQ17" s="338"/>
      <c r="VUR17" s="338"/>
      <c r="VUS17" s="338"/>
      <c r="VUT17" s="338"/>
      <c r="VUU17" s="338"/>
      <c r="VUV17" s="338"/>
      <c r="VUW17" s="338"/>
      <c r="VUX17" s="338"/>
      <c r="VUY17" s="338"/>
      <c r="VUZ17" s="338"/>
      <c r="VVA17" s="338"/>
      <c r="VVB17" s="338"/>
      <c r="VVC17" s="338"/>
      <c r="VVD17" s="338"/>
      <c r="VVE17" s="338"/>
      <c r="VVF17" s="338"/>
      <c r="VVG17" s="338"/>
      <c r="VVH17" s="338"/>
      <c r="VVI17" s="338"/>
      <c r="VVJ17" s="338"/>
      <c r="VVK17" s="338"/>
      <c r="VVL17" s="338"/>
      <c r="VVM17" s="338"/>
      <c r="VVN17" s="338"/>
      <c r="VVO17" s="338"/>
      <c r="VVP17" s="338"/>
      <c r="VVQ17" s="338"/>
      <c r="VVR17" s="338"/>
      <c r="VVS17" s="338"/>
      <c r="VVT17" s="338"/>
      <c r="VVU17" s="338"/>
      <c r="VVV17" s="338"/>
      <c r="VVW17" s="338"/>
      <c r="VVX17" s="338"/>
      <c r="VVY17" s="338"/>
      <c r="VVZ17" s="338"/>
      <c r="VWA17" s="338"/>
      <c r="VWB17" s="338"/>
      <c r="VWC17" s="338"/>
      <c r="VWD17" s="338"/>
      <c r="VWE17" s="338"/>
      <c r="VWF17" s="338"/>
      <c r="VWG17" s="338"/>
      <c r="VWH17" s="338"/>
      <c r="VWI17" s="338"/>
      <c r="VWJ17" s="338"/>
      <c r="VWK17" s="338"/>
      <c r="VWL17" s="338"/>
      <c r="VWM17" s="338"/>
      <c r="VWN17" s="338"/>
      <c r="VWO17" s="338"/>
      <c r="VWP17" s="338"/>
      <c r="VWQ17" s="338"/>
      <c r="VWR17" s="338"/>
      <c r="VWS17" s="338"/>
      <c r="VWT17" s="338"/>
      <c r="VWU17" s="338"/>
      <c r="VWV17" s="338"/>
      <c r="VWW17" s="338"/>
      <c r="VWX17" s="338"/>
      <c r="VWY17" s="338"/>
      <c r="VWZ17" s="338"/>
      <c r="VXA17" s="338"/>
      <c r="VXB17" s="338"/>
      <c r="VXC17" s="338"/>
      <c r="VXD17" s="338"/>
      <c r="VXE17" s="338"/>
      <c r="VXF17" s="338"/>
      <c r="VXG17" s="338"/>
      <c r="VXH17" s="338"/>
      <c r="VXI17" s="338"/>
      <c r="VXJ17" s="338"/>
      <c r="VXK17" s="338"/>
      <c r="VXL17" s="338"/>
      <c r="VXM17" s="338"/>
      <c r="VXN17" s="338"/>
      <c r="VXO17" s="338"/>
      <c r="VXP17" s="338"/>
      <c r="VXQ17" s="338"/>
      <c r="VXR17" s="338"/>
      <c r="VXS17" s="338"/>
      <c r="VXT17" s="338"/>
      <c r="VXU17" s="338"/>
      <c r="VXV17" s="338"/>
      <c r="VXW17" s="338"/>
      <c r="VXX17" s="338"/>
      <c r="VXY17" s="338"/>
      <c r="VXZ17" s="338"/>
      <c r="VYA17" s="338"/>
      <c r="VYB17" s="338"/>
      <c r="VYC17" s="338"/>
      <c r="VYD17" s="338"/>
      <c r="VYE17" s="338"/>
      <c r="VYF17" s="338"/>
      <c r="VYG17" s="338"/>
      <c r="VYH17" s="338"/>
      <c r="VYI17" s="338"/>
      <c r="VYJ17" s="338"/>
      <c r="VYK17" s="338"/>
      <c r="VYL17" s="338"/>
      <c r="VYM17" s="338"/>
      <c r="VYN17" s="338"/>
      <c r="VYO17" s="338"/>
      <c r="VYP17" s="338"/>
      <c r="VYQ17" s="338"/>
      <c r="VYR17" s="338"/>
      <c r="VYS17" s="338"/>
      <c r="VYT17" s="338"/>
      <c r="VYU17" s="338"/>
      <c r="VYV17" s="338"/>
      <c r="VYW17" s="338"/>
      <c r="VYX17" s="338"/>
      <c r="VYY17" s="338"/>
      <c r="VYZ17" s="338"/>
      <c r="VZA17" s="338"/>
      <c r="VZB17" s="338"/>
      <c r="VZC17" s="338"/>
      <c r="VZD17" s="338"/>
      <c r="VZE17" s="338"/>
      <c r="VZF17" s="338"/>
      <c r="VZG17" s="338"/>
      <c r="VZH17" s="338"/>
      <c r="VZI17" s="338"/>
      <c r="VZJ17" s="338"/>
      <c r="VZK17" s="338"/>
      <c r="VZL17" s="338"/>
      <c r="VZM17" s="338"/>
      <c r="VZN17" s="338"/>
      <c r="VZO17" s="338"/>
      <c r="VZP17" s="338"/>
      <c r="VZQ17" s="338"/>
      <c r="VZR17" s="338"/>
      <c r="VZS17" s="338"/>
      <c r="VZT17" s="338"/>
      <c r="VZU17" s="338"/>
      <c r="VZV17" s="338"/>
      <c r="VZW17" s="338"/>
      <c r="VZX17" s="338"/>
      <c r="VZY17" s="338"/>
      <c r="VZZ17" s="338"/>
      <c r="WAA17" s="338"/>
      <c r="WAB17" s="338"/>
      <c r="WAC17" s="338"/>
      <c r="WAD17" s="338"/>
      <c r="WAE17" s="338"/>
      <c r="WAF17" s="338"/>
      <c r="WAG17" s="338"/>
      <c r="WAH17" s="338"/>
      <c r="WAI17" s="338"/>
      <c r="WAJ17" s="338"/>
      <c r="WAK17" s="338"/>
      <c r="WAL17" s="338"/>
      <c r="WAM17" s="338"/>
      <c r="WAN17" s="338"/>
      <c r="WAO17" s="338"/>
      <c r="WAP17" s="338"/>
      <c r="WAQ17" s="338"/>
      <c r="WAR17" s="338"/>
      <c r="WAS17" s="338"/>
      <c r="WAT17" s="338"/>
      <c r="WAU17" s="338"/>
      <c r="WAV17" s="338"/>
      <c r="WAW17" s="338"/>
      <c r="WAX17" s="338"/>
      <c r="WAY17" s="338"/>
      <c r="WAZ17" s="338"/>
      <c r="WBA17" s="338"/>
      <c r="WBB17" s="338"/>
      <c r="WBC17" s="338"/>
      <c r="WBD17" s="338"/>
      <c r="WBE17" s="338"/>
      <c r="WBF17" s="338"/>
      <c r="WBG17" s="338"/>
      <c r="WBH17" s="338"/>
      <c r="WBI17" s="338"/>
      <c r="WBJ17" s="338"/>
      <c r="WBK17" s="338"/>
      <c r="WBL17" s="338"/>
      <c r="WBM17" s="338"/>
      <c r="WBN17" s="338"/>
      <c r="WBO17" s="338"/>
      <c r="WBP17" s="338"/>
      <c r="WBQ17" s="338"/>
      <c r="WBR17" s="338"/>
      <c r="WBS17" s="338"/>
      <c r="WBT17" s="338"/>
      <c r="WBU17" s="338"/>
      <c r="WBV17" s="338"/>
      <c r="WBW17" s="338"/>
      <c r="WBX17" s="338"/>
      <c r="WBY17" s="338"/>
      <c r="WBZ17" s="338"/>
      <c r="WCA17" s="338"/>
      <c r="WCB17" s="338"/>
      <c r="WCC17" s="338"/>
      <c r="WCD17" s="338"/>
      <c r="WCE17" s="338"/>
      <c r="WCF17" s="338"/>
      <c r="WCG17" s="338"/>
      <c r="WCH17" s="338"/>
      <c r="WCI17" s="338"/>
      <c r="WCJ17" s="338"/>
      <c r="WCK17" s="338"/>
      <c r="WCL17" s="338"/>
      <c r="WCM17" s="338"/>
      <c r="WCN17" s="338"/>
      <c r="WCO17" s="338"/>
      <c r="WCP17" s="338"/>
      <c r="WCQ17" s="338"/>
      <c r="WCR17" s="338"/>
      <c r="WCS17" s="338"/>
      <c r="WCT17" s="338"/>
      <c r="WCU17" s="338"/>
      <c r="WCV17" s="338"/>
      <c r="WCW17" s="338"/>
      <c r="WCX17" s="338"/>
      <c r="WCY17" s="338"/>
      <c r="WCZ17" s="338"/>
      <c r="WDA17" s="338"/>
      <c r="WDB17" s="338"/>
      <c r="WDC17" s="338"/>
      <c r="WDD17" s="338"/>
      <c r="WDE17" s="338"/>
      <c r="WDF17" s="338"/>
      <c r="WDG17" s="338"/>
      <c r="WDH17" s="338"/>
      <c r="WDI17" s="338"/>
      <c r="WDJ17" s="338"/>
      <c r="WDK17" s="338"/>
      <c r="WDL17" s="338"/>
      <c r="WDM17" s="338"/>
      <c r="WDN17" s="338"/>
      <c r="WDO17" s="338"/>
      <c r="WDP17" s="338"/>
      <c r="WDQ17" s="338"/>
      <c r="WDR17" s="338"/>
      <c r="WDS17" s="338"/>
      <c r="WDT17" s="338"/>
      <c r="WDU17" s="338"/>
      <c r="WDV17" s="338"/>
      <c r="WDW17" s="338"/>
      <c r="WDX17" s="338"/>
      <c r="WDY17" s="338"/>
      <c r="WDZ17" s="338"/>
      <c r="WEA17" s="338"/>
      <c r="WEB17" s="338"/>
      <c r="WEC17" s="338"/>
      <c r="WED17" s="338"/>
      <c r="WEE17" s="338"/>
      <c r="WEF17" s="338"/>
      <c r="WEG17" s="338"/>
      <c r="WEH17" s="338"/>
      <c r="WEI17" s="338"/>
      <c r="WEJ17" s="338"/>
      <c r="WEK17" s="338"/>
      <c r="WEL17" s="338"/>
      <c r="WEM17" s="338"/>
      <c r="WEN17" s="338"/>
      <c r="WEO17" s="338"/>
      <c r="WEP17" s="338"/>
      <c r="WEQ17" s="338"/>
      <c r="WER17" s="338"/>
      <c r="WES17" s="338"/>
      <c r="WET17" s="338"/>
      <c r="WEU17" s="338"/>
      <c r="WEV17" s="338"/>
      <c r="WEW17" s="338"/>
      <c r="WEX17" s="338"/>
      <c r="WEY17" s="338"/>
      <c r="WEZ17" s="338"/>
      <c r="WFA17" s="338"/>
      <c r="WFB17" s="338"/>
      <c r="WFC17" s="338"/>
      <c r="WFD17" s="338"/>
      <c r="WFE17" s="338"/>
      <c r="WFF17" s="338"/>
      <c r="WFG17" s="338"/>
      <c r="WFH17" s="338"/>
      <c r="WFI17" s="338"/>
      <c r="WFJ17" s="338"/>
      <c r="WFK17" s="338"/>
      <c r="WFL17" s="338"/>
      <c r="WFM17" s="338"/>
      <c r="WFN17" s="338"/>
      <c r="WFO17" s="338"/>
      <c r="WFP17" s="338"/>
      <c r="WFQ17" s="338"/>
      <c r="WFR17" s="338"/>
      <c r="WFS17" s="338"/>
      <c r="WFT17" s="338"/>
      <c r="WFU17" s="338"/>
      <c r="WFV17" s="338"/>
      <c r="WFW17" s="338"/>
      <c r="WFX17" s="338"/>
      <c r="WFY17" s="338"/>
      <c r="WFZ17" s="338"/>
      <c r="WGA17" s="338"/>
      <c r="WGB17" s="338"/>
      <c r="WGC17" s="338"/>
      <c r="WGD17" s="338"/>
      <c r="WGE17" s="338"/>
      <c r="WGF17" s="338"/>
      <c r="WGG17" s="338"/>
      <c r="WGH17" s="338"/>
      <c r="WGI17" s="338"/>
      <c r="WGJ17" s="338"/>
      <c r="WGK17" s="338"/>
      <c r="WGL17" s="338"/>
      <c r="WGM17" s="338"/>
      <c r="WGN17" s="338"/>
      <c r="WGO17" s="338"/>
      <c r="WGP17" s="338"/>
      <c r="WGQ17" s="338"/>
      <c r="WGR17" s="338"/>
      <c r="WGS17" s="338"/>
      <c r="WGT17" s="338"/>
      <c r="WGU17" s="338"/>
      <c r="WGV17" s="338"/>
      <c r="WGW17" s="338"/>
      <c r="WGX17" s="338"/>
      <c r="WGY17" s="338"/>
      <c r="WGZ17" s="338"/>
      <c r="WHA17" s="338"/>
      <c r="WHB17" s="338"/>
      <c r="WHC17" s="338"/>
      <c r="WHD17" s="338"/>
      <c r="WHE17" s="338"/>
      <c r="WHF17" s="338"/>
      <c r="WHG17" s="338"/>
      <c r="WHH17" s="338"/>
      <c r="WHI17" s="338"/>
      <c r="WHJ17" s="338"/>
      <c r="WHK17" s="338"/>
      <c r="WHL17" s="338"/>
      <c r="WHM17" s="338"/>
      <c r="WHN17" s="338"/>
      <c r="WHO17" s="338"/>
      <c r="WHP17" s="338"/>
      <c r="WHQ17" s="338"/>
      <c r="WHR17" s="338"/>
      <c r="WHS17" s="338"/>
      <c r="WHT17" s="338"/>
      <c r="WHU17" s="338"/>
      <c r="WHV17" s="338"/>
      <c r="WHW17" s="338"/>
      <c r="WHX17" s="338"/>
      <c r="WHY17" s="338"/>
      <c r="WHZ17" s="338"/>
      <c r="WIA17" s="338"/>
      <c r="WIB17" s="338"/>
      <c r="WIC17" s="338"/>
      <c r="WID17" s="338"/>
      <c r="WIE17" s="338"/>
      <c r="WIF17" s="338"/>
      <c r="WIG17" s="338"/>
      <c r="WIH17" s="338"/>
      <c r="WII17" s="338"/>
      <c r="WIJ17" s="338"/>
      <c r="WIK17" s="338"/>
      <c r="WIL17" s="338"/>
      <c r="WIM17" s="338"/>
      <c r="WIN17" s="338"/>
      <c r="WIO17" s="338"/>
      <c r="WIP17" s="338"/>
      <c r="WIQ17" s="338"/>
      <c r="WIR17" s="338"/>
      <c r="WIS17" s="338"/>
      <c r="WIT17" s="338"/>
      <c r="WIU17" s="338"/>
      <c r="WIV17" s="338"/>
      <c r="WIW17" s="338"/>
      <c r="WIX17" s="338"/>
      <c r="WIY17" s="338"/>
      <c r="WIZ17" s="338"/>
      <c r="WJA17" s="338"/>
      <c r="WJB17" s="338"/>
      <c r="WJC17" s="338"/>
      <c r="WJD17" s="338"/>
      <c r="WJE17" s="338"/>
      <c r="WJF17" s="338"/>
      <c r="WJG17" s="338"/>
      <c r="WJH17" s="338"/>
      <c r="WJI17" s="338"/>
      <c r="WJJ17" s="338"/>
      <c r="WJK17" s="338"/>
      <c r="WJL17" s="338"/>
      <c r="WJM17" s="338"/>
      <c r="WJN17" s="338"/>
      <c r="WJO17" s="338"/>
      <c r="WJP17" s="338"/>
      <c r="WJQ17" s="338"/>
      <c r="WJR17" s="338"/>
      <c r="WJS17" s="338"/>
      <c r="WJT17" s="338"/>
      <c r="WJU17" s="338"/>
      <c r="WJV17" s="338"/>
      <c r="WJW17" s="338"/>
      <c r="WJX17" s="338"/>
      <c r="WJY17" s="338"/>
      <c r="WJZ17" s="338"/>
      <c r="WKA17" s="338"/>
      <c r="WKB17" s="338"/>
      <c r="WKC17" s="338"/>
      <c r="WKD17" s="338"/>
      <c r="WKE17" s="338"/>
      <c r="WKF17" s="338"/>
      <c r="WKG17" s="338"/>
      <c r="WKH17" s="338"/>
      <c r="WKI17" s="338"/>
      <c r="WKJ17" s="338"/>
      <c r="WKK17" s="338"/>
      <c r="WKL17" s="338"/>
      <c r="WKM17" s="338"/>
      <c r="WKN17" s="338"/>
      <c r="WKO17" s="338"/>
      <c r="WKP17" s="338"/>
      <c r="WKQ17" s="338"/>
      <c r="WKR17" s="338"/>
      <c r="WKS17" s="338"/>
      <c r="WKT17" s="338"/>
      <c r="WKU17" s="338"/>
      <c r="WKV17" s="338"/>
      <c r="WKW17" s="338"/>
      <c r="WKX17" s="338"/>
      <c r="WKY17" s="338"/>
      <c r="WKZ17" s="338"/>
      <c r="WLA17" s="338"/>
      <c r="WLB17" s="338"/>
      <c r="WLC17" s="338"/>
      <c r="WLD17" s="338"/>
      <c r="WLE17" s="338"/>
      <c r="WLF17" s="338"/>
      <c r="WLG17" s="338"/>
      <c r="WLH17" s="338"/>
      <c r="WLI17" s="338"/>
      <c r="WLJ17" s="338"/>
      <c r="WLK17" s="338"/>
      <c r="WLL17" s="338"/>
      <c r="WLM17" s="338"/>
      <c r="WLN17" s="338"/>
      <c r="WLO17" s="338"/>
      <c r="WLP17" s="338"/>
      <c r="WLQ17" s="338"/>
      <c r="WLR17" s="338"/>
      <c r="WLS17" s="338"/>
      <c r="WLT17" s="338"/>
      <c r="WLU17" s="338"/>
      <c r="WLV17" s="338"/>
      <c r="WLW17" s="338"/>
      <c r="WLX17" s="338"/>
      <c r="WLY17" s="338"/>
      <c r="WLZ17" s="338"/>
      <c r="WMA17" s="338"/>
      <c r="WMB17" s="338"/>
      <c r="WMC17" s="338"/>
      <c r="WMD17" s="338"/>
      <c r="WME17" s="338"/>
      <c r="WMF17" s="338"/>
      <c r="WMG17" s="338"/>
      <c r="WMH17" s="338"/>
      <c r="WMI17" s="338"/>
      <c r="WMJ17" s="338"/>
      <c r="WMK17" s="338"/>
      <c r="WML17" s="338"/>
      <c r="WMM17" s="338"/>
      <c r="WMN17" s="338"/>
      <c r="WMO17" s="338"/>
      <c r="WMP17" s="338"/>
      <c r="WMQ17" s="338"/>
      <c r="WMR17" s="338"/>
      <c r="WMS17" s="338"/>
      <c r="WMT17" s="338"/>
      <c r="WMU17" s="338"/>
      <c r="WMV17" s="338"/>
      <c r="WMW17" s="338"/>
      <c r="WMX17" s="338"/>
      <c r="WMY17" s="338"/>
      <c r="WMZ17" s="338"/>
      <c r="WNA17" s="338"/>
      <c r="WNB17" s="338"/>
      <c r="WNC17" s="338"/>
      <c r="WND17" s="338"/>
      <c r="WNE17" s="338"/>
      <c r="WNF17" s="338"/>
      <c r="WNG17" s="338"/>
      <c r="WNH17" s="338"/>
      <c r="WNI17" s="338"/>
      <c r="WNJ17" s="338"/>
      <c r="WNK17" s="338"/>
      <c r="WNL17" s="338"/>
      <c r="WNM17" s="338"/>
      <c r="WNN17" s="338"/>
      <c r="WNO17" s="338"/>
      <c r="WNP17" s="338"/>
      <c r="WNQ17" s="338"/>
      <c r="WNR17" s="338"/>
      <c r="WNS17" s="338"/>
      <c r="WNT17" s="338"/>
      <c r="WNU17" s="338"/>
      <c r="WNV17" s="338"/>
      <c r="WNW17" s="338"/>
      <c r="WNX17" s="338"/>
      <c r="WNY17" s="338"/>
      <c r="WNZ17" s="338"/>
      <c r="WOA17" s="338"/>
      <c r="WOB17" s="338"/>
      <c r="WOC17" s="338"/>
      <c r="WOD17" s="338"/>
      <c r="WOE17" s="338"/>
      <c r="WOF17" s="338"/>
      <c r="WOG17" s="338"/>
      <c r="WOH17" s="338"/>
      <c r="WOI17" s="338"/>
      <c r="WOJ17" s="338"/>
      <c r="WOK17" s="338"/>
      <c r="WOL17" s="338"/>
      <c r="WOM17" s="338"/>
      <c r="WON17" s="338"/>
      <c r="WOO17" s="338"/>
      <c r="WOP17" s="338"/>
      <c r="WOQ17" s="338"/>
      <c r="WOR17" s="338"/>
      <c r="WOS17" s="338"/>
      <c r="WOT17" s="338"/>
      <c r="WOU17" s="338"/>
      <c r="WOV17" s="338"/>
      <c r="WOW17" s="338"/>
      <c r="WOX17" s="338"/>
      <c r="WOY17" s="338"/>
      <c r="WOZ17" s="338"/>
      <c r="WPA17" s="338"/>
      <c r="WPB17" s="338"/>
      <c r="WPC17" s="338"/>
      <c r="WPD17" s="338"/>
      <c r="WPE17" s="338"/>
      <c r="WPF17" s="338"/>
      <c r="WPG17" s="338"/>
      <c r="WPH17" s="338"/>
      <c r="WPI17" s="338"/>
      <c r="WPJ17" s="338"/>
      <c r="WPK17" s="338"/>
      <c r="WPL17" s="338"/>
      <c r="WPM17" s="338"/>
      <c r="WPN17" s="338"/>
      <c r="WPO17" s="338"/>
      <c r="WPP17" s="338"/>
      <c r="WPQ17" s="338"/>
      <c r="WPR17" s="338"/>
      <c r="WPS17" s="338"/>
      <c r="WPT17" s="338"/>
      <c r="WPU17" s="338"/>
      <c r="WPV17" s="338"/>
      <c r="WPW17" s="338"/>
      <c r="WPX17" s="338"/>
      <c r="WPY17" s="338"/>
      <c r="WPZ17" s="338"/>
      <c r="WQA17" s="338"/>
      <c r="WQB17" s="338"/>
      <c r="WQC17" s="338"/>
      <c r="WQD17" s="338"/>
      <c r="WQE17" s="338"/>
      <c r="WQF17" s="338"/>
      <c r="WQG17" s="338"/>
      <c r="WQH17" s="338"/>
      <c r="WQI17" s="338"/>
      <c r="WQJ17" s="338"/>
      <c r="WQK17" s="338"/>
      <c r="WQL17" s="338"/>
      <c r="WQM17" s="338"/>
      <c r="WQN17" s="338"/>
      <c r="WQO17" s="338"/>
      <c r="WQP17" s="338"/>
      <c r="WQQ17" s="338"/>
      <c r="WQR17" s="338"/>
      <c r="WQS17" s="338"/>
      <c r="WQT17" s="338"/>
      <c r="WQU17" s="338"/>
      <c r="WQV17" s="338"/>
      <c r="WQW17" s="338"/>
      <c r="WQX17" s="338"/>
      <c r="WQY17" s="338"/>
      <c r="WQZ17" s="338"/>
      <c r="WRA17" s="338"/>
      <c r="WRB17" s="338"/>
      <c r="WRC17" s="338"/>
      <c r="WRD17" s="338"/>
      <c r="WRE17" s="338"/>
      <c r="WRF17" s="338"/>
      <c r="WRG17" s="338"/>
      <c r="WRH17" s="338"/>
      <c r="WRI17" s="338"/>
      <c r="WRJ17" s="338"/>
      <c r="WRK17" s="338"/>
      <c r="WRL17" s="338"/>
      <c r="WRM17" s="338"/>
      <c r="WRN17" s="338"/>
      <c r="WRO17" s="338"/>
      <c r="WRP17" s="338"/>
      <c r="WRQ17" s="338"/>
      <c r="WRR17" s="338"/>
      <c r="WRS17" s="338"/>
      <c r="WRT17" s="338"/>
      <c r="WRU17" s="338"/>
      <c r="WRV17" s="338"/>
      <c r="WRW17" s="338"/>
      <c r="WRX17" s="338"/>
      <c r="WRY17" s="338"/>
      <c r="WRZ17" s="338"/>
      <c r="WSA17" s="338"/>
      <c r="WSB17" s="338"/>
      <c r="WSC17" s="338"/>
      <c r="WSD17" s="338"/>
      <c r="WSE17" s="338"/>
      <c r="WSF17" s="338"/>
      <c r="WSG17" s="338"/>
      <c r="WSH17" s="338"/>
      <c r="WSI17" s="338"/>
      <c r="WSJ17" s="338"/>
      <c r="WSK17" s="338"/>
      <c r="WSL17" s="338"/>
      <c r="WSM17" s="338"/>
      <c r="WSN17" s="338"/>
      <c r="WSO17" s="338"/>
      <c r="WSP17" s="338"/>
      <c r="WSQ17" s="338"/>
      <c r="WSR17" s="338"/>
      <c r="WSS17" s="338"/>
      <c r="WST17" s="338"/>
      <c r="WSU17" s="338"/>
      <c r="WSV17" s="338"/>
      <c r="WSW17" s="338"/>
      <c r="WSX17" s="338"/>
      <c r="WSY17" s="338"/>
      <c r="WSZ17" s="338"/>
      <c r="WTA17" s="338"/>
      <c r="WTB17" s="338"/>
      <c r="WTC17" s="338"/>
      <c r="WTD17" s="338"/>
      <c r="WTE17" s="338"/>
      <c r="WTF17" s="338"/>
      <c r="WTG17" s="338"/>
      <c r="WTH17" s="338"/>
      <c r="WTI17" s="338"/>
      <c r="WTJ17" s="338"/>
      <c r="WTK17" s="338"/>
      <c r="WTL17" s="338"/>
      <c r="WTM17" s="338"/>
      <c r="WTN17" s="338"/>
      <c r="WTO17" s="338"/>
      <c r="WTP17" s="338"/>
      <c r="WTQ17" s="338"/>
      <c r="WTR17" s="338"/>
      <c r="WTS17" s="338"/>
      <c r="WTT17" s="338"/>
      <c r="WTU17" s="338"/>
      <c r="WTV17" s="338"/>
      <c r="WTW17" s="338"/>
      <c r="WTX17" s="338"/>
      <c r="WTY17" s="338"/>
      <c r="WTZ17" s="338"/>
      <c r="WUA17" s="338"/>
      <c r="WUB17" s="338"/>
      <c r="WUC17" s="338"/>
      <c r="WUD17" s="338"/>
      <c r="WUE17" s="338"/>
      <c r="WUF17" s="338"/>
      <c r="WUG17" s="338"/>
      <c r="WUH17" s="338"/>
      <c r="WUI17" s="338"/>
      <c r="WUJ17" s="338"/>
      <c r="WUK17" s="338"/>
      <c r="WUL17" s="338"/>
      <c r="WUM17" s="338"/>
      <c r="WUN17" s="338"/>
      <c r="WUO17" s="338"/>
      <c r="WUP17" s="338"/>
      <c r="WUQ17" s="338"/>
      <c r="WUR17" s="338"/>
      <c r="WUS17" s="338"/>
      <c r="WUT17" s="338"/>
      <c r="WUU17" s="338"/>
      <c r="WUV17" s="338"/>
      <c r="WUW17" s="338"/>
      <c r="WUX17" s="338"/>
      <c r="WUY17" s="338"/>
      <c r="WUZ17" s="338"/>
      <c r="WVA17" s="338"/>
      <c r="WVB17" s="338"/>
      <c r="WVC17" s="338"/>
      <c r="WVD17" s="338"/>
      <c r="WVE17" s="338"/>
      <c r="WVF17" s="338"/>
      <c r="WVG17" s="338"/>
      <c r="WVH17" s="338"/>
      <c r="WVI17" s="338"/>
      <c r="WVJ17" s="338"/>
      <c r="WVK17" s="338"/>
      <c r="WVL17" s="338"/>
      <c r="WVM17" s="338"/>
      <c r="WVN17" s="338"/>
      <c r="WVO17" s="338"/>
      <c r="WVP17" s="338"/>
      <c r="WVQ17" s="338"/>
      <c r="WVR17" s="338"/>
      <c r="WVS17" s="338"/>
      <c r="WVT17" s="338"/>
      <c r="WVU17" s="338"/>
      <c r="WVV17" s="338"/>
      <c r="WVW17" s="338"/>
      <c r="WVX17" s="338"/>
      <c r="WVY17" s="338"/>
      <c r="WVZ17" s="338"/>
      <c r="WWA17" s="338"/>
      <c r="WWB17" s="338"/>
      <c r="WWC17" s="338"/>
      <c r="WWD17" s="338"/>
      <c r="WWE17" s="338"/>
      <c r="WWF17" s="338"/>
      <c r="WWG17" s="338"/>
      <c r="WWH17" s="338"/>
      <c r="WWI17" s="338"/>
      <c r="WWJ17" s="338"/>
      <c r="WWK17" s="338"/>
      <c r="WWL17" s="338"/>
      <c r="WWM17" s="338"/>
      <c r="WWN17" s="338"/>
      <c r="WWO17" s="338"/>
      <c r="WWP17" s="338"/>
      <c r="WWQ17" s="338"/>
      <c r="WWR17" s="338"/>
      <c r="WWS17" s="338"/>
      <c r="WWT17" s="338"/>
      <c r="WWU17" s="338"/>
      <c r="WWV17" s="338"/>
      <c r="WWW17" s="338"/>
      <c r="WWX17" s="338"/>
      <c r="WWY17" s="338"/>
      <c r="WWZ17" s="338"/>
      <c r="WXA17" s="338"/>
      <c r="WXB17" s="338"/>
      <c r="WXC17" s="338"/>
      <c r="WXD17" s="338"/>
      <c r="WXE17" s="338"/>
      <c r="WXF17" s="338"/>
      <c r="WXG17" s="338"/>
      <c r="WXH17" s="338"/>
      <c r="WXI17" s="338"/>
      <c r="WXJ17" s="338"/>
      <c r="WXK17" s="338"/>
      <c r="WXL17" s="338"/>
      <c r="WXM17" s="338"/>
      <c r="WXN17" s="338"/>
      <c r="WXO17" s="338"/>
      <c r="WXP17" s="338"/>
      <c r="WXQ17" s="338"/>
      <c r="WXR17" s="338"/>
      <c r="WXS17" s="338"/>
      <c r="WXT17" s="338"/>
      <c r="WXU17" s="338"/>
      <c r="WXV17" s="338"/>
      <c r="WXW17" s="338"/>
      <c r="WXX17" s="338"/>
      <c r="WXY17" s="338"/>
      <c r="WXZ17" s="338"/>
      <c r="WYA17" s="338"/>
      <c r="WYB17" s="338"/>
      <c r="WYC17" s="338"/>
      <c r="WYD17" s="338"/>
      <c r="WYE17" s="338"/>
      <c r="WYF17" s="338"/>
      <c r="WYG17" s="338"/>
      <c r="WYH17" s="338"/>
      <c r="WYI17" s="338"/>
      <c r="WYJ17" s="338"/>
      <c r="WYK17" s="338"/>
      <c r="WYL17" s="338"/>
      <c r="WYM17" s="338"/>
      <c r="WYN17" s="338"/>
      <c r="WYO17" s="338"/>
      <c r="WYP17" s="338"/>
      <c r="WYQ17" s="338"/>
      <c r="WYR17" s="338"/>
      <c r="WYS17" s="338"/>
      <c r="WYT17" s="338"/>
      <c r="WYU17" s="338"/>
      <c r="WYV17" s="338"/>
      <c r="WYW17" s="338"/>
      <c r="WYX17" s="338"/>
      <c r="WYY17" s="338"/>
      <c r="WYZ17" s="338"/>
      <c r="WZA17" s="338"/>
      <c r="WZB17" s="338"/>
      <c r="WZC17" s="338"/>
      <c r="WZD17" s="338"/>
      <c r="WZE17" s="338"/>
      <c r="WZF17" s="338"/>
      <c r="WZG17" s="338"/>
      <c r="WZH17" s="338"/>
      <c r="WZI17" s="338"/>
      <c r="WZJ17" s="338"/>
      <c r="WZK17" s="338"/>
      <c r="WZL17" s="338"/>
      <c r="WZM17" s="338"/>
      <c r="WZN17" s="338"/>
      <c r="WZO17" s="338"/>
      <c r="WZP17" s="338"/>
      <c r="WZQ17" s="338"/>
      <c r="WZR17" s="338"/>
      <c r="WZS17" s="338"/>
      <c r="WZT17" s="338"/>
      <c r="WZU17" s="338"/>
      <c r="WZV17" s="338"/>
      <c r="WZW17" s="338"/>
      <c r="WZX17" s="338"/>
      <c r="WZY17" s="338"/>
      <c r="WZZ17" s="338"/>
      <c r="XAA17" s="338"/>
      <c r="XAB17" s="338"/>
      <c r="XAC17" s="338"/>
      <c r="XAD17" s="338"/>
      <c r="XAE17" s="338"/>
      <c r="XAF17" s="338"/>
      <c r="XAG17" s="338"/>
      <c r="XAH17" s="338"/>
      <c r="XAI17" s="338"/>
      <c r="XAJ17" s="338"/>
      <c r="XAK17" s="338"/>
      <c r="XAL17" s="338"/>
      <c r="XAM17" s="338"/>
      <c r="XAN17" s="338"/>
      <c r="XAO17" s="338"/>
      <c r="XAP17" s="338"/>
      <c r="XAQ17" s="338"/>
      <c r="XAR17" s="338"/>
      <c r="XAS17" s="338"/>
      <c r="XAT17" s="338"/>
      <c r="XAU17" s="338"/>
      <c r="XAV17" s="338"/>
      <c r="XAW17" s="338"/>
      <c r="XAX17" s="338"/>
      <c r="XAY17" s="338"/>
      <c r="XAZ17" s="338"/>
      <c r="XBA17" s="338"/>
      <c r="XBB17" s="338"/>
      <c r="XBC17" s="338"/>
      <c r="XBD17" s="338"/>
      <c r="XBE17" s="338"/>
      <c r="XBF17" s="338"/>
      <c r="XBG17" s="338"/>
      <c r="XBH17" s="338"/>
      <c r="XBI17" s="338"/>
      <c r="XBJ17" s="338"/>
      <c r="XBK17" s="338"/>
      <c r="XBL17" s="338"/>
      <c r="XBM17" s="338"/>
      <c r="XBN17" s="338"/>
      <c r="XBO17" s="338"/>
      <c r="XBP17" s="338"/>
      <c r="XBQ17" s="338"/>
      <c r="XBR17" s="338"/>
      <c r="XBS17" s="338"/>
      <c r="XBT17" s="338"/>
      <c r="XBU17" s="338"/>
      <c r="XBV17" s="338"/>
      <c r="XBW17" s="338"/>
      <c r="XBX17" s="338"/>
      <c r="XBY17" s="338"/>
      <c r="XBZ17" s="338"/>
      <c r="XCA17" s="338"/>
      <c r="XCB17" s="338"/>
      <c r="XCC17" s="338"/>
      <c r="XCD17" s="338"/>
      <c r="XCE17" s="338"/>
      <c r="XCF17" s="338"/>
      <c r="XCG17" s="338"/>
      <c r="XCH17" s="338"/>
      <c r="XCI17" s="338"/>
      <c r="XCJ17" s="338"/>
      <c r="XCK17" s="338"/>
      <c r="XCL17" s="338"/>
      <c r="XCM17" s="338"/>
      <c r="XCN17" s="338"/>
      <c r="XCO17" s="338"/>
      <c r="XCP17" s="338"/>
      <c r="XCQ17" s="338"/>
      <c r="XCR17" s="338"/>
      <c r="XCS17" s="338"/>
      <c r="XCT17" s="338"/>
      <c r="XCU17" s="338"/>
      <c r="XCV17" s="338"/>
      <c r="XCW17" s="338"/>
      <c r="XCX17" s="338"/>
      <c r="XCY17" s="338"/>
      <c r="XCZ17" s="338"/>
      <c r="XDA17" s="338"/>
      <c r="XDB17" s="338"/>
      <c r="XDC17" s="338"/>
      <c r="XDD17" s="338"/>
      <c r="XDE17" s="338"/>
      <c r="XDF17" s="338"/>
      <c r="XDG17" s="338"/>
      <c r="XDH17" s="338"/>
      <c r="XDI17" s="338"/>
      <c r="XDJ17" s="338"/>
      <c r="XDK17" s="338"/>
      <c r="XDL17" s="338"/>
      <c r="XDM17" s="338"/>
      <c r="XDN17" s="338"/>
      <c r="XDO17" s="338"/>
      <c r="XDP17" s="338"/>
      <c r="XDQ17" s="338"/>
      <c r="XDR17" s="338"/>
      <c r="XDS17" s="338"/>
      <c r="XDT17" s="338"/>
      <c r="XDU17" s="338"/>
      <c r="XDV17" s="338"/>
      <c r="XDW17" s="338"/>
      <c r="XDX17" s="338"/>
      <c r="XDY17" s="338"/>
      <c r="XDZ17" s="338"/>
      <c r="XEA17" s="338"/>
      <c r="XEB17" s="338"/>
      <c r="XEC17" s="338"/>
      <c r="XED17" s="338"/>
      <c r="XEE17" s="338"/>
      <c r="XEF17" s="338"/>
      <c r="XEG17" s="338"/>
      <c r="XEH17" s="338"/>
      <c r="XEI17" s="338"/>
      <c r="XEJ17" s="338"/>
      <c r="XEK17" s="338"/>
      <c r="XEL17" s="338"/>
      <c r="XEM17" s="338"/>
      <c r="XEN17" s="338"/>
      <c r="XEO17" s="338"/>
      <c r="XEP17" s="338"/>
      <c r="XEQ17" s="338"/>
      <c r="XER17" s="338"/>
      <c r="XES17" s="338"/>
      <c r="XET17" s="338"/>
      <c r="XEU17" s="338"/>
      <c r="XEV17" s="338"/>
      <c r="XEW17" s="338"/>
      <c r="XEX17" s="338"/>
      <c r="XEY17" s="338"/>
      <c r="XEZ17" s="338"/>
      <c r="XFA17" s="338"/>
      <c r="XFB17" s="338"/>
      <c r="XFC17" s="338"/>
      <c r="XFD17" s="338"/>
    </row>
    <row r="19" spans="1:16384" s="11" customFormat="1" ht="42.6" customHeight="1" x14ac:dyDescent="0.2">
      <c r="B19" s="344" t="s">
        <v>158</v>
      </c>
      <c r="C19" s="344"/>
      <c r="D19" s="344"/>
      <c r="E19" s="344"/>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c r="DT19" s="338"/>
      <c r="DU19" s="338"/>
      <c r="DV19" s="338"/>
      <c r="DW19" s="338"/>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38"/>
      <c r="FK19" s="338"/>
      <c r="FL19" s="338"/>
      <c r="FM19" s="338"/>
      <c r="FN19" s="338"/>
      <c r="FO19" s="338"/>
      <c r="FP19" s="338"/>
      <c r="FQ19" s="338"/>
      <c r="FR19" s="338"/>
      <c r="FS19" s="338"/>
      <c r="FT19" s="338"/>
      <c r="FU19" s="338"/>
      <c r="FV19" s="338"/>
      <c r="FW19" s="338"/>
      <c r="FX19" s="338"/>
      <c r="FY19" s="338"/>
      <c r="FZ19" s="338"/>
      <c r="GA19" s="338"/>
      <c r="GB19" s="338"/>
      <c r="GC19" s="338"/>
      <c r="GD19" s="338"/>
      <c r="GE19" s="338"/>
      <c r="GF19" s="338"/>
      <c r="GG19" s="338"/>
      <c r="GH19" s="338"/>
      <c r="GI19" s="338"/>
      <c r="GJ19" s="338"/>
      <c r="GK19" s="338"/>
      <c r="GL19" s="338"/>
      <c r="GM19" s="338"/>
      <c r="GN19" s="338"/>
      <c r="GO19" s="338"/>
      <c r="GP19" s="338"/>
      <c r="GQ19" s="338"/>
      <c r="GR19" s="338"/>
      <c r="GS19" s="338"/>
      <c r="GT19" s="338"/>
      <c r="GU19" s="338"/>
      <c r="GV19" s="338"/>
      <c r="GW19" s="338"/>
      <c r="GX19" s="338"/>
      <c r="GY19" s="338"/>
      <c r="GZ19" s="338"/>
      <c r="HA19" s="338"/>
      <c r="HB19" s="338"/>
      <c r="HC19" s="338"/>
      <c r="HD19" s="338"/>
      <c r="HE19" s="338"/>
      <c r="HF19" s="338"/>
      <c r="HG19" s="338"/>
      <c r="HH19" s="338"/>
      <c r="HI19" s="338"/>
      <c r="HJ19" s="338"/>
      <c r="HK19" s="338"/>
      <c r="HL19" s="338"/>
      <c r="HM19" s="338"/>
      <c r="HN19" s="338"/>
      <c r="HO19" s="338"/>
      <c r="HP19" s="338"/>
      <c r="HQ19" s="338"/>
      <c r="HR19" s="338"/>
      <c r="HS19" s="338"/>
      <c r="HT19" s="338"/>
      <c r="HU19" s="338"/>
      <c r="HV19" s="338"/>
      <c r="HW19" s="338"/>
      <c r="HX19" s="338"/>
      <c r="HY19" s="338"/>
      <c r="HZ19" s="338"/>
      <c r="IA19" s="338"/>
      <c r="IB19" s="338"/>
      <c r="IC19" s="338"/>
      <c r="ID19" s="338"/>
      <c r="IE19" s="338"/>
      <c r="IF19" s="338"/>
      <c r="IG19" s="338"/>
      <c r="IH19" s="338"/>
      <c r="II19" s="338"/>
      <c r="IJ19" s="338"/>
      <c r="IK19" s="338"/>
      <c r="IL19" s="338"/>
      <c r="IM19" s="338"/>
      <c r="IN19" s="338"/>
      <c r="IO19" s="338"/>
      <c r="IP19" s="338"/>
      <c r="IQ19" s="338"/>
      <c r="IR19" s="338"/>
      <c r="IS19" s="338"/>
      <c r="IT19" s="338"/>
      <c r="IU19" s="338"/>
      <c r="IV19" s="338"/>
      <c r="IW19" s="338"/>
      <c r="IX19" s="338"/>
      <c r="IY19" s="338"/>
      <c r="IZ19" s="338"/>
      <c r="JA19" s="338"/>
      <c r="JB19" s="338"/>
      <c r="JC19" s="338"/>
      <c r="JD19" s="338"/>
      <c r="JE19" s="338"/>
      <c r="JF19" s="338"/>
      <c r="JG19" s="338"/>
      <c r="JH19" s="338"/>
      <c r="JI19" s="338"/>
      <c r="JJ19" s="338"/>
      <c r="JK19" s="338"/>
      <c r="JL19" s="338"/>
      <c r="JM19" s="338"/>
      <c r="JN19" s="338"/>
      <c r="JO19" s="338"/>
      <c r="JP19" s="338"/>
      <c r="JQ19" s="338"/>
      <c r="JR19" s="338"/>
      <c r="JS19" s="338"/>
      <c r="JT19" s="338"/>
      <c r="JU19" s="338"/>
      <c r="JV19" s="338"/>
      <c r="JW19" s="338"/>
      <c r="JX19" s="338"/>
      <c r="JY19" s="338"/>
      <c r="JZ19" s="338"/>
      <c r="KA19" s="338"/>
      <c r="KB19" s="338"/>
      <c r="KC19" s="338"/>
      <c r="KD19" s="338"/>
      <c r="KE19" s="338"/>
      <c r="KF19" s="338"/>
      <c r="KG19" s="338"/>
      <c r="KH19" s="338"/>
      <c r="KI19" s="338"/>
      <c r="KJ19" s="338"/>
      <c r="KK19" s="338"/>
      <c r="KL19" s="338"/>
      <c r="KM19" s="338"/>
      <c r="KN19" s="338"/>
      <c r="KO19" s="338"/>
      <c r="KP19" s="338"/>
      <c r="KQ19" s="338"/>
      <c r="KR19" s="338"/>
      <c r="KS19" s="338"/>
      <c r="KT19" s="338"/>
      <c r="KU19" s="338"/>
      <c r="KV19" s="338"/>
      <c r="KW19" s="338"/>
      <c r="KX19" s="338"/>
      <c r="KY19" s="338"/>
      <c r="KZ19" s="338"/>
      <c r="LA19" s="338"/>
      <c r="LB19" s="338"/>
      <c r="LC19" s="338"/>
      <c r="LD19" s="338"/>
      <c r="LE19" s="338"/>
      <c r="LF19" s="338"/>
      <c r="LG19" s="338"/>
      <c r="LH19" s="338"/>
      <c r="LI19" s="338"/>
      <c r="LJ19" s="338"/>
      <c r="LK19" s="338"/>
      <c r="LL19" s="338"/>
      <c r="LM19" s="338"/>
      <c r="LN19" s="338"/>
      <c r="LO19" s="338"/>
      <c r="LP19" s="338"/>
      <c r="LQ19" s="338"/>
      <c r="LR19" s="338"/>
      <c r="LS19" s="338"/>
      <c r="LT19" s="338"/>
      <c r="LU19" s="338"/>
      <c r="LV19" s="338"/>
      <c r="LW19" s="338"/>
      <c r="LX19" s="338"/>
      <c r="LY19" s="338"/>
      <c r="LZ19" s="338"/>
      <c r="MA19" s="338"/>
      <c r="MB19" s="338"/>
      <c r="MC19" s="338"/>
      <c r="MD19" s="338"/>
      <c r="ME19" s="338"/>
      <c r="MF19" s="338"/>
      <c r="MG19" s="338"/>
      <c r="MH19" s="338"/>
      <c r="MI19" s="338"/>
      <c r="MJ19" s="338"/>
      <c r="MK19" s="338"/>
      <c r="ML19" s="338"/>
      <c r="MM19" s="338"/>
      <c r="MN19" s="338"/>
      <c r="MO19" s="338"/>
      <c r="MP19" s="338"/>
      <c r="MQ19" s="338"/>
      <c r="MR19" s="338"/>
      <c r="MS19" s="338"/>
      <c r="MT19" s="338"/>
      <c r="MU19" s="338"/>
      <c r="MV19" s="338"/>
      <c r="MW19" s="338"/>
      <c r="MX19" s="338"/>
      <c r="MY19" s="338"/>
      <c r="MZ19" s="338"/>
      <c r="NA19" s="338"/>
      <c r="NB19" s="338"/>
      <c r="NC19" s="338"/>
      <c r="ND19" s="338"/>
      <c r="NE19" s="338"/>
      <c r="NF19" s="338"/>
      <c r="NG19" s="338"/>
      <c r="NH19" s="338"/>
      <c r="NI19" s="338"/>
      <c r="NJ19" s="338"/>
      <c r="NK19" s="338"/>
      <c r="NL19" s="338"/>
      <c r="NM19" s="338"/>
      <c r="NN19" s="338"/>
      <c r="NO19" s="338"/>
      <c r="NP19" s="338"/>
      <c r="NQ19" s="338"/>
      <c r="NR19" s="338"/>
      <c r="NS19" s="338"/>
      <c r="NT19" s="338"/>
      <c r="NU19" s="338"/>
      <c r="NV19" s="338"/>
      <c r="NW19" s="338"/>
      <c r="NX19" s="338"/>
      <c r="NY19" s="338"/>
      <c r="NZ19" s="338"/>
      <c r="OA19" s="338"/>
      <c r="OB19" s="338"/>
      <c r="OC19" s="338"/>
      <c r="OD19" s="338"/>
      <c r="OE19" s="338"/>
      <c r="OF19" s="338"/>
      <c r="OG19" s="338"/>
      <c r="OH19" s="338"/>
      <c r="OI19" s="338"/>
      <c r="OJ19" s="338"/>
      <c r="OK19" s="338"/>
      <c r="OL19" s="338"/>
      <c r="OM19" s="338"/>
      <c r="ON19" s="338"/>
      <c r="OO19" s="338"/>
      <c r="OP19" s="338"/>
      <c r="OQ19" s="338"/>
      <c r="OR19" s="338"/>
      <c r="OS19" s="338"/>
      <c r="OT19" s="338"/>
      <c r="OU19" s="338"/>
      <c r="OV19" s="338"/>
      <c r="OW19" s="338"/>
      <c r="OX19" s="338"/>
      <c r="OY19" s="338"/>
      <c r="OZ19" s="338"/>
      <c r="PA19" s="338"/>
      <c r="PB19" s="338"/>
      <c r="PC19" s="338"/>
      <c r="PD19" s="338"/>
      <c r="PE19" s="338"/>
      <c r="PF19" s="338"/>
      <c r="PG19" s="338"/>
      <c r="PH19" s="338"/>
      <c r="PI19" s="338"/>
      <c r="PJ19" s="338"/>
      <c r="PK19" s="338"/>
      <c r="PL19" s="338"/>
      <c r="PM19" s="338"/>
      <c r="PN19" s="338"/>
      <c r="PO19" s="338"/>
      <c r="PP19" s="338"/>
      <c r="PQ19" s="338"/>
      <c r="PR19" s="338"/>
      <c r="PS19" s="338"/>
      <c r="PT19" s="338"/>
      <c r="PU19" s="338"/>
      <c r="PV19" s="338"/>
      <c r="PW19" s="338"/>
      <c r="PX19" s="338"/>
      <c r="PY19" s="338"/>
      <c r="PZ19" s="338"/>
      <c r="QA19" s="338"/>
      <c r="QB19" s="338"/>
      <c r="QC19" s="338"/>
      <c r="QD19" s="338"/>
      <c r="QE19" s="338"/>
      <c r="QF19" s="338"/>
      <c r="QG19" s="338"/>
      <c r="QH19" s="338"/>
      <c r="QI19" s="338"/>
      <c r="QJ19" s="338"/>
      <c r="QK19" s="338"/>
      <c r="QL19" s="338"/>
      <c r="QM19" s="338"/>
      <c r="QN19" s="338"/>
      <c r="QO19" s="338"/>
      <c r="QP19" s="338"/>
      <c r="QQ19" s="338"/>
      <c r="QR19" s="338"/>
      <c r="QS19" s="338"/>
      <c r="QT19" s="338"/>
      <c r="QU19" s="338"/>
      <c r="QV19" s="338"/>
      <c r="QW19" s="338"/>
      <c r="QX19" s="338"/>
      <c r="QY19" s="338"/>
      <c r="QZ19" s="338"/>
      <c r="RA19" s="338"/>
      <c r="RB19" s="338"/>
      <c r="RC19" s="338"/>
      <c r="RD19" s="338"/>
      <c r="RE19" s="338"/>
      <c r="RF19" s="338"/>
      <c r="RG19" s="338"/>
      <c r="RH19" s="338"/>
      <c r="RI19" s="338"/>
      <c r="RJ19" s="338"/>
      <c r="RK19" s="338"/>
      <c r="RL19" s="338"/>
      <c r="RM19" s="338"/>
      <c r="RN19" s="338"/>
      <c r="RO19" s="338"/>
      <c r="RP19" s="338"/>
      <c r="RQ19" s="338"/>
      <c r="RR19" s="338"/>
      <c r="RS19" s="338"/>
      <c r="RT19" s="338"/>
      <c r="RU19" s="338"/>
      <c r="RV19" s="338"/>
      <c r="RW19" s="338"/>
      <c r="RX19" s="338"/>
      <c r="RY19" s="338"/>
      <c r="RZ19" s="338"/>
      <c r="SA19" s="338"/>
      <c r="SB19" s="338"/>
      <c r="SC19" s="338"/>
      <c r="SD19" s="338"/>
      <c r="SE19" s="338"/>
      <c r="SF19" s="338"/>
      <c r="SG19" s="338"/>
      <c r="SH19" s="338"/>
      <c r="SI19" s="338"/>
      <c r="SJ19" s="338"/>
      <c r="SK19" s="338"/>
      <c r="SL19" s="338"/>
      <c r="SM19" s="338"/>
      <c r="SN19" s="338"/>
      <c r="SO19" s="338"/>
      <c r="SP19" s="338"/>
      <c r="SQ19" s="338"/>
      <c r="SR19" s="338"/>
      <c r="SS19" s="338"/>
      <c r="ST19" s="338"/>
      <c r="SU19" s="338"/>
      <c r="SV19" s="338"/>
      <c r="SW19" s="338"/>
      <c r="SX19" s="338"/>
      <c r="SY19" s="338"/>
      <c r="SZ19" s="338"/>
      <c r="TA19" s="338"/>
      <c r="TB19" s="338"/>
      <c r="TC19" s="338"/>
      <c r="TD19" s="338"/>
      <c r="TE19" s="338"/>
      <c r="TF19" s="338"/>
      <c r="TG19" s="338"/>
      <c r="TH19" s="338"/>
      <c r="TI19" s="338"/>
      <c r="TJ19" s="338"/>
      <c r="TK19" s="338"/>
      <c r="TL19" s="338"/>
      <c r="TM19" s="338"/>
      <c r="TN19" s="338"/>
      <c r="TO19" s="338"/>
      <c r="TP19" s="338"/>
      <c r="TQ19" s="338"/>
      <c r="TR19" s="338"/>
      <c r="TS19" s="338"/>
      <c r="TT19" s="338"/>
      <c r="TU19" s="338"/>
      <c r="TV19" s="338"/>
      <c r="TW19" s="338"/>
      <c r="TX19" s="338"/>
      <c r="TY19" s="338"/>
      <c r="TZ19" s="338"/>
      <c r="UA19" s="338"/>
      <c r="UB19" s="338"/>
      <c r="UC19" s="338"/>
      <c r="UD19" s="338"/>
      <c r="UE19" s="338"/>
      <c r="UF19" s="338"/>
      <c r="UG19" s="338"/>
      <c r="UH19" s="338"/>
      <c r="UI19" s="338"/>
      <c r="UJ19" s="338"/>
      <c r="UK19" s="338"/>
      <c r="UL19" s="338"/>
      <c r="UM19" s="338"/>
      <c r="UN19" s="338"/>
      <c r="UO19" s="338"/>
      <c r="UP19" s="338"/>
      <c r="UQ19" s="338"/>
      <c r="UR19" s="338"/>
      <c r="US19" s="338"/>
      <c r="UT19" s="338"/>
      <c r="UU19" s="338"/>
      <c r="UV19" s="338"/>
      <c r="UW19" s="338"/>
      <c r="UX19" s="338"/>
      <c r="UY19" s="338"/>
      <c r="UZ19" s="338"/>
      <c r="VA19" s="338"/>
      <c r="VB19" s="338"/>
      <c r="VC19" s="338"/>
      <c r="VD19" s="338"/>
      <c r="VE19" s="338"/>
      <c r="VF19" s="338"/>
      <c r="VG19" s="338"/>
      <c r="VH19" s="338"/>
      <c r="VI19" s="338"/>
      <c r="VJ19" s="338"/>
      <c r="VK19" s="338"/>
      <c r="VL19" s="338"/>
      <c r="VM19" s="338"/>
      <c r="VN19" s="338"/>
      <c r="VO19" s="338"/>
      <c r="VP19" s="338"/>
      <c r="VQ19" s="338"/>
      <c r="VR19" s="338"/>
      <c r="VS19" s="338"/>
      <c r="VT19" s="338"/>
      <c r="VU19" s="338"/>
      <c r="VV19" s="338"/>
      <c r="VW19" s="338"/>
      <c r="VX19" s="338"/>
      <c r="VY19" s="338"/>
      <c r="VZ19" s="338"/>
      <c r="WA19" s="338"/>
      <c r="WB19" s="338"/>
      <c r="WC19" s="338"/>
      <c r="WD19" s="338"/>
      <c r="WE19" s="338"/>
      <c r="WF19" s="338"/>
      <c r="WG19" s="338"/>
      <c r="WH19" s="338"/>
      <c r="WI19" s="338"/>
      <c r="WJ19" s="338"/>
      <c r="WK19" s="338"/>
      <c r="WL19" s="338"/>
      <c r="WM19" s="338"/>
      <c r="WN19" s="338"/>
      <c r="WO19" s="338"/>
      <c r="WP19" s="338"/>
      <c r="WQ19" s="338"/>
      <c r="WR19" s="338"/>
      <c r="WS19" s="338"/>
      <c r="WT19" s="338"/>
      <c r="WU19" s="338"/>
      <c r="WV19" s="338"/>
      <c r="WW19" s="338"/>
      <c r="WX19" s="338"/>
      <c r="WY19" s="338"/>
      <c r="WZ19" s="338"/>
      <c r="XA19" s="338"/>
      <c r="XB19" s="338"/>
      <c r="XC19" s="338"/>
      <c r="XD19" s="338"/>
      <c r="XE19" s="338"/>
      <c r="XF19" s="338"/>
      <c r="XG19" s="338"/>
      <c r="XH19" s="338"/>
      <c r="XI19" s="338"/>
      <c r="XJ19" s="338"/>
      <c r="XK19" s="338"/>
      <c r="XL19" s="338"/>
      <c r="XM19" s="338"/>
      <c r="XN19" s="338"/>
      <c r="XO19" s="338"/>
      <c r="XP19" s="338"/>
      <c r="XQ19" s="338"/>
      <c r="XR19" s="338"/>
      <c r="XS19" s="338"/>
      <c r="XT19" s="338"/>
      <c r="XU19" s="338"/>
      <c r="XV19" s="338"/>
      <c r="XW19" s="338"/>
      <c r="XX19" s="338"/>
      <c r="XY19" s="338"/>
      <c r="XZ19" s="338"/>
      <c r="YA19" s="338"/>
      <c r="YB19" s="338"/>
      <c r="YC19" s="338"/>
      <c r="YD19" s="338"/>
      <c r="YE19" s="338"/>
      <c r="YF19" s="338"/>
      <c r="YG19" s="338"/>
      <c r="YH19" s="338"/>
      <c r="YI19" s="338"/>
      <c r="YJ19" s="338"/>
      <c r="YK19" s="338"/>
      <c r="YL19" s="338"/>
      <c r="YM19" s="338"/>
      <c r="YN19" s="338"/>
      <c r="YO19" s="338"/>
      <c r="YP19" s="338"/>
      <c r="YQ19" s="338"/>
      <c r="YR19" s="338"/>
      <c r="YS19" s="338"/>
      <c r="YT19" s="338"/>
      <c r="YU19" s="338"/>
      <c r="YV19" s="338"/>
      <c r="YW19" s="338"/>
      <c r="YX19" s="338"/>
      <c r="YY19" s="338"/>
      <c r="YZ19" s="338"/>
      <c r="ZA19" s="338"/>
      <c r="ZB19" s="338"/>
      <c r="ZC19" s="338"/>
      <c r="ZD19" s="338"/>
      <c r="ZE19" s="338"/>
      <c r="ZF19" s="338"/>
      <c r="ZG19" s="338"/>
      <c r="ZH19" s="338"/>
      <c r="ZI19" s="338"/>
      <c r="ZJ19" s="338"/>
      <c r="ZK19" s="338"/>
      <c r="ZL19" s="338"/>
      <c r="ZM19" s="338"/>
      <c r="ZN19" s="338"/>
      <c r="ZO19" s="338"/>
      <c r="ZP19" s="338"/>
      <c r="ZQ19" s="338"/>
      <c r="ZR19" s="338"/>
      <c r="ZS19" s="338"/>
      <c r="ZT19" s="338"/>
      <c r="ZU19" s="338"/>
      <c r="ZV19" s="338"/>
      <c r="ZW19" s="338"/>
      <c r="ZX19" s="338"/>
      <c r="ZY19" s="338"/>
      <c r="ZZ19" s="338"/>
      <c r="AAA19" s="338"/>
      <c r="AAB19" s="338"/>
      <c r="AAC19" s="338"/>
      <c r="AAD19" s="338"/>
      <c r="AAE19" s="338"/>
      <c r="AAF19" s="338"/>
      <c r="AAG19" s="338"/>
      <c r="AAH19" s="338"/>
      <c r="AAI19" s="338"/>
      <c r="AAJ19" s="338"/>
      <c r="AAK19" s="338"/>
      <c r="AAL19" s="338"/>
      <c r="AAM19" s="338"/>
      <c r="AAN19" s="338"/>
      <c r="AAO19" s="338"/>
      <c r="AAP19" s="338"/>
      <c r="AAQ19" s="338"/>
      <c r="AAR19" s="338"/>
      <c r="AAS19" s="338"/>
      <c r="AAT19" s="338"/>
      <c r="AAU19" s="338"/>
      <c r="AAV19" s="338"/>
      <c r="AAW19" s="338"/>
      <c r="AAX19" s="338"/>
      <c r="AAY19" s="338"/>
      <c r="AAZ19" s="338"/>
      <c r="ABA19" s="338"/>
      <c r="ABB19" s="338"/>
      <c r="ABC19" s="338"/>
      <c r="ABD19" s="338"/>
      <c r="ABE19" s="338"/>
      <c r="ABF19" s="338"/>
      <c r="ABG19" s="338"/>
      <c r="ABH19" s="338"/>
      <c r="ABI19" s="338"/>
      <c r="ABJ19" s="338"/>
      <c r="ABK19" s="338"/>
      <c r="ABL19" s="338"/>
      <c r="ABM19" s="338"/>
      <c r="ABN19" s="338"/>
      <c r="ABO19" s="338"/>
      <c r="ABP19" s="338"/>
      <c r="ABQ19" s="338"/>
      <c r="ABR19" s="338"/>
      <c r="ABS19" s="338"/>
      <c r="ABT19" s="338"/>
      <c r="ABU19" s="338"/>
      <c r="ABV19" s="338"/>
      <c r="ABW19" s="338"/>
      <c r="ABX19" s="338"/>
      <c r="ABY19" s="338"/>
      <c r="ABZ19" s="338"/>
      <c r="ACA19" s="338"/>
      <c r="ACB19" s="338"/>
      <c r="ACC19" s="338"/>
      <c r="ACD19" s="338"/>
      <c r="ACE19" s="338"/>
      <c r="ACF19" s="338"/>
      <c r="ACG19" s="338"/>
      <c r="ACH19" s="338"/>
      <c r="ACI19" s="338"/>
      <c r="ACJ19" s="338"/>
      <c r="ACK19" s="338"/>
      <c r="ACL19" s="338"/>
      <c r="ACM19" s="338"/>
      <c r="ACN19" s="338"/>
      <c r="ACO19" s="338"/>
      <c r="ACP19" s="338"/>
      <c r="ACQ19" s="338"/>
      <c r="ACR19" s="338"/>
      <c r="ACS19" s="338"/>
      <c r="ACT19" s="338"/>
      <c r="ACU19" s="338"/>
      <c r="ACV19" s="338"/>
      <c r="ACW19" s="338"/>
      <c r="ACX19" s="338"/>
      <c r="ACY19" s="338"/>
      <c r="ACZ19" s="338"/>
      <c r="ADA19" s="338"/>
      <c r="ADB19" s="338"/>
      <c r="ADC19" s="338"/>
      <c r="ADD19" s="338"/>
      <c r="ADE19" s="338"/>
      <c r="ADF19" s="338"/>
      <c r="ADG19" s="338"/>
      <c r="ADH19" s="338"/>
      <c r="ADI19" s="338"/>
      <c r="ADJ19" s="338"/>
      <c r="ADK19" s="338"/>
      <c r="ADL19" s="338"/>
      <c r="ADM19" s="338"/>
      <c r="ADN19" s="338"/>
      <c r="ADO19" s="338"/>
      <c r="ADP19" s="338"/>
      <c r="ADQ19" s="338"/>
      <c r="ADR19" s="338"/>
      <c r="ADS19" s="338"/>
      <c r="ADT19" s="338"/>
      <c r="ADU19" s="338"/>
      <c r="ADV19" s="338"/>
      <c r="ADW19" s="338"/>
      <c r="ADX19" s="338"/>
      <c r="ADY19" s="338"/>
      <c r="ADZ19" s="338"/>
      <c r="AEA19" s="338"/>
      <c r="AEB19" s="338"/>
      <c r="AEC19" s="338"/>
      <c r="AED19" s="338"/>
      <c r="AEE19" s="338"/>
      <c r="AEF19" s="338"/>
      <c r="AEG19" s="338"/>
      <c r="AEH19" s="338"/>
      <c r="AEI19" s="338"/>
      <c r="AEJ19" s="338"/>
      <c r="AEK19" s="338"/>
      <c r="AEL19" s="338"/>
      <c r="AEM19" s="338"/>
      <c r="AEN19" s="338"/>
      <c r="AEO19" s="338"/>
      <c r="AEP19" s="338"/>
      <c r="AEQ19" s="338"/>
      <c r="AER19" s="338"/>
      <c r="AES19" s="338"/>
      <c r="AET19" s="338"/>
      <c r="AEU19" s="338"/>
      <c r="AEV19" s="338"/>
      <c r="AEW19" s="338"/>
      <c r="AEX19" s="338"/>
      <c r="AEY19" s="338"/>
      <c r="AEZ19" s="338"/>
      <c r="AFA19" s="338"/>
      <c r="AFB19" s="338"/>
      <c r="AFC19" s="338"/>
      <c r="AFD19" s="338"/>
      <c r="AFE19" s="338"/>
      <c r="AFF19" s="338"/>
      <c r="AFG19" s="338"/>
      <c r="AFH19" s="338"/>
      <c r="AFI19" s="338"/>
      <c r="AFJ19" s="338"/>
      <c r="AFK19" s="338"/>
      <c r="AFL19" s="338"/>
      <c r="AFM19" s="338"/>
      <c r="AFN19" s="338"/>
      <c r="AFO19" s="338"/>
      <c r="AFP19" s="338"/>
      <c r="AFQ19" s="338"/>
      <c r="AFR19" s="338"/>
      <c r="AFS19" s="338"/>
      <c r="AFT19" s="338"/>
      <c r="AFU19" s="338"/>
      <c r="AFV19" s="338"/>
      <c r="AFW19" s="338"/>
      <c r="AFX19" s="338"/>
      <c r="AFY19" s="338"/>
      <c r="AFZ19" s="338"/>
      <c r="AGA19" s="338"/>
      <c r="AGB19" s="338"/>
      <c r="AGC19" s="338"/>
      <c r="AGD19" s="338"/>
      <c r="AGE19" s="338"/>
      <c r="AGF19" s="338"/>
      <c r="AGG19" s="338"/>
      <c r="AGH19" s="338"/>
      <c r="AGI19" s="338"/>
      <c r="AGJ19" s="338"/>
      <c r="AGK19" s="338"/>
      <c r="AGL19" s="338"/>
      <c r="AGM19" s="338"/>
      <c r="AGN19" s="338"/>
      <c r="AGO19" s="338"/>
      <c r="AGP19" s="338"/>
      <c r="AGQ19" s="338"/>
      <c r="AGR19" s="338"/>
      <c r="AGS19" s="338"/>
      <c r="AGT19" s="338"/>
      <c r="AGU19" s="338"/>
      <c r="AGV19" s="338"/>
      <c r="AGW19" s="338"/>
      <c r="AGX19" s="338"/>
      <c r="AGY19" s="338"/>
      <c r="AGZ19" s="338"/>
      <c r="AHA19" s="338"/>
      <c r="AHB19" s="338"/>
      <c r="AHC19" s="338"/>
      <c r="AHD19" s="338"/>
      <c r="AHE19" s="338"/>
      <c r="AHF19" s="338"/>
      <c r="AHG19" s="338"/>
      <c r="AHH19" s="338"/>
      <c r="AHI19" s="338"/>
      <c r="AHJ19" s="338"/>
      <c r="AHK19" s="338"/>
      <c r="AHL19" s="338"/>
      <c r="AHM19" s="338"/>
      <c r="AHN19" s="338"/>
      <c r="AHO19" s="338"/>
      <c r="AHP19" s="338"/>
      <c r="AHQ19" s="338"/>
      <c r="AHR19" s="338"/>
      <c r="AHS19" s="338"/>
      <c r="AHT19" s="338"/>
      <c r="AHU19" s="338"/>
      <c r="AHV19" s="338"/>
      <c r="AHW19" s="338"/>
      <c r="AHX19" s="338"/>
      <c r="AHY19" s="338"/>
      <c r="AHZ19" s="338"/>
      <c r="AIA19" s="338"/>
      <c r="AIB19" s="338"/>
      <c r="AIC19" s="338"/>
      <c r="AID19" s="338"/>
      <c r="AIE19" s="338"/>
      <c r="AIF19" s="338"/>
      <c r="AIG19" s="338"/>
      <c r="AIH19" s="338"/>
      <c r="AII19" s="338"/>
      <c r="AIJ19" s="338"/>
      <c r="AIK19" s="338"/>
      <c r="AIL19" s="338"/>
      <c r="AIM19" s="338"/>
      <c r="AIN19" s="338"/>
      <c r="AIO19" s="338"/>
      <c r="AIP19" s="338"/>
      <c r="AIQ19" s="338"/>
      <c r="AIR19" s="338"/>
      <c r="AIS19" s="338"/>
      <c r="AIT19" s="338"/>
      <c r="AIU19" s="338"/>
      <c r="AIV19" s="338"/>
      <c r="AIW19" s="338"/>
      <c r="AIX19" s="338"/>
      <c r="AIY19" s="338"/>
      <c r="AIZ19" s="338"/>
      <c r="AJA19" s="338"/>
      <c r="AJB19" s="338"/>
      <c r="AJC19" s="338"/>
      <c r="AJD19" s="338"/>
      <c r="AJE19" s="338"/>
      <c r="AJF19" s="338"/>
      <c r="AJG19" s="338"/>
      <c r="AJH19" s="338"/>
      <c r="AJI19" s="338"/>
      <c r="AJJ19" s="338"/>
      <c r="AJK19" s="338"/>
      <c r="AJL19" s="338"/>
      <c r="AJM19" s="338"/>
      <c r="AJN19" s="338"/>
      <c r="AJO19" s="338"/>
      <c r="AJP19" s="338"/>
      <c r="AJQ19" s="338"/>
      <c r="AJR19" s="338"/>
      <c r="AJS19" s="338"/>
      <c r="AJT19" s="338"/>
      <c r="AJU19" s="338"/>
      <c r="AJV19" s="338"/>
      <c r="AJW19" s="338"/>
      <c r="AJX19" s="338"/>
      <c r="AJY19" s="338"/>
      <c r="AJZ19" s="338"/>
      <c r="AKA19" s="338"/>
      <c r="AKB19" s="338"/>
      <c r="AKC19" s="338"/>
      <c r="AKD19" s="338"/>
      <c r="AKE19" s="338"/>
      <c r="AKF19" s="338"/>
      <c r="AKG19" s="338"/>
      <c r="AKH19" s="338"/>
      <c r="AKI19" s="338"/>
      <c r="AKJ19" s="338"/>
      <c r="AKK19" s="338"/>
      <c r="AKL19" s="338"/>
      <c r="AKM19" s="338"/>
      <c r="AKN19" s="338"/>
      <c r="AKO19" s="338"/>
      <c r="AKP19" s="338"/>
      <c r="AKQ19" s="338"/>
      <c r="AKR19" s="338"/>
      <c r="AKS19" s="338"/>
      <c r="AKT19" s="338"/>
      <c r="AKU19" s="338"/>
      <c r="AKV19" s="338"/>
      <c r="AKW19" s="338"/>
      <c r="AKX19" s="338"/>
      <c r="AKY19" s="338"/>
      <c r="AKZ19" s="338"/>
      <c r="ALA19" s="338"/>
      <c r="ALB19" s="338"/>
      <c r="ALC19" s="338"/>
      <c r="ALD19" s="338"/>
      <c r="ALE19" s="338"/>
      <c r="ALF19" s="338"/>
      <c r="ALG19" s="338"/>
      <c r="ALH19" s="338"/>
      <c r="ALI19" s="338"/>
      <c r="ALJ19" s="338"/>
      <c r="ALK19" s="338"/>
      <c r="ALL19" s="338"/>
      <c r="ALM19" s="338"/>
      <c r="ALN19" s="338"/>
      <c r="ALO19" s="338"/>
      <c r="ALP19" s="338"/>
      <c r="ALQ19" s="338"/>
      <c r="ALR19" s="338"/>
      <c r="ALS19" s="338"/>
      <c r="ALT19" s="338"/>
      <c r="ALU19" s="338"/>
      <c r="ALV19" s="338"/>
      <c r="ALW19" s="338"/>
      <c r="ALX19" s="338"/>
      <c r="ALY19" s="338"/>
      <c r="ALZ19" s="338"/>
      <c r="AMA19" s="338"/>
      <c r="AMB19" s="338"/>
      <c r="AMC19" s="338"/>
      <c r="AMD19" s="338"/>
      <c r="AME19" s="338"/>
      <c r="AMF19" s="338"/>
      <c r="AMG19" s="338"/>
      <c r="AMH19" s="338"/>
      <c r="AMI19" s="338"/>
      <c r="AMJ19" s="338"/>
      <c r="AMK19" s="338"/>
      <c r="AML19" s="338"/>
      <c r="AMM19" s="338"/>
      <c r="AMN19" s="338"/>
      <c r="AMO19" s="338"/>
      <c r="AMP19" s="338"/>
      <c r="AMQ19" s="338"/>
      <c r="AMR19" s="338"/>
      <c r="AMS19" s="338"/>
      <c r="AMT19" s="338"/>
      <c r="AMU19" s="338"/>
      <c r="AMV19" s="338"/>
      <c r="AMW19" s="338"/>
      <c r="AMX19" s="338"/>
      <c r="AMY19" s="338"/>
      <c r="AMZ19" s="338"/>
      <c r="ANA19" s="338"/>
      <c r="ANB19" s="338"/>
      <c r="ANC19" s="338"/>
      <c r="AND19" s="338"/>
      <c r="ANE19" s="338"/>
      <c r="ANF19" s="338"/>
      <c r="ANG19" s="338"/>
      <c r="ANH19" s="338"/>
      <c r="ANI19" s="338"/>
      <c r="ANJ19" s="338"/>
      <c r="ANK19" s="338"/>
      <c r="ANL19" s="338"/>
      <c r="ANM19" s="338"/>
      <c r="ANN19" s="338"/>
      <c r="ANO19" s="338"/>
      <c r="ANP19" s="338"/>
      <c r="ANQ19" s="338"/>
      <c r="ANR19" s="338"/>
      <c r="ANS19" s="338"/>
      <c r="ANT19" s="338"/>
      <c r="ANU19" s="338"/>
      <c r="ANV19" s="338"/>
      <c r="ANW19" s="338"/>
      <c r="ANX19" s="338"/>
      <c r="ANY19" s="338"/>
      <c r="ANZ19" s="338"/>
      <c r="AOA19" s="338"/>
      <c r="AOB19" s="338"/>
      <c r="AOC19" s="338"/>
      <c r="AOD19" s="338"/>
      <c r="AOE19" s="338"/>
      <c r="AOF19" s="338"/>
      <c r="AOG19" s="338"/>
      <c r="AOH19" s="338"/>
      <c r="AOI19" s="338"/>
      <c r="AOJ19" s="338"/>
      <c r="AOK19" s="338"/>
      <c r="AOL19" s="338"/>
      <c r="AOM19" s="338"/>
      <c r="AON19" s="338"/>
      <c r="AOO19" s="338"/>
      <c r="AOP19" s="338"/>
      <c r="AOQ19" s="338"/>
      <c r="AOR19" s="338"/>
      <c r="AOS19" s="338"/>
      <c r="AOT19" s="338"/>
      <c r="AOU19" s="338"/>
      <c r="AOV19" s="338"/>
      <c r="AOW19" s="338"/>
      <c r="AOX19" s="338"/>
      <c r="AOY19" s="338"/>
      <c r="AOZ19" s="338"/>
      <c r="APA19" s="338"/>
      <c r="APB19" s="338"/>
      <c r="APC19" s="338"/>
      <c r="APD19" s="338"/>
      <c r="APE19" s="338"/>
      <c r="APF19" s="338"/>
      <c r="APG19" s="338"/>
      <c r="APH19" s="338"/>
      <c r="API19" s="338"/>
      <c r="APJ19" s="338"/>
      <c r="APK19" s="338"/>
      <c r="APL19" s="338"/>
      <c r="APM19" s="338"/>
      <c r="APN19" s="338"/>
      <c r="APO19" s="338"/>
      <c r="APP19" s="338"/>
      <c r="APQ19" s="338"/>
      <c r="APR19" s="338"/>
      <c r="APS19" s="338"/>
      <c r="APT19" s="338"/>
      <c r="APU19" s="338"/>
      <c r="APV19" s="338"/>
      <c r="APW19" s="338"/>
      <c r="APX19" s="338"/>
      <c r="APY19" s="338"/>
      <c r="APZ19" s="338"/>
      <c r="AQA19" s="338"/>
      <c r="AQB19" s="338"/>
      <c r="AQC19" s="338"/>
      <c r="AQD19" s="338"/>
      <c r="AQE19" s="338"/>
      <c r="AQF19" s="338"/>
      <c r="AQG19" s="338"/>
      <c r="AQH19" s="338"/>
      <c r="AQI19" s="338"/>
      <c r="AQJ19" s="338"/>
      <c r="AQK19" s="338"/>
      <c r="AQL19" s="338"/>
      <c r="AQM19" s="338"/>
      <c r="AQN19" s="338"/>
      <c r="AQO19" s="338"/>
      <c r="AQP19" s="338"/>
      <c r="AQQ19" s="338"/>
      <c r="AQR19" s="338"/>
      <c r="AQS19" s="338"/>
      <c r="AQT19" s="338"/>
      <c r="AQU19" s="338"/>
      <c r="AQV19" s="338"/>
      <c r="AQW19" s="338"/>
      <c r="AQX19" s="338"/>
      <c r="AQY19" s="338"/>
      <c r="AQZ19" s="338"/>
      <c r="ARA19" s="338"/>
      <c r="ARB19" s="338"/>
      <c r="ARC19" s="338"/>
      <c r="ARD19" s="338"/>
      <c r="ARE19" s="338"/>
      <c r="ARF19" s="338"/>
      <c r="ARG19" s="338"/>
      <c r="ARH19" s="338"/>
      <c r="ARI19" s="338"/>
      <c r="ARJ19" s="338"/>
      <c r="ARK19" s="338"/>
      <c r="ARL19" s="338"/>
      <c r="ARM19" s="338"/>
      <c r="ARN19" s="338"/>
      <c r="ARO19" s="338"/>
      <c r="ARP19" s="338"/>
      <c r="ARQ19" s="338"/>
      <c r="ARR19" s="338"/>
      <c r="ARS19" s="338"/>
      <c r="ART19" s="338"/>
      <c r="ARU19" s="338"/>
      <c r="ARV19" s="338"/>
      <c r="ARW19" s="338"/>
      <c r="ARX19" s="338"/>
      <c r="ARY19" s="338"/>
      <c r="ARZ19" s="338"/>
      <c r="ASA19" s="338"/>
      <c r="ASB19" s="338"/>
      <c r="ASC19" s="338"/>
      <c r="ASD19" s="338"/>
      <c r="ASE19" s="338"/>
      <c r="ASF19" s="338"/>
      <c r="ASG19" s="338"/>
      <c r="ASH19" s="338"/>
      <c r="ASI19" s="338"/>
      <c r="ASJ19" s="338"/>
      <c r="ASK19" s="338"/>
      <c r="ASL19" s="338"/>
      <c r="ASM19" s="338"/>
      <c r="ASN19" s="338"/>
      <c r="ASO19" s="338"/>
      <c r="ASP19" s="338"/>
      <c r="ASQ19" s="338"/>
      <c r="ASR19" s="338"/>
      <c r="ASS19" s="338"/>
      <c r="AST19" s="338"/>
      <c r="ASU19" s="338"/>
      <c r="ASV19" s="338"/>
      <c r="ASW19" s="338"/>
      <c r="ASX19" s="338"/>
      <c r="ASY19" s="338"/>
      <c r="ASZ19" s="338"/>
      <c r="ATA19" s="338"/>
      <c r="ATB19" s="338"/>
      <c r="ATC19" s="338"/>
      <c r="ATD19" s="338"/>
      <c r="ATE19" s="338"/>
      <c r="ATF19" s="338"/>
      <c r="ATG19" s="338"/>
      <c r="ATH19" s="338"/>
      <c r="ATI19" s="338"/>
      <c r="ATJ19" s="338"/>
      <c r="ATK19" s="338"/>
      <c r="ATL19" s="338"/>
      <c r="ATM19" s="338"/>
      <c r="ATN19" s="338"/>
      <c r="ATO19" s="338"/>
      <c r="ATP19" s="338"/>
      <c r="ATQ19" s="338"/>
      <c r="ATR19" s="338"/>
      <c r="ATS19" s="338"/>
      <c r="ATT19" s="338"/>
      <c r="ATU19" s="338"/>
      <c r="ATV19" s="338"/>
      <c r="ATW19" s="338"/>
      <c r="ATX19" s="338"/>
      <c r="ATY19" s="338"/>
      <c r="ATZ19" s="338"/>
      <c r="AUA19" s="338"/>
      <c r="AUB19" s="338"/>
      <c r="AUC19" s="338"/>
      <c r="AUD19" s="338"/>
      <c r="AUE19" s="338"/>
      <c r="AUF19" s="338"/>
      <c r="AUG19" s="338"/>
      <c r="AUH19" s="338"/>
      <c r="AUI19" s="338"/>
      <c r="AUJ19" s="338"/>
      <c r="AUK19" s="338"/>
      <c r="AUL19" s="338"/>
      <c r="AUM19" s="338"/>
      <c r="AUN19" s="338"/>
      <c r="AUO19" s="338"/>
      <c r="AUP19" s="338"/>
      <c r="AUQ19" s="338"/>
      <c r="AUR19" s="338"/>
      <c r="AUS19" s="338"/>
      <c r="AUT19" s="338"/>
      <c r="AUU19" s="338"/>
      <c r="AUV19" s="338"/>
      <c r="AUW19" s="338"/>
      <c r="AUX19" s="338"/>
      <c r="AUY19" s="338"/>
      <c r="AUZ19" s="338"/>
      <c r="AVA19" s="338"/>
      <c r="AVB19" s="338"/>
      <c r="AVC19" s="338"/>
      <c r="AVD19" s="338"/>
      <c r="AVE19" s="338"/>
      <c r="AVF19" s="338"/>
      <c r="AVG19" s="338"/>
      <c r="AVH19" s="338"/>
      <c r="AVI19" s="338"/>
      <c r="AVJ19" s="338"/>
      <c r="AVK19" s="338"/>
      <c r="AVL19" s="338"/>
      <c r="AVM19" s="338"/>
      <c r="AVN19" s="338"/>
      <c r="AVO19" s="338"/>
      <c r="AVP19" s="338"/>
      <c r="AVQ19" s="338"/>
      <c r="AVR19" s="338"/>
      <c r="AVS19" s="338"/>
      <c r="AVT19" s="338"/>
      <c r="AVU19" s="338"/>
      <c r="AVV19" s="338"/>
      <c r="AVW19" s="338"/>
      <c r="AVX19" s="338"/>
      <c r="AVY19" s="338"/>
      <c r="AVZ19" s="338"/>
      <c r="AWA19" s="338"/>
      <c r="AWB19" s="338"/>
      <c r="AWC19" s="338"/>
      <c r="AWD19" s="338"/>
      <c r="AWE19" s="338"/>
      <c r="AWF19" s="338"/>
      <c r="AWG19" s="338"/>
      <c r="AWH19" s="338"/>
      <c r="AWI19" s="338"/>
      <c r="AWJ19" s="338"/>
      <c r="AWK19" s="338"/>
      <c r="AWL19" s="338"/>
      <c r="AWM19" s="338"/>
      <c r="AWN19" s="338"/>
      <c r="AWO19" s="338"/>
      <c r="AWP19" s="338"/>
      <c r="AWQ19" s="338"/>
      <c r="AWR19" s="338"/>
      <c r="AWS19" s="338"/>
      <c r="AWT19" s="338"/>
      <c r="AWU19" s="338"/>
      <c r="AWV19" s="338"/>
      <c r="AWW19" s="338"/>
      <c r="AWX19" s="338"/>
      <c r="AWY19" s="338"/>
      <c r="AWZ19" s="338"/>
      <c r="AXA19" s="338"/>
      <c r="AXB19" s="338"/>
      <c r="AXC19" s="338"/>
      <c r="AXD19" s="338"/>
      <c r="AXE19" s="338"/>
      <c r="AXF19" s="338"/>
      <c r="AXG19" s="338"/>
      <c r="AXH19" s="338"/>
      <c r="AXI19" s="338"/>
      <c r="AXJ19" s="338"/>
      <c r="AXK19" s="338"/>
      <c r="AXL19" s="338"/>
      <c r="AXM19" s="338"/>
      <c r="AXN19" s="338"/>
      <c r="AXO19" s="338"/>
      <c r="AXP19" s="338"/>
      <c r="AXQ19" s="338"/>
      <c r="AXR19" s="338"/>
      <c r="AXS19" s="338"/>
      <c r="AXT19" s="338"/>
      <c r="AXU19" s="338"/>
      <c r="AXV19" s="338"/>
      <c r="AXW19" s="338"/>
      <c r="AXX19" s="338"/>
      <c r="AXY19" s="338"/>
      <c r="AXZ19" s="338"/>
      <c r="AYA19" s="338"/>
      <c r="AYB19" s="338"/>
      <c r="AYC19" s="338"/>
      <c r="AYD19" s="338"/>
      <c r="AYE19" s="338"/>
      <c r="AYF19" s="338"/>
      <c r="AYG19" s="338"/>
      <c r="AYH19" s="338"/>
      <c r="AYI19" s="338"/>
      <c r="AYJ19" s="338"/>
      <c r="AYK19" s="338"/>
      <c r="AYL19" s="338"/>
      <c r="AYM19" s="338"/>
      <c r="AYN19" s="338"/>
      <c r="AYO19" s="338"/>
      <c r="AYP19" s="338"/>
      <c r="AYQ19" s="338"/>
      <c r="AYR19" s="338"/>
      <c r="AYS19" s="338"/>
      <c r="AYT19" s="338"/>
      <c r="AYU19" s="338"/>
      <c r="AYV19" s="338"/>
      <c r="AYW19" s="338"/>
      <c r="AYX19" s="338"/>
      <c r="AYY19" s="338"/>
      <c r="AYZ19" s="338"/>
      <c r="AZA19" s="338"/>
      <c r="AZB19" s="338"/>
      <c r="AZC19" s="338"/>
      <c r="AZD19" s="338"/>
      <c r="AZE19" s="338"/>
      <c r="AZF19" s="338"/>
      <c r="AZG19" s="338"/>
      <c r="AZH19" s="338"/>
      <c r="AZI19" s="338"/>
      <c r="AZJ19" s="338"/>
      <c r="AZK19" s="338"/>
      <c r="AZL19" s="338"/>
      <c r="AZM19" s="338"/>
      <c r="AZN19" s="338"/>
      <c r="AZO19" s="338"/>
      <c r="AZP19" s="338"/>
      <c r="AZQ19" s="338"/>
      <c r="AZR19" s="338"/>
      <c r="AZS19" s="338"/>
      <c r="AZT19" s="338"/>
      <c r="AZU19" s="338"/>
      <c r="AZV19" s="338"/>
      <c r="AZW19" s="338"/>
      <c r="AZX19" s="338"/>
      <c r="AZY19" s="338"/>
      <c r="AZZ19" s="338"/>
      <c r="BAA19" s="338"/>
      <c r="BAB19" s="338"/>
      <c r="BAC19" s="338"/>
      <c r="BAD19" s="338"/>
      <c r="BAE19" s="338"/>
      <c r="BAF19" s="338"/>
      <c r="BAG19" s="338"/>
      <c r="BAH19" s="338"/>
      <c r="BAI19" s="338"/>
      <c r="BAJ19" s="338"/>
      <c r="BAK19" s="338"/>
      <c r="BAL19" s="338"/>
      <c r="BAM19" s="338"/>
      <c r="BAN19" s="338"/>
      <c r="BAO19" s="338"/>
      <c r="BAP19" s="338"/>
      <c r="BAQ19" s="338"/>
      <c r="BAR19" s="338"/>
      <c r="BAS19" s="338"/>
      <c r="BAT19" s="338"/>
      <c r="BAU19" s="338"/>
      <c r="BAV19" s="338"/>
      <c r="BAW19" s="338"/>
      <c r="BAX19" s="338"/>
      <c r="BAY19" s="338"/>
      <c r="BAZ19" s="338"/>
      <c r="BBA19" s="338"/>
      <c r="BBB19" s="338"/>
      <c r="BBC19" s="338"/>
      <c r="BBD19" s="338"/>
      <c r="BBE19" s="338"/>
      <c r="BBF19" s="338"/>
      <c r="BBG19" s="338"/>
      <c r="BBH19" s="338"/>
      <c r="BBI19" s="338"/>
      <c r="BBJ19" s="338"/>
      <c r="BBK19" s="338"/>
      <c r="BBL19" s="338"/>
      <c r="BBM19" s="338"/>
      <c r="BBN19" s="338"/>
      <c r="BBO19" s="338"/>
      <c r="BBP19" s="338"/>
      <c r="BBQ19" s="338"/>
      <c r="BBR19" s="338"/>
      <c r="BBS19" s="338"/>
      <c r="BBT19" s="338"/>
      <c r="BBU19" s="338"/>
      <c r="BBV19" s="338"/>
      <c r="BBW19" s="338"/>
      <c r="BBX19" s="338"/>
      <c r="BBY19" s="338"/>
      <c r="BBZ19" s="338"/>
      <c r="BCA19" s="338"/>
      <c r="BCB19" s="338"/>
      <c r="BCC19" s="338"/>
      <c r="BCD19" s="338"/>
      <c r="BCE19" s="338"/>
      <c r="BCF19" s="338"/>
      <c r="BCG19" s="338"/>
      <c r="BCH19" s="338"/>
      <c r="BCI19" s="338"/>
      <c r="BCJ19" s="338"/>
      <c r="BCK19" s="338"/>
      <c r="BCL19" s="338"/>
      <c r="BCM19" s="338"/>
      <c r="BCN19" s="338"/>
      <c r="BCO19" s="338"/>
      <c r="BCP19" s="338"/>
      <c r="BCQ19" s="338"/>
      <c r="BCR19" s="338"/>
      <c r="BCS19" s="338"/>
      <c r="BCT19" s="338"/>
      <c r="BCU19" s="338"/>
      <c r="BCV19" s="338"/>
      <c r="BCW19" s="338"/>
      <c r="BCX19" s="338"/>
      <c r="BCY19" s="338"/>
      <c r="BCZ19" s="338"/>
      <c r="BDA19" s="338"/>
      <c r="BDB19" s="338"/>
      <c r="BDC19" s="338"/>
      <c r="BDD19" s="338"/>
      <c r="BDE19" s="338"/>
      <c r="BDF19" s="338"/>
      <c r="BDG19" s="338"/>
      <c r="BDH19" s="338"/>
      <c r="BDI19" s="338"/>
      <c r="BDJ19" s="338"/>
      <c r="BDK19" s="338"/>
      <c r="BDL19" s="338"/>
      <c r="BDM19" s="338"/>
      <c r="BDN19" s="338"/>
      <c r="BDO19" s="338"/>
      <c r="BDP19" s="338"/>
      <c r="BDQ19" s="338"/>
      <c r="BDR19" s="338"/>
      <c r="BDS19" s="338"/>
      <c r="BDT19" s="338"/>
      <c r="BDU19" s="338"/>
      <c r="BDV19" s="338"/>
      <c r="BDW19" s="338"/>
      <c r="BDX19" s="338"/>
      <c r="BDY19" s="338"/>
      <c r="BDZ19" s="338"/>
      <c r="BEA19" s="338"/>
      <c r="BEB19" s="338"/>
      <c r="BEC19" s="338"/>
      <c r="BED19" s="338"/>
      <c r="BEE19" s="338"/>
      <c r="BEF19" s="338"/>
      <c r="BEG19" s="338"/>
      <c r="BEH19" s="338"/>
      <c r="BEI19" s="338"/>
      <c r="BEJ19" s="338"/>
      <c r="BEK19" s="338"/>
      <c r="BEL19" s="338"/>
      <c r="BEM19" s="338"/>
      <c r="BEN19" s="338"/>
      <c r="BEO19" s="338"/>
      <c r="BEP19" s="338"/>
      <c r="BEQ19" s="338"/>
      <c r="BER19" s="338"/>
      <c r="BES19" s="338"/>
      <c r="BET19" s="338"/>
      <c r="BEU19" s="338"/>
      <c r="BEV19" s="338"/>
      <c r="BEW19" s="338"/>
      <c r="BEX19" s="338"/>
      <c r="BEY19" s="338"/>
      <c r="BEZ19" s="338"/>
      <c r="BFA19" s="338"/>
      <c r="BFB19" s="338"/>
      <c r="BFC19" s="338"/>
      <c r="BFD19" s="338"/>
      <c r="BFE19" s="338"/>
      <c r="BFF19" s="338"/>
      <c r="BFG19" s="338"/>
      <c r="BFH19" s="338"/>
      <c r="BFI19" s="338"/>
      <c r="BFJ19" s="338"/>
      <c r="BFK19" s="338"/>
      <c r="BFL19" s="338"/>
      <c r="BFM19" s="338"/>
      <c r="BFN19" s="338"/>
      <c r="BFO19" s="338"/>
      <c r="BFP19" s="338"/>
      <c r="BFQ19" s="338"/>
      <c r="BFR19" s="338"/>
      <c r="BFS19" s="338"/>
      <c r="BFT19" s="338"/>
      <c r="BFU19" s="338"/>
      <c r="BFV19" s="338"/>
      <c r="BFW19" s="338"/>
      <c r="BFX19" s="338"/>
      <c r="BFY19" s="338"/>
      <c r="BFZ19" s="338"/>
      <c r="BGA19" s="338"/>
      <c r="BGB19" s="338"/>
      <c r="BGC19" s="338"/>
      <c r="BGD19" s="338"/>
      <c r="BGE19" s="338"/>
      <c r="BGF19" s="338"/>
      <c r="BGG19" s="338"/>
      <c r="BGH19" s="338"/>
      <c r="BGI19" s="338"/>
      <c r="BGJ19" s="338"/>
      <c r="BGK19" s="338"/>
      <c r="BGL19" s="338"/>
      <c r="BGM19" s="338"/>
      <c r="BGN19" s="338"/>
      <c r="BGO19" s="338"/>
      <c r="BGP19" s="338"/>
      <c r="BGQ19" s="338"/>
      <c r="BGR19" s="338"/>
      <c r="BGS19" s="338"/>
      <c r="BGT19" s="338"/>
      <c r="BGU19" s="338"/>
      <c r="BGV19" s="338"/>
      <c r="BGW19" s="338"/>
      <c r="BGX19" s="338"/>
      <c r="BGY19" s="338"/>
      <c r="BGZ19" s="338"/>
      <c r="BHA19" s="338"/>
      <c r="BHB19" s="338"/>
      <c r="BHC19" s="338"/>
      <c r="BHD19" s="338"/>
      <c r="BHE19" s="338"/>
      <c r="BHF19" s="338"/>
      <c r="BHG19" s="338"/>
      <c r="BHH19" s="338"/>
      <c r="BHI19" s="338"/>
      <c r="BHJ19" s="338"/>
      <c r="BHK19" s="338"/>
      <c r="BHL19" s="338"/>
      <c r="BHM19" s="338"/>
      <c r="BHN19" s="338"/>
      <c r="BHO19" s="338"/>
      <c r="BHP19" s="338"/>
      <c r="BHQ19" s="338"/>
      <c r="BHR19" s="338"/>
      <c r="BHS19" s="338"/>
      <c r="BHT19" s="338"/>
      <c r="BHU19" s="338"/>
      <c r="BHV19" s="338"/>
      <c r="BHW19" s="338"/>
      <c r="BHX19" s="338"/>
      <c r="BHY19" s="338"/>
      <c r="BHZ19" s="338"/>
      <c r="BIA19" s="338"/>
      <c r="BIB19" s="338"/>
      <c r="BIC19" s="338"/>
      <c r="BID19" s="338"/>
      <c r="BIE19" s="338"/>
      <c r="BIF19" s="338"/>
      <c r="BIG19" s="338"/>
      <c r="BIH19" s="338"/>
      <c r="BII19" s="338"/>
      <c r="BIJ19" s="338"/>
      <c r="BIK19" s="338"/>
      <c r="BIL19" s="338"/>
      <c r="BIM19" s="338"/>
      <c r="BIN19" s="338"/>
      <c r="BIO19" s="338"/>
      <c r="BIP19" s="338"/>
      <c r="BIQ19" s="338"/>
      <c r="BIR19" s="338"/>
      <c r="BIS19" s="338"/>
      <c r="BIT19" s="338"/>
      <c r="BIU19" s="338"/>
      <c r="BIV19" s="338"/>
      <c r="BIW19" s="338"/>
      <c r="BIX19" s="338"/>
      <c r="BIY19" s="338"/>
      <c r="BIZ19" s="338"/>
      <c r="BJA19" s="338"/>
      <c r="BJB19" s="338"/>
      <c r="BJC19" s="338"/>
      <c r="BJD19" s="338"/>
      <c r="BJE19" s="338"/>
      <c r="BJF19" s="338"/>
      <c r="BJG19" s="338"/>
      <c r="BJH19" s="338"/>
      <c r="BJI19" s="338"/>
      <c r="BJJ19" s="338"/>
      <c r="BJK19" s="338"/>
      <c r="BJL19" s="338"/>
      <c r="BJM19" s="338"/>
      <c r="BJN19" s="338"/>
      <c r="BJO19" s="338"/>
      <c r="BJP19" s="338"/>
      <c r="BJQ19" s="338"/>
      <c r="BJR19" s="338"/>
      <c r="BJS19" s="338"/>
      <c r="BJT19" s="338"/>
      <c r="BJU19" s="338"/>
      <c r="BJV19" s="338"/>
      <c r="BJW19" s="338"/>
      <c r="BJX19" s="338"/>
      <c r="BJY19" s="338"/>
      <c r="BJZ19" s="338"/>
      <c r="BKA19" s="338"/>
      <c r="BKB19" s="338"/>
      <c r="BKC19" s="338"/>
      <c r="BKD19" s="338"/>
      <c r="BKE19" s="338"/>
      <c r="BKF19" s="338"/>
      <c r="BKG19" s="338"/>
      <c r="BKH19" s="338"/>
      <c r="BKI19" s="338"/>
      <c r="BKJ19" s="338"/>
      <c r="BKK19" s="338"/>
      <c r="BKL19" s="338"/>
      <c r="BKM19" s="338"/>
      <c r="BKN19" s="338"/>
      <c r="BKO19" s="338"/>
      <c r="BKP19" s="338"/>
      <c r="BKQ19" s="338"/>
      <c r="BKR19" s="338"/>
      <c r="BKS19" s="338"/>
      <c r="BKT19" s="338"/>
      <c r="BKU19" s="338"/>
      <c r="BKV19" s="338"/>
      <c r="BKW19" s="338"/>
      <c r="BKX19" s="338"/>
      <c r="BKY19" s="338"/>
      <c r="BKZ19" s="338"/>
      <c r="BLA19" s="338"/>
      <c r="BLB19" s="338"/>
      <c r="BLC19" s="338"/>
      <c r="BLD19" s="338"/>
      <c r="BLE19" s="338"/>
      <c r="BLF19" s="338"/>
      <c r="BLG19" s="338"/>
      <c r="BLH19" s="338"/>
      <c r="BLI19" s="338"/>
      <c r="BLJ19" s="338"/>
      <c r="BLK19" s="338"/>
      <c r="BLL19" s="338"/>
      <c r="BLM19" s="338"/>
      <c r="BLN19" s="338"/>
      <c r="BLO19" s="338"/>
      <c r="BLP19" s="338"/>
      <c r="BLQ19" s="338"/>
      <c r="BLR19" s="338"/>
      <c r="BLS19" s="338"/>
      <c r="BLT19" s="338"/>
      <c r="BLU19" s="338"/>
      <c r="BLV19" s="338"/>
      <c r="BLW19" s="338"/>
      <c r="BLX19" s="338"/>
      <c r="BLY19" s="338"/>
      <c r="BLZ19" s="338"/>
      <c r="BMA19" s="338"/>
      <c r="BMB19" s="338"/>
      <c r="BMC19" s="338"/>
      <c r="BMD19" s="338"/>
      <c r="BME19" s="338"/>
      <c r="BMF19" s="338"/>
      <c r="BMG19" s="338"/>
      <c r="BMH19" s="338"/>
      <c r="BMI19" s="338"/>
      <c r="BMJ19" s="338"/>
      <c r="BMK19" s="338"/>
      <c r="BML19" s="338"/>
      <c r="BMM19" s="338"/>
      <c r="BMN19" s="338"/>
      <c r="BMO19" s="338"/>
      <c r="BMP19" s="338"/>
      <c r="BMQ19" s="338"/>
      <c r="BMR19" s="338"/>
      <c r="BMS19" s="338"/>
      <c r="BMT19" s="338"/>
      <c r="BMU19" s="338"/>
      <c r="BMV19" s="338"/>
      <c r="BMW19" s="338"/>
      <c r="BMX19" s="338"/>
      <c r="BMY19" s="338"/>
      <c r="BMZ19" s="338"/>
      <c r="BNA19" s="338"/>
      <c r="BNB19" s="338"/>
      <c r="BNC19" s="338"/>
      <c r="BND19" s="338"/>
      <c r="BNE19" s="338"/>
      <c r="BNF19" s="338"/>
      <c r="BNG19" s="338"/>
      <c r="BNH19" s="338"/>
      <c r="BNI19" s="338"/>
      <c r="BNJ19" s="338"/>
      <c r="BNK19" s="338"/>
      <c r="BNL19" s="338"/>
      <c r="BNM19" s="338"/>
      <c r="BNN19" s="338"/>
      <c r="BNO19" s="338"/>
      <c r="BNP19" s="338"/>
      <c r="BNQ19" s="338"/>
      <c r="BNR19" s="338"/>
      <c r="BNS19" s="338"/>
      <c r="BNT19" s="338"/>
      <c r="BNU19" s="338"/>
      <c r="BNV19" s="338"/>
      <c r="BNW19" s="338"/>
      <c r="BNX19" s="338"/>
      <c r="BNY19" s="338"/>
      <c r="BNZ19" s="338"/>
      <c r="BOA19" s="338"/>
      <c r="BOB19" s="338"/>
      <c r="BOC19" s="338"/>
      <c r="BOD19" s="338"/>
      <c r="BOE19" s="338"/>
      <c r="BOF19" s="338"/>
      <c r="BOG19" s="338"/>
      <c r="BOH19" s="338"/>
      <c r="BOI19" s="338"/>
      <c r="BOJ19" s="338"/>
      <c r="BOK19" s="338"/>
      <c r="BOL19" s="338"/>
      <c r="BOM19" s="338"/>
      <c r="BON19" s="338"/>
      <c r="BOO19" s="338"/>
      <c r="BOP19" s="338"/>
      <c r="BOQ19" s="338"/>
      <c r="BOR19" s="338"/>
      <c r="BOS19" s="338"/>
      <c r="BOT19" s="338"/>
      <c r="BOU19" s="338"/>
      <c r="BOV19" s="338"/>
      <c r="BOW19" s="338"/>
      <c r="BOX19" s="338"/>
      <c r="BOY19" s="338"/>
      <c r="BOZ19" s="338"/>
      <c r="BPA19" s="338"/>
      <c r="BPB19" s="338"/>
      <c r="BPC19" s="338"/>
      <c r="BPD19" s="338"/>
      <c r="BPE19" s="338"/>
      <c r="BPF19" s="338"/>
      <c r="BPG19" s="338"/>
      <c r="BPH19" s="338"/>
      <c r="BPI19" s="338"/>
      <c r="BPJ19" s="338"/>
      <c r="BPK19" s="338"/>
      <c r="BPL19" s="338"/>
      <c r="BPM19" s="338"/>
      <c r="BPN19" s="338"/>
      <c r="BPO19" s="338"/>
      <c r="BPP19" s="338"/>
      <c r="BPQ19" s="338"/>
      <c r="BPR19" s="338"/>
      <c r="BPS19" s="338"/>
      <c r="BPT19" s="338"/>
      <c r="BPU19" s="338"/>
      <c r="BPV19" s="338"/>
      <c r="BPW19" s="338"/>
      <c r="BPX19" s="338"/>
      <c r="BPY19" s="338"/>
      <c r="BPZ19" s="338"/>
      <c r="BQA19" s="338"/>
      <c r="BQB19" s="338"/>
      <c r="BQC19" s="338"/>
      <c r="BQD19" s="338"/>
      <c r="BQE19" s="338"/>
      <c r="BQF19" s="338"/>
      <c r="BQG19" s="338"/>
      <c r="BQH19" s="338"/>
      <c r="BQI19" s="338"/>
      <c r="BQJ19" s="338"/>
      <c r="BQK19" s="338"/>
      <c r="BQL19" s="338"/>
      <c r="BQM19" s="338"/>
      <c r="BQN19" s="338"/>
      <c r="BQO19" s="338"/>
      <c r="BQP19" s="338"/>
      <c r="BQQ19" s="338"/>
      <c r="BQR19" s="338"/>
      <c r="BQS19" s="338"/>
      <c r="BQT19" s="338"/>
      <c r="BQU19" s="338"/>
      <c r="BQV19" s="338"/>
      <c r="BQW19" s="338"/>
      <c r="BQX19" s="338"/>
      <c r="BQY19" s="338"/>
      <c r="BQZ19" s="338"/>
      <c r="BRA19" s="338"/>
      <c r="BRB19" s="338"/>
      <c r="BRC19" s="338"/>
      <c r="BRD19" s="338"/>
      <c r="BRE19" s="338"/>
      <c r="BRF19" s="338"/>
      <c r="BRG19" s="338"/>
      <c r="BRH19" s="338"/>
      <c r="BRI19" s="338"/>
      <c r="BRJ19" s="338"/>
      <c r="BRK19" s="338"/>
      <c r="BRL19" s="338"/>
      <c r="BRM19" s="338"/>
      <c r="BRN19" s="338"/>
      <c r="BRO19" s="338"/>
      <c r="BRP19" s="338"/>
      <c r="BRQ19" s="338"/>
      <c r="BRR19" s="338"/>
      <c r="BRS19" s="338"/>
      <c r="BRT19" s="338"/>
      <c r="BRU19" s="338"/>
      <c r="BRV19" s="338"/>
      <c r="BRW19" s="338"/>
      <c r="BRX19" s="338"/>
      <c r="BRY19" s="338"/>
      <c r="BRZ19" s="338"/>
      <c r="BSA19" s="338"/>
      <c r="BSB19" s="338"/>
      <c r="BSC19" s="338"/>
      <c r="BSD19" s="338"/>
      <c r="BSE19" s="338"/>
      <c r="BSF19" s="338"/>
      <c r="BSG19" s="338"/>
      <c r="BSH19" s="338"/>
      <c r="BSI19" s="338"/>
      <c r="BSJ19" s="338"/>
      <c r="BSK19" s="338"/>
      <c r="BSL19" s="338"/>
      <c r="BSM19" s="338"/>
      <c r="BSN19" s="338"/>
      <c r="BSO19" s="338"/>
      <c r="BSP19" s="338"/>
      <c r="BSQ19" s="338"/>
      <c r="BSR19" s="338"/>
      <c r="BSS19" s="338"/>
      <c r="BST19" s="338"/>
      <c r="BSU19" s="338"/>
      <c r="BSV19" s="338"/>
      <c r="BSW19" s="338"/>
      <c r="BSX19" s="338"/>
      <c r="BSY19" s="338"/>
      <c r="BSZ19" s="338"/>
      <c r="BTA19" s="338"/>
      <c r="BTB19" s="338"/>
      <c r="BTC19" s="338"/>
      <c r="BTD19" s="338"/>
      <c r="BTE19" s="338"/>
      <c r="BTF19" s="338"/>
      <c r="BTG19" s="338"/>
      <c r="BTH19" s="338"/>
      <c r="BTI19" s="338"/>
      <c r="BTJ19" s="338"/>
      <c r="BTK19" s="338"/>
      <c r="BTL19" s="338"/>
      <c r="BTM19" s="338"/>
      <c r="BTN19" s="338"/>
      <c r="BTO19" s="338"/>
      <c r="BTP19" s="338"/>
      <c r="BTQ19" s="338"/>
      <c r="BTR19" s="338"/>
      <c r="BTS19" s="338"/>
      <c r="BTT19" s="338"/>
      <c r="BTU19" s="338"/>
      <c r="BTV19" s="338"/>
      <c r="BTW19" s="338"/>
      <c r="BTX19" s="338"/>
      <c r="BTY19" s="338"/>
      <c r="BTZ19" s="338"/>
      <c r="BUA19" s="338"/>
      <c r="BUB19" s="338"/>
      <c r="BUC19" s="338"/>
      <c r="BUD19" s="338"/>
      <c r="BUE19" s="338"/>
      <c r="BUF19" s="338"/>
      <c r="BUG19" s="338"/>
      <c r="BUH19" s="338"/>
      <c r="BUI19" s="338"/>
      <c r="BUJ19" s="338"/>
      <c r="BUK19" s="338"/>
      <c r="BUL19" s="338"/>
      <c r="BUM19" s="338"/>
      <c r="BUN19" s="338"/>
      <c r="BUO19" s="338"/>
      <c r="BUP19" s="338"/>
      <c r="BUQ19" s="338"/>
      <c r="BUR19" s="338"/>
      <c r="BUS19" s="338"/>
      <c r="BUT19" s="338"/>
      <c r="BUU19" s="338"/>
      <c r="BUV19" s="338"/>
      <c r="BUW19" s="338"/>
      <c r="BUX19" s="338"/>
      <c r="BUY19" s="338"/>
      <c r="BUZ19" s="338"/>
      <c r="BVA19" s="338"/>
      <c r="BVB19" s="338"/>
      <c r="BVC19" s="338"/>
      <c r="BVD19" s="338"/>
      <c r="BVE19" s="338"/>
      <c r="BVF19" s="338"/>
      <c r="BVG19" s="338"/>
      <c r="BVH19" s="338"/>
      <c r="BVI19" s="338"/>
      <c r="BVJ19" s="338"/>
      <c r="BVK19" s="338"/>
      <c r="BVL19" s="338"/>
      <c r="BVM19" s="338"/>
      <c r="BVN19" s="338"/>
      <c r="BVO19" s="338"/>
      <c r="BVP19" s="338"/>
      <c r="BVQ19" s="338"/>
      <c r="BVR19" s="338"/>
      <c r="BVS19" s="338"/>
      <c r="BVT19" s="338"/>
      <c r="BVU19" s="338"/>
      <c r="BVV19" s="338"/>
      <c r="BVW19" s="338"/>
      <c r="BVX19" s="338"/>
      <c r="BVY19" s="338"/>
      <c r="BVZ19" s="338"/>
      <c r="BWA19" s="338"/>
      <c r="BWB19" s="338"/>
      <c r="BWC19" s="338"/>
      <c r="BWD19" s="338"/>
      <c r="BWE19" s="338"/>
      <c r="BWF19" s="338"/>
      <c r="BWG19" s="338"/>
      <c r="BWH19" s="338"/>
      <c r="BWI19" s="338"/>
      <c r="BWJ19" s="338"/>
      <c r="BWK19" s="338"/>
      <c r="BWL19" s="338"/>
      <c r="BWM19" s="338"/>
      <c r="BWN19" s="338"/>
      <c r="BWO19" s="338"/>
      <c r="BWP19" s="338"/>
      <c r="BWQ19" s="338"/>
      <c r="BWR19" s="338"/>
      <c r="BWS19" s="338"/>
      <c r="BWT19" s="338"/>
      <c r="BWU19" s="338"/>
      <c r="BWV19" s="338"/>
      <c r="BWW19" s="338"/>
      <c r="BWX19" s="338"/>
      <c r="BWY19" s="338"/>
      <c r="BWZ19" s="338"/>
      <c r="BXA19" s="338"/>
      <c r="BXB19" s="338"/>
      <c r="BXC19" s="338"/>
      <c r="BXD19" s="338"/>
      <c r="BXE19" s="338"/>
      <c r="BXF19" s="338"/>
      <c r="BXG19" s="338"/>
      <c r="BXH19" s="338"/>
      <c r="BXI19" s="338"/>
      <c r="BXJ19" s="338"/>
      <c r="BXK19" s="338"/>
      <c r="BXL19" s="338"/>
      <c r="BXM19" s="338"/>
      <c r="BXN19" s="338"/>
      <c r="BXO19" s="338"/>
      <c r="BXP19" s="338"/>
      <c r="BXQ19" s="338"/>
      <c r="BXR19" s="338"/>
      <c r="BXS19" s="338"/>
      <c r="BXT19" s="338"/>
      <c r="BXU19" s="338"/>
      <c r="BXV19" s="338"/>
      <c r="BXW19" s="338"/>
      <c r="BXX19" s="338"/>
      <c r="BXY19" s="338"/>
      <c r="BXZ19" s="338"/>
      <c r="BYA19" s="338"/>
      <c r="BYB19" s="338"/>
      <c r="BYC19" s="338"/>
      <c r="BYD19" s="338"/>
      <c r="BYE19" s="338"/>
      <c r="BYF19" s="338"/>
      <c r="BYG19" s="338"/>
      <c r="BYH19" s="338"/>
      <c r="BYI19" s="338"/>
      <c r="BYJ19" s="338"/>
      <c r="BYK19" s="338"/>
      <c r="BYL19" s="338"/>
      <c r="BYM19" s="338"/>
      <c r="BYN19" s="338"/>
      <c r="BYO19" s="338"/>
      <c r="BYP19" s="338"/>
      <c r="BYQ19" s="338"/>
      <c r="BYR19" s="338"/>
      <c r="BYS19" s="338"/>
      <c r="BYT19" s="338"/>
      <c r="BYU19" s="338"/>
      <c r="BYV19" s="338"/>
      <c r="BYW19" s="338"/>
      <c r="BYX19" s="338"/>
      <c r="BYY19" s="338"/>
      <c r="BYZ19" s="338"/>
      <c r="BZA19" s="338"/>
      <c r="BZB19" s="338"/>
      <c r="BZC19" s="338"/>
      <c r="BZD19" s="338"/>
      <c r="BZE19" s="338"/>
      <c r="BZF19" s="338"/>
      <c r="BZG19" s="338"/>
      <c r="BZH19" s="338"/>
      <c r="BZI19" s="338"/>
      <c r="BZJ19" s="338"/>
      <c r="BZK19" s="338"/>
      <c r="BZL19" s="338"/>
      <c r="BZM19" s="338"/>
      <c r="BZN19" s="338"/>
      <c r="BZO19" s="338"/>
      <c r="BZP19" s="338"/>
      <c r="BZQ19" s="338"/>
      <c r="BZR19" s="338"/>
      <c r="BZS19" s="338"/>
      <c r="BZT19" s="338"/>
      <c r="BZU19" s="338"/>
      <c r="BZV19" s="338"/>
      <c r="BZW19" s="338"/>
      <c r="BZX19" s="338"/>
      <c r="BZY19" s="338"/>
      <c r="BZZ19" s="338"/>
      <c r="CAA19" s="338"/>
      <c r="CAB19" s="338"/>
      <c r="CAC19" s="338"/>
      <c r="CAD19" s="338"/>
      <c r="CAE19" s="338"/>
      <c r="CAF19" s="338"/>
      <c r="CAG19" s="338"/>
      <c r="CAH19" s="338"/>
      <c r="CAI19" s="338"/>
      <c r="CAJ19" s="338"/>
      <c r="CAK19" s="338"/>
      <c r="CAL19" s="338"/>
      <c r="CAM19" s="338"/>
      <c r="CAN19" s="338"/>
      <c r="CAO19" s="338"/>
      <c r="CAP19" s="338"/>
      <c r="CAQ19" s="338"/>
      <c r="CAR19" s="338"/>
      <c r="CAS19" s="338"/>
      <c r="CAT19" s="338"/>
      <c r="CAU19" s="338"/>
      <c r="CAV19" s="338"/>
      <c r="CAW19" s="338"/>
      <c r="CAX19" s="338"/>
      <c r="CAY19" s="338"/>
      <c r="CAZ19" s="338"/>
      <c r="CBA19" s="338"/>
      <c r="CBB19" s="338"/>
      <c r="CBC19" s="338"/>
      <c r="CBD19" s="338"/>
      <c r="CBE19" s="338"/>
      <c r="CBF19" s="338"/>
      <c r="CBG19" s="338"/>
      <c r="CBH19" s="338"/>
      <c r="CBI19" s="338"/>
      <c r="CBJ19" s="338"/>
      <c r="CBK19" s="338"/>
      <c r="CBL19" s="338"/>
      <c r="CBM19" s="338"/>
      <c r="CBN19" s="338"/>
      <c r="CBO19" s="338"/>
      <c r="CBP19" s="338"/>
      <c r="CBQ19" s="338"/>
      <c r="CBR19" s="338"/>
      <c r="CBS19" s="338"/>
      <c r="CBT19" s="338"/>
      <c r="CBU19" s="338"/>
      <c r="CBV19" s="338"/>
      <c r="CBW19" s="338"/>
      <c r="CBX19" s="338"/>
      <c r="CBY19" s="338"/>
      <c r="CBZ19" s="338"/>
      <c r="CCA19" s="338"/>
      <c r="CCB19" s="338"/>
      <c r="CCC19" s="338"/>
      <c r="CCD19" s="338"/>
      <c r="CCE19" s="338"/>
      <c r="CCF19" s="338"/>
      <c r="CCG19" s="338"/>
      <c r="CCH19" s="338"/>
      <c r="CCI19" s="338"/>
      <c r="CCJ19" s="338"/>
      <c r="CCK19" s="338"/>
      <c r="CCL19" s="338"/>
      <c r="CCM19" s="338"/>
      <c r="CCN19" s="338"/>
      <c r="CCO19" s="338"/>
      <c r="CCP19" s="338"/>
      <c r="CCQ19" s="338"/>
      <c r="CCR19" s="338"/>
      <c r="CCS19" s="338"/>
      <c r="CCT19" s="338"/>
      <c r="CCU19" s="338"/>
      <c r="CCV19" s="338"/>
      <c r="CCW19" s="338"/>
      <c r="CCX19" s="338"/>
      <c r="CCY19" s="338"/>
      <c r="CCZ19" s="338"/>
      <c r="CDA19" s="338"/>
      <c r="CDB19" s="338"/>
      <c r="CDC19" s="338"/>
      <c r="CDD19" s="338"/>
      <c r="CDE19" s="338"/>
      <c r="CDF19" s="338"/>
      <c r="CDG19" s="338"/>
      <c r="CDH19" s="338"/>
      <c r="CDI19" s="338"/>
      <c r="CDJ19" s="338"/>
      <c r="CDK19" s="338"/>
      <c r="CDL19" s="338"/>
      <c r="CDM19" s="338"/>
      <c r="CDN19" s="338"/>
      <c r="CDO19" s="338"/>
      <c r="CDP19" s="338"/>
      <c r="CDQ19" s="338"/>
      <c r="CDR19" s="338"/>
      <c r="CDS19" s="338"/>
      <c r="CDT19" s="338"/>
      <c r="CDU19" s="338"/>
      <c r="CDV19" s="338"/>
      <c r="CDW19" s="338"/>
      <c r="CDX19" s="338"/>
      <c r="CDY19" s="338"/>
      <c r="CDZ19" s="338"/>
      <c r="CEA19" s="338"/>
      <c r="CEB19" s="338"/>
      <c r="CEC19" s="338"/>
      <c r="CED19" s="338"/>
      <c r="CEE19" s="338"/>
      <c r="CEF19" s="338"/>
      <c r="CEG19" s="338"/>
      <c r="CEH19" s="338"/>
      <c r="CEI19" s="338"/>
      <c r="CEJ19" s="338"/>
      <c r="CEK19" s="338"/>
      <c r="CEL19" s="338"/>
      <c r="CEM19" s="338"/>
      <c r="CEN19" s="338"/>
      <c r="CEO19" s="338"/>
      <c r="CEP19" s="338"/>
      <c r="CEQ19" s="338"/>
      <c r="CER19" s="338"/>
      <c r="CES19" s="338"/>
      <c r="CET19" s="338"/>
      <c r="CEU19" s="338"/>
      <c r="CEV19" s="338"/>
      <c r="CEW19" s="338"/>
      <c r="CEX19" s="338"/>
      <c r="CEY19" s="338"/>
      <c r="CEZ19" s="338"/>
      <c r="CFA19" s="338"/>
      <c r="CFB19" s="338"/>
      <c r="CFC19" s="338"/>
      <c r="CFD19" s="338"/>
      <c r="CFE19" s="338"/>
      <c r="CFF19" s="338"/>
      <c r="CFG19" s="338"/>
      <c r="CFH19" s="338"/>
      <c r="CFI19" s="338"/>
      <c r="CFJ19" s="338"/>
      <c r="CFK19" s="338"/>
      <c r="CFL19" s="338"/>
      <c r="CFM19" s="338"/>
      <c r="CFN19" s="338"/>
      <c r="CFO19" s="338"/>
      <c r="CFP19" s="338"/>
      <c r="CFQ19" s="338"/>
      <c r="CFR19" s="338"/>
      <c r="CFS19" s="338"/>
      <c r="CFT19" s="338"/>
      <c r="CFU19" s="338"/>
      <c r="CFV19" s="338"/>
      <c r="CFW19" s="338"/>
      <c r="CFX19" s="338"/>
      <c r="CFY19" s="338"/>
      <c r="CFZ19" s="338"/>
      <c r="CGA19" s="338"/>
      <c r="CGB19" s="338"/>
      <c r="CGC19" s="338"/>
      <c r="CGD19" s="338"/>
      <c r="CGE19" s="338"/>
      <c r="CGF19" s="338"/>
      <c r="CGG19" s="338"/>
      <c r="CGH19" s="338"/>
      <c r="CGI19" s="338"/>
      <c r="CGJ19" s="338"/>
      <c r="CGK19" s="338"/>
      <c r="CGL19" s="338"/>
      <c r="CGM19" s="338"/>
      <c r="CGN19" s="338"/>
      <c r="CGO19" s="338"/>
      <c r="CGP19" s="338"/>
      <c r="CGQ19" s="338"/>
      <c r="CGR19" s="338"/>
      <c r="CGS19" s="338"/>
      <c r="CGT19" s="338"/>
      <c r="CGU19" s="338"/>
      <c r="CGV19" s="338"/>
      <c r="CGW19" s="338"/>
      <c r="CGX19" s="338"/>
      <c r="CGY19" s="338"/>
      <c r="CGZ19" s="338"/>
      <c r="CHA19" s="338"/>
      <c r="CHB19" s="338"/>
      <c r="CHC19" s="338"/>
      <c r="CHD19" s="338"/>
      <c r="CHE19" s="338"/>
      <c r="CHF19" s="338"/>
      <c r="CHG19" s="338"/>
      <c r="CHH19" s="338"/>
      <c r="CHI19" s="338"/>
      <c r="CHJ19" s="338"/>
      <c r="CHK19" s="338"/>
      <c r="CHL19" s="338"/>
      <c r="CHM19" s="338"/>
      <c r="CHN19" s="338"/>
      <c r="CHO19" s="338"/>
      <c r="CHP19" s="338"/>
      <c r="CHQ19" s="338"/>
      <c r="CHR19" s="338"/>
      <c r="CHS19" s="338"/>
      <c r="CHT19" s="338"/>
      <c r="CHU19" s="338"/>
      <c r="CHV19" s="338"/>
      <c r="CHW19" s="338"/>
      <c r="CHX19" s="338"/>
      <c r="CHY19" s="338"/>
      <c r="CHZ19" s="338"/>
      <c r="CIA19" s="338"/>
      <c r="CIB19" s="338"/>
      <c r="CIC19" s="338"/>
      <c r="CID19" s="338"/>
      <c r="CIE19" s="338"/>
      <c r="CIF19" s="338"/>
      <c r="CIG19" s="338"/>
      <c r="CIH19" s="338"/>
      <c r="CII19" s="338"/>
      <c r="CIJ19" s="338"/>
      <c r="CIK19" s="338"/>
      <c r="CIL19" s="338"/>
      <c r="CIM19" s="338"/>
      <c r="CIN19" s="338"/>
      <c r="CIO19" s="338"/>
      <c r="CIP19" s="338"/>
      <c r="CIQ19" s="338"/>
      <c r="CIR19" s="338"/>
      <c r="CIS19" s="338"/>
      <c r="CIT19" s="338"/>
      <c r="CIU19" s="338"/>
      <c r="CIV19" s="338"/>
      <c r="CIW19" s="338"/>
      <c r="CIX19" s="338"/>
      <c r="CIY19" s="338"/>
      <c r="CIZ19" s="338"/>
      <c r="CJA19" s="338"/>
      <c r="CJB19" s="338"/>
      <c r="CJC19" s="338"/>
      <c r="CJD19" s="338"/>
      <c r="CJE19" s="338"/>
      <c r="CJF19" s="338"/>
      <c r="CJG19" s="338"/>
      <c r="CJH19" s="338"/>
      <c r="CJI19" s="338"/>
      <c r="CJJ19" s="338"/>
      <c r="CJK19" s="338"/>
      <c r="CJL19" s="338"/>
      <c r="CJM19" s="338"/>
      <c r="CJN19" s="338"/>
      <c r="CJO19" s="338"/>
      <c r="CJP19" s="338"/>
      <c r="CJQ19" s="338"/>
      <c r="CJR19" s="338"/>
      <c r="CJS19" s="338"/>
      <c r="CJT19" s="338"/>
      <c r="CJU19" s="338"/>
      <c r="CJV19" s="338"/>
      <c r="CJW19" s="338"/>
      <c r="CJX19" s="338"/>
      <c r="CJY19" s="338"/>
      <c r="CJZ19" s="338"/>
      <c r="CKA19" s="338"/>
      <c r="CKB19" s="338"/>
      <c r="CKC19" s="338"/>
      <c r="CKD19" s="338"/>
      <c r="CKE19" s="338"/>
      <c r="CKF19" s="338"/>
      <c r="CKG19" s="338"/>
      <c r="CKH19" s="338"/>
      <c r="CKI19" s="338"/>
      <c r="CKJ19" s="338"/>
      <c r="CKK19" s="338"/>
      <c r="CKL19" s="338"/>
      <c r="CKM19" s="338"/>
      <c r="CKN19" s="338"/>
      <c r="CKO19" s="338"/>
      <c r="CKP19" s="338"/>
      <c r="CKQ19" s="338"/>
      <c r="CKR19" s="338"/>
      <c r="CKS19" s="338"/>
      <c r="CKT19" s="338"/>
      <c r="CKU19" s="338"/>
      <c r="CKV19" s="338"/>
      <c r="CKW19" s="338"/>
      <c r="CKX19" s="338"/>
      <c r="CKY19" s="338"/>
      <c r="CKZ19" s="338"/>
      <c r="CLA19" s="338"/>
      <c r="CLB19" s="338"/>
      <c r="CLC19" s="338"/>
      <c r="CLD19" s="338"/>
      <c r="CLE19" s="338"/>
      <c r="CLF19" s="338"/>
      <c r="CLG19" s="338"/>
      <c r="CLH19" s="338"/>
      <c r="CLI19" s="338"/>
      <c r="CLJ19" s="338"/>
      <c r="CLK19" s="338"/>
      <c r="CLL19" s="338"/>
      <c r="CLM19" s="338"/>
      <c r="CLN19" s="338"/>
      <c r="CLO19" s="338"/>
      <c r="CLP19" s="338"/>
      <c r="CLQ19" s="338"/>
      <c r="CLR19" s="338"/>
      <c r="CLS19" s="338"/>
      <c r="CLT19" s="338"/>
      <c r="CLU19" s="338"/>
      <c r="CLV19" s="338"/>
      <c r="CLW19" s="338"/>
      <c r="CLX19" s="338"/>
      <c r="CLY19" s="338"/>
      <c r="CLZ19" s="338"/>
      <c r="CMA19" s="338"/>
      <c r="CMB19" s="338"/>
      <c r="CMC19" s="338"/>
      <c r="CMD19" s="338"/>
      <c r="CME19" s="338"/>
      <c r="CMF19" s="338"/>
      <c r="CMG19" s="338"/>
      <c r="CMH19" s="338"/>
      <c r="CMI19" s="338"/>
      <c r="CMJ19" s="338"/>
      <c r="CMK19" s="338"/>
      <c r="CML19" s="338"/>
      <c r="CMM19" s="338"/>
      <c r="CMN19" s="338"/>
      <c r="CMO19" s="338"/>
      <c r="CMP19" s="338"/>
      <c r="CMQ19" s="338"/>
      <c r="CMR19" s="338"/>
      <c r="CMS19" s="338"/>
      <c r="CMT19" s="338"/>
      <c r="CMU19" s="338"/>
      <c r="CMV19" s="338"/>
      <c r="CMW19" s="338"/>
      <c r="CMX19" s="338"/>
      <c r="CMY19" s="338"/>
      <c r="CMZ19" s="338"/>
      <c r="CNA19" s="338"/>
      <c r="CNB19" s="338"/>
      <c r="CNC19" s="338"/>
      <c r="CND19" s="338"/>
      <c r="CNE19" s="338"/>
      <c r="CNF19" s="338"/>
      <c r="CNG19" s="338"/>
      <c r="CNH19" s="338"/>
      <c r="CNI19" s="338"/>
      <c r="CNJ19" s="338"/>
      <c r="CNK19" s="338"/>
      <c r="CNL19" s="338"/>
      <c r="CNM19" s="338"/>
      <c r="CNN19" s="338"/>
      <c r="CNO19" s="338"/>
      <c r="CNP19" s="338"/>
      <c r="CNQ19" s="338"/>
      <c r="CNR19" s="338"/>
      <c r="CNS19" s="338"/>
      <c r="CNT19" s="338"/>
      <c r="CNU19" s="338"/>
      <c r="CNV19" s="338"/>
      <c r="CNW19" s="338"/>
      <c r="CNX19" s="338"/>
      <c r="CNY19" s="338"/>
      <c r="CNZ19" s="338"/>
      <c r="COA19" s="338"/>
      <c r="COB19" s="338"/>
      <c r="COC19" s="338"/>
      <c r="COD19" s="338"/>
      <c r="COE19" s="338"/>
      <c r="COF19" s="338"/>
      <c r="COG19" s="338"/>
      <c r="COH19" s="338"/>
      <c r="COI19" s="338"/>
      <c r="COJ19" s="338"/>
      <c r="COK19" s="338"/>
      <c r="COL19" s="338"/>
      <c r="COM19" s="338"/>
      <c r="CON19" s="338"/>
      <c r="COO19" s="338"/>
      <c r="COP19" s="338"/>
      <c r="COQ19" s="338"/>
      <c r="COR19" s="338"/>
      <c r="COS19" s="338"/>
      <c r="COT19" s="338"/>
      <c r="COU19" s="338"/>
      <c r="COV19" s="338"/>
      <c r="COW19" s="338"/>
      <c r="COX19" s="338"/>
      <c r="COY19" s="338"/>
      <c r="COZ19" s="338"/>
      <c r="CPA19" s="338"/>
      <c r="CPB19" s="338"/>
      <c r="CPC19" s="338"/>
      <c r="CPD19" s="338"/>
      <c r="CPE19" s="338"/>
      <c r="CPF19" s="338"/>
      <c r="CPG19" s="338"/>
      <c r="CPH19" s="338"/>
      <c r="CPI19" s="338"/>
      <c r="CPJ19" s="338"/>
      <c r="CPK19" s="338"/>
      <c r="CPL19" s="338"/>
      <c r="CPM19" s="338"/>
      <c r="CPN19" s="338"/>
      <c r="CPO19" s="338"/>
      <c r="CPP19" s="338"/>
      <c r="CPQ19" s="338"/>
      <c r="CPR19" s="338"/>
      <c r="CPS19" s="338"/>
      <c r="CPT19" s="338"/>
      <c r="CPU19" s="338"/>
      <c r="CPV19" s="338"/>
      <c r="CPW19" s="338"/>
      <c r="CPX19" s="338"/>
      <c r="CPY19" s="338"/>
      <c r="CPZ19" s="338"/>
      <c r="CQA19" s="338"/>
      <c r="CQB19" s="338"/>
      <c r="CQC19" s="338"/>
      <c r="CQD19" s="338"/>
      <c r="CQE19" s="338"/>
      <c r="CQF19" s="338"/>
      <c r="CQG19" s="338"/>
      <c r="CQH19" s="338"/>
      <c r="CQI19" s="338"/>
      <c r="CQJ19" s="338"/>
      <c r="CQK19" s="338"/>
      <c r="CQL19" s="338"/>
      <c r="CQM19" s="338"/>
      <c r="CQN19" s="338"/>
      <c r="CQO19" s="338"/>
      <c r="CQP19" s="338"/>
      <c r="CQQ19" s="338"/>
      <c r="CQR19" s="338"/>
      <c r="CQS19" s="338"/>
      <c r="CQT19" s="338"/>
      <c r="CQU19" s="338"/>
      <c r="CQV19" s="338"/>
      <c r="CQW19" s="338"/>
      <c r="CQX19" s="338"/>
      <c r="CQY19" s="338"/>
      <c r="CQZ19" s="338"/>
      <c r="CRA19" s="338"/>
      <c r="CRB19" s="338"/>
      <c r="CRC19" s="338"/>
      <c r="CRD19" s="338"/>
      <c r="CRE19" s="338"/>
      <c r="CRF19" s="338"/>
      <c r="CRG19" s="338"/>
      <c r="CRH19" s="338"/>
      <c r="CRI19" s="338"/>
      <c r="CRJ19" s="338"/>
      <c r="CRK19" s="338"/>
      <c r="CRL19" s="338"/>
      <c r="CRM19" s="338"/>
      <c r="CRN19" s="338"/>
      <c r="CRO19" s="338"/>
      <c r="CRP19" s="338"/>
      <c r="CRQ19" s="338"/>
      <c r="CRR19" s="338"/>
      <c r="CRS19" s="338"/>
      <c r="CRT19" s="338"/>
      <c r="CRU19" s="338"/>
      <c r="CRV19" s="338"/>
      <c r="CRW19" s="338"/>
      <c r="CRX19" s="338"/>
      <c r="CRY19" s="338"/>
      <c r="CRZ19" s="338"/>
      <c r="CSA19" s="338"/>
      <c r="CSB19" s="338"/>
      <c r="CSC19" s="338"/>
      <c r="CSD19" s="338"/>
      <c r="CSE19" s="338"/>
      <c r="CSF19" s="338"/>
      <c r="CSG19" s="338"/>
      <c r="CSH19" s="338"/>
      <c r="CSI19" s="338"/>
      <c r="CSJ19" s="338"/>
      <c r="CSK19" s="338"/>
      <c r="CSL19" s="338"/>
      <c r="CSM19" s="338"/>
      <c r="CSN19" s="338"/>
      <c r="CSO19" s="338"/>
      <c r="CSP19" s="338"/>
      <c r="CSQ19" s="338"/>
      <c r="CSR19" s="338"/>
      <c r="CSS19" s="338"/>
      <c r="CST19" s="338"/>
      <c r="CSU19" s="338"/>
      <c r="CSV19" s="338"/>
      <c r="CSW19" s="338"/>
      <c r="CSX19" s="338"/>
      <c r="CSY19" s="338"/>
      <c r="CSZ19" s="338"/>
      <c r="CTA19" s="338"/>
      <c r="CTB19" s="338"/>
      <c r="CTC19" s="338"/>
      <c r="CTD19" s="338"/>
      <c r="CTE19" s="338"/>
      <c r="CTF19" s="338"/>
      <c r="CTG19" s="338"/>
      <c r="CTH19" s="338"/>
      <c r="CTI19" s="338"/>
      <c r="CTJ19" s="338"/>
      <c r="CTK19" s="338"/>
      <c r="CTL19" s="338"/>
      <c r="CTM19" s="338"/>
      <c r="CTN19" s="338"/>
      <c r="CTO19" s="338"/>
      <c r="CTP19" s="338"/>
      <c r="CTQ19" s="338"/>
      <c r="CTR19" s="338"/>
      <c r="CTS19" s="338"/>
      <c r="CTT19" s="338"/>
      <c r="CTU19" s="338"/>
      <c r="CTV19" s="338"/>
      <c r="CTW19" s="338"/>
      <c r="CTX19" s="338"/>
      <c r="CTY19" s="338"/>
      <c r="CTZ19" s="338"/>
      <c r="CUA19" s="338"/>
      <c r="CUB19" s="338"/>
      <c r="CUC19" s="338"/>
      <c r="CUD19" s="338"/>
      <c r="CUE19" s="338"/>
      <c r="CUF19" s="338"/>
      <c r="CUG19" s="338"/>
      <c r="CUH19" s="338"/>
      <c r="CUI19" s="338"/>
      <c r="CUJ19" s="338"/>
      <c r="CUK19" s="338"/>
      <c r="CUL19" s="338"/>
      <c r="CUM19" s="338"/>
      <c r="CUN19" s="338"/>
      <c r="CUO19" s="338"/>
      <c r="CUP19" s="338"/>
      <c r="CUQ19" s="338"/>
      <c r="CUR19" s="338"/>
      <c r="CUS19" s="338"/>
      <c r="CUT19" s="338"/>
      <c r="CUU19" s="338"/>
      <c r="CUV19" s="338"/>
      <c r="CUW19" s="338"/>
      <c r="CUX19" s="338"/>
      <c r="CUY19" s="338"/>
      <c r="CUZ19" s="338"/>
      <c r="CVA19" s="338"/>
      <c r="CVB19" s="338"/>
      <c r="CVC19" s="338"/>
      <c r="CVD19" s="338"/>
      <c r="CVE19" s="338"/>
      <c r="CVF19" s="338"/>
      <c r="CVG19" s="338"/>
      <c r="CVH19" s="338"/>
      <c r="CVI19" s="338"/>
      <c r="CVJ19" s="338"/>
      <c r="CVK19" s="338"/>
      <c r="CVL19" s="338"/>
      <c r="CVM19" s="338"/>
      <c r="CVN19" s="338"/>
      <c r="CVO19" s="338"/>
      <c r="CVP19" s="338"/>
      <c r="CVQ19" s="338"/>
      <c r="CVR19" s="338"/>
      <c r="CVS19" s="338"/>
      <c r="CVT19" s="338"/>
      <c r="CVU19" s="338"/>
      <c r="CVV19" s="338"/>
      <c r="CVW19" s="338"/>
      <c r="CVX19" s="338"/>
      <c r="CVY19" s="338"/>
      <c r="CVZ19" s="338"/>
      <c r="CWA19" s="338"/>
      <c r="CWB19" s="338"/>
      <c r="CWC19" s="338"/>
      <c r="CWD19" s="338"/>
      <c r="CWE19" s="338"/>
      <c r="CWF19" s="338"/>
      <c r="CWG19" s="338"/>
      <c r="CWH19" s="338"/>
      <c r="CWI19" s="338"/>
      <c r="CWJ19" s="338"/>
      <c r="CWK19" s="338"/>
      <c r="CWL19" s="338"/>
      <c r="CWM19" s="338"/>
      <c r="CWN19" s="338"/>
      <c r="CWO19" s="338"/>
      <c r="CWP19" s="338"/>
      <c r="CWQ19" s="338"/>
      <c r="CWR19" s="338"/>
      <c r="CWS19" s="338"/>
      <c r="CWT19" s="338"/>
      <c r="CWU19" s="338"/>
      <c r="CWV19" s="338"/>
      <c r="CWW19" s="338"/>
      <c r="CWX19" s="338"/>
      <c r="CWY19" s="338"/>
      <c r="CWZ19" s="338"/>
      <c r="CXA19" s="338"/>
      <c r="CXB19" s="338"/>
      <c r="CXC19" s="338"/>
      <c r="CXD19" s="338"/>
      <c r="CXE19" s="338"/>
      <c r="CXF19" s="338"/>
      <c r="CXG19" s="338"/>
      <c r="CXH19" s="338"/>
      <c r="CXI19" s="338"/>
      <c r="CXJ19" s="338"/>
      <c r="CXK19" s="338"/>
      <c r="CXL19" s="338"/>
      <c r="CXM19" s="338"/>
      <c r="CXN19" s="338"/>
      <c r="CXO19" s="338"/>
      <c r="CXP19" s="338"/>
      <c r="CXQ19" s="338"/>
      <c r="CXR19" s="338"/>
      <c r="CXS19" s="338"/>
      <c r="CXT19" s="338"/>
      <c r="CXU19" s="338"/>
      <c r="CXV19" s="338"/>
      <c r="CXW19" s="338"/>
      <c r="CXX19" s="338"/>
      <c r="CXY19" s="338"/>
      <c r="CXZ19" s="338"/>
      <c r="CYA19" s="338"/>
      <c r="CYB19" s="338"/>
      <c r="CYC19" s="338"/>
      <c r="CYD19" s="338"/>
      <c r="CYE19" s="338"/>
      <c r="CYF19" s="338"/>
      <c r="CYG19" s="338"/>
      <c r="CYH19" s="338"/>
      <c r="CYI19" s="338"/>
      <c r="CYJ19" s="338"/>
      <c r="CYK19" s="338"/>
      <c r="CYL19" s="338"/>
      <c r="CYM19" s="338"/>
      <c r="CYN19" s="338"/>
      <c r="CYO19" s="338"/>
      <c r="CYP19" s="338"/>
      <c r="CYQ19" s="338"/>
      <c r="CYR19" s="338"/>
      <c r="CYS19" s="338"/>
      <c r="CYT19" s="338"/>
      <c r="CYU19" s="338"/>
      <c r="CYV19" s="338"/>
      <c r="CYW19" s="338"/>
      <c r="CYX19" s="338"/>
      <c r="CYY19" s="338"/>
      <c r="CYZ19" s="338"/>
      <c r="CZA19" s="338"/>
      <c r="CZB19" s="338"/>
      <c r="CZC19" s="338"/>
      <c r="CZD19" s="338"/>
      <c r="CZE19" s="338"/>
      <c r="CZF19" s="338"/>
      <c r="CZG19" s="338"/>
      <c r="CZH19" s="338"/>
      <c r="CZI19" s="338"/>
      <c r="CZJ19" s="338"/>
      <c r="CZK19" s="338"/>
      <c r="CZL19" s="338"/>
      <c r="CZM19" s="338"/>
      <c r="CZN19" s="338"/>
      <c r="CZO19" s="338"/>
      <c r="CZP19" s="338"/>
      <c r="CZQ19" s="338"/>
      <c r="CZR19" s="338"/>
      <c r="CZS19" s="338"/>
      <c r="CZT19" s="338"/>
      <c r="CZU19" s="338"/>
      <c r="CZV19" s="338"/>
      <c r="CZW19" s="338"/>
      <c r="CZX19" s="338"/>
      <c r="CZY19" s="338"/>
      <c r="CZZ19" s="338"/>
      <c r="DAA19" s="338"/>
      <c r="DAB19" s="338"/>
      <c r="DAC19" s="338"/>
      <c r="DAD19" s="338"/>
      <c r="DAE19" s="338"/>
      <c r="DAF19" s="338"/>
      <c r="DAG19" s="338"/>
      <c r="DAH19" s="338"/>
      <c r="DAI19" s="338"/>
      <c r="DAJ19" s="338"/>
      <c r="DAK19" s="338"/>
      <c r="DAL19" s="338"/>
      <c r="DAM19" s="338"/>
      <c r="DAN19" s="338"/>
      <c r="DAO19" s="338"/>
      <c r="DAP19" s="338"/>
      <c r="DAQ19" s="338"/>
      <c r="DAR19" s="338"/>
      <c r="DAS19" s="338"/>
      <c r="DAT19" s="338"/>
      <c r="DAU19" s="338"/>
      <c r="DAV19" s="338"/>
      <c r="DAW19" s="338"/>
      <c r="DAX19" s="338"/>
      <c r="DAY19" s="338"/>
      <c r="DAZ19" s="338"/>
      <c r="DBA19" s="338"/>
      <c r="DBB19" s="338"/>
      <c r="DBC19" s="338"/>
      <c r="DBD19" s="338"/>
      <c r="DBE19" s="338"/>
      <c r="DBF19" s="338"/>
      <c r="DBG19" s="338"/>
      <c r="DBH19" s="338"/>
      <c r="DBI19" s="338"/>
      <c r="DBJ19" s="338"/>
      <c r="DBK19" s="338"/>
      <c r="DBL19" s="338"/>
      <c r="DBM19" s="338"/>
      <c r="DBN19" s="338"/>
      <c r="DBO19" s="338"/>
      <c r="DBP19" s="338"/>
      <c r="DBQ19" s="338"/>
      <c r="DBR19" s="338"/>
      <c r="DBS19" s="338"/>
      <c r="DBT19" s="338"/>
      <c r="DBU19" s="338"/>
      <c r="DBV19" s="338"/>
      <c r="DBW19" s="338"/>
      <c r="DBX19" s="338"/>
      <c r="DBY19" s="338"/>
      <c r="DBZ19" s="338"/>
      <c r="DCA19" s="338"/>
      <c r="DCB19" s="338"/>
      <c r="DCC19" s="338"/>
      <c r="DCD19" s="338"/>
      <c r="DCE19" s="338"/>
      <c r="DCF19" s="338"/>
      <c r="DCG19" s="338"/>
      <c r="DCH19" s="338"/>
      <c r="DCI19" s="338"/>
      <c r="DCJ19" s="338"/>
      <c r="DCK19" s="338"/>
      <c r="DCL19" s="338"/>
      <c r="DCM19" s="338"/>
      <c r="DCN19" s="338"/>
      <c r="DCO19" s="338"/>
      <c r="DCP19" s="338"/>
      <c r="DCQ19" s="338"/>
      <c r="DCR19" s="338"/>
      <c r="DCS19" s="338"/>
      <c r="DCT19" s="338"/>
      <c r="DCU19" s="338"/>
      <c r="DCV19" s="338"/>
      <c r="DCW19" s="338"/>
      <c r="DCX19" s="338"/>
      <c r="DCY19" s="338"/>
      <c r="DCZ19" s="338"/>
      <c r="DDA19" s="338"/>
      <c r="DDB19" s="338"/>
      <c r="DDC19" s="338"/>
      <c r="DDD19" s="338"/>
      <c r="DDE19" s="338"/>
      <c r="DDF19" s="338"/>
      <c r="DDG19" s="338"/>
      <c r="DDH19" s="338"/>
      <c r="DDI19" s="338"/>
      <c r="DDJ19" s="338"/>
      <c r="DDK19" s="338"/>
      <c r="DDL19" s="338"/>
      <c r="DDM19" s="338"/>
      <c r="DDN19" s="338"/>
      <c r="DDO19" s="338"/>
      <c r="DDP19" s="338"/>
      <c r="DDQ19" s="338"/>
      <c r="DDR19" s="338"/>
      <c r="DDS19" s="338"/>
      <c r="DDT19" s="338"/>
      <c r="DDU19" s="338"/>
      <c r="DDV19" s="338"/>
      <c r="DDW19" s="338"/>
      <c r="DDX19" s="338"/>
      <c r="DDY19" s="338"/>
      <c r="DDZ19" s="338"/>
      <c r="DEA19" s="338"/>
      <c r="DEB19" s="338"/>
      <c r="DEC19" s="338"/>
      <c r="DED19" s="338"/>
      <c r="DEE19" s="338"/>
      <c r="DEF19" s="338"/>
      <c r="DEG19" s="338"/>
      <c r="DEH19" s="338"/>
      <c r="DEI19" s="338"/>
      <c r="DEJ19" s="338"/>
      <c r="DEK19" s="338"/>
      <c r="DEL19" s="338"/>
      <c r="DEM19" s="338"/>
      <c r="DEN19" s="338"/>
      <c r="DEO19" s="338"/>
      <c r="DEP19" s="338"/>
      <c r="DEQ19" s="338"/>
      <c r="DER19" s="338"/>
      <c r="DES19" s="338"/>
      <c r="DET19" s="338"/>
      <c r="DEU19" s="338"/>
      <c r="DEV19" s="338"/>
      <c r="DEW19" s="338"/>
      <c r="DEX19" s="338"/>
      <c r="DEY19" s="338"/>
      <c r="DEZ19" s="338"/>
      <c r="DFA19" s="338"/>
      <c r="DFB19" s="338"/>
      <c r="DFC19" s="338"/>
      <c r="DFD19" s="338"/>
      <c r="DFE19" s="338"/>
      <c r="DFF19" s="338"/>
      <c r="DFG19" s="338"/>
      <c r="DFH19" s="338"/>
      <c r="DFI19" s="338"/>
      <c r="DFJ19" s="338"/>
      <c r="DFK19" s="338"/>
      <c r="DFL19" s="338"/>
      <c r="DFM19" s="338"/>
      <c r="DFN19" s="338"/>
      <c r="DFO19" s="338"/>
      <c r="DFP19" s="338"/>
      <c r="DFQ19" s="338"/>
      <c r="DFR19" s="338"/>
      <c r="DFS19" s="338"/>
      <c r="DFT19" s="338"/>
      <c r="DFU19" s="338"/>
      <c r="DFV19" s="338"/>
      <c r="DFW19" s="338"/>
      <c r="DFX19" s="338"/>
      <c r="DFY19" s="338"/>
      <c r="DFZ19" s="338"/>
      <c r="DGA19" s="338"/>
      <c r="DGB19" s="338"/>
      <c r="DGC19" s="338"/>
      <c r="DGD19" s="338"/>
      <c r="DGE19" s="338"/>
      <c r="DGF19" s="338"/>
      <c r="DGG19" s="338"/>
      <c r="DGH19" s="338"/>
      <c r="DGI19" s="338"/>
      <c r="DGJ19" s="338"/>
      <c r="DGK19" s="338"/>
      <c r="DGL19" s="338"/>
      <c r="DGM19" s="338"/>
      <c r="DGN19" s="338"/>
      <c r="DGO19" s="338"/>
      <c r="DGP19" s="338"/>
      <c r="DGQ19" s="338"/>
      <c r="DGR19" s="338"/>
      <c r="DGS19" s="338"/>
      <c r="DGT19" s="338"/>
      <c r="DGU19" s="338"/>
      <c r="DGV19" s="338"/>
      <c r="DGW19" s="338"/>
      <c r="DGX19" s="338"/>
      <c r="DGY19" s="338"/>
      <c r="DGZ19" s="338"/>
      <c r="DHA19" s="338"/>
      <c r="DHB19" s="338"/>
      <c r="DHC19" s="338"/>
      <c r="DHD19" s="338"/>
      <c r="DHE19" s="338"/>
      <c r="DHF19" s="338"/>
      <c r="DHG19" s="338"/>
      <c r="DHH19" s="338"/>
      <c r="DHI19" s="338"/>
      <c r="DHJ19" s="338"/>
      <c r="DHK19" s="338"/>
      <c r="DHL19" s="338"/>
      <c r="DHM19" s="338"/>
      <c r="DHN19" s="338"/>
      <c r="DHO19" s="338"/>
      <c r="DHP19" s="338"/>
      <c r="DHQ19" s="338"/>
      <c r="DHR19" s="338"/>
      <c r="DHS19" s="338"/>
      <c r="DHT19" s="338"/>
      <c r="DHU19" s="338"/>
      <c r="DHV19" s="338"/>
      <c r="DHW19" s="338"/>
      <c r="DHX19" s="338"/>
      <c r="DHY19" s="338"/>
      <c r="DHZ19" s="338"/>
      <c r="DIA19" s="338"/>
      <c r="DIB19" s="338"/>
      <c r="DIC19" s="338"/>
      <c r="DID19" s="338"/>
      <c r="DIE19" s="338"/>
      <c r="DIF19" s="338"/>
      <c r="DIG19" s="338"/>
      <c r="DIH19" s="338"/>
      <c r="DII19" s="338"/>
      <c r="DIJ19" s="338"/>
      <c r="DIK19" s="338"/>
      <c r="DIL19" s="338"/>
      <c r="DIM19" s="338"/>
      <c r="DIN19" s="338"/>
      <c r="DIO19" s="338"/>
      <c r="DIP19" s="338"/>
      <c r="DIQ19" s="338"/>
      <c r="DIR19" s="338"/>
      <c r="DIS19" s="338"/>
      <c r="DIT19" s="338"/>
      <c r="DIU19" s="338"/>
      <c r="DIV19" s="338"/>
      <c r="DIW19" s="338"/>
      <c r="DIX19" s="338"/>
      <c r="DIY19" s="338"/>
      <c r="DIZ19" s="338"/>
      <c r="DJA19" s="338"/>
      <c r="DJB19" s="338"/>
      <c r="DJC19" s="338"/>
      <c r="DJD19" s="338"/>
      <c r="DJE19" s="338"/>
      <c r="DJF19" s="338"/>
      <c r="DJG19" s="338"/>
      <c r="DJH19" s="338"/>
      <c r="DJI19" s="338"/>
      <c r="DJJ19" s="338"/>
      <c r="DJK19" s="338"/>
      <c r="DJL19" s="338"/>
      <c r="DJM19" s="338"/>
      <c r="DJN19" s="338"/>
      <c r="DJO19" s="338"/>
      <c r="DJP19" s="338"/>
      <c r="DJQ19" s="338"/>
      <c r="DJR19" s="338"/>
      <c r="DJS19" s="338"/>
      <c r="DJT19" s="338"/>
      <c r="DJU19" s="338"/>
      <c r="DJV19" s="338"/>
      <c r="DJW19" s="338"/>
      <c r="DJX19" s="338"/>
      <c r="DJY19" s="338"/>
      <c r="DJZ19" s="338"/>
      <c r="DKA19" s="338"/>
      <c r="DKB19" s="338"/>
      <c r="DKC19" s="338"/>
      <c r="DKD19" s="338"/>
      <c r="DKE19" s="338"/>
      <c r="DKF19" s="338"/>
      <c r="DKG19" s="338"/>
      <c r="DKH19" s="338"/>
      <c r="DKI19" s="338"/>
      <c r="DKJ19" s="338"/>
      <c r="DKK19" s="338"/>
      <c r="DKL19" s="338"/>
      <c r="DKM19" s="338"/>
      <c r="DKN19" s="338"/>
      <c r="DKO19" s="338"/>
      <c r="DKP19" s="338"/>
      <c r="DKQ19" s="338"/>
      <c r="DKR19" s="338"/>
      <c r="DKS19" s="338"/>
      <c r="DKT19" s="338"/>
      <c r="DKU19" s="338"/>
      <c r="DKV19" s="338"/>
      <c r="DKW19" s="338"/>
      <c r="DKX19" s="338"/>
      <c r="DKY19" s="338"/>
      <c r="DKZ19" s="338"/>
      <c r="DLA19" s="338"/>
      <c r="DLB19" s="338"/>
      <c r="DLC19" s="338"/>
      <c r="DLD19" s="338"/>
      <c r="DLE19" s="338"/>
      <c r="DLF19" s="338"/>
      <c r="DLG19" s="338"/>
      <c r="DLH19" s="338"/>
      <c r="DLI19" s="338"/>
      <c r="DLJ19" s="338"/>
      <c r="DLK19" s="338"/>
      <c r="DLL19" s="338"/>
      <c r="DLM19" s="338"/>
      <c r="DLN19" s="338"/>
      <c r="DLO19" s="338"/>
      <c r="DLP19" s="338"/>
      <c r="DLQ19" s="338"/>
      <c r="DLR19" s="338"/>
      <c r="DLS19" s="338"/>
      <c r="DLT19" s="338"/>
      <c r="DLU19" s="338"/>
      <c r="DLV19" s="338"/>
      <c r="DLW19" s="338"/>
      <c r="DLX19" s="338"/>
      <c r="DLY19" s="338"/>
      <c r="DLZ19" s="338"/>
      <c r="DMA19" s="338"/>
      <c r="DMB19" s="338"/>
      <c r="DMC19" s="338"/>
      <c r="DMD19" s="338"/>
      <c r="DME19" s="338"/>
      <c r="DMF19" s="338"/>
      <c r="DMG19" s="338"/>
      <c r="DMH19" s="338"/>
      <c r="DMI19" s="338"/>
      <c r="DMJ19" s="338"/>
      <c r="DMK19" s="338"/>
      <c r="DML19" s="338"/>
      <c r="DMM19" s="338"/>
      <c r="DMN19" s="338"/>
      <c r="DMO19" s="338"/>
      <c r="DMP19" s="338"/>
      <c r="DMQ19" s="338"/>
      <c r="DMR19" s="338"/>
      <c r="DMS19" s="338"/>
      <c r="DMT19" s="338"/>
      <c r="DMU19" s="338"/>
      <c r="DMV19" s="338"/>
      <c r="DMW19" s="338"/>
      <c r="DMX19" s="338"/>
      <c r="DMY19" s="338"/>
      <c r="DMZ19" s="338"/>
      <c r="DNA19" s="338"/>
      <c r="DNB19" s="338"/>
      <c r="DNC19" s="338"/>
      <c r="DND19" s="338"/>
      <c r="DNE19" s="338"/>
      <c r="DNF19" s="338"/>
      <c r="DNG19" s="338"/>
      <c r="DNH19" s="338"/>
      <c r="DNI19" s="338"/>
      <c r="DNJ19" s="338"/>
      <c r="DNK19" s="338"/>
      <c r="DNL19" s="338"/>
      <c r="DNM19" s="338"/>
      <c r="DNN19" s="338"/>
      <c r="DNO19" s="338"/>
      <c r="DNP19" s="338"/>
      <c r="DNQ19" s="338"/>
      <c r="DNR19" s="338"/>
      <c r="DNS19" s="338"/>
      <c r="DNT19" s="338"/>
      <c r="DNU19" s="338"/>
      <c r="DNV19" s="338"/>
      <c r="DNW19" s="338"/>
      <c r="DNX19" s="338"/>
      <c r="DNY19" s="338"/>
      <c r="DNZ19" s="338"/>
      <c r="DOA19" s="338"/>
      <c r="DOB19" s="338"/>
      <c r="DOC19" s="338"/>
      <c r="DOD19" s="338"/>
      <c r="DOE19" s="338"/>
      <c r="DOF19" s="338"/>
      <c r="DOG19" s="338"/>
      <c r="DOH19" s="338"/>
      <c r="DOI19" s="338"/>
      <c r="DOJ19" s="338"/>
      <c r="DOK19" s="338"/>
      <c r="DOL19" s="338"/>
      <c r="DOM19" s="338"/>
      <c r="DON19" s="338"/>
      <c r="DOO19" s="338"/>
      <c r="DOP19" s="338"/>
      <c r="DOQ19" s="338"/>
      <c r="DOR19" s="338"/>
      <c r="DOS19" s="338"/>
      <c r="DOT19" s="338"/>
      <c r="DOU19" s="338"/>
      <c r="DOV19" s="338"/>
      <c r="DOW19" s="338"/>
      <c r="DOX19" s="338"/>
      <c r="DOY19" s="338"/>
      <c r="DOZ19" s="338"/>
      <c r="DPA19" s="338"/>
      <c r="DPB19" s="338"/>
      <c r="DPC19" s="338"/>
      <c r="DPD19" s="338"/>
      <c r="DPE19" s="338"/>
      <c r="DPF19" s="338"/>
      <c r="DPG19" s="338"/>
      <c r="DPH19" s="338"/>
      <c r="DPI19" s="338"/>
      <c r="DPJ19" s="338"/>
      <c r="DPK19" s="338"/>
      <c r="DPL19" s="338"/>
      <c r="DPM19" s="338"/>
      <c r="DPN19" s="338"/>
      <c r="DPO19" s="338"/>
      <c r="DPP19" s="338"/>
      <c r="DPQ19" s="338"/>
      <c r="DPR19" s="338"/>
      <c r="DPS19" s="338"/>
      <c r="DPT19" s="338"/>
      <c r="DPU19" s="338"/>
      <c r="DPV19" s="338"/>
      <c r="DPW19" s="338"/>
      <c r="DPX19" s="338"/>
      <c r="DPY19" s="338"/>
      <c r="DPZ19" s="338"/>
      <c r="DQA19" s="338"/>
      <c r="DQB19" s="338"/>
      <c r="DQC19" s="338"/>
      <c r="DQD19" s="338"/>
      <c r="DQE19" s="338"/>
      <c r="DQF19" s="338"/>
      <c r="DQG19" s="338"/>
      <c r="DQH19" s="338"/>
      <c r="DQI19" s="338"/>
      <c r="DQJ19" s="338"/>
      <c r="DQK19" s="338"/>
      <c r="DQL19" s="338"/>
      <c r="DQM19" s="338"/>
      <c r="DQN19" s="338"/>
      <c r="DQO19" s="338"/>
      <c r="DQP19" s="338"/>
      <c r="DQQ19" s="338"/>
      <c r="DQR19" s="338"/>
      <c r="DQS19" s="338"/>
      <c r="DQT19" s="338"/>
      <c r="DQU19" s="338"/>
      <c r="DQV19" s="338"/>
      <c r="DQW19" s="338"/>
      <c r="DQX19" s="338"/>
      <c r="DQY19" s="338"/>
      <c r="DQZ19" s="338"/>
      <c r="DRA19" s="338"/>
      <c r="DRB19" s="338"/>
      <c r="DRC19" s="338"/>
      <c r="DRD19" s="338"/>
      <c r="DRE19" s="338"/>
      <c r="DRF19" s="338"/>
      <c r="DRG19" s="338"/>
      <c r="DRH19" s="338"/>
      <c r="DRI19" s="338"/>
      <c r="DRJ19" s="338"/>
      <c r="DRK19" s="338"/>
      <c r="DRL19" s="338"/>
      <c r="DRM19" s="338"/>
      <c r="DRN19" s="338"/>
      <c r="DRO19" s="338"/>
      <c r="DRP19" s="338"/>
      <c r="DRQ19" s="338"/>
      <c r="DRR19" s="338"/>
      <c r="DRS19" s="338"/>
      <c r="DRT19" s="338"/>
      <c r="DRU19" s="338"/>
      <c r="DRV19" s="338"/>
      <c r="DRW19" s="338"/>
      <c r="DRX19" s="338"/>
      <c r="DRY19" s="338"/>
      <c r="DRZ19" s="338"/>
      <c r="DSA19" s="338"/>
      <c r="DSB19" s="338"/>
      <c r="DSC19" s="338"/>
      <c r="DSD19" s="338"/>
      <c r="DSE19" s="338"/>
      <c r="DSF19" s="338"/>
      <c r="DSG19" s="338"/>
      <c r="DSH19" s="338"/>
      <c r="DSI19" s="338"/>
      <c r="DSJ19" s="338"/>
      <c r="DSK19" s="338"/>
      <c r="DSL19" s="338"/>
      <c r="DSM19" s="338"/>
      <c r="DSN19" s="338"/>
      <c r="DSO19" s="338"/>
      <c r="DSP19" s="338"/>
      <c r="DSQ19" s="338"/>
      <c r="DSR19" s="338"/>
      <c r="DSS19" s="338"/>
      <c r="DST19" s="338"/>
      <c r="DSU19" s="338"/>
      <c r="DSV19" s="338"/>
      <c r="DSW19" s="338"/>
      <c r="DSX19" s="338"/>
      <c r="DSY19" s="338"/>
      <c r="DSZ19" s="338"/>
      <c r="DTA19" s="338"/>
      <c r="DTB19" s="338"/>
      <c r="DTC19" s="338"/>
      <c r="DTD19" s="338"/>
      <c r="DTE19" s="338"/>
      <c r="DTF19" s="338"/>
      <c r="DTG19" s="338"/>
      <c r="DTH19" s="338"/>
      <c r="DTI19" s="338"/>
      <c r="DTJ19" s="338"/>
      <c r="DTK19" s="338"/>
      <c r="DTL19" s="338"/>
      <c r="DTM19" s="338"/>
      <c r="DTN19" s="338"/>
      <c r="DTO19" s="338"/>
      <c r="DTP19" s="338"/>
      <c r="DTQ19" s="338"/>
      <c r="DTR19" s="338"/>
      <c r="DTS19" s="338"/>
      <c r="DTT19" s="338"/>
      <c r="DTU19" s="338"/>
      <c r="DTV19" s="338"/>
      <c r="DTW19" s="338"/>
      <c r="DTX19" s="338"/>
      <c r="DTY19" s="338"/>
      <c r="DTZ19" s="338"/>
      <c r="DUA19" s="338"/>
      <c r="DUB19" s="338"/>
      <c r="DUC19" s="338"/>
      <c r="DUD19" s="338"/>
      <c r="DUE19" s="338"/>
      <c r="DUF19" s="338"/>
      <c r="DUG19" s="338"/>
      <c r="DUH19" s="338"/>
      <c r="DUI19" s="338"/>
      <c r="DUJ19" s="338"/>
      <c r="DUK19" s="338"/>
      <c r="DUL19" s="338"/>
      <c r="DUM19" s="338"/>
      <c r="DUN19" s="338"/>
      <c r="DUO19" s="338"/>
      <c r="DUP19" s="338"/>
      <c r="DUQ19" s="338"/>
      <c r="DUR19" s="338"/>
      <c r="DUS19" s="338"/>
      <c r="DUT19" s="338"/>
      <c r="DUU19" s="338"/>
      <c r="DUV19" s="338"/>
      <c r="DUW19" s="338"/>
      <c r="DUX19" s="338"/>
      <c r="DUY19" s="338"/>
      <c r="DUZ19" s="338"/>
      <c r="DVA19" s="338"/>
      <c r="DVB19" s="338"/>
      <c r="DVC19" s="338"/>
      <c r="DVD19" s="338"/>
      <c r="DVE19" s="338"/>
      <c r="DVF19" s="338"/>
      <c r="DVG19" s="338"/>
      <c r="DVH19" s="338"/>
      <c r="DVI19" s="338"/>
      <c r="DVJ19" s="338"/>
      <c r="DVK19" s="338"/>
      <c r="DVL19" s="338"/>
      <c r="DVM19" s="338"/>
      <c r="DVN19" s="338"/>
      <c r="DVO19" s="338"/>
      <c r="DVP19" s="338"/>
      <c r="DVQ19" s="338"/>
      <c r="DVR19" s="338"/>
      <c r="DVS19" s="338"/>
      <c r="DVT19" s="338"/>
      <c r="DVU19" s="338"/>
      <c r="DVV19" s="338"/>
      <c r="DVW19" s="338"/>
      <c r="DVX19" s="338"/>
      <c r="DVY19" s="338"/>
      <c r="DVZ19" s="338"/>
      <c r="DWA19" s="338"/>
      <c r="DWB19" s="338"/>
      <c r="DWC19" s="338"/>
      <c r="DWD19" s="338"/>
      <c r="DWE19" s="338"/>
      <c r="DWF19" s="338"/>
      <c r="DWG19" s="338"/>
      <c r="DWH19" s="338"/>
      <c r="DWI19" s="338"/>
      <c r="DWJ19" s="338"/>
      <c r="DWK19" s="338"/>
      <c r="DWL19" s="338"/>
      <c r="DWM19" s="338"/>
      <c r="DWN19" s="338"/>
      <c r="DWO19" s="338"/>
      <c r="DWP19" s="338"/>
      <c r="DWQ19" s="338"/>
      <c r="DWR19" s="338"/>
      <c r="DWS19" s="338"/>
      <c r="DWT19" s="338"/>
      <c r="DWU19" s="338"/>
      <c r="DWV19" s="338"/>
      <c r="DWW19" s="338"/>
      <c r="DWX19" s="338"/>
      <c r="DWY19" s="338"/>
      <c r="DWZ19" s="338"/>
      <c r="DXA19" s="338"/>
      <c r="DXB19" s="338"/>
      <c r="DXC19" s="338"/>
      <c r="DXD19" s="338"/>
      <c r="DXE19" s="338"/>
      <c r="DXF19" s="338"/>
      <c r="DXG19" s="338"/>
      <c r="DXH19" s="338"/>
      <c r="DXI19" s="338"/>
      <c r="DXJ19" s="338"/>
      <c r="DXK19" s="338"/>
      <c r="DXL19" s="338"/>
      <c r="DXM19" s="338"/>
      <c r="DXN19" s="338"/>
      <c r="DXO19" s="338"/>
      <c r="DXP19" s="338"/>
      <c r="DXQ19" s="338"/>
      <c r="DXR19" s="338"/>
      <c r="DXS19" s="338"/>
      <c r="DXT19" s="338"/>
      <c r="DXU19" s="338"/>
      <c r="DXV19" s="338"/>
      <c r="DXW19" s="338"/>
      <c r="DXX19" s="338"/>
      <c r="DXY19" s="338"/>
      <c r="DXZ19" s="338"/>
      <c r="DYA19" s="338"/>
      <c r="DYB19" s="338"/>
      <c r="DYC19" s="338"/>
      <c r="DYD19" s="338"/>
      <c r="DYE19" s="338"/>
      <c r="DYF19" s="338"/>
      <c r="DYG19" s="338"/>
      <c r="DYH19" s="338"/>
      <c r="DYI19" s="338"/>
      <c r="DYJ19" s="338"/>
      <c r="DYK19" s="338"/>
      <c r="DYL19" s="338"/>
      <c r="DYM19" s="338"/>
      <c r="DYN19" s="338"/>
      <c r="DYO19" s="338"/>
      <c r="DYP19" s="338"/>
      <c r="DYQ19" s="338"/>
      <c r="DYR19" s="338"/>
      <c r="DYS19" s="338"/>
      <c r="DYT19" s="338"/>
      <c r="DYU19" s="338"/>
      <c r="DYV19" s="338"/>
      <c r="DYW19" s="338"/>
      <c r="DYX19" s="338"/>
      <c r="DYY19" s="338"/>
      <c r="DYZ19" s="338"/>
      <c r="DZA19" s="338"/>
      <c r="DZB19" s="338"/>
      <c r="DZC19" s="338"/>
      <c r="DZD19" s="338"/>
      <c r="DZE19" s="338"/>
      <c r="DZF19" s="338"/>
      <c r="DZG19" s="338"/>
      <c r="DZH19" s="338"/>
      <c r="DZI19" s="338"/>
      <c r="DZJ19" s="338"/>
      <c r="DZK19" s="338"/>
      <c r="DZL19" s="338"/>
      <c r="DZM19" s="338"/>
      <c r="DZN19" s="338"/>
      <c r="DZO19" s="338"/>
      <c r="DZP19" s="338"/>
      <c r="DZQ19" s="338"/>
      <c r="DZR19" s="338"/>
      <c r="DZS19" s="338"/>
      <c r="DZT19" s="338"/>
      <c r="DZU19" s="338"/>
      <c r="DZV19" s="338"/>
      <c r="DZW19" s="338"/>
      <c r="DZX19" s="338"/>
      <c r="DZY19" s="338"/>
      <c r="DZZ19" s="338"/>
      <c r="EAA19" s="338"/>
      <c r="EAB19" s="338"/>
      <c r="EAC19" s="338"/>
      <c r="EAD19" s="338"/>
      <c r="EAE19" s="338"/>
      <c r="EAF19" s="338"/>
      <c r="EAG19" s="338"/>
      <c r="EAH19" s="338"/>
      <c r="EAI19" s="338"/>
      <c r="EAJ19" s="338"/>
      <c r="EAK19" s="338"/>
      <c r="EAL19" s="338"/>
      <c r="EAM19" s="338"/>
      <c r="EAN19" s="338"/>
      <c r="EAO19" s="338"/>
      <c r="EAP19" s="338"/>
      <c r="EAQ19" s="338"/>
      <c r="EAR19" s="338"/>
      <c r="EAS19" s="338"/>
      <c r="EAT19" s="338"/>
      <c r="EAU19" s="338"/>
      <c r="EAV19" s="338"/>
      <c r="EAW19" s="338"/>
      <c r="EAX19" s="338"/>
      <c r="EAY19" s="338"/>
      <c r="EAZ19" s="338"/>
      <c r="EBA19" s="338"/>
      <c r="EBB19" s="338"/>
      <c r="EBC19" s="338"/>
      <c r="EBD19" s="338"/>
      <c r="EBE19" s="338"/>
      <c r="EBF19" s="338"/>
      <c r="EBG19" s="338"/>
      <c r="EBH19" s="338"/>
      <c r="EBI19" s="338"/>
      <c r="EBJ19" s="338"/>
      <c r="EBK19" s="338"/>
      <c r="EBL19" s="338"/>
      <c r="EBM19" s="338"/>
      <c r="EBN19" s="338"/>
      <c r="EBO19" s="338"/>
      <c r="EBP19" s="338"/>
      <c r="EBQ19" s="338"/>
      <c r="EBR19" s="338"/>
      <c r="EBS19" s="338"/>
      <c r="EBT19" s="338"/>
      <c r="EBU19" s="338"/>
      <c r="EBV19" s="338"/>
      <c r="EBW19" s="338"/>
      <c r="EBX19" s="338"/>
      <c r="EBY19" s="338"/>
      <c r="EBZ19" s="338"/>
      <c r="ECA19" s="338"/>
      <c r="ECB19" s="338"/>
      <c r="ECC19" s="338"/>
      <c r="ECD19" s="338"/>
      <c r="ECE19" s="338"/>
      <c r="ECF19" s="338"/>
      <c r="ECG19" s="338"/>
      <c r="ECH19" s="338"/>
      <c r="ECI19" s="338"/>
      <c r="ECJ19" s="338"/>
      <c r="ECK19" s="338"/>
      <c r="ECL19" s="338"/>
      <c r="ECM19" s="338"/>
      <c r="ECN19" s="338"/>
      <c r="ECO19" s="338"/>
      <c r="ECP19" s="338"/>
      <c r="ECQ19" s="338"/>
      <c r="ECR19" s="338"/>
      <c r="ECS19" s="338"/>
      <c r="ECT19" s="338"/>
      <c r="ECU19" s="338"/>
      <c r="ECV19" s="338"/>
      <c r="ECW19" s="338"/>
      <c r="ECX19" s="338"/>
      <c r="ECY19" s="338"/>
      <c r="ECZ19" s="338"/>
      <c r="EDA19" s="338"/>
      <c r="EDB19" s="338"/>
      <c r="EDC19" s="338"/>
      <c r="EDD19" s="338"/>
      <c r="EDE19" s="338"/>
      <c r="EDF19" s="338"/>
      <c r="EDG19" s="338"/>
      <c r="EDH19" s="338"/>
      <c r="EDI19" s="338"/>
      <c r="EDJ19" s="338"/>
      <c r="EDK19" s="338"/>
      <c r="EDL19" s="338"/>
      <c r="EDM19" s="338"/>
      <c r="EDN19" s="338"/>
      <c r="EDO19" s="338"/>
      <c r="EDP19" s="338"/>
      <c r="EDQ19" s="338"/>
      <c r="EDR19" s="338"/>
      <c r="EDS19" s="338"/>
      <c r="EDT19" s="338"/>
      <c r="EDU19" s="338"/>
      <c r="EDV19" s="338"/>
      <c r="EDW19" s="338"/>
      <c r="EDX19" s="338"/>
      <c r="EDY19" s="338"/>
      <c r="EDZ19" s="338"/>
      <c r="EEA19" s="338"/>
      <c r="EEB19" s="338"/>
      <c r="EEC19" s="338"/>
      <c r="EED19" s="338"/>
      <c r="EEE19" s="338"/>
      <c r="EEF19" s="338"/>
      <c r="EEG19" s="338"/>
      <c r="EEH19" s="338"/>
      <c r="EEI19" s="338"/>
      <c r="EEJ19" s="338"/>
      <c r="EEK19" s="338"/>
      <c r="EEL19" s="338"/>
      <c r="EEM19" s="338"/>
      <c r="EEN19" s="338"/>
      <c r="EEO19" s="338"/>
      <c r="EEP19" s="338"/>
      <c r="EEQ19" s="338"/>
      <c r="EER19" s="338"/>
      <c r="EES19" s="338"/>
      <c r="EET19" s="338"/>
      <c r="EEU19" s="338"/>
      <c r="EEV19" s="338"/>
      <c r="EEW19" s="338"/>
      <c r="EEX19" s="338"/>
      <c r="EEY19" s="338"/>
      <c r="EEZ19" s="338"/>
      <c r="EFA19" s="338"/>
      <c r="EFB19" s="338"/>
      <c r="EFC19" s="338"/>
      <c r="EFD19" s="338"/>
      <c r="EFE19" s="338"/>
      <c r="EFF19" s="338"/>
      <c r="EFG19" s="338"/>
      <c r="EFH19" s="338"/>
      <c r="EFI19" s="338"/>
      <c r="EFJ19" s="338"/>
      <c r="EFK19" s="338"/>
      <c r="EFL19" s="338"/>
      <c r="EFM19" s="338"/>
      <c r="EFN19" s="338"/>
      <c r="EFO19" s="338"/>
      <c r="EFP19" s="338"/>
      <c r="EFQ19" s="338"/>
      <c r="EFR19" s="338"/>
      <c r="EFS19" s="338"/>
      <c r="EFT19" s="338"/>
      <c r="EFU19" s="338"/>
      <c r="EFV19" s="338"/>
      <c r="EFW19" s="338"/>
      <c r="EFX19" s="338"/>
      <c r="EFY19" s="338"/>
      <c r="EFZ19" s="338"/>
      <c r="EGA19" s="338"/>
      <c r="EGB19" s="338"/>
      <c r="EGC19" s="338"/>
      <c r="EGD19" s="338"/>
      <c r="EGE19" s="338"/>
      <c r="EGF19" s="338"/>
      <c r="EGG19" s="338"/>
      <c r="EGH19" s="338"/>
      <c r="EGI19" s="338"/>
      <c r="EGJ19" s="338"/>
      <c r="EGK19" s="338"/>
      <c r="EGL19" s="338"/>
      <c r="EGM19" s="338"/>
      <c r="EGN19" s="338"/>
      <c r="EGO19" s="338"/>
      <c r="EGP19" s="338"/>
      <c r="EGQ19" s="338"/>
      <c r="EGR19" s="338"/>
      <c r="EGS19" s="338"/>
      <c r="EGT19" s="338"/>
      <c r="EGU19" s="338"/>
      <c r="EGV19" s="338"/>
      <c r="EGW19" s="338"/>
      <c r="EGX19" s="338"/>
      <c r="EGY19" s="338"/>
      <c r="EGZ19" s="338"/>
      <c r="EHA19" s="338"/>
      <c r="EHB19" s="338"/>
      <c r="EHC19" s="338"/>
      <c r="EHD19" s="338"/>
      <c r="EHE19" s="338"/>
      <c r="EHF19" s="338"/>
      <c r="EHG19" s="338"/>
      <c r="EHH19" s="338"/>
      <c r="EHI19" s="338"/>
      <c r="EHJ19" s="338"/>
      <c r="EHK19" s="338"/>
      <c r="EHL19" s="338"/>
      <c r="EHM19" s="338"/>
      <c r="EHN19" s="338"/>
      <c r="EHO19" s="338"/>
      <c r="EHP19" s="338"/>
      <c r="EHQ19" s="338"/>
      <c r="EHR19" s="338"/>
      <c r="EHS19" s="338"/>
      <c r="EHT19" s="338"/>
      <c r="EHU19" s="338"/>
      <c r="EHV19" s="338"/>
      <c r="EHW19" s="338"/>
      <c r="EHX19" s="338"/>
      <c r="EHY19" s="338"/>
      <c r="EHZ19" s="338"/>
      <c r="EIA19" s="338"/>
      <c r="EIB19" s="338"/>
      <c r="EIC19" s="338"/>
      <c r="EID19" s="338"/>
      <c r="EIE19" s="338"/>
      <c r="EIF19" s="338"/>
      <c r="EIG19" s="338"/>
      <c r="EIH19" s="338"/>
      <c r="EII19" s="338"/>
      <c r="EIJ19" s="338"/>
      <c r="EIK19" s="338"/>
      <c r="EIL19" s="338"/>
      <c r="EIM19" s="338"/>
      <c r="EIN19" s="338"/>
      <c r="EIO19" s="338"/>
      <c r="EIP19" s="338"/>
      <c r="EIQ19" s="338"/>
      <c r="EIR19" s="338"/>
      <c r="EIS19" s="338"/>
      <c r="EIT19" s="338"/>
      <c r="EIU19" s="338"/>
      <c r="EIV19" s="338"/>
      <c r="EIW19" s="338"/>
      <c r="EIX19" s="338"/>
      <c r="EIY19" s="338"/>
      <c r="EIZ19" s="338"/>
      <c r="EJA19" s="338"/>
      <c r="EJB19" s="338"/>
      <c r="EJC19" s="338"/>
      <c r="EJD19" s="338"/>
      <c r="EJE19" s="338"/>
      <c r="EJF19" s="338"/>
      <c r="EJG19" s="338"/>
      <c r="EJH19" s="338"/>
      <c r="EJI19" s="338"/>
      <c r="EJJ19" s="338"/>
      <c r="EJK19" s="338"/>
      <c r="EJL19" s="338"/>
      <c r="EJM19" s="338"/>
      <c r="EJN19" s="338"/>
      <c r="EJO19" s="338"/>
      <c r="EJP19" s="338"/>
      <c r="EJQ19" s="338"/>
      <c r="EJR19" s="338"/>
      <c r="EJS19" s="338"/>
      <c r="EJT19" s="338"/>
      <c r="EJU19" s="338"/>
      <c r="EJV19" s="338"/>
      <c r="EJW19" s="338"/>
      <c r="EJX19" s="338"/>
      <c r="EJY19" s="338"/>
      <c r="EJZ19" s="338"/>
      <c r="EKA19" s="338"/>
      <c r="EKB19" s="338"/>
      <c r="EKC19" s="338"/>
      <c r="EKD19" s="338"/>
      <c r="EKE19" s="338"/>
      <c r="EKF19" s="338"/>
      <c r="EKG19" s="338"/>
      <c r="EKH19" s="338"/>
      <c r="EKI19" s="338"/>
      <c r="EKJ19" s="338"/>
      <c r="EKK19" s="338"/>
      <c r="EKL19" s="338"/>
      <c r="EKM19" s="338"/>
      <c r="EKN19" s="338"/>
      <c r="EKO19" s="338"/>
      <c r="EKP19" s="338"/>
      <c r="EKQ19" s="338"/>
      <c r="EKR19" s="338"/>
      <c r="EKS19" s="338"/>
      <c r="EKT19" s="338"/>
      <c r="EKU19" s="338"/>
      <c r="EKV19" s="338"/>
      <c r="EKW19" s="338"/>
      <c r="EKX19" s="338"/>
      <c r="EKY19" s="338"/>
      <c r="EKZ19" s="338"/>
      <c r="ELA19" s="338"/>
      <c r="ELB19" s="338"/>
      <c r="ELC19" s="338"/>
      <c r="ELD19" s="338"/>
      <c r="ELE19" s="338"/>
      <c r="ELF19" s="338"/>
      <c r="ELG19" s="338"/>
      <c r="ELH19" s="338"/>
      <c r="ELI19" s="338"/>
      <c r="ELJ19" s="338"/>
      <c r="ELK19" s="338"/>
      <c r="ELL19" s="338"/>
      <c r="ELM19" s="338"/>
      <c r="ELN19" s="338"/>
      <c r="ELO19" s="338"/>
      <c r="ELP19" s="338"/>
      <c r="ELQ19" s="338"/>
      <c r="ELR19" s="338"/>
      <c r="ELS19" s="338"/>
      <c r="ELT19" s="338"/>
      <c r="ELU19" s="338"/>
      <c r="ELV19" s="338"/>
      <c r="ELW19" s="338"/>
      <c r="ELX19" s="338"/>
      <c r="ELY19" s="338"/>
      <c r="ELZ19" s="338"/>
      <c r="EMA19" s="338"/>
      <c r="EMB19" s="338"/>
      <c r="EMC19" s="338"/>
      <c r="EMD19" s="338"/>
      <c r="EME19" s="338"/>
      <c r="EMF19" s="338"/>
      <c r="EMG19" s="338"/>
      <c r="EMH19" s="338"/>
      <c r="EMI19" s="338"/>
      <c r="EMJ19" s="338"/>
      <c r="EMK19" s="338"/>
      <c r="EML19" s="338"/>
      <c r="EMM19" s="338"/>
      <c r="EMN19" s="338"/>
      <c r="EMO19" s="338"/>
      <c r="EMP19" s="338"/>
      <c r="EMQ19" s="338"/>
      <c r="EMR19" s="338"/>
      <c r="EMS19" s="338"/>
      <c r="EMT19" s="338"/>
      <c r="EMU19" s="338"/>
      <c r="EMV19" s="338"/>
      <c r="EMW19" s="338"/>
      <c r="EMX19" s="338"/>
      <c r="EMY19" s="338"/>
      <c r="EMZ19" s="338"/>
      <c r="ENA19" s="338"/>
      <c r="ENB19" s="338"/>
      <c r="ENC19" s="338"/>
      <c r="END19" s="338"/>
      <c r="ENE19" s="338"/>
      <c r="ENF19" s="338"/>
      <c r="ENG19" s="338"/>
      <c r="ENH19" s="338"/>
      <c r="ENI19" s="338"/>
      <c r="ENJ19" s="338"/>
      <c r="ENK19" s="338"/>
      <c r="ENL19" s="338"/>
      <c r="ENM19" s="338"/>
      <c r="ENN19" s="338"/>
      <c r="ENO19" s="338"/>
      <c r="ENP19" s="338"/>
      <c r="ENQ19" s="338"/>
      <c r="ENR19" s="338"/>
      <c r="ENS19" s="338"/>
      <c r="ENT19" s="338"/>
      <c r="ENU19" s="338"/>
      <c r="ENV19" s="338"/>
      <c r="ENW19" s="338"/>
      <c r="ENX19" s="338"/>
      <c r="ENY19" s="338"/>
      <c r="ENZ19" s="338"/>
      <c r="EOA19" s="338"/>
      <c r="EOB19" s="338"/>
      <c r="EOC19" s="338"/>
      <c r="EOD19" s="338"/>
      <c r="EOE19" s="338"/>
      <c r="EOF19" s="338"/>
      <c r="EOG19" s="338"/>
      <c r="EOH19" s="338"/>
      <c r="EOI19" s="338"/>
      <c r="EOJ19" s="338"/>
      <c r="EOK19" s="338"/>
      <c r="EOL19" s="338"/>
      <c r="EOM19" s="338"/>
      <c r="EON19" s="338"/>
      <c r="EOO19" s="338"/>
      <c r="EOP19" s="338"/>
      <c r="EOQ19" s="338"/>
      <c r="EOR19" s="338"/>
      <c r="EOS19" s="338"/>
      <c r="EOT19" s="338"/>
      <c r="EOU19" s="338"/>
      <c r="EOV19" s="338"/>
      <c r="EOW19" s="338"/>
      <c r="EOX19" s="338"/>
      <c r="EOY19" s="338"/>
      <c r="EOZ19" s="338"/>
      <c r="EPA19" s="338"/>
      <c r="EPB19" s="338"/>
      <c r="EPC19" s="338"/>
      <c r="EPD19" s="338"/>
      <c r="EPE19" s="338"/>
      <c r="EPF19" s="338"/>
      <c r="EPG19" s="338"/>
      <c r="EPH19" s="338"/>
      <c r="EPI19" s="338"/>
      <c r="EPJ19" s="338"/>
      <c r="EPK19" s="338"/>
      <c r="EPL19" s="338"/>
      <c r="EPM19" s="338"/>
      <c r="EPN19" s="338"/>
      <c r="EPO19" s="338"/>
      <c r="EPP19" s="338"/>
      <c r="EPQ19" s="338"/>
      <c r="EPR19" s="338"/>
      <c r="EPS19" s="338"/>
      <c r="EPT19" s="338"/>
      <c r="EPU19" s="338"/>
      <c r="EPV19" s="338"/>
      <c r="EPW19" s="338"/>
      <c r="EPX19" s="338"/>
      <c r="EPY19" s="338"/>
      <c r="EPZ19" s="338"/>
      <c r="EQA19" s="338"/>
      <c r="EQB19" s="338"/>
      <c r="EQC19" s="338"/>
      <c r="EQD19" s="338"/>
      <c r="EQE19" s="338"/>
      <c r="EQF19" s="338"/>
      <c r="EQG19" s="338"/>
      <c r="EQH19" s="338"/>
      <c r="EQI19" s="338"/>
      <c r="EQJ19" s="338"/>
      <c r="EQK19" s="338"/>
      <c r="EQL19" s="338"/>
      <c r="EQM19" s="338"/>
      <c r="EQN19" s="338"/>
      <c r="EQO19" s="338"/>
      <c r="EQP19" s="338"/>
      <c r="EQQ19" s="338"/>
      <c r="EQR19" s="338"/>
      <c r="EQS19" s="338"/>
      <c r="EQT19" s="338"/>
      <c r="EQU19" s="338"/>
      <c r="EQV19" s="338"/>
      <c r="EQW19" s="338"/>
      <c r="EQX19" s="338"/>
      <c r="EQY19" s="338"/>
      <c r="EQZ19" s="338"/>
      <c r="ERA19" s="338"/>
      <c r="ERB19" s="338"/>
      <c r="ERC19" s="338"/>
      <c r="ERD19" s="338"/>
      <c r="ERE19" s="338"/>
      <c r="ERF19" s="338"/>
      <c r="ERG19" s="338"/>
      <c r="ERH19" s="338"/>
      <c r="ERI19" s="338"/>
      <c r="ERJ19" s="338"/>
      <c r="ERK19" s="338"/>
      <c r="ERL19" s="338"/>
      <c r="ERM19" s="338"/>
      <c r="ERN19" s="338"/>
      <c r="ERO19" s="338"/>
      <c r="ERP19" s="338"/>
      <c r="ERQ19" s="338"/>
      <c r="ERR19" s="338"/>
      <c r="ERS19" s="338"/>
      <c r="ERT19" s="338"/>
      <c r="ERU19" s="338"/>
      <c r="ERV19" s="338"/>
      <c r="ERW19" s="338"/>
      <c r="ERX19" s="338"/>
      <c r="ERY19" s="338"/>
      <c r="ERZ19" s="338"/>
      <c r="ESA19" s="338"/>
      <c r="ESB19" s="338"/>
      <c r="ESC19" s="338"/>
      <c r="ESD19" s="338"/>
      <c r="ESE19" s="338"/>
      <c r="ESF19" s="338"/>
      <c r="ESG19" s="338"/>
      <c r="ESH19" s="338"/>
      <c r="ESI19" s="338"/>
      <c r="ESJ19" s="338"/>
      <c r="ESK19" s="338"/>
      <c r="ESL19" s="338"/>
      <c r="ESM19" s="338"/>
      <c r="ESN19" s="338"/>
      <c r="ESO19" s="338"/>
      <c r="ESP19" s="338"/>
      <c r="ESQ19" s="338"/>
      <c r="ESR19" s="338"/>
      <c r="ESS19" s="338"/>
      <c r="EST19" s="338"/>
      <c r="ESU19" s="338"/>
      <c r="ESV19" s="338"/>
      <c r="ESW19" s="338"/>
      <c r="ESX19" s="338"/>
      <c r="ESY19" s="338"/>
      <c r="ESZ19" s="338"/>
      <c r="ETA19" s="338"/>
      <c r="ETB19" s="338"/>
      <c r="ETC19" s="338"/>
      <c r="ETD19" s="338"/>
      <c r="ETE19" s="338"/>
      <c r="ETF19" s="338"/>
      <c r="ETG19" s="338"/>
      <c r="ETH19" s="338"/>
      <c r="ETI19" s="338"/>
      <c r="ETJ19" s="338"/>
      <c r="ETK19" s="338"/>
      <c r="ETL19" s="338"/>
      <c r="ETM19" s="338"/>
      <c r="ETN19" s="338"/>
      <c r="ETO19" s="338"/>
      <c r="ETP19" s="338"/>
      <c r="ETQ19" s="338"/>
      <c r="ETR19" s="338"/>
      <c r="ETS19" s="338"/>
      <c r="ETT19" s="338"/>
      <c r="ETU19" s="338"/>
      <c r="ETV19" s="338"/>
      <c r="ETW19" s="338"/>
      <c r="ETX19" s="338"/>
      <c r="ETY19" s="338"/>
      <c r="ETZ19" s="338"/>
      <c r="EUA19" s="338"/>
      <c r="EUB19" s="338"/>
      <c r="EUC19" s="338"/>
      <c r="EUD19" s="338"/>
      <c r="EUE19" s="338"/>
      <c r="EUF19" s="338"/>
      <c r="EUG19" s="338"/>
      <c r="EUH19" s="338"/>
      <c r="EUI19" s="338"/>
      <c r="EUJ19" s="338"/>
      <c r="EUK19" s="338"/>
      <c r="EUL19" s="338"/>
      <c r="EUM19" s="338"/>
      <c r="EUN19" s="338"/>
      <c r="EUO19" s="338"/>
      <c r="EUP19" s="338"/>
      <c r="EUQ19" s="338"/>
      <c r="EUR19" s="338"/>
      <c r="EUS19" s="338"/>
      <c r="EUT19" s="338"/>
      <c r="EUU19" s="338"/>
      <c r="EUV19" s="338"/>
      <c r="EUW19" s="338"/>
      <c r="EUX19" s="338"/>
      <c r="EUY19" s="338"/>
      <c r="EUZ19" s="338"/>
      <c r="EVA19" s="338"/>
      <c r="EVB19" s="338"/>
      <c r="EVC19" s="338"/>
      <c r="EVD19" s="338"/>
      <c r="EVE19" s="338"/>
      <c r="EVF19" s="338"/>
      <c r="EVG19" s="338"/>
      <c r="EVH19" s="338"/>
      <c r="EVI19" s="338"/>
      <c r="EVJ19" s="338"/>
      <c r="EVK19" s="338"/>
      <c r="EVL19" s="338"/>
      <c r="EVM19" s="338"/>
      <c r="EVN19" s="338"/>
      <c r="EVO19" s="338"/>
      <c r="EVP19" s="338"/>
      <c r="EVQ19" s="338"/>
      <c r="EVR19" s="338"/>
      <c r="EVS19" s="338"/>
      <c r="EVT19" s="338"/>
      <c r="EVU19" s="338"/>
      <c r="EVV19" s="338"/>
      <c r="EVW19" s="338"/>
      <c r="EVX19" s="338"/>
      <c r="EVY19" s="338"/>
      <c r="EVZ19" s="338"/>
      <c r="EWA19" s="338"/>
      <c r="EWB19" s="338"/>
      <c r="EWC19" s="338"/>
      <c r="EWD19" s="338"/>
      <c r="EWE19" s="338"/>
      <c r="EWF19" s="338"/>
      <c r="EWG19" s="338"/>
      <c r="EWH19" s="338"/>
      <c r="EWI19" s="338"/>
      <c r="EWJ19" s="338"/>
      <c r="EWK19" s="338"/>
      <c r="EWL19" s="338"/>
      <c r="EWM19" s="338"/>
      <c r="EWN19" s="338"/>
      <c r="EWO19" s="338"/>
      <c r="EWP19" s="338"/>
      <c r="EWQ19" s="338"/>
      <c r="EWR19" s="338"/>
      <c r="EWS19" s="338"/>
      <c r="EWT19" s="338"/>
      <c r="EWU19" s="338"/>
      <c r="EWV19" s="338"/>
      <c r="EWW19" s="338"/>
      <c r="EWX19" s="338"/>
      <c r="EWY19" s="338"/>
      <c r="EWZ19" s="338"/>
      <c r="EXA19" s="338"/>
      <c r="EXB19" s="338"/>
      <c r="EXC19" s="338"/>
      <c r="EXD19" s="338"/>
      <c r="EXE19" s="338"/>
      <c r="EXF19" s="338"/>
      <c r="EXG19" s="338"/>
      <c r="EXH19" s="338"/>
      <c r="EXI19" s="338"/>
      <c r="EXJ19" s="338"/>
      <c r="EXK19" s="338"/>
      <c r="EXL19" s="338"/>
      <c r="EXM19" s="338"/>
      <c r="EXN19" s="338"/>
      <c r="EXO19" s="338"/>
      <c r="EXP19" s="338"/>
      <c r="EXQ19" s="338"/>
      <c r="EXR19" s="338"/>
      <c r="EXS19" s="338"/>
      <c r="EXT19" s="338"/>
      <c r="EXU19" s="338"/>
      <c r="EXV19" s="338"/>
      <c r="EXW19" s="338"/>
      <c r="EXX19" s="338"/>
      <c r="EXY19" s="338"/>
      <c r="EXZ19" s="338"/>
      <c r="EYA19" s="338"/>
      <c r="EYB19" s="338"/>
      <c r="EYC19" s="338"/>
      <c r="EYD19" s="338"/>
      <c r="EYE19" s="338"/>
      <c r="EYF19" s="338"/>
      <c r="EYG19" s="338"/>
      <c r="EYH19" s="338"/>
      <c r="EYI19" s="338"/>
      <c r="EYJ19" s="338"/>
      <c r="EYK19" s="338"/>
      <c r="EYL19" s="338"/>
      <c r="EYM19" s="338"/>
      <c r="EYN19" s="338"/>
      <c r="EYO19" s="338"/>
      <c r="EYP19" s="338"/>
      <c r="EYQ19" s="338"/>
      <c r="EYR19" s="338"/>
      <c r="EYS19" s="338"/>
      <c r="EYT19" s="338"/>
      <c r="EYU19" s="338"/>
      <c r="EYV19" s="338"/>
      <c r="EYW19" s="338"/>
      <c r="EYX19" s="338"/>
      <c r="EYY19" s="338"/>
      <c r="EYZ19" s="338"/>
      <c r="EZA19" s="338"/>
      <c r="EZB19" s="338"/>
      <c r="EZC19" s="338"/>
      <c r="EZD19" s="338"/>
      <c r="EZE19" s="338"/>
      <c r="EZF19" s="338"/>
      <c r="EZG19" s="338"/>
      <c r="EZH19" s="338"/>
      <c r="EZI19" s="338"/>
      <c r="EZJ19" s="338"/>
      <c r="EZK19" s="338"/>
      <c r="EZL19" s="338"/>
      <c r="EZM19" s="338"/>
      <c r="EZN19" s="338"/>
      <c r="EZO19" s="338"/>
      <c r="EZP19" s="338"/>
      <c r="EZQ19" s="338"/>
      <c r="EZR19" s="338"/>
      <c r="EZS19" s="338"/>
      <c r="EZT19" s="338"/>
      <c r="EZU19" s="338"/>
      <c r="EZV19" s="338"/>
      <c r="EZW19" s="338"/>
      <c r="EZX19" s="338"/>
      <c r="EZY19" s="338"/>
      <c r="EZZ19" s="338"/>
      <c r="FAA19" s="338"/>
      <c r="FAB19" s="338"/>
      <c r="FAC19" s="338"/>
      <c r="FAD19" s="338"/>
      <c r="FAE19" s="338"/>
      <c r="FAF19" s="338"/>
      <c r="FAG19" s="338"/>
      <c r="FAH19" s="338"/>
      <c r="FAI19" s="338"/>
      <c r="FAJ19" s="338"/>
      <c r="FAK19" s="338"/>
      <c r="FAL19" s="338"/>
      <c r="FAM19" s="338"/>
      <c r="FAN19" s="338"/>
      <c r="FAO19" s="338"/>
      <c r="FAP19" s="338"/>
      <c r="FAQ19" s="338"/>
      <c r="FAR19" s="338"/>
      <c r="FAS19" s="338"/>
      <c r="FAT19" s="338"/>
      <c r="FAU19" s="338"/>
      <c r="FAV19" s="338"/>
      <c r="FAW19" s="338"/>
      <c r="FAX19" s="338"/>
      <c r="FAY19" s="338"/>
      <c r="FAZ19" s="338"/>
      <c r="FBA19" s="338"/>
      <c r="FBB19" s="338"/>
      <c r="FBC19" s="338"/>
      <c r="FBD19" s="338"/>
      <c r="FBE19" s="338"/>
      <c r="FBF19" s="338"/>
      <c r="FBG19" s="338"/>
      <c r="FBH19" s="338"/>
      <c r="FBI19" s="338"/>
      <c r="FBJ19" s="338"/>
      <c r="FBK19" s="338"/>
      <c r="FBL19" s="338"/>
      <c r="FBM19" s="338"/>
      <c r="FBN19" s="338"/>
      <c r="FBO19" s="338"/>
      <c r="FBP19" s="338"/>
      <c r="FBQ19" s="338"/>
      <c r="FBR19" s="338"/>
      <c r="FBS19" s="338"/>
      <c r="FBT19" s="338"/>
      <c r="FBU19" s="338"/>
      <c r="FBV19" s="338"/>
      <c r="FBW19" s="338"/>
      <c r="FBX19" s="338"/>
      <c r="FBY19" s="338"/>
      <c r="FBZ19" s="338"/>
      <c r="FCA19" s="338"/>
      <c r="FCB19" s="338"/>
      <c r="FCC19" s="338"/>
      <c r="FCD19" s="338"/>
      <c r="FCE19" s="338"/>
      <c r="FCF19" s="338"/>
      <c r="FCG19" s="338"/>
      <c r="FCH19" s="338"/>
      <c r="FCI19" s="338"/>
      <c r="FCJ19" s="338"/>
      <c r="FCK19" s="338"/>
      <c r="FCL19" s="338"/>
      <c r="FCM19" s="338"/>
      <c r="FCN19" s="338"/>
      <c r="FCO19" s="338"/>
      <c r="FCP19" s="338"/>
      <c r="FCQ19" s="338"/>
      <c r="FCR19" s="338"/>
      <c r="FCS19" s="338"/>
      <c r="FCT19" s="338"/>
      <c r="FCU19" s="338"/>
      <c r="FCV19" s="338"/>
      <c r="FCW19" s="338"/>
      <c r="FCX19" s="338"/>
      <c r="FCY19" s="338"/>
      <c r="FCZ19" s="338"/>
      <c r="FDA19" s="338"/>
      <c r="FDB19" s="338"/>
      <c r="FDC19" s="338"/>
      <c r="FDD19" s="338"/>
      <c r="FDE19" s="338"/>
      <c r="FDF19" s="338"/>
      <c r="FDG19" s="338"/>
      <c r="FDH19" s="338"/>
      <c r="FDI19" s="338"/>
      <c r="FDJ19" s="338"/>
      <c r="FDK19" s="338"/>
      <c r="FDL19" s="338"/>
      <c r="FDM19" s="338"/>
      <c r="FDN19" s="338"/>
      <c r="FDO19" s="338"/>
      <c r="FDP19" s="338"/>
      <c r="FDQ19" s="338"/>
      <c r="FDR19" s="338"/>
      <c r="FDS19" s="338"/>
      <c r="FDT19" s="338"/>
      <c r="FDU19" s="338"/>
      <c r="FDV19" s="338"/>
      <c r="FDW19" s="338"/>
      <c r="FDX19" s="338"/>
      <c r="FDY19" s="338"/>
      <c r="FDZ19" s="338"/>
      <c r="FEA19" s="338"/>
      <c r="FEB19" s="338"/>
      <c r="FEC19" s="338"/>
      <c r="FED19" s="338"/>
      <c r="FEE19" s="338"/>
      <c r="FEF19" s="338"/>
      <c r="FEG19" s="338"/>
      <c r="FEH19" s="338"/>
      <c r="FEI19" s="338"/>
      <c r="FEJ19" s="338"/>
      <c r="FEK19" s="338"/>
      <c r="FEL19" s="338"/>
      <c r="FEM19" s="338"/>
      <c r="FEN19" s="338"/>
      <c r="FEO19" s="338"/>
      <c r="FEP19" s="338"/>
      <c r="FEQ19" s="338"/>
      <c r="FER19" s="338"/>
      <c r="FES19" s="338"/>
      <c r="FET19" s="338"/>
      <c r="FEU19" s="338"/>
      <c r="FEV19" s="338"/>
      <c r="FEW19" s="338"/>
      <c r="FEX19" s="338"/>
      <c r="FEY19" s="338"/>
      <c r="FEZ19" s="338"/>
      <c r="FFA19" s="338"/>
      <c r="FFB19" s="338"/>
      <c r="FFC19" s="338"/>
      <c r="FFD19" s="338"/>
      <c r="FFE19" s="338"/>
      <c r="FFF19" s="338"/>
      <c r="FFG19" s="338"/>
      <c r="FFH19" s="338"/>
      <c r="FFI19" s="338"/>
      <c r="FFJ19" s="338"/>
      <c r="FFK19" s="338"/>
      <c r="FFL19" s="338"/>
      <c r="FFM19" s="338"/>
      <c r="FFN19" s="338"/>
      <c r="FFO19" s="338"/>
      <c r="FFP19" s="338"/>
      <c r="FFQ19" s="338"/>
      <c r="FFR19" s="338"/>
      <c r="FFS19" s="338"/>
      <c r="FFT19" s="338"/>
      <c r="FFU19" s="338"/>
      <c r="FFV19" s="338"/>
      <c r="FFW19" s="338"/>
      <c r="FFX19" s="338"/>
      <c r="FFY19" s="338"/>
      <c r="FFZ19" s="338"/>
      <c r="FGA19" s="338"/>
      <c r="FGB19" s="338"/>
      <c r="FGC19" s="338"/>
      <c r="FGD19" s="338"/>
      <c r="FGE19" s="338"/>
      <c r="FGF19" s="338"/>
      <c r="FGG19" s="338"/>
      <c r="FGH19" s="338"/>
      <c r="FGI19" s="338"/>
      <c r="FGJ19" s="338"/>
      <c r="FGK19" s="338"/>
      <c r="FGL19" s="338"/>
      <c r="FGM19" s="338"/>
      <c r="FGN19" s="338"/>
      <c r="FGO19" s="338"/>
      <c r="FGP19" s="338"/>
      <c r="FGQ19" s="338"/>
      <c r="FGR19" s="338"/>
      <c r="FGS19" s="338"/>
      <c r="FGT19" s="338"/>
      <c r="FGU19" s="338"/>
      <c r="FGV19" s="338"/>
      <c r="FGW19" s="338"/>
      <c r="FGX19" s="338"/>
      <c r="FGY19" s="338"/>
      <c r="FGZ19" s="338"/>
      <c r="FHA19" s="338"/>
      <c r="FHB19" s="338"/>
      <c r="FHC19" s="338"/>
      <c r="FHD19" s="338"/>
      <c r="FHE19" s="338"/>
      <c r="FHF19" s="338"/>
      <c r="FHG19" s="338"/>
      <c r="FHH19" s="338"/>
      <c r="FHI19" s="338"/>
      <c r="FHJ19" s="338"/>
      <c r="FHK19" s="338"/>
      <c r="FHL19" s="338"/>
      <c r="FHM19" s="338"/>
      <c r="FHN19" s="338"/>
      <c r="FHO19" s="338"/>
      <c r="FHP19" s="338"/>
      <c r="FHQ19" s="338"/>
      <c r="FHR19" s="338"/>
      <c r="FHS19" s="338"/>
      <c r="FHT19" s="338"/>
      <c r="FHU19" s="338"/>
      <c r="FHV19" s="338"/>
      <c r="FHW19" s="338"/>
      <c r="FHX19" s="338"/>
      <c r="FHY19" s="338"/>
      <c r="FHZ19" s="338"/>
      <c r="FIA19" s="338"/>
      <c r="FIB19" s="338"/>
      <c r="FIC19" s="338"/>
      <c r="FID19" s="338"/>
      <c r="FIE19" s="338"/>
      <c r="FIF19" s="338"/>
      <c r="FIG19" s="338"/>
      <c r="FIH19" s="338"/>
      <c r="FII19" s="338"/>
      <c r="FIJ19" s="338"/>
      <c r="FIK19" s="338"/>
      <c r="FIL19" s="338"/>
      <c r="FIM19" s="338"/>
      <c r="FIN19" s="338"/>
      <c r="FIO19" s="338"/>
      <c r="FIP19" s="338"/>
      <c r="FIQ19" s="338"/>
      <c r="FIR19" s="338"/>
      <c r="FIS19" s="338"/>
      <c r="FIT19" s="338"/>
      <c r="FIU19" s="338"/>
      <c r="FIV19" s="338"/>
      <c r="FIW19" s="338"/>
      <c r="FIX19" s="338"/>
      <c r="FIY19" s="338"/>
      <c r="FIZ19" s="338"/>
      <c r="FJA19" s="338"/>
      <c r="FJB19" s="338"/>
      <c r="FJC19" s="338"/>
      <c r="FJD19" s="338"/>
      <c r="FJE19" s="338"/>
      <c r="FJF19" s="338"/>
      <c r="FJG19" s="338"/>
      <c r="FJH19" s="338"/>
      <c r="FJI19" s="338"/>
      <c r="FJJ19" s="338"/>
      <c r="FJK19" s="338"/>
      <c r="FJL19" s="338"/>
      <c r="FJM19" s="338"/>
      <c r="FJN19" s="338"/>
      <c r="FJO19" s="338"/>
      <c r="FJP19" s="338"/>
      <c r="FJQ19" s="338"/>
      <c r="FJR19" s="338"/>
      <c r="FJS19" s="338"/>
      <c r="FJT19" s="338"/>
      <c r="FJU19" s="338"/>
      <c r="FJV19" s="338"/>
      <c r="FJW19" s="338"/>
      <c r="FJX19" s="338"/>
      <c r="FJY19" s="338"/>
      <c r="FJZ19" s="338"/>
      <c r="FKA19" s="338"/>
      <c r="FKB19" s="338"/>
      <c r="FKC19" s="338"/>
      <c r="FKD19" s="338"/>
      <c r="FKE19" s="338"/>
      <c r="FKF19" s="338"/>
      <c r="FKG19" s="338"/>
      <c r="FKH19" s="338"/>
      <c r="FKI19" s="338"/>
      <c r="FKJ19" s="338"/>
      <c r="FKK19" s="338"/>
      <c r="FKL19" s="338"/>
      <c r="FKM19" s="338"/>
      <c r="FKN19" s="338"/>
      <c r="FKO19" s="338"/>
      <c r="FKP19" s="338"/>
      <c r="FKQ19" s="338"/>
      <c r="FKR19" s="338"/>
      <c r="FKS19" s="338"/>
      <c r="FKT19" s="338"/>
      <c r="FKU19" s="338"/>
      <c r="FKV19" s="338"/>
      <c r="FKW19" s="338"/>
      <c r="FKX19" s="338"/>
      <c r="FKY19" s="338"/>
      <c r="FKZ19" s="338"/>
      <c r="FLA19" s="338"/>
      <c r="FLB19" s="338"/>
      <c r="FLC19" s="338"/>
      <c r="FLD19" s="338"/>
      <c r="FLE19" s="338"/>
      <c r="FLF19" s="338"/>
      <c r="FLG19" s="338"/>
      <c r="FLH19" s="338"/>
      <c r="FLI19" s="338"/>
      <c r="FLJ19" s="338"/>
      <c r="FLK19" s="338"/>
      <c r="FLL19" s="338"/>
      <c r="FLM19" s="338"/>
      <c r="FLN19" s="338"/>
      <c r="FLO19" s="338"/>
      <c r="FLP19" s="338"/>
      <c r="FLQ19" s="338"/>
      <c r="FLR19" s="338"/>
      <c r="FLS19" s="338"/>
      <c r="FLT19" s="338"/>
      <c r="FLU19" s="338"/>
      <c r="FLV19" s="338"/>
      <c r="FLW19" s="338"/>
      <c r="FLX19" s="338"/>
      <c r="FLY19" s="338"/>
      <c r="FLZ19" s="338"/>
      <c r="FMA19" s="338"/>
      <c r="FMB19" s="338"/>
      <c r="FMC19" s="338"/>
      <c r="FMD19" s="338"/>
      <c r="FME19" s="338"/>
      <c r="FMF19" s="338"/>
      <c r="FMG19" s="338"/>
      <c r="FMH19" s="338"/>
      <c r="FMI19" s="338"/>
      <c r="FMJ19" s="338"/>
      <c r="FMK19" s="338"/>
      <c r="FML19" s="338"/>
      <c r="FMM19" s="338"/>
      <c r="FMN19" s="338"/>
      <c r="FMO19" s="338"/>
      <c r="FMP19" s="338"/>
      <c r="FMQ19" s="338"/>
      <c r="FMR19" s="338"/>
      <c r="FMS19" s="338"/>
      <c r="FMT19" s="338"/>
      <c r="FMU19" s="338"/>
      <c r="FMV19" s="338"/>
      <c r="FMW19" s="338"/>
      <c r="FMX19" s="338"/>
      <c r="FMY19" s="338"/>
      <c r="FMZ19" s="338"/>
      <c r="FNA19" s="338"/>
      <c r="FNB19" s="338"/>
      <c r="FNC19" s="338"/>
      <c r="FND19" s="338"/>
      <c r="FNE19" s="338"/>
      <c r="FNF19" s="338"/>
      <c r="FNG19" s="338"/>
      <c r="FNH19" s="338"/>
      <c r="FNI19" s="338"/>
      <c r="FNJ19" s="338"/>
      <c r="FNK19" s="338"/>
      <c r="FNL19" s="338"/>
      <c r="FNM19" s="338"/>
      <c r="FNN19" s="338"/>
      <c r="FNO19" s="338"/>
      <c r="FNP19" s="338"/>
      <c r="FNQ19" s="338"/>
      <c r="FNR19" s="338"/>
      <c r="FNS19" s="338"/>
      <c r="FNT19" s="338"/>
      <c r="FNU19" s="338"/>
      <c r="FNV19" s="338"/>
      <c r="FNW19" s="338"/>
      <c r="FNX19" s="338"/>
      <c r="FNY19" s="338"/>
      <c r="FNZ19" s="338"/>
      <c r="FOA19" s="338"/>
      <c r="FOB19" s="338"/>
      <c r="FOC19" s="338"/>
      <c r="FOD19" s="338"/>
      <c r="FOE19" s="338"/>
      <c r="FOF19" s="338"/>
      <c r="FOG19" s="338"/>
      <c r="FOH19" s="338"/>
      <c r="FOI19" s="338"/>
      <c r="FOJ19" s="338"/>
      <c r="FOK19" s="338"/>
      <c r="FOL19" s="338"/>
      <c r="FOM19" s="338"/>
      <c r="FON19" s="338"/>
      <c r="FOO19" s="338"/>
      <c r="FOP19" s="338"/>
      <c r="FOQ19" s="338"/>
      <c r="FOR19" s="338"/>
      <c r="FOS19" s="338"/>
      <c r="FOT19" s="338"/>
      <c r="FOU19" s="338"/>
      <c r="FOV19" s="338"/>
      <c r="FOW19" s="338"/>
      <c r="FOX19" s="338"/>
      <c r="FOY19" s="338"/>
      <c r="FOZ19" s="338"/>
      <c r="FPA19" s="338"/>
      <c r="FPB19" s="338"/>
      <c r="FPC19" s="338"/>
      <c r="FPD19" s="338"/>
      <c r="FPE19" s="338"/>
      <c r="FPF19" s="338"/>
      <c r="FPG19" s="338"/>
      <c r="FPH19" s="338"/>
      <c r="FPI19" s="338"/>
      <c r="FPJ19" s="338"/>
      <c r="FPK19" s="338"/>
      <c r="FPL19" s="338"/>
      <c r="FPM19" s="338"/>
      <c r="FPN19" s="338"/>
      <c r="FPO19" s="338"/>
      <c r="FPP19" s="338"/>
      <c r="FPQ19" s="338"/>
      <c r="FPR19" s="338"/>
      <c r="FPS19" s="338"/>
      <c r="FPT19" s="338"/>
      <c r="FPU19" s="338"/>
      <c r="FPV19" s="338"/>
      <c r="FPW19" s="338"/>
      <c r="FPX19" s="338"/>
      <c r="FPY19" s="338"/>
      <c r="FPZ19" s="338"/>
      <c r="FQA19" s="338"/>
      <c r="FQB19" s="338"/>
      <c r="FQC19" s="338"/>
      <c r="FQD19" s="338"/>
      <c r="FQE19" s="338"/>
      <c r="FQF19" s="338"/>
      <c r="FQG19" s="338"/>
      <c r="FQH19" s="338"/>
      <c r="FQI19" s="338"/>
      <c r="FQJ19" s="338"/>
      <c r="FQK19" s="338"/>
      <c r="FQL19" s="338"/>
      <c r="FQM19" s="338"/>
      <c r="FQN19" s="338"/>
      <c r="FQO19" s="338"/>
      <c r="FQP19" s="338"/>
      <c r="FQQ19" s="338"/>
      <c r="FQR19" s="338"/>
      <c r="FQS19" s="338"/>
      <c r="FQT19" s="338"/>
      <c r="FQU19" s="338"/>
      <c r="FQV19" s="338"/>
      <c r="FQW19" s="338"/>
      <c r="FQX19" s="338"/>
      <c r="FQY19" s="338"/>
      <c r="FQZ19" s="338"/>
      <c r="FRA19" s="338"/>
      <c r="FRB19" s="338"/>
      <c r="FRC19" s="338"/>
      <c r="FRD19" s="338"/>
      <c r="FRE19" s="338"/>
      <c r="FRF19" s="338"/>
      <c r="FRG19" s="338"/>
      <c r="FRH19" s="338"/>
      <c r="FRI19" s="338"/>
      <c r="FRJ19" s="338"/>
      <c r="FRK19" s="338"/>
      <c r="FRL19" s="338"/>
      <c r="FRM19" s="338"/>
      <c r="FRN19" s="338"/>
      <c r="FRO19" s="338"/>
      <c r="FRP19" s="338"/>
      <c r="FRQ19" s="338"/>
      <c r="FRR19" s="338"/>
      <c r="FRS19" s="338"/>
      <c r="FRT19" s="338"/>
      <c r="FRU19" s="338"/>
      <c r="FRV19" s="338"/>
      <c r="FRW19" s="338"/>
      <c r="FRX19" s="338"/>
      <c r="FRY19" s="338"/>
      <c r="FRZ19" s="338"/>
      <c r="FSA19" s="338"/>
      <c r="FSB19" s="338"/>
      <c r="FSC19" s="338"/>
      <c r="FSD19" s="338"/>
      <c r="FSE19" s="338"/>
      <c r="FSF19" s="338"/>
      <c r="FSG19" s="338"/>
      <c r="FSH19" s="338"/>
      <c r="FSI19" s="338"/>
      <c r="FSJ19" s="338"/>
      <c r="FSK19" s="338"/>
      <c r="FSL19" s="338"/>
      <c r="FSM19" s="338"/>
      <c r="FSN19" s="338"/>
      <c r="FSO19" s="338"/>
      <c r="FSP19" s="338"/>
      <c r="FSQ19" s="338"/>
      <c r="FSR19" s="338"/>
      <c r="FSS19" s="338"/>
      <c r="FST19" s="338"/>
      <c r="FSU19" s="338"/>
      <c r="FSV19" s="338"/>
      <c r="FSW19" s="338"/>
      <c r="FSX19" s="338"/>
      <c r="FSY19" s="338"/>
      <c r="FSZ19" s="338"/>
      <c r="FTA19" s="338"/>
      <c r="FTB19" s="338"/>
      <c r="FTC19" s="338"/>
      <c r="FTD19" s="338"/>
      <c r="FTE19" s="338"/>
      <c r="FTF19" s="338"/>
      <c r="FTG19" s="338"/>
      <c r="FTH19" s="338"/>
      <c r="FTI19" s="338"/>
      <c r="FTJ19" s="338"/>
      <c r="FTK19" s="338"/>
      <c r="FTL19" s="338"/>
      <c r="FTM19" s="338"/>
      <c r="FTN19" s="338"/>
      <c r="FTO19" s="338"/>
      <c r="FTP19" s="338"/>
      <c r="FTQ19" s="338"/>
      <c r="FTR19" s="338"/>
      <c r="FTS19" s="338"/>
      <c r="FTT19" s="338"/>
      <c r="FTU19" s="338"/>
      <c r="FTV19" s="338"/>
      <c r="FTW19" s="338"/>
      <c r="FTX19" s="338"/>
      <c r="FTY19" s="338"/>
      <c r="FTZ19" s="338"/>
      <c r="FUA19" s="338"/>
      <c r="FUB19" s="338"/>
      <c r="FUC19" s="338"/>
      <c r="FUD19" s="338"/>
      <c r="FUE19" s="338"/>
      <c r="FUF19" s="338"/>
      <c r="FUG19" s="338"/>
      <c r="FUH19" s="338"/>
      <c r="FUI19" s="338"/>
      <c r="FUJ19" s="338"/>
      <c r="FUK19" s="338"/>
      <c r="FUL19" s="338"/>
      <c r="FUM19" s="338"/>
      <c r="FUN19" s="338"/>
      <c r="FUO19" s="338"/>
      <c r="FUP19" s="338"/>
      <c r="FUQ19" s="338"/>
      <c r="FUR19" s="338"/>
      <c r="FUS19" s="338"/>
      <c r="FUT19" s="338"/>
      <c r="FUU19" s="338"/>
      <c r="FUV19" s="338"/>
      <c r="FUW19" s="338"/>
      <c r="FUX19" s="338"/>
      <c r="FUY19" s="338"/>
      <c r="FUZ19" s="338"/>
      <c r="FVA19" s="338"/>
      <c r="FVB19" s="338"/>
      <c r="FVC19" s="338"/>
      <c r="FVD19" s="338"/>
      <c r="FVE19" s="338"/>
      <c r="FVF19" s="338"/>
      <c r="FVG19" s="338"/>
      <c r="FVH19" s="338"/>
      <c r="FVI19" s="338"/>
      <c r="FVJ19" s="338"/>
      <c r="FVK19" s="338"/>
      <c r="FVL19" s="338"/>
      <c r="FVM19" s="338"/>
      <c r="FVN19" s="338"/>
      <c r="FVO19" s="338"/>
      <c r="FVP19" s="338"/>
      <c r="FVQ19" s="338"/>
      <c r="FVR19" s="338"/>
      <c r="FVS19" s="338"/>
      <c r="FVT19" s="338"/>
      <c r="FVU19" s="338"/>
      <c r="FVV19" s="338"/>
      <c r="FVW19" s="338"/>
      <c r="FVX19" s="338"/>
      <c r="FVY19" s="338"/>
      <c r="FVZ19" s="338"/>
      <c r="FWA19" s="338"/>
      <c r="FWB19" s="338"/>
      <c r="FWC19" s="338"/>
      <c r="FWD19" s="338"/>
      <c r="FWE19" s="338"/>
      <c r="FWF19" s="338"/>
      <c r="FWG19" s="338"/>
      <c r="FWH19" s="338"/>
      <c r="FWI19" s="338"/>
      <c r="FWJ19" s="338"/>
      <c r="FWK19" s="338"/>
      <c r="FWL19" s="338"/>
      <c r="FWM19" s="338"/>
      <c r="FWN19" s="338"/>
      <c r="FWO19" s="338"/>
      <c r="FWP19" s="338"/>
      <c r="FWQ19" s="338"/>
      <c r="FWR19" s="338"/>
      <c r="FWS19" s="338"/>
      <c r="FWT19" s="338"/>
      <c r="FWU19" s="338"/>
      <c r="FWV19" s="338"/>
      <c r="FWW19" s="338"/>
      <c r="FWX19" s="338"/>
      <c r="FWY19" s="338"/>
      <c r="FWZ19" s="338"/>
      <c r="FXA19" s="338"/>
      <c r="FXB19" s="338"/>
      <c r="FXC19" s="338"/>
      <c r="FXD19" s="338"/>
      <c r="FXE19" s="338"/>
      <c r="FXF19" s="338"/>
      <c r="FXG19" s="338"/>
      <c r="FXH19" s="338"/>
      <c r="FXI19" s="338"/>
      <c r="FXJ19" s="338"/>
      <c r="FXK19" s="338"/>
      <c r="FXL19" s="338"/>
      <c r="FXM19" s="338"/>
      <c r="FXN19" s="338"/>
      <c r="FXO19" s="338"/>
      <c r="FXP19" s="338"/>
      <c r="FXQ19" s="338"/>
      <c r="FXR19" s="338"/>
      <c r="FXS19" s="338"/>
      <c r="FXT19" s="338"/>
      <c r="FXU19" s="338"/>
      <c r="FXV19" s="338"/>
      <c r="FXW19" s="338"/>
      <c r="FXX19" s="338"/>
      <c r="FXY19" s="338"/>
      <c r="FXZ19" s="338"/>
      <c r="FYA19" s="338"/>
      <c r="FYB19" s="338"/>
      <c r="FYC19" s="338"/>
      <c r="FYD19" s="338"/>
      <c r="FYE19" s="338"/>
      <c r="FYF19" s="338"/>
      <c r="FYG19" s="338"/>
      <c r="FYH19" s="338"/>
      <c r="FYI19" s="338"/>
      <c r="FYJ19" s="338"/>
      <c r="FYK19" s="338"/>
      <c r="FYL19" s="338"/>
      <c r="FYM19" s="338"/>
      <c r="FYN19" s="338"/>
      <c r="FYO19" s="338"/>
      <c r="FYP19" s="338"/>
      <c r="FYQ19" s="338"/>
      <c r="FYR19" s="338"/>
      <c r="FYS19" s="338"/>
      <c r="FYT19" s="338"/>
      <c r="FYU19" s="338"/>
      <c r="FYV19" s="338"/>
      <c r="FYW19" s="338"/>
      <c r="FYX19" s="338"/>
      <c r="FYY19" s="338"/>
      <c r="FYZ19" s="338"/>
      <c r="FZA19" s="338"/>
      <c r="FZB19" s="338"/>
      <c r="FZC19" s="338"/>
      <c r="FZD19" s="338"/>
      <c r="FZE19" s="338"/>
      <c r="FZF19" s="338"/>
      <c r="FZG19" s="338"/>
      <c r="FZH19" s="338"/>
      <c r="FZI19" s="338"/>
      <c r="FZJ19" s="338"/>
      <c r="FZK19" s="338"/>
      <c r="FZL19" s="338"/>
      <c r="FZM19" s="338"/>
      <c r="FZN19" s="338"/>
      <c r="FZO19" s="338"/>
      <c r="FZP19" s="338"/>
      <c r="FZQ19" s="338"/>
      <c r="FZR19" s="338"/>
      <c r="FZS19" s="338"/>
      <c r="FZT19" s="338"/>
      <c r="FZU19" s="338"/>
      <c r="FZV19" s="338"/>
      <c r="FZW19" s="338"/>
      <c r="FZX19" s="338"/>
      <c r="FZY19" s="338"/>
      <c r="FZZ19" s="338"/>
      <c r="GAA19" s="338"/>
      <c r="GAB19" s="338"/>
      <c r="GAC19" s="338"/>
      <c r="GAD19" s="338"/>
      <c r="GAE19" s="338"/>
      <c r="GAF19" s="338"/>
      <c r="GAG19" s="338"/>
      <c r="GAH19" s="338"/>
      <c r="GAI19" s="338"/>
      <c r="GAJ19" s="338"/>
      <c r="GAK19" s="338"/>
      <c r="GAL19" s="338"/>
      <c r="GAM19" s="338"/>
      <c r="GAN19" s="338"/>
      <c r="GAO19" s="338"/>
      <c r="GAP19" s="338"/>
      <c r="GAQ19" s="338"/>
      <c r="GAR19" s="338"/>
      <c r="GAS19" s="338"/>
      <c r="GAT19" s="338"/>
      <c r="GAU19" s="338"/>
      <c r="GAV19" s="338"/>
      <c r="GAW19" s="338"/>
      <c r="GAX19" s="338"/>
      <c r="GAY19" s="338"/>
      <c r="GAZ19" s="338"/>
      <c r="GBA19" s="338"/>
      <c r="GBB19" s="338"/>
      <c r="GBC19" s="338"/>
      <c r="GBD19" s="338"/>
      <c r="GBE19" s="338"/>
      <c r="GBF19" s="338"/>
      <c r="GBG19" s="338"/>
      <c r="GBH19" s="338"/>
      <c r="GBI19" s="338"/>
      <c r="GBJ19" s="338"/>
      <c r="GBK19" s="338"/>
      <c r="GBL19" s="338"/>
      <c r="GBM19" s="338"/>
      <c r="GBN19" s="338"/>
      <c r="GBO19" s="338"/>
      <c r="GBP19" s="338"/>
      <c r="GBQ19" s="338"/>
      <c r="GBR19" s="338"/>
      <c r="GBS19" s="338"/>
      <c r="GBT19" s="338"/>
      <c r="GBU19" s="338"/>
      <c r="GBV19" s="338"/>
      <c r="GBW19" s="338"/>
      <c r="GBX19" s="338"/>
      <c r="GBY19" s="338"/>
      <c r="GBZ19" s="338"/>
      <c r="GCA19" s="338"/>
      <c r="GCB19" s="338"/>
      <c r="GCC19" s="338"/>
      <c r="GCD19" s="338"/>
      <c r="GCE19" s="338"/>
      <c r="GCF19" s="338"/>
      <c r="GCG19" s="338"/>
      <c r="GCH19" s="338"/>
      <c r="GCI19" s="338"/>
      <c r="GCJ19" s="338"/>
      <c r="GCK19" s="338"/>
      <c r="GCL19" s="338"/>
      <c r="GCM19" s="338"/>
      <c r="GCN19" s="338"/>
      <c r="GCO19" s="338"/>
      <c r="GCP19" s="338"/>
      <c r="GCQ19" s="338"/>
      <c r="GCR19" s="338"/>
      <c r="GCS19" s="338"/>
      <c r="GCT19" s="338"/>
      <c r="GCU19" s="338"/>
      <c r="GCV19" s="338"/>
      <c r="GCW19" s="338"/>
      <c r="GCX19" s="338"/>
      <c r="GCY19" s="338"/>
      <c r="GCZ19" s="338"/>
      <c r="GDA19" s="338"/>
      <c r="GDB19" s="338"/>
      <c r="GDC19" s="338"/>
      <c r="GDD19" s="338"/>
      <c r="GDE19" s="338"/>
      <c r="GDF19" s="338"/>
      <c r="GDG19" s="338"/>
      <c r="GDH19" s="338"/>
      <c r="GDI19" s="338"/>
      <c r="GDJ19" s="338"/>
      <c r="GDK19" s="338"/>
      <c r="GDL19" s="338"/>
      <c r="GDM19" s="338"/>
      <c r="GDN19" s="338"/>
      <c r="GDO19" s="338"/>
      <c r="GDP19" s="338"/>
      <c r="GDQ19" s="338"/>
      <c r="GDR19" s="338"/>
      <c r="GDS19" s="338"/>
      <c r="GDT19" s="338"/>
      <c r="GDU19" s="338"/>
      <c r="GDV19" s="338"/>
      <c r="GDW19" s="338"/>
      <c r="GDX19" s="338"/>
      <c r="GDY19" s="338"/>
      <c r="GDZ19" s="338"/>
      <c r="GEA19" s="338"/>
      <c r="GEB19" s="338"/>
      <c r="GEC19" s="338"/>
      <c r="GED19" s="338"/>
      <c r="GEE19" s="338"/>
      <c r="GEF19" s="338"/>
      <c r="GEG19" s="338"/>
      <c r="GEH19" s="338"/>
      <c r="GEI19" s="338"/>
      <c r="GEJ19" s="338"/>
      <c r="GEK19" s="338"/>
      <c r="GEL19" s="338"/>
      <c r="GEM19" s="338"/>
      <c r="GEN19" s="338"/>
      <c r="GEO19" s="338"/>
      <c r="GEP19" s="338"/>
      <c r="GEQ19" s="338"/>
      <c r="GER19" s="338"/>
      <c r="GES19" s="338"/>
      <c r="GET19" s="338"/>
      <c r="GEU19" s="338"/>
      <c r="GEV19" s="338"/>
      <c r="GEW19" s="338"/>
      <c r="GEX19" s="338"/>
      <c r="GEY19" s="338"/>
      <c r="GEZ19" s="338"/>
      <c r="GFA19" s="338"/>
      <c r="GFB19" s="338"/>
      <c r="GFC19" s="338"/>
      <c r="GFD19" s="338"/>
      <c r="GFE19" s="338"/>
      <c r="GFF19" s="338"/>
      <c r="GFG19" s="338"/>
      <c r="GFH19" s="338"/>
      <c r="GFI19" s="338"/>
      <c r="GFJ19" s="338"/>
      <c r="GFK19" s="338"/>
      <c r="GFL19" s="338"/>
      <c r="GFM19" s="338"/>
      <c r="GFN19" s="338"/>
      <c r="GFO19" s="338"/>
      <c r="GFP19" s="338"/>
      <c r="GFQ19" s="338"/>
      <c r="GFR19" s="338"/>
      <c r="GFS19" s="338"/>
      <c r="GFT19" s="338"/>
      <c r="GFU19" s="338"/>
      <c r="GFV19" s="338"/>
      <c r="GFW19" s="338"/>
      <c r="GFX19" s="338"/>
      <c r="GFY19" s="338"/>
      <c r="GFZ19" s="338"/>
      <c r="GGA19" s="338"/>
      <c r="GGB19" s="338"/>
      <c r="GGC19" s="338"/>
      <c r="GGD19" s="338"/>
      <c r="GGE19" s="338"/>
      <c r="GGF19" s="338"/>
      <c r="GGG19" s="338"/>
      <c r="GGH19" s="338"/>
      <c r="GGI19" s="338"/>
      <c r="GGJ19" s="338"/>
      <c r="GGK19" s="338"/>
      <c r="GGL19" s="338"/>
      <c r="GGM19" s="338"/>
      <c r="GGN19" s="338"/>
      <c r="GGO19" s="338"/>
      <c r="GGP19" s="338"/>
      <c r="GGQ19" s="338"/>
      <c r="GGR19" s="338"/>
      <c r="GGS19" s="338"/>
      <c r="GGT19" s="338"/>
      <c r="GGU19" s="338"/>
      <c r="GGV19" s="338"/>
      <c r="GGW19" s="338"/>
      <c r="GGX19" s="338"/>
      <c r="GGY19" s="338"/>
      <c r="GGZ19" s="338"/>
      <c r="GHA19" s="338"/>
      <c r="GHB19" s="338"/>
      <c r="GHC19" s="338"/>
      <c r="GHD19" s="338"/>
      <c r="GHE19" s="338"/>
      <c r="GHF19" s="338"/>
      <c r="GHG19" s="338"/>
      <c r="GHH19" s="338"/>
      <c r="GHI19" s="338"/>
      <c r="GHJ19" s="338"/>
      <c r="GHK19" s="338"/>
      <c r="GHL19" s="338"/>
      <c r="GHM19" s="338"/>
      <c r="GHN19" s="338"/>
      <c r="GHO19" s="338"/>
      <c r="GHP19" s="338"/>
      <c r="GHQ19" s="338"/>
      <c r="GHR19" s="338"/>
      <c r="GHS19" s="338"/>
      <c r="GHT19" s="338"/>
      <c r="GHU19" s="338"/>
      <c r="GHV19" s="338"/>
      <c r="GHW19" s="338"/>
      <c r="GHX19" s="338"/>
      <c r="GHY19" s="338"/>
      <c r="GHZ19" s="338"/>
      <c r="GIA19" s="338"/>
      <c r="GIB19" s="338"/>
      <c r="GIC19" s="338"/>
      <c r="GID19" s="338"/>
      <c r="GIE19" s="338"/>
      <c r="GIF19" s="338"/>
      <c r="GIG19" s="338"/>
      <c r="GIH19" s="338"/>
      <c r="GII19" s="338"/>
      <c r="GIJ19" s="338"/>
      <c r="GIK19" s="338"/>
      <c r="GIL19" s="338"/>
      <c r="GIM19" s="338"/>
      <c r="GIN19" s="338"/>
      <c r="GIO19" s="338"/>
      <c r="GIP19" s="338"/>
      <c r="GIQ19" s="338"/>
      <c r="GIR19" s="338"/>
      <c r="GIS19" s="338"/>
      <c r="GIT19" s="338"/>
      <c r="GIU19" s="338"/>
      <c r="GIV19" s="338"/>
      <c r="GIW19" s="338"/>
      <c r="GIX19" s="338"/>
      <c r="GIY19" s="338"/>
      <c r="GIZ19" s="338"/>
      <c r="GJA19" s="338"/>
      <c r="GJB19" s="338"/>
      <c r="GJC19" s="338"/>
      <c r="GJD19" s="338"/>
      <c r="GJE19" s="338"/>
      <c r="GJF19" s="338"/>
      <c r="GJG19" s="338"/>
      <c r="GJH19" s="338"/>
      <c r="GJI19" s="338"/>
      <c r="GJJ19" s="338"/>
      <c r="GJK19" s="338"/>
      <c r="GJL19" s="338"/>
      <c r="GJM19" s="338"/>
      <c r="GJN19" s="338"/>
      <c r="GJO19" s="338"/>
      <c r="GJP19" s="338"/>
      <c r="GJQ19" s="338"/>
      <c r="GJR19" s="338"/>
      <c r="GJS19" s="338"/>
      <c r="GJT19" s="338"/>
      <c r="GJU19" s="338"/>
      <c r="GJV19" s="338"/>
      <c r="GJW19" s="338"/>
      <c r="GJX19" s="338"/>
      <c r="GJY19" s="338"/>
      <c r="GJZ19" s="338"/>
      <c r="GKA19" s="338"/>
      <c r="GKB19" s="338"/>
      <c r="GKC19" s="338"/>
      <c r="GKD19" s="338"/>
      <c r="GKE19" s="338"/>
      <c r="GKF19" s="338"/>
      <c r="GKG19" s="338"/>
      <c r="GKH19" s="338"/>
      <c r="GKI19" s="338"/>
      <c r="GKJ19" s="338"/>
      <c r="GKK19" s="338"/>
      <c r="GKL19" s="338"/>
      <c r="GKM19" s="338"/>
      <c r="GKN19" s="338"/>
      <c r="GKO19" s="338"/>
      <c r="GKP19" s="338"/>
      <c r="GKQ19" s="338"/>
      <c r="GKR19" s="338"/>
      <c r="GKS19" s="338"/>
      <c r="GKT19" s="338"/>
      <c r="GKU19" s="338"/>
      <c r="GKV19" s="338"/>
      <c r="GKW19" s="338"/>
      <c r="GKX19" s="338"/>
      <c r="GKY19" s="338"/>
      <c r="GKZ19" s="338"/>
      <c r="GLA19" s="338"/>
      <c r="GLB19" s="338"/>
      <c r="GLC19" s="338"/>
      <c r="GLD19" s="338"/>
      <c r="GLE19" s="338"/>
      <c r="GLF19" s="338"/>
      <c r="GLG19" s="338"/>
      <c r="GLH19" s="338"/>
      <c r="GLI19" s="338"/>
      <c r="GLJ19" s="338"/>
      <c r="GLK19" s="338"/>
      <c r="GLL19" s="338"/>
      <c r="GLM19" s="338"/>
      <c r="GLN19" s="338"/>
      <c r="GLO19" s="338"/>
      <c r="GLP19" s="338"/>
      <c r="GLQ19" s="338"/>
      <c r="GLR19" s="338"/>
      <c r="GLS19" s="338"/>
      <c r="GLT19" s="338"/>
      <c r="GLU19" s="338"/>
      <c r="GLV19" s="338"/>
      <c r="GLW19" s="338"/>
      <c r="GLX19" s="338"/>
      <c r="GLY19" s="338"/>
      <c r="GLZ19" s="338"/>
      <c r="GMA19" s="338"/>
      <c r="GMB19" s="338"/>
      <c r="GMC19" s="338"/>
      <c r="GMD19" s="338"/>
      <c r="GME19" s="338"/>
      <c r="GMF19" s="338"/>
      <c r="GMG19" s="338"/>
      <c r="GMH19" s="338"/>
      <c r="GMI19" s="338"/>
      <c r="GMJ19" s="338"/>
      <c r="GMK19" s="338"/>
      <c r="GML19" s="338"/>
      <c r="GMM19" s="338"/>
      <c r="GMN19" s="338"/>
      <c r="GMO19" s="338"/>
      <c r="GMP19" s="338"/>
      <c r="GMQ19" s="338"/>
      <c r="GMR19" s="338"/>
      <c r="GMS19" s="338"/>
      <c r="GMT19" s="338"/>
      <c r="GMU19" s="338"/>
      <c r="GMV19" s="338"/>
      <c r="GMW19" s="338"/>
      <c r="GMX19" s="338"/>
      <c r="GMY19" s="338"/>
      <c r="GMZ19" s="338"/>
      <c r="GNA19" s="338"/>
      <c r="GNB19" s="338"/>
      <c r="GNC19" s="338"/>
      <c r="GND19" s="338"/>
      <c r="GNE19" s="338"/>
      <c r="GNF19" s="338"/>
      <c r="GNG19" s="338"/>
      <c r="GNH19" s="338"/>
      <c r="GNI19" s="338"/>
      <c r="GNJ19" s="338"/>
      <c r="GNK19" s="338"/>
      <c r="GNL19" s="338"/>
      <c r="GNM19" s="338"/>
      <c r="GNN19" s="338"/>
      <c r="GNO19" s="338"/>
      <c r="GNP19" s="338"/>
      <c r="GNQ19" s="338"/>
      <c r="GNR19" s="338"/>
      <c r="GNS19" s="338"/>
      <c r="GNT19" s="338"/>
      <c r="GNU19" s="338"/>
      <c r="GNV19" s="338"/>
      <c r="GNW19" s="338"/>
      <c r="GNX19" s="338"/>
      <c r="GNY19" s="338"/>
      <c r="GNZ19" s="338"/>
      <c r="GOA19" s="338"/>
      <c r="GOB19" s="338"/>
      <c r="GOC19" s="338"/>
      <c r="GOD19" s="338"/>
      <c r="GOE19" s="338"/>
      <c r="GOF19" s="338"/>
      <c r="GOG19" s="338"/>
      <c r="GOH19" s="338"/>
      <c r="GOI19" s="338"/>
      <c r="GOJ19" s="338"/>
      <c r="GOK19" s="338"/>
      <c r="GOL19" s="338"/>
      <c r="GOM19" s="338"/>
      <c r="GON19" s="338"/>
      <c r="GOO19" s="338"/>
      <c r="GOP19" s="338"/>
      <c r="GOQ19" s="338"/>
      <c r="GOR19" s="338"/>
      <c r="GOS19" s="338"/>
      <c r="GOT19" s="338"/>
      <c r="GOU19" s="338"/>
      <c r="GOV19" s="338"/>
      <c r="GOW19" s="338"/>
      <c r="GOX19" s="338"/>
      <c r="GOY19" s="338"/>
      <c r="GOZ19" s="338"/>
      <c r="GPA19" s="338"/>
      <c r="GPB19" s="338"/>
      <c r="GPC19" s="338"/>
      <c r="GPD19" s="338"/>
      <c r="GPE19" s="338"/>
      <c r="GPF19" s="338"/>
      <c r="GPG19" s="338"/>
      <c r="GPH19" s="338"/>
      <c r="GPI19" s="338"/>
      <c r="GPJ19" s="338"/>
      <c r="GPK19" s="338"/>
      <c r="GPL19" s="338"/>
      <c r="GPM19" s="338"/>
      <c r="GPN19" s="338"/>
      <c r="GPO19" s="338"/>
      <c r="GPP19" s="338"/>
      <c r="GPQ19" s="338"/>
      <c r="GPR19" s="338"/>
      <c r="GPS19" s="338"/>
      <c r="GPT19" s="338"/>
      <c r="GPU19" s="338"/>
      <c r="GPV19" s="338"/>
      <c r="GPW19" s="338"/>
      <c r="GPX19" s="338"/>
      <c r="GPY19" s="338"/>
      <c r="GPZ19" s="338"/>
      <c r="GQA19" s="338"/>
      <c r="GQB19" s="338"/>
      <c r="GQC19" s="338"/>
      <c r="GQD19" s="338"/>
      <c r="GQE19" s="338"/>
      <c r="GQF19" s="338"/>
      <c r="GQG19" s="338"/>
      <c r="GQH19" s="338"/>
      <c r="GQI19" s="338"/>
      <c r="GQJ19" s="338"/>
      <c r="GQK19" s="338"/>
      <c r="GQL19" s="338"/>
      <c r="GQM19" s="338"/>
      <c r="GQN19" s="338"/>
      <c r="GQO19" s="338"/>
      <c r="GQP19" s="338"/>
      <c r="GQQ19" s="338"/>
      <c r="GQR19" s="338"/>
      <c r="GQS19" s="338"/>
      <c r="GQT19" s="338"/>
      <c r="GQU19" s="338"/>
      <c r="GQV19" s="338"/>
      <c r="GQW19" s="338"/>
      <c r="GQX19" s="338"/>
      <c r="GQY19" s="338"/>
      <c r="GQZ19" s="338"/>
      <c r="GRA19" s="338"/>
      <c r="GRB19" s="338"/>
      <c r="GRC19" s="338"/>
      <c r="GRD19" s="338"/>
      <c r="GRE19" s="338"/>
      <c r="GRF19" s="338"/>
      <c r="GRG19" s="338"/>
      <c r="GRH19" s="338"/>
      <c r="GRI19" s="338"/>
      <c r="GRJ19" s="338"/>
      <c r="GRK19" s="338"/>
      <c r="GRL19" s="338"/>
      <c r="GRM19" s="338"/>
      <c r="GRN19" s="338"/>
      <c r="GRO19" s="338"/>
      <c r="GRP19" s="338"/>
      <c r="GRQ19" s="338"/>
      <c r="GRR19" s="338"/>
      <c r="GRS19" s="338"/>
      <c r="GRT19" s="338"/>
      <c r="GRU19" s="338"/>
      <c r="GRV19" s="338"/>
      <c r="GRW19" s="338"/>
      <c r="GRX19" s="338"/>
      <c r="GRY19" s="338"/>
      <c r="GRZ19" s="338"/>
      <c r="GSA19" s="338"/>
      <c r="GSB19" s="338"/>
      <c r="GSC19" s="338"/>
      <c r="GSD19" s="338"/>
      <c r="GSE19" s="338"/>
      <c r="GSF19" s="338"/>
      <c r="GSG19" s="338"/>
      <c r="GSH19" s="338"/>
      <c r="GSI19" s="338"/>
      <c r="GSJ19" s="338"/>
      <c r="GSK19" s="338"/>
      <c r="GSL19" s="338"/>
      <c r="GSM19" s="338"/>
      <c r="GSN19" s="338"/>
      <c r="GSO19" s="338"/>
      <c r="GSP19" s="338"/>
      <c r="GSQ19" s="338"/>
      <c r="GSR19" s="338"/>
      <c r="GSS19" s="338"/>
      <c r="GST19" s="338"/>
      <c r="GSU19" s="338"/>
      <c r="GSV19" s="338"/>
      <c r="GSW19" s="338"/>
      <c r="GSX19" s="338"/>
      <c r="GSY19" s="338"/>
      <c r="GSZ19" s="338"/>
      <c r="GTA19" s="338"/>
      <c r="GTB19" s="338"/>
      <c r="GTC19" s="338"/>
      <c r="GTD19" s="338"/>
      <c r="GTE19" s="338"/>
      <c r="GTF19" s="338"/>
      <c r="GTG19" s="338"/>
      <c r="GTH19" s="338"/>
      <c r="GTI19" s="338"/>
      <c r="GTJ19" s="338"/>
      <c r="GTK19" s="338"/>
      <c r="GTL19" s="338"/>
      <c r="GTM19" s="338"/>
      <c r="GTN19" s="338"/>
      <c r="GTO19" s="338"/>
      <c r="GTP19" s="338"/>
      <c r="GTQ19" s="338"/>
      <c r="GTR19" s="338"/>
      <c r="GTS19" s="338"/>
      <c r="GTT19" s="338"/>
      <c r="GTU19" s="338"/>
      <c r="GTV19" s="338"/>
      <c r="GTW19" s="338"/>
      <c r="GTX19" s="338"/>
      <c r="GTY19" s="338"/>
      <c r="GTZ19" s="338"/>
      <c r="GUA19" s="338"/>
      <c r="GUB19" s="338"/>
      <c r="GUC19" s="338"/>
      <c r="GUD19" s="338"/>
      <c r="GUE19" s="338"/>
      <c r="GUF19" s="338"/>
      <c r="GUG19" s="338"/>
      <c r="GUH19" s="338"/>
      <c r="GUI19" s="338"/>
      <c r="GUJ19" s="338"/>
      <c r="GUK19" s="338"/>
      <c r="GUL19" s="338"/>
      <c r="GUM19" s="338"/>
      <c r="GUN19" s="338"/>
      <c r="GUO19" s="338"/>
      <c r="GUP19" s="338"/>
      <c r="GUQ19" s="338"/>
      <c r="GUR19" s="338"/>
      <c r="GUS19" s="338"/>
      <c r="GUT19" s="338"/>
      <c r="GUU19" s="338"/>
      <c r="GUV19" s="338"/>
      <c r="GUW19" s="338"/>
      <c r="GUX19" s="338"/>
      <c r="GUY19" s="338"/>
      <c r="GUZ19" s="338"/>
      <c r="GVA19" s="338"/>
      <c r="GVB19" s="338"/>
      <c r="GVC19" s="338"/>
      <c r="GVD19" s="338"/>
      <c r="GVE19" s="338"/>
      <c r="GVF19" s="338"/>
      <c r="GVG19" s="338"/>
      <c r="GVH19" s="338"/>
      <c r="GVI19" s="338"/>
      <c r="GVJ19" s="338"/>
      <c r="GVK19" s="338"/>
      <c r="GVL19" s="338"/>
      <c r="GVM19" s="338"/>
      <c r="GVN19" s="338"/>
      <c r="GVO19" s="338"/>
      <c r="GVP19" s="338"/>
      <c r="GVQ19" s="338"/>
      <c r="GVR19" s="338"/>
      <c r="GVS19" s="338"/>
      <c r="GVT19" s="338"/>
      <c r="GVU19" s="338"/>
      <c r="GVV19" s="338"/>
      <c r="GVW19" s="338"/>
      <c r="GVX19" s="338"/>
      <c r="GVY19" s="338"/>
      <c r="GVZ19" s="338"/>
      <c r="GWA19" s="338"/>
      <c r="GWB19" s="338"/>
      <c r="GWC19" s="338"/>
      <c r="GWD19" s="338"/>
      <c r="GWE19" s="338"/>
      <c r="GWF19" s="338"/>
      <c r="GWG19" s="338"/>
      <c r="GWH19" s="338"/>
      <c r="GWI19" s="338"/>
      <c r="GWJ19" s="338"/>
      <c r="GWK19" s="338"/>
      <c r="GWL19" s="338"/>
      <c r="GWM19" s="338"/>
      <c r="GWN19" s="338"/>
      <c r="GWO19" s="338"/>
      <c r="GWP19" s="338"/>
      <c r="GWQ19" s="338"/>
      <c r="GWR19" s="338"/>
      <c r="GWS19" s="338"/>
      <c r="GWT19" s="338"/>
      <c r="GWU19" s="338"/>
      <c r="GWV19" s="338"/>
      <c r="GWW19" s="338"/>
      <c r="GWX19" s="338"/>
      <c r="GWY19" s="338"/>
      <c r="GWZ19" s="338"/>
      <c r="GXA19" s="338"/>
      <c r="GXB19" s="338"/>
      <c r="GXC19" s="338"/>
      <c r="GXD19" s="338"/>
      <c r="GXE19" s="338"/>
      <c r="GXF19" s="338"/>
      <c r="GXG19" s="338"/>
      <c r="GXH19" s="338"/>
      <c r="GXI19" s="338"/>
      <c r="GXJ19" s="338"/>
      <c r="GXK19" s="338"/>
      <c r="GXL19" s="338"/>
      <c r="GXM19" s="338"/>
      <c r="GXN19" s="338"/>
      <c r="GXO19" s="338"/>
      <c r="GXP19" s="338"/>
      <c r="GXQ19" s="338"/>
      <c r="GXR19" s="338"/>
      <c r="GXS19" s="338"/>
      <c r="GXT19" s="338"/>
      <c r="GXU19" s="338"/>
      <c r="GXV19" s="338"/>
      <c r="GXW19" s="338"/>
      <c r="GXX19" s="338"/>
      <c r="GXY19" s="338"/>
      <c r="GXZ19" s="338"/>
      <c r="GYA19" s="338"/>
      <c r="GYB19" s="338"/>
      <c r="GYC19" s="338"/>
      <c r="GYD19" s="338"/>
      <c r="GYE19" s="338"/>
      <c r="GYF19" s="338"/>
      <c r="GYG19" s="338"/>
      <c r="GYH19" s="338"/>
      <c r="GYI19" s="338"/>
      <c r="GYJ19" s="338"/>
      <c r="GYK19" s="338"/>
      <c r="GYL19" s="338"/>
      <c r="GYM19" s="338"/>
      <c r="GYN19" s="338"/>
      <c r="GYO19" s="338"/>
      <c r="GYP19" s="338"/>
      <c r="GYQ19" s="338"/>
      <c r="GYR19" s="338"/>
      <c r="GYS19" s="338"/>
      <c r="GYT19" s="338"/>
      <c r="GYU19" s="338"/>
      <c r="GYV19" s="338"/>
      <c r="GYW19" s="338"/>
      <c r="GYX19" s="338"/>
      <c r="GYY19" s="338"/>
      <c r="GYZ19" s="338"/>
      <c r="GZA19" s="338"/>
      <c r="GZB19" s="338"/>
      <c r="GZC19" s="338"/>
      <c r="GZD19" s="338"/>
      <c r="GZE19" s="338"/>
      <c r="GZF19" s="338"/>
      <c r="GZG19" s="338"/>
      <c r="GZH19" s="338"/>
      <c r="GZI19" s="338"/>
      <c r="GZJ19" s="338"/>
      <c r="GZK19" s="338"/>
      <c r="GZL19" s="338"/>
      <c r="GZM19" s="338"/>
      <c r="GZN19" s="338"/>
      <c r="GZO19" s="338"/>
      <c r="GZP19" s="338"/>
      <c r="GZQ19" s="338"/>
      <c r="GZR19" s="338"/>
      <c r="GZS19" s="338"/>
      <c r="GZT19" s="338"/>
      <c r="GZU19" s="338"/>
      <c r="GZV19" s="338"/>
      <c r="GZW19" s="338"/>
      <c r="GZX19" s="338"/>
      <c r="GZY19" s="338"/>
      <c r="GZZ19" s="338"/>
      <c r="HAA19" s="338"/>
      <c r="HAB19" s="338"/>
      <c r="HAC19" s="338"/>
      <c r="HAD19" s="338"/>
      <c r="HAE19" s="338"/>
      <c r="HAF19" s="338"/>
      <c r="HAG19" s="338"/>
      <c r="HAH19" s="338"/>
      <c r="HAI19" s="338"/>
      <c r="HAJ19" s="338"/>
      <c r="HAK19" s="338"/>
      <c r="HAL19" s="338"/>
      <c r="HAM19" s="338"/>
      <c r="HAN19" s="338"/>
      <c r="HAO19" s="338"/>
      <c r="HAP19" s="338"/>
      <c r="HAQ19" s="338"/>
      <c r="HAR19" s="338"/>
      <c r="HAS19" s="338"/>
      <c r="HAT19" s="338"/>
      <c r="HAU19" s="338"/>
      <c r="HAV19" s="338"/>
      <c r="HAW19" s="338"/>
      <c r="HAX19" s="338"/>
      <c r="HAY19" s="338"/>
      <c r="HAZ19" s="338"/>
      <c r="HBA19" s="338"/>
      <c r="HBB19" s="338"/>
      <c r="HBC19" s="338"/>
      <c r="HBD19" s="338"/>
      <c r="HBE19" s="338"/>
      <c r="HBF19" s="338"/>
      <c r="HBG19" s="338"/>
      <c r="HBH19" s="338"/>
      <c r="HBI19" s="338"/>
      <c r="HBJ19" s="338"/>
      <c r="HBK19" s="338"/>
      <c r="HBL19" s="338"/>
      <c r="HBM19" s="338"/>
      <c r="HBN19" s="338"/>
      <c r="HBO19" s="338"/>
      <c r="HBP19" s="338"/>
      <c r="HBQ19" s="338"/>
      <c r="HBR19" s="338"/>
      <c r="HBS19" s="338"/>
      <c r="HBT19" s="338"/>
      <c r="HBU19" s="338"/>
      <c r="HBV19" s="338"/>
      <c r="HBW19" s="338"/>
      <c r="HBX19" s="338"/>
      <c r="HBY19" s="338"/>
      <c r="HBZ19" s="338"/>
      <c r="HCA19" s="338"/>
      <c r="HCB19" s="338"/>
      <c r="HCC19" s="338"/>
      <c r="HCD19" s="338"/>
      <c r="HCE19" s="338"/>
      <c r="HCF19" s="338"/>
      <c r="HCG19" s="338"/>
      <c r="HCH19" s="338"/>
      <c r="HCI19" s="338"/>
      <c r="HCJ19" s="338"/>
      <c r="HCK19" s="338"/>
      <c r="HCL19" s="338"/>
      <c r="HCM19" s="338"/>
      <c r="HCN19" s="338"/>
      <c r="HCO19" s="338"/>
      <c r="HCP19" s="338"/>
      <c r="HCQ19" s="338"/>
      <c r="HCR19" s="338"/>
      <c r="HCS19" s="338"/>
      <c r="HCT19" s="338"/>
      <c r="HCU19" s="338"/>
      <c r="HCV19" s="338"/>
      <c r="HCW19" s="338"/>
      <c r="HCX19" s="338"/>
      <c r="HCY19" s="338"/>
      <c r="HCZ19" s="338"/>
      <c r="HDA19" s="338"/>
      <c r="HDB19" s="338"/>
      <c r="HDC19" s="338"/>
      <c r="HDD19" s="338"/>
      <c r="HDE19" s="338"/>
      <c r="HDF19" s="338"/>
      <c r="HDG19" s="338"/>
      <c r="HDH19" s="338"/>
      <c r="HDI19" s="338"/>
      <c r="HDJ19" s="338"/>
      <c r="HDK19" s="338"/>
      <c r="HDL19" s="338"/>
      <c r="HDM19" s="338"/>
      <c r="HDN19" s="338"/>
      <c r="HDO19" s="338"/>
      <c r="HDP19" s="338"/>
      <c r="HDQ19" s="338"/>
      <c r="HDR19" s="338"/>
      <c r="HDS19" s="338"/>
      <c r="HDT19" s="338"/>
      <c r="HDU19" s="338"/>
      <c r="HDV19" s="338"/>
      <c r="HDW19" s="338"/>
      <c r="HDX19" s="338"/>
      <c r="HDY19" s="338"/>
      <c r="HDZ19" s="338"/>
      <c r="HEA19" s="338"/>
      <c r="HEB19" s="338"/>
      <c r="HEC19" s="338"/>
      <c r="HED19" s="338"/>
      <c r="HEE19" s="338"/>
      <c r="HEF19" s="338"/>
      <c r="HEG19" s="338"/>
      <c r="HEH19" s="338"/>
      <c r="HEI19" s="338"/>
      <c r="HEJ19" s="338"/>
      <c r="HEK19" s="338"/>
      <c r="HEL19" s="338"/>
      <c r="HEM19" s="338"/>
      <c r="HEN19" s="338"/>
      <c r="HEO19" s="338"/>
      <c r="HEP19" s="338"/>
      <c r="HEQ19" s="338"/>
      <c r="HER19" s="338"/>
      <c r="HES19" s="338"/>
      <c r="HET19" s="338"/>
      <c r="HEU19" s="338"/>
      <c r="HEV19" s="338"/>
      <c r="HEW19" s="338"/>
      <c r="HEX19" s="338"/>
      <c r="HEY19" s="338"/>
      <c r="HEZ19" s="338"/>
      <c r="HFA19" s="338"/>
      <c r="HFB19" s="338"/>
      <c r="HFC19" s="338"/>
      <c r="HFD19" s="338"/>
      <c r="HFE19" s="338"/>
      <c r="HFF19" s="338"/>
      <c r="HFG19" s="338"/>
      <c r="HFH19" s="338"/>
      <c r="HFI19" s="338"/>
      <c r="HFJ19" s="338"/>
      <c r="HFK19" s="338"/>
      <c r="HFL19" s="338"/>
      <c r="HFM19" s="338"/>
      <c r="HFN19" s="338"/>
      <c r="HFO19" s="338"/>
      <c r="HFP19" s="338"/>
      <c r="HFQ19" s="338"/>
      <c r="HFR19" s="338"/>
      <c r="HFS19" s="338"/>
      <c r="HFT19" s="338"/>
      <c r="HFU19" s="338"/>
      <c r="HFV19" s="338"/>
      <c r="HFW19" s="338"/>
      <c r="HFX19" s="338"/>
      <c r="HFY19" s="338"/>
      <c r="HFZ19" s="338"/>
      <c r="HGA19" s="338"/>
      <c r="HGB19" s="338"/>
      <c r="HGC19" s="338"/>
      <c r="HGD19" s="338"/>
      <c r="HGE19" s="338"/>
      <c r="HGF19" s="338"/>
      <c r="HGG19" s="338"/>
      <c r="HGH19" s="338"/>
      <c r="HGI19" s="338"/>
      <c r="HGJ19" s="338"/>
      <c r="HGK19" s="338"/>
      <c r="HGL19" s="338"/>
      <c r="HGM19" s="338"/>
      <c r="HGN19" s="338"/>
      <c r="HGO19" s="338"/>
      <c r="HGP19" s="338"/>
      <c r="HGQ19" s="338"/>
      <c r="HGR19" s="338"/>
      <c r="HGS19" s="338"/>
      <c r="HGT19" s="338"/>
      <c r="HGU19" s="338"/>
      <c r="HGV19" s="338"/>
      <c r="HGW19" s="338"/>
      <c r="HGX19" s="338"/>
      <c r="HGY19" s="338"/>
      <c r="HGZ19" s="338"/>
      <c r="HHA19" s="338"/>
      <c r="HHB19" s="338"/>
      <c r="HHC19" s="338"/>
      <c r="HHD19" s="338"/>
      <c r="HHE19" s="338"/>
      <c r="HHF19" s="338"/>
      <c r="HHG19" s="338"/>
      <c r="HHH19" s="338"/>
      <c r="HHI19" s="338"/>
      <c r="HHJ19" s="338"/>
      <c r="HHK19" s="338"/>
      <c r="HHL19" s="338"/>
      <c r="HHM19" s="338"/>
      <c r="HHN19" s="338"/>
      <c r="HHO19" s="338"/>
      <c r="HHP19" s="338"/>
      <c r="HHQ19" s="338"/>
      <c r="HHR19" s="338"/>
      <c r="HHS19" s="338"/>
      <c r="HHT19" s="338"/>
      <c r="HHU19" s="338"/>
      <c r="HHV19" s="338"/>
      <c r="HHW19" s="338"/>
      <c r="HHX19" s="338"/>
      <c r="HHY19" s="338"/>
      <c r="HHZ19" s="338"/>
      <c r="HIA19" s="338"/>
      <c r="HIB19" s="338"/>
      <c r="HIC19" s="338"/>
      <c r="HID19" s="338"/>
      <c r="HIE19" s="338"/>
      <c r="HIF19" s="338"/>
      <c r="HIG19" s="338"/>
      <c r="HIH19" s="338"/>
      <c r="HII19" s="338"/>
      <c r="HIJ19" s="338"/>
      <c r="HIK19" s="338"/>
      <c r="HIL19" s="338"/>
      <c r="HIM19" s="338"/>
      <c r="HIN19" s="338"/>
      <c r="HIO19" s="338"/>
      <c r="HIP19" s="338"/>
      <c r="HIQ19" s="338"/>
      <c r="HIR19" s="338"/>
      <c r="HIS19" s="338"/>
      <c r="HIT19" s="338"/>
      <c r="HIU19" s="338"/>
      <c r="HIV19" s="338"/>
      <c r="HIW19" s="338"/>
      <c r="HIX19" s="338"/>
      <c r="HIY19" s="338"/>
      <c r="HIZ19" s="338"/>
      <c r="HJA19" s="338"/>
      <c r="HJB19" s="338"/>
      <c r="HJC19" s="338"/>
      <c r="HJD19" s="338"/>
      <c r="HJE19" s="338"/>
      <c r="HJF19" s="338"/>
      <c r="HJG19" s="338"/>
      <c r="HJH19" s="338"/>
      <c r="HJI19" s="338"/>
      <c r="HJJ19" s="338"/>
      <c r="HJK19" s="338"/>
      <c r="HJL19" s="338"/>
      <c r="HJM19" s="338"/>
      <c r="HJN19" s="338"/>
      <c r="HJO19" s="338"/>
      <c r="HJP19" s="338"/>
      <c r="HJQ19" s="338"/>
      <c r="HJR19" s="338"/>
      <c r="HJS19" s="338"/>
      <c r="HJT19" s="338"/>
      <c r="HJU19" s="338"/>
      <c r="HJV19" s="338"/>
      <c r="HJW19" s="338"/>
      <c r="HJX19" s="338"/>
      <c r="HJY19" s="338"/>
      <c r="HJZ19" s="338"/>
      <c r="HKA19" s="338"/>
      <c r="HKB19" s="338"/>
      <c r="HKC19" s="338"/>
      <c r="HKD19" s="338"/>
      <c r="HKE19" s="338"/>
      <c r="HKF19" s="338"/>
      <c r="HKG19" s="338"/>
      <c r="HKH19" s="338"/>
      <c r="HKI19" s="338"/>
      <c r="HKJ19" s="338"/>
      <c r="HKK19" s="338"/>
      <c r="HKL19" s="338"/>
      <c r="HKM19" s="338"/>
      <c r="HKN19" s="338"/>
      <c r="HKO19" s="338"/>
      <c r="HKP19" s="338"/>
      <c r="HKQ19" s="338"/>
      <c r="HKR19" s="338"/>
      <c r="HKS19" s="338"/>
      <c r="HKT19" s="338"/>
      <c r="HKU19" s="338"/>
      <c r="HKV19" s="338"/>
      <c r="HKW19" s="338"/>
      <c r="HKX19" s="338"/>
      <c r="HKY19" s="338"/>
      <c r="HKZ19" s="338"/>
      <c r="HLA19" s="338"/>
      <c r="HLB19" s="338"/>
      <c r="HLC19" s="338"/>
      <c r="HLD19" s="338"/>
      <c r="HLE19" s="338"/>
      <c r="HLF19" s="338"/>
      <c r="HLG19" s="338"/>
      <c r="HLH19" s="338"/>
      <c r="HLI19" s="338"/>
      <c r="HLJ19" s="338"/>
      <c r="HLK19" s="338"/>
      <c r="HLL19" s="338"/>
      <c r="HLM19" s="338"/>
      <c r="HLN19" s="338"/>
      <c r="HLO19" s="338"/>
      <c r="HLP19" s="338"/>
      <c r="HLQ19" s="338"/>
      <c r="HLR19" s="338"/>
      <c r="HLS19" s="338"/>
      <c r="HLT19" s="338"/>
      <c r="HLU19" s="338"/>
      <c r="HLV19" s="338"/>
      <c r="HLW19" s="338"/>
      <c r="HLX19" s="338"/>
      <c r="HLY19" s="338"/>
      <c r="HLZ19" s="338"/>
      <c r="HMA19" s="338"/>
      <c r="HMB19" s="338"/>
      <c r="HMC19" s="338"/>
      <c r="HMD19" s="338"/>
      <c r="HME19" s="338"/>
      <c r="HMF19" s="338"/>
      <c r="HMG19" s="338"/>
      <c r="HMH19" s="338"/>
      <c r="HMI19" s="338"/>
      <c r="HMJ19" s="338"/>
      <c r="HMK19" s="338"/>
      <c r="HML19" s="338"/>
      <c r="HMM19" s="338"/>
      <c r="HMN19" s="338"/>
      <c r="HMO19" s="338"/>
      <c r="HMP19" s="338"/>
      <c r="HMQ19" s="338"/>
      <c r="HMR19" s="338"/>
      <c r="HMS19" s="338"/>
      <c r="HMT19" s="338"/>
      <c r="HMU19" s="338"/>
      <c r="HMV19" s="338"/>
      <c r="HMW19" s="338"/>
      <c r="HMX19" s="338"/>
      <c r="HMY19" s="338"/>
      <c r="HMZ19" s="338"/>
      <c r="HNA19" s="338"/>
      <c r="HNB19" s="338"/>
      <c r="HNC19" s="338"/>
      <c r="HND19" s="338"/>
      <c r="HNE19" s="338"/>
      <c r="HNF19" s="338"/>
      <c r="HNG19" s="338"/>
      <c r="HNH19" s="338"/>
      <c r="HNI19" s="338"/>
      <c r="HNJ19" s="338"/>
      <c r="HNK19" s="338"/>
      <c r="HNL19" s="338"/>
      <c r="HNM19" s="338"/>
      <c r="HNN19" s="338"/>
      <c r="HNO19" s="338"/>
      <c r="HNP19" s="338"/>
      <c r="HNQ19" s="338"/>
      <c r="HNR19" s="338"/>
      <c r="HNS19" s="338"/>
      <c r="HNT19" s="338"/>
      <c r="HNU19" s="338"/>
      <c r="HNV19" s="338"/>
      <c r="HNW19" s="338"/>
      <c r="HNX19" s="338"/>
      <c r="HNY19" s="338"/>
      <c r="HNZ19" s="338"/>
      <c r="HOA19" s="338"/>
      <c r="HOB19" s="338"/>
      <c r="HOC19" s="338"/>
      <c r="HOD19" s="338"/>
      <c r="HOE19" s="338"/>
      <c r="HOF19" s="338"/>
      <c r="HOG19" s="338"/>
      <c r="HOH19" s="338"/>
      <c r="HOI19" s="338"/>
      <c r="HOJ19" s="338"/>
      <c r="HOK19" s="338"/>
      <c r="HOL19" s="338"/>
      <c r="HOM19" s="338"/>
      <c r="HON19" s="338"/>
      <c r="HOO19" s="338"/>
      <c r="HOP19" s="338"/>
      <c r="HOQ19" s="338"/>
      <c r="HOR19" s="338"/>
      <c r="HOS19" s="338"/>
      <c r="HOT19" s="338"/>
      <c r="HOU19" s="338"/>
      <c r="HOV19" s="338"/>
      <c r="HOW19" s="338"/>
      <c r="HOX19" s="338"/>
      <c r="HOY19" s="338"/>
      <c r="HOZ19" s="338"/>
      <c r="HPA19" s="338"/>
      <c r="HPB19" s="338"/>
      <c r="HPC19" s="338"/>
      <c r="HPD19" s="338"/>
      <c r="HPE19" s="338"/>
      <c r="HPF19" s="338"/>
      <c r="HPG19" s="338"/>
      <c r="HPH19" s="338"/>
      <c r="HPI19" s="338"/>
      <c r="HPJ19" s="338"/>
      <c r="HPK19" s="338"/>
      <c r="HPL19" s="338"/>
      <c r="HPM19" s="338"/>
      <c r="HPN19" s="338"/>
      <c r="HPO19" s="338"/>
      <c r="HPP19" s="338"/>
      <c r="HPQ19" s="338"/>
      <c r="HPR19" s="338"/>
      <c r="HPS19" s="338"/>
      <c r="HPT19" s="338"/>
      <c r="HPU19" s="338"/>
      <c r="HPV19" s="338"/>
      <c r="HPW19" s="338"/>
      <c r="HPX19" s="338"/>
      <c r="HPY19" s="338"/>
      <c r="HPZ19" s="338"/>
      <c r="HQA19" s="338"/>
      <c r="HQB19" s="338"/>
      <c r="HQC19" s="338"/>
      <c r="HQD19" s="338"/>
      <c r="HQE19" s="338"/>
      <c r="HQF19" s="338"/>
      <c r="HQG19" s="338"/>
      <c r="HQH19" s="338"/>
      <c r="HQI19" s="338"/>
      <c r="HQJ19" s="338"/>
      <c r="HQK19" s="338"/>
      <c r="HQL19" s="338"/>
      <c r="HQM19" s="338"/>
      <c r="HQN19" s="338"/>
      <c r="HQO19" s="338"/>
      <c r="HQP19" s="338"/>
      <c r="HQQ19" s="338"/>
      <c r="HQR19" s="338"/>
      <c r="HQS19" s="338"/>
      <c r="HQT19" s="338"/>
      <c r="HQU19" s="338"/>
      <c r="HQV19" s="338"/>
      <c r="HQW19" s="338"/>
      <c r="HQX19" s="338"/>
      <c r="HQY19" s="338"/>
      <c r="HQZ19" s="338"/>
      <c r="HRA19" s="338"/>
      <c r="HRB19" s="338"/>
      <c r="HRC19" s="338"/>
      <c r="HRD19" s="338"/>
      <c r="HRE19" s="338"/>
      <c r="HRF19" s="338"/>
      <c r="HRG19" s="338"/>
      <c r="HRH19" s="338"/>
      <c r="HRI19" s="338"/>
      <c r="HRJ19" s="338"/>
      <c r="HRK19" s="338"/>
      <c r="HRL19" s="338"/>
      <c r="HRM19" s="338"/>
      <c r="HRN19" s="338"/>
      <c r="HRO19" s="338"/>
      <c r="HRP19" s="338"/>
      <c r="HRQ19" s="338"/>
      <c r="HRR19" s="338"/>
      <c r="HRS19" s="338"/>
      <c r="HRT19" s="338"/>
      <c r="HRU19" s="338"/>
      <c r="HRV19" s="338"/>
      <c r="HRW19" s="338"/>
      <c r="HRX19" s="338"/>
      <c r="HRY19" s="338"/>
      <c r="HRZ19" s="338"/>
      <c r="HSA19" s="338"/>
      <c r="HSB19" s="338"/>
      <c r="HSC19" s="338"/>
      <c r="HSD19" s="338"/>
      <c r="HSE19" s="338"/>
      <c r="HSF19" s="338"/>
      <c r="HSG19" s="338"/>
      <c r="HSH19" s="338"/>
      <c r="HSI19" s="338"/>
      <c r="HSJ19" s="338"/>
      <c r="HSK19" s="338"/>
      <c r="HSL19" s="338"/>
      <c r="HSM19" s="338"/>
      <c r="HSN19" s="338"/>
      <c r="HSO19" s="338"/>
      <c r="HSP19" s="338"/>
      <c r="HSQ19" s="338"/>
      <c r="HSR19" s="338"/>
      <c r="HSS19" s="338"/>
      <c r="HST19" s="338"/>
      <c r="HSU19" s="338"/>
      <c r="HSV19" s="338"/>
      <c r="HSW19" s="338"/>
      <c r="HSX19" s="338"/>
      <c r="HSY19" s="338"/>
      <c r="HSZ19" s="338"/>
      <c r="HTA19" s="338"/>
      <c r="HTB19" s="338"/>
      <c r="HTC19" s="338"/>
      <c r="HTD19" s="338"/>
      <c r="HTE19" s="338"/>
      <c r="HTF19" s="338"/>
      <c r="HTG19" s="338"/>
      <c r="HTH19" s="338"/>
      <c r="HTI19" s="338"/>
      <c r="HTJ19" s="338"/>
      <c r="HTK19" s="338"/>
      <c r="HTL19" s="338"/>
      <c r="HTM19" s="338"/>
      <c r="HTN19" s="338"/>
      <c r="HTO19" s="338"/>
      <c r="HTP19" s="338"/>
      <c r="HTQ19" s="338"/>
      <c r="HTR19" s="338"/>
      <c r="HTS19" s="338"/>
      <c r="HTT19" s="338"/>
      <c r="HTU19" s="338"/>
      <c r="HTV19" s="338"/>
      <c r="HTW19" s="338"/>
      <c r="HTX19" s="338"/>
      <c r="HTY19" s="338"/>
      <c r="HTZ19" s="338"/>
      <c r="HUA19" s="338"/>
      <c r="HUB19" s="338"/>
      <c r="HUC19" s="338"/>
      <c r="HUD19" s="338"/>
      <c r="HUE19" s="338"/>
      <c r="HUF19" s="338"/>
      <c r="HUG19" s="338"/>
      <c r="HUH19" s="338"/>
      <c r="HUI19" s="338"/>
      <c r="HUJ19" s="338"/>
      <c r="HUK19" s="338"/>
      <c r="HUL19" s="338"/>
      <c r="HUM19" s="338"/>
      <c r="HUN19" s="338"/>
      <c r="HUO19" s="338"/>
      <c r="HUP19" s="338"/>
      <c r="HUQ19" s="338"/>
      <c r="HUR19" s="338"/>
      <c r="HUS19" s="338"/>
      <c r="HUT19" s="338"/>
      <c r="HUU19" s="338"/>
      <c r="HUV19" s="338"/>
      <c r="HUW19" s="338"/>
      <c r="HUX19" s="338"/>
      <c r="HUY19" s="338"/>
      <c r="HUZ19" s="338"/>
      <c r="HVA19" s="338"/>
      <c r="HVB19" s="338"/>
      <c r="HVC19" s="338"/>
      <c r="HVD19" s="338"/>
      <c r="HVE19" s="338"/>
      <c r="HVF19" s="338"/>
      <c r="HVG19" s="338"/>
      <c r="HVH19" s="338"/>
      <c r="HVI19" s="338"/>
      <c r="HVJ19" s="338"/>
      <c r="HVK19" s="338"/>
      <c r="HVL19" s="338"/>
      <c r="HVM19" s="338"/>
      <c r="HVN19" s="338"/>
      <c r="HVO19" s="338"/>
      <c r="HVP19" s="338"/>
      <c r="HVQ19" s="338"/>
      <c r="HVR19" s="338"/>
      <c r="HVS19" s="338"/>
      <c r="HVT19" s="338"/>
      <c r="HVU19" s="338"/>
      <c r="HVV19" s="338"/>
      <c r="HVW19" s="338"/>
      <c r="HVX19" s="338"/>
      <c r="HVY19" s="338"/>
      <c r="HVZ19" s="338"/>
      <c r="HWA19" s="338"/>
      <c r="HWB19" s="338"/>
      <c r="HWC19" s="338"/>
      <c r="HWD19" s="338"/>
      <c r="HWE19" s="338"/>
      <c r="HWF19" s="338"/>
      <c r="HWG19" s="338"/>
      <c r="HWH19" s="338"/>
      <c r="HWI19" s="338"/>
      <c r="HWJ19" s="338"/>
      <c r="HWK19" s="338"/>
      <c r="HWL19" s="338"/>
      <c r="HWM19" s="338"/>
      <c r="HWN19" s="338"/>
      <c r="HWO19" s="338"/>
      <c r="HWP19" s="338"/>
      <c r="HWQ19" s="338"/>
      <c r="HWR19" s="338"/>
      <c r="HWS19" s="338"/>
      <c r="HWT19" s="338"/>
      <c r="HWU19" s="338"/>
      <c r="HWV19" s="338"/>
      <c r="HWW19" s="338"/>
      <c r="HWX19" s="338"/>
      <c r="HWY19" s="338"/>
      <c r="HWZ19" s="338"/>
      <c r="HXA19" s="338"/>
      <c r="HXB19" s="338"/>
      <c r="HXC19" s="338"/>
      <c r="HXD19" s="338"/>
      <c r="HXE19" s="338"/>
      <c r="HXF19" s="338"/>
      <c r="HXG19" s="338"/>
      <c r="HXH19" s="338"/>
      <c r="HXI19" s="338"/>
      <c r="HXJ19" s="338"/>
      <c r="HXK19" s="338"/>
      <c r="HXL19" s="338"/>
      <c r="HXM19" s="338"/>
      <c r="HXN19" s="338"/>
      <c r="HXO19" s="338"/>
      <c r="HXP19" s="338"/>
      <c r="HXQ19" s="338"/>
      <c r="HXR19" s="338"/>
      <c r="HXS19" s="338"/>
      <c r="HXT19" s="338"/>
      <c r="HXU19" s="338"/>
      <c r="HXV19" s="338"/>
      <c r="HXW19" s="338"/>
      <c r="HXX19" s="338"/>
      <c r="HXY19" s="338"/>
      <c r="HXZ19" s="338"/>
      <c r="HYA19" s="338"/>
      <c r="HYB19" s="338"/>
      <c r="HYC19" s="338"/>
      <c r="HYD19" s="338"/>
      <c r="HYE19" s="338"/>
      <c r="HYF19" s="338"/>
      <c r="HYG19" s="338"/>
      <c r="HYH19" s="338"/>
      <c r="HYI19" s="338"/>
      <c r="HYJ19" s="338"/>
      <c r="HYK19" s="338"/>
      <c r="HYL19" s="338"/>
      <c r="HYM19" s="338"/>
      <c r="HYN19" s="338"/>
      <c r="HYO19" s="338"/>
      <c r="HYP19" s="338"/>
      <c r="HYQ19" s="338"/>
      <c r="HYR19" s="338"/>
      <c r="HYS19" s="338"/>
      <c r="HYT19" s="338"/>
      <c r="HYU19" s="338"/>
      <c r="HYV19" s="338"/>
      <c r="HYW19" s="338"/>
      <c r="HYX19" s="338"/>
      <c r="HYY19" s="338"/>
      <c r="HYZ19" s="338"/>
      <c r="HZA19" s="338"/>
      <c r="HZB19" s="338"/>
      <c r="HZC19" s="338"/>
      <c r="HZD19" s="338"/>
      <c r="HZE19" s="338"/>
      <c r="HZF19" s="338"/>
      <c r="HZG19" s="338"/>
      <c r="HZH19" s="338"/>
      <c r="HZI19" s="338"/>
      <c r="HZJ19" s="338"/>
      <c r="HZK19" s="338"/>
      <c r="HZL19" s="338"/>
      <c r="HZM19" s="338"/>
      <c r="HZN19" s="338"/>
      <c r="HZO19" s="338"/>
      <c r="HZP19" s="338"/>
      <c r="HZQ19" s="338"/>
      <c r="HZR19" s="338"/>
      <c r="HZS19" s="338"/>
      <c r="HZT19" s="338"/>
      <c r="HZU19" s="338"/>
      <c r="HZV19" s="338"/>
      <c r="HZW19" s="338"/>
      <c r="HZX19" s="338"/>
      <c r="HZY19" s="338"/>
      <c r="HZZ19" s="338"/>
      <c r="IAA19" s="338"/>
      <c r="IAB19" s="338"/>
      <c r="IAC19" s="338"/>
      <c r="IAD19" s="338"/>
      <c r="IAE19" s="338"/>
      <c r="IAF19" s="338"/>
      <c r="IAG19" s="338"/>
      <c r="IAH19" s="338"/>
      <c r="IAI19" s="338"/>
      <c r="IAJ19" s="338"/>
      <c r="IAK19" s="338"/>
      <c r="IAL19" s="338"/>
      <c r="IAM19" s="338"/>
      <c r="IAN19" s="338"/>
      <c r="IAO19" s="338"/>
      <c r="IAP19" s="338"/>
      <c r="IAQ19" s="338"/>
      <c r="IAR19" s="338"/>
      <c r="IAS19" s="338"/>
      <c r="IAT19" s="338"/>
      <c r="IAU19" s="338"/>
      <c r="IAV19" s="338"/>
      <c r="IAW19" s="338"/>
      <c r="IAX19" s="338"/>
      <c r="IAY19" s="338"/>
      <c r="IAZ19" s="338"/>
      <c r="IBA19" s="338"/>
      <c r="IBB19" s="338"/>
      <c r="IBC19" s="338"/>
      <c r="IBD19" s="338"/>
      <c r="IBE19" s="338"/>
      <c r="IBF19" s="338"/>
      <c r="IBG19" s="338"/>
      <c r="IBH19" s="338"/>
      <c r="IBI19" s="338"/>
      <c r="IBJ19" s="338"/>
      <c r="IBK19" s="338"/>
      <c r="IBL19" s="338"/>
      <c r="IBM19" s="338"/>
      <c r="IBN19" s="338"/>
      <c r="IBO19" s="338"/>
      <c r="IBP19" s="338"/>
      <c r="IBQ19" s="338"/>
      <c r="IBR19" s="338"/>
      <c r="IBS19" s="338"/>
      <c r="IBT19" s="338"/>
      <c r="IBU19" s="338"/>
      <c r="IBV19" s="338"/>
      <c r="IBW19" s="338"/>
      <c r="IBX19" s="338"/>
      <c r="IBY19" s="338"/>
      <c r="IBZ19" s="338"/>
      <c r="ICA19" s="338"/>
      <c r="ICB19" s="338"/>
      <c r="ICC19" s="338"/>
      <c r="ICD19" s="338"/>
      <c r="ICE19" s="338"/>
      <c r="ICF19" s="338"/>
      <c r="ICG19" s="338"/>
      <c r="ICH19" s="338"/>
      <c r="ICI19" s="338"/>
      <c r="ICJ19" s="338"/>
      <c r="ICK19" s="338"/>
      <c r="ICL19" s="338"/>
      <c r="ICM19" s="338"/>
      <c r="ICN19" s="338"/>
      <c r="ICO19" s="338"/>
      <c r="ICP19" s="338"/>
      <c r="ICQ19" s="338"/>
      <c r="ICR19" s="338"/>
      <c r="ICS19" s="338"/>
      <c r="ICT19" s="338"/>
      <c r="ICU19" s="338"/>
      <c r="ICV19" s="338"/>
      <c r="ICW19" s="338"/>
      <c r="ICX19" s="338"/>
      <c r="ICY19" s="338"/>
      <c r="ICZ19" s="338"/>
      <c r="IDA19" s="338"/>
      <c r="IDB19" s="338"/>
      <c r="IDC19" s="338"/>
      <c r="IDD19" s="338"/>
      <c r="IDE19" s="338"/>
      <c r="IDF19" s="338"/>
      <c r="IDG19" s="338"/>
      <c r="IDH19" s="338"/>
      <c r="IDI19" s="338"/>
      <c r="IDJ19" s="338"/>
      <c r="IDK19" s="338"/>
      <c r="IDL19" s="338"/>
      <c r="IDM19" s="338"/>
      <c r="IDN19" s="338"/>
      <c r="IDO19" s="338"/>
      <c r="IDP19" s="338"/>
      <c r="IDQ19" s="338"/>
      <c r="IDR19" s="338"/>
      <c r="IDS19" s="338"/>
      <c r="IDT19" s="338"/>
      <c r="IDU19" s="338"/>
      <c r="IDV19" s="338"/>
      <c r="IDW19" s="338"/>
      <c r="IDX19" s="338"/>
      <c r="IDY19" s="338"/>
      <c r="IDZ19" s="338"/>
      <c r="IEA19" s="338"/>
      <c r="IEB19" s="338"/>
      <c r="IEC19" s="338"/>
      <c r="IED19" s="338"/>
      <c r="IEE19" s="338"/>
      <c r="IEF19" s="338"/>
      <c r="IEG19" s="338"/>
      <c r="IEH19" s="338"/>
      <c r="IEI19" s="338"/>
      <c r="IEJ19" s="338"/>
      <c r="IEK19" s="338"/>
      <c r="IEL19" s="338"/>
      <c r="IEM19" s="338"/>
      <c r="IEN19" s="338"/>
      <c r="IEO19" s="338"/>
      <c r="IEP19" s="338"/>
      <c r="IEQ19" s="338"/>
      <c r="IER19" s="338"/>
      <c r="IES19" s="338"/>
      <c r="IET19" s="338"/>
      <c r="IEU19" s="338"/>
      <c r="IEV19" s="338"/>
      <c r="IEW19" s="338"/>
      <c r="IEX19" s="338"/>
      <c r="IEY19" s="338"/>
      <c r="IEZ19" s="338"/>
      <c r="IFA19" s="338"/>
      <c r="IFB19" s="338"/>
      <c r="IFC19" s="338"/>
      <c r="IFD19" s="338"/>
      <c r="IFE19" s="338"/>
      <c r="IFF19" s="338"/>
      <c r="IFG19" s="338"/>
      <c r="IFH19" s="338"/>
      <c r="IFI19" s="338"/>
      <c r="IFJ19" s="338"/>
      <c r="IFK19" s="338"/>
      <c r="IFL19" s="338"/>
      <c r="IFM19" s="338"/>
      <c r="IFN19" s="338"/>
      <c r="IFO19" s="338"/>
      <c r="IFP19" s="338"/>
      <c r="IFQ19" s="338"/>
      <c r="IFR19" s="338"/>
      <c r="IFS19" s="338"/>
      <c r="IFT19" s="338"/>
      <c r="IFU19" s="338"/>
      <c r="IFV19" s="338"/>
      <c r="IFW19" s="338"/>
      <c r="IFX19" s="338"/>
      <c r="IFY19" s="338"/>
      <c r="IFZ19" s="338"/>
      <c r="IGA19" s="338"/>
      <c r="IGB19" s="338"/>
      <c r="IGC19" s="338"/>
      <c r="IGD19" s="338"/>
      <c r="IGE19" s="338"/>
      <c r="IGF19" s="338"/>
      <c r="IGG19" s="338"/>
      <c r="IGH19" s="338"/>
      <c r="IGI19" s="338"/>
      <c r="IGJ19" s="338"/>
      <c r="IGK19" s="338"/>
      <c r="IGL19" s="338"/>
      <c r="IGM19" s="338"/>
      <c r="IGN19" s="338"/>
      <c r="IGO19" s="338"/>
      <c r="IGP19" s="338"/>
      <c r="IGQ19" s="338"/>
      <c r="IGR19" s="338"/>
      <c r="IGS19" s="338"/>
      <c r="IGT19" s="338"/>
      <c r="IGU19" s="338"/>
      <c r="IGV19" s="338"/>
      <c r="IGW19" s="338"/>
      <c r="IGX19" s="338"/>
      <c r="IGY19" s="338"/>
      <c r="IGZ19" s="338"/>
      <c r="IHA19" s="338"/>
      <c r="IHB19" s="338"/>
      <c r="IHC19" s="338"/>
      <c r="IHD19" s="338"/>
      <c r="IHE19" s="338"/>
      <c r="IHF19" s="338"/>
      <c r="IHG19" s="338"/>
      <c r="IHH19" s="338"/>
      <c r="IHI19" s="338"/>
      <c r="IHJ19" s="338"/>
      <c r="IHK19" s="338"/>
      <c r="IHL19" s="338"/>
      <c r="IHM19" s="338"/>
      <c r="IHN19" s="338"/>
      <c r="IHO19" s="338"/>
      <c r="IHP19" s="338"/>
      <c r="IHQ19" s="338"/>
      <c r="IHR19" s="338"/>
      <c r="IHS19" s="338"/>
      <c r="IHT19" s="338"/>
      <c r="IHU19" s="338"/>
      <c r="IHV19" s="338"/>
      <c r="IHW19" s="338"/>
      <c r="IHX19" s="338"/>
      <c r="IHY19" s="338"/>
      <c r="IHZ19" s="338"/>
      <c r="IIA19" s="338"/>
      <c r="IIB19" s="338"/>
      <c r="IIC19" s="338"/>
      <c r="IID19" s="338"/>
      <c r="IIE19" s="338"/>
      <c r="IIF19" s="338"/>
      <c r="IIG19" s="338"/>
      <c r="IIH19" s="338"/>
      <c r="III19" s="338"/>
      <c r="IIJ19" s="338"/>
      <c r="IIK19" s="338"/>
      <c r="IIL19" s="338"/>
      <c r="IIM19" s="338"/>
      <c r="IIN19" s="338"/>
      <c r="IIO19" s="338"/>
      <c r="IIP19" s="338"/>
      <c r="IIQ19" s="338"/>
      <c r="IIR19" s="338"/>
      <c r="IIS19" s="338"/>
      <c r="IIT19" s="338"/>
      <c r="IIU19" s="338"/>
      <c r="IIV19" s="338"/>
      <c r="IIW19" s="338"/>
      <c r="IIX19" s="338"/>
      <c r="IIY19" s="338"/>
      <c r="IIZ19" s="338"/>
      <c r="IJA19" s="338"/>
      <c r="IJB19" s="338"/>
      <c r="IJC19" s="338"/>
      <c r="IJD19" s="338"/>
      <c r="IJE19" s="338"/>
      <c r="IJF19" s="338"/>
      <c r="IJG19" s="338"/>
      <c r="IJH19" s="338"/>
      <c r="IJI19" s="338"/>
      <c r="IJJ19" s="338"/>
      <c r="IJK19" s="338"/>
      <c r="IJL19" s="338"/>
      <c r="IJM19" s="338"/>
      <c r="IJN19" s="338"/>
      <c r="IJO19" s="338"/>
      <c r="IJP19" s="338"/>
      <c r="IJQ19" s="338"/>
      <c r="IJR19" s="338"/>
      <c r="IJS19" s="338"/>
      <c r="IJT19" s="338"/>
      <c r="IJU19" s="338"/>
      <c r="IJV19" s="338"/>
      <c r="IJW19" s="338"/>
      <c r="IJX19" s="338"/>
      <c r="IJY19" s="338"/>
      <c r="IJZ19" s="338"/>
      <c r="IKA19" s="338"/>
      <c r="IKB19" s="338"/>
      <c r="IKC19" s="338"/>
      <c r="IKD19" s="338"/>
      <c r="IKE19" s="338"/>
      <c r="IKF19" s="338"/>
      <c r="IKG19" s="338"/>
      <c r="IKH19" s="338"/>
      <c r="IKI19" s="338"/>
      <c r="IKJ19" s="338"/>
      <c r="IKK19" s="338"/>
      <c r="IKL19" s="338"/>
      <c r="IKM19" s="338"/>
      <c r="IKN19" s="338"/>
      <c r="IKO19" s="338"/>
      <c r="IKP19" s="338"/>
      <c r="IKQ19" s="338"/>
      <c r="IKR19" s="338"/>
      <c r="IKS19" s="338"/>
      <c r="IKT19" s="338"/>
      <c r="IKU19" s="338"/>
      <c r="IKV19" s="338"/>
      <c r="IKW19" s="338"/>
      <c r="IKX19" s="338"/>
      <c r="IKY19" s="338"/>
      <c r="IKZ19" s="338"/>
      <c r="ILA19" s="338"/>
      <c r="ILB19" s="338"/>
      <c r="ILC19" s="338"/>
      <c r="ILD19" s="338"/>
      <c r="ILE19" s="338"/>
      <c r="ILF19" s="338"/>
      <c r="ILG19" s="338"/>
      <c r="ILH19" s="338"/>
      <c r="ILI19" s="338"/>
      <c r="ILJ19" s="338"/>
      <c r="ILK19" s="338"/>
      <c r="ILL19" s="338"/>
      <c r="ILM19" s="338"/>
      <c r="ILN19" s="338"/>
      <c r="ILO19" s="338"/>
      <c r="ILP19" s="338"/>
      <c r="ILQ19" s="338"/>
      <c r="ILR19" s="338"/>
      <c r="ILS19" s="338"/>
      <c r="ILT19" s="338"/>
      <c r="ILU19" s="338"/>
      <c r="ILV19" s="338"/>
      <c r="ILW19" s="338"/>
      <c r="ILX19" s="338"/>
      <c r="ILY19" s="338"/>
      <c r="ILZ19" s="338"/>
      <c r="IMA19" s="338"/>
      <c r="IMB19" s="338"/>
      <c r="IMC19" s="338"/>
      <c r="IMD19" s="338"/>
      <c r="IME19" s="338"/>
      <c r="IMF19" s="338"/>
      <c r="IMG19" s="338"/>
      <c r="IMH19" s="338"/>
      <c r="IMI19" s="338"/>
      <c r="IMJ19" s="338"/>
      <c r="IMK19" s="338"/>
      <c r="IML19" s="338"/>
      <c r="IMM19" s="338"/>
      <c r="IMN19" s="338"/>
      <c r="IMO19" s="338"/>
      <c r="IMP19" s="338"/>
      <c r="IMQ19" s="338"/>
      <c r="IMR19" s="338"/>
      <c r="IMS19" s="338"/>
      <c r="IMT19" s="338"/>
      <c r="IMU19" s="338"/>
      <c r="IMV19" s="338"/>
      <c r="IMW19" s="338"/>
      <c r="IMX19" s="338"/>
      <c r="IMY19" s="338"/>
      <c r="IMZ19" s="338"/>
      <c r="INA19" s="338"/>
      <c r="INB19" s="338"/>
      <c r="INC19" s="338"/>
      <c r="IND19" s="338"/>
      <c r="INE19" s="338"/>
      <c r="INF19" s="338"/>
      <c r="ING19" s="338"/>
      <c r="INH19" s="338"/>
      <c r="INI19" s="338"/>
      <c r="INJ19" s="338"/>
      <c r="INK19" s="338"/>
      <c r="INL19" s="338"/>
      <c r="INM19" s="338"/>
      <c r="INN19" s="338"/>
      <c r="INO19" s="338"/>
      <c r="INP19" s="338"/>
      <c r="INQ19" s="338"/>
      <c r="INR19" s="338"/>
      <c r="INS19" s="338"/>
      <c r="INT19" s="338"/>
      <c r="INU19" s="338"/>
      <c r="INV19" s="338"/>
      <c r="INW19" s="338"/>
      <c r="INX19" s="338"/>
      <c r="INY19" s="338"/>
      <c r="INZ19" s="338"/>
      <c r="IOA19" s="338"/>
      <c r="IOB19" s="338"/>
      <c r="IOC19" s="338"/>
      <c r="IOD19" s="338"/>
      <c r="IOE19" s="338"/>
      <c r="IOF19" s="338"/>
      <c r="IOG19" s="338"/>
      <c r="IOH19" s="338"/>
      <c r="IOI19" s="338"/>
      <c r="IOJ19" s="338"/>
      <c r="IOK19" s="338"/>
      <c r="IOL19" s="338"/>
      <c r="IOM19" s="338"/>
      <c r="ION19" s="338"/>
      <c r="IOO19" s="338"/>
      <c r="IOP19" s="338"/>
      <c r="IOQ19" s="338"/>
      <c r="IOR19" s="338"/>
      <c r="IOS19" s="338"/>
      <c r="IOT19" s="338"/>
      <c r="IOU19" s="338"/>
      <c r="IOV19" s="338"/>
      <c r="IOW19" s="338"/>
      <c r="IOX19" s="338"/>
      <c r="IOY19" s="338"/>
      <c r="IOZ19" s="338"/>
      <c r="IPA19" s="338"/>
      <c r="IPB19" s="338"/>
      <c r="IPC19" s="338"/>
      <c r="IPD19" s="338"/>
      <c r="IPE19" s="338"/>
      <c r="IPF19" s="338"/>
      <c r="IPG19" s="338"/>
      <c r="IPH19" s="338"/>
      <c r="IPI19" s="338"/>
      <c r="IPJ19" s="338"/>
      <c r="IPK19" s="338"/>
      <c r="IPL19" s="338"/>
      <c r="IPM19" s="338"/>
      <c r="IPN19" s="338"/>
      <c r="IPO19" s="338"/>
      <c r="IPP19" s="338"/>
      <c r="IPQ19" s="338"/>
      <c r="IPR19" s="338"/>
      <c r="IPS19" s="338"/>
      <c r="IPT19" s="338"/>
      <c r="IPU19" s="338"/>
      <c r="IPV19" s="338"/>
      <c r="IPW19" s="338"/>
      <c r="IPX19" s="338"/>
      <c r="IPY19" s="338"/>
      <c r="IPZ19" s="338"/>
      <c r="IQA19" s="338"/>
      <c r="IQB19" s="338"/>
      <c r="IQC19" s="338"/>
      <c r="IQD19" s="338"/>
      <c r="IQE19" s="338"/>
      <c r="IQF19" s="338"/>
      <c r="IQG19" s="338"/>
      <c r="IQH19" s="338"/>
      <c r="IQI19" s="338"/>
      <c r="IQJ19" s="338"/>
      <c r="IQK19" s="338"/>
      <c r="IQL19" s="338"/>
      <c r="IQM19" s="338"/>
      <c r="IQN19" s="338"/>
      <c r="IQO19" s="338"/>
      <c r="IQP19" s="338"/>
      <c r="IQQ19" s="338"/>
      <c r="IQR19" s="338"/>
      <c r="IQS19" s="338"/>
      <c r="IQT19" s="338"/>
      <c r="IQU19" s="338"/>
      <c r="IQV19" s="338"/>
      <c r="IQW19" s="338"/>
      <c r="IQX19" s="338"/>
      <c r="IQY19" s="338"/>
      <c r="IQZ19" s="338"/>
      <c r="IRA19" s="338"/>
      <c r="IRB19" s="338"/>
      <c r="IRC19" s="338"/>
      <c r="IRD19" s="338"/>
      <c r="IRE19" s="338"/>
      <c r="IRF19" s="338"/>
      <c r="IRG19" s="338"/>
      <c r="IRH19" s="338"/>
      <c r="IRI19" s="338"/>
      <c r="IRJ19" s="338"/>
      <c r="IRK19" s="338"/>
      <c r="IRL19" s="338"/>
      <c r="IRM19" s="338"/>
      <c r="IRN19" s="338"/>
      <c r="IRO19" s="338"/>
      <c r="IRP19" s="338"/>
      <c r="IRQ19" s="338"/>
      <c r="IRR19" s="338"/>
      <c r="IRS19" s="338"/>
      <c r="IRT19" s="338"/>
      <c r="IRU19" s="338"/>
      <c r="IRV19" s="338"/>
      <c r="IRW19" s="338"/>
      <c r="IRX19" s="338"/>
      <c r="IRY19" s="338"/>
      <c r="IRZ19" s="338"/>
      <c r="ISA19" s="338"/>
      <c r="ISB19" s="338"/>
      <c r="ISC19" s="338"/>
      <c r="ISD19" s="338"/>
      <c r="ISE19" s="338"/>
      <c r="ISF19" s="338"/>
      <c r="ISG19" s="338"/>
      <c r="ISH19" s="338"/>
      <c r="ISI19" s="338"/>
      <c r="ISJ19" s="338"/>
      <c r="ISK19" s="338"/>
      <c r="ISL19" s="338"/>
      <c r="ISM19" s="338"/>
      <c r="ISN19" s="338"/>
      <c r="ISO19" s="338"/>
      <c r="ISP19" s="338"/>
      <c r="ISQ19" s="338"/>
      <c r="ISR19" s="338"/>
      <c r="ISS19" s="338"/>
      <c r="IST19" s="338"/>
      <c r="ISU19" s="338"/>
      <c r="ISV19" s="338"/>
      <c r="ISW19" s="338"/>
      <c r="ISX19" s="338"/>
      <c r="ISY19" s="338"/>
      <c r="ISZ19" s="338"/>
      <c r="ITA19" s="338"/>
      <c r="ITB19" s="338"/>
      <c r="ITC19" s="338"/>
      <c r="ITD19" s="338"/>
      <c r="ITE19" s="338"/>
      <c r="ITF19" s="338"/>
      <c r="ITG19" s="338"/>
      <c r="ITH19" s="338"/>
      <c r="ITI19" s="338"/>
      <c r="ITJ19" s="338"/>
      <c r="ITK19" s="338"/>
      <c r="ITL19" s="338"/>
      <c r="ITM19" s="338"/>
      <c r="ITN19" s="338"/>
      <c r="ITO19" s="338"/>
      <c r="ITP19" s="338"/>
      <c r="ITQ19" s="338"/>
      <c r="ITR19" s="338"/>
      <c r="ITS19" s="338"/>
      <c r="ITT19" s="338"/>
      <c r="ITU19" s="338"/>
      <c r="ITV19" s="338"/>
      <c r="ITW19" s="338"/>
      <c r="ITX19" s="338"/>
      <c r="ITY19" s="338"/>
      <c r="ITZ19" s="338"/>
      <c r="IUA19" s="338"/>
      <c r="IUB19" s="338"/>
      <c r="IUC19" s="338"/>
      <c r="IUD19" s="338"/>
      <c r="IUE19" s="338"/>
      <c r="IUF19" s="338"/>
      <c r="IUG19" s="338"/>
      <c r="IUH19" s="338"/>
      <c r="IUI19" s="338"/>
      <c r="IUJ19" s="338"/>
      <c r="IUK19" s="338"/>
      <c r="IUL19" s="338"/>
      <c r="IUM19" s="338"/>
      <c r="IUN19" s="338"/>
      <c r="IUO19" s="338"/>
      <c r="IUP19" s="338"/>
      <c r="IUQ19" s="338"/>
      <c r="IUR19" s="338"/>
      <c r="IUS19" s="338"/>
      <c r="IUT19" s="338"/>
      <c r="IUU19" s="338"/>
      <c r="IUV19" s="338"/>
      <c r="IUW19" s="338"/>
      <c r="IUX19" s="338"/>
      <c r="IUY19" s="338"/>
      <c r="IUZ19" s="338"/>
      <c r="IVA19" s="338"/>
      <c r="IVB19" s="338"/>
      <c r="IVC19" s="338"/>
      <c r="IVD19" s="338"/>
      <c r="IVE19" s="338"/>
      <c r="IVF19" s="338"/>
      <c r="IVG19" s="338"/>
      <c r="IVH19" s="338"/>
      <c r="IVI19" s="338"/>
      <c r="IVJ19" s="338"/>
      <c r="IVK19" s="338"/>
      <c r="IVL19" s="338"/>
      <c r="IVM19" s="338"/>
      <c r="IVN19" s="338"/>
      <c r="IVO19" s="338"/>
      <c r="IVP19" s="338"/>
      <c r="IVQ19" s="338"/>
      <c r="IVR19" s="338"/>
      <c r="IVS19" s="338"/>
      <c r="IVT19" s="338"/>
      <c r="IVU19" s="338"/>
      <c r="IVV19" s="338"/>
      <c r="IVW19" s="338"/>
      <c r="IVX19" s="338"/>
      <c r="IVY19" s="338"/>
      <c r="IVZ19" s="338"/>
      <c r="IWA19" s="338"/>
      <c r="IWB19" s="338"/>
      <c r="IWC19" s="338"/>
      <c r="IWD19" s="338"/>
      <c r="IWE19" s="338"/>
      <c r="IWF19" s="338"/>
      <c r="IWG19" s="338"/>
      <c r="IWH19" s="338"/>
      <c r="IWI19" s="338"/>
      <c r="IWJ19" s="338"/>
      <c r="IWK19" s="338"/>
      <c r="IWL19" s="338"/>
      <c r="IWM19" s="338"/>
      <c r="IWN19" s="338"/>
      <c r="IWO19" s="338"/>
      <c r="IWP19" s="338"/>
      <c r="IWQ19" s="338"/>
      <c r="IWR19" s="338"/>
      <c r="IWS19" s="338"/>
      <c r="IWT19" s="338"/>
      <c r="IWU19" s="338"/>
      <c r="IWV19" s="338"/>
      <c r="IWW19" s="338"/>
      <c r="IWX19" s="338"/>
      <c r="IWY19" s="338"/>
      <c r="IWZ19" s="338"/>
      <c r="IXA19" s="338"/>
      <c r="IXB19" s="338"/>
      <c r="IXC19" s="338"/>
      <c r="IXD19" s="338"/>
      <c r="IXE19" s="338"/>
      <c r="IXF19" s="338"/>
      <c r="IXG19" s="338"/>
      <c r="IXH19" s="338"/>
      <c r="IXI19" s="338"/>
      <c r="IXJ19" s="338"/>
      <c r="IXK19" s="338"/>
      <c r="IXL19" s="338"/>
      <c r="IXM19" s="338"/>
      <c r="IXN19" s="338"/>
      <c r="IXO19" s="338"/>
      <c r="IXP19" s="338"/>
      <c r="IXQ19" s="338"/>
      <c r="IXR19" s="338"/>
      <c r="IXS19" s="338"/>
      <c r="IXT19" s="338"/>
      <c r="IXU19" s="338"/>
      <c r="IXV19" s="338"/>
      <c r="IXW19" s="338"/>
      <c r="IXX19" s="338"/>
      <c r="IXY19" s="338"/>
      <c r="IXZ19" s="338"/>
      <c r="IYA19" s="338"/>
      <c r="IYB19" s="338"/>
      <c r="IYC19" s="338"/>
      <c r="IYD19" s="338"/>
      <c r="IYE19" s="338"/>
      <c r="IYF19" s="338"/>
      <c r="IYG19" s="338"/>
      <c r="IYH19" s="338"/>
      <c r="IYI19" s="338"/>
      <c r="IYJ19" s="338"/>
      <c r="IYK19" s="338"/>
      <c r="IYL19" s="338"/>
      <c r="IYM19" s="338"/>
      <c r="IYN19" s="338"/>
      <c r="IYO19" s="338"/>
      <c r="IYP19" s="338"/>
      <c r="IYQ19" s="338"/>
      <c r="IYR19" s="338"/>
      <c r="IYS19" s="338"/>
      <c r="IYT19" s="338"/>
      <c r="IYU19" s="338"/>
      <c r="IYV19" s="338"/>
      <c r="IYW19" s="338"/>
      <c r="IYX19" s="338"/>
      <c r="IYY19" s="338"/>
      <c r="IYZ19" s="338"/>
      <c r="IZA19" s="338"/>
      <c r="IZB19" s="338"/>
      <c r="IZC19" s="338"/>
      <c r="IZD19" s="338"/>
      <c r="IZE19" s="338"/>
      <c r="IZF19" s="338"/>
      <c r="IZG19" s="338"/>
      <c r="IZH19" s="338"/>
      <c r="IZI19" s="338"/>
      <c r="IZJ19" s="338"/>
      <c r="IZK19" s="338"/>
      <c r="IZL19" s="338"/>
      <c r="IZM19" s="338"/>
      <c r="IZN19" s="338"/>
      <c r="IZO19" s="338"/>
      <c r="IZP19" s="338"/>
      <c r="IZQ19" s="338"/>
      <c r="IZR19" s="338"/>
      <c r="IZS19" s="338"/>
      <c r="IZT19" s="338"/>
      <c r="IZU19" s="338"/>
      <c r="IZV19" s="338"/>
      <c r="IZW19" s="338"/>
      <c r="IZX19" s="338"/>
      <c r="IZY19" s="338"/>
      <c r="IZZ19" s="338"/>
      <c r="JAA19" s="338"/>
      <c r="JAB19" s="338"/>
      <c r="JAC19" s="338"/>
      <c r="JAD19" s="338"/>
      <c r="JAE19" s="338"/>
      <c r="JAF19" s="338"/>
      <c r="JAG19" s="338"/>
      <c r="JAH19" s="338"/>
      <c r="JAI19" s="338"/>
      <c r="JAJ19" s="338"/>
      <c r="JAK19" s="338"/>
      <c r="JAL19" s="338"/>
      <c r="JAM19" s="338"/>
      <c r="JAN19" s="338"/>
      <c r="JAO19" s="338"/>
      <c r="JAP19" s="338"/>
      <c r="JAQ19" s="338"/>
      <c r="JAR19" s="338"/>
      <c r="JAS19" s="338"/>
      <c r="JAT19" s="338"/>
      <c r="JAU19" s="338"/>
      <c r="JAV19" s="338"/>
      <c r="JAW19" s="338"/>
      <c r="JAX19" s="338"/>
      <c r="JAY19" s="338"/>
      <c r="JAZ19" s="338"/>
      <c r="JBA19" s="338"/>
      <c r="JBB19" s="338"/>
      <c r="JBC19" s="338"/>
      <c r="JBD19" s="338"/>
      <c r="JBE19" s="338"/>
      <c r="JBF19" s="338"/>
      <c r="JBG19" s="338"/>
      <c r="JBH19" s="338"/>
      <c r="JBI19" s="338"/>
      <c r="JBJ19" s="338"/>
      <c r="JBK19" s="338"/>
      <c r="JBL19" s="338"/>
      <c r="JBM19" s="338"/>
      <c r="JBN19" s="338"/>
      <c r="JBO19" s="338"/>
      <c r="JBP19" s="338"/>
      <c r="JBQ19" s="338"/>
      <c r="JBR19" s="338"/>
      <c r="JBS19" s="338"/>
      <c r="JBT19" s="338"/>
      <c r="JBU19" s="338"/>
      <c r="JBV19" s="338"/>
      <c r="JBW19" s="338"/>
      <c r="JBX19" s="338"/>
      <c r="JBY19" s="338"/>
      <c r="JBZ19" s="338"/>
      <c r="JCA19" s="338"/>
      <c r="JCB19" s="338"/>
      <c r="JCC19" s="338"/>
      <c r="JCD19" s="338"/>
      <c r="JCE19" s="338"/>
      <c r="JCF19" s="338"/>
      <c r="JCG19" s="338"/>
      <c r="JCH19" s="338"/>
      <c r="JCI19" s="338"/>
      <c r="JCJ19" s="338"/>
      <c r="JCK19" s="338"/>
      <c r="JCL19" s="338"/>
      <c r="JCM19" s="338"/>
      <c r="JCN19" s="338"/>
      <c r="JCO19" s="338"/>
      <c r="JCP19" s="338"/>
      <c r="JCQ19" s="338"/>
      <c r="JCR19" s="338"/>
      <c r="JCS19" s="338"/>
      <c r="JCT19" s="338"/>
      <c r="JCU19" s="338"/>
      <c r="JCV19" s="338"/>
      <c r="JCW19" s="338"/>
      <c r="JCX19" s="338"/>
      <c r="JCY19" s="338"/>
      <c r="JCZ19" s="338"/>
      <c r="JDA19" s="338"/>
      <c r="JDB19" s="338"/>
      <c r="JDC19" s="338"/>
      <c r="JDD19" s="338"/>
      <c r="JDE19" s="338"/>
      <c r="JDF19" s="338"/>
      <c r="JDG19" s="338"/>
      <c r="JDH19" s="338"/>
      <c r="JDI19" s="338"/>
      <c r="JDJ19" s="338"/>
      <c r="JDK19" s="338"/>
      <c r="JDL19" s="338"/>
      <c r="JDM19" s="338"/>
      <c r="JDN19" s="338"/>
      <c r="JDO19" s="338"/>
      <c r="JDP19" s="338"/>
      <c r="JDQ19" s="338"/>
      <c r="JDR19" s="338"/>
      <c r="JDS19" s="338"/>
      <c r="JDT19" s="338"/>
      <c r="JDU19" s="338"/>
      <c r="JDV19" s="338"/>
      <c r="JDW19" s="338"/>
      <c r="JDX19" s="338"/>
      <c r="JDY19" s="338"/>
      <c r="JDZ19" s="338"/>
      <c r="JEA19" s="338"/>
      <c r="JEB19" s="338"/>
      <c r="JEC19" s="338"/>
      <c r="JED19" s="338"/>
      <c r="JEE19" s="338"/>
      <c r="JEF19" s="338"/>
      <c r="JEG19" s="338"/>
      <c r="JEH19" s="338"/>
      <c r="JEI19" s="338"/>
      <c r="JEJ19" s="338"/>
      <c r="JEK19" s="338"/>
      <c r="JEL19" s="338"/>
      <c r="JEM19" s="338"/>
      <c r="JEN19" s="338"/>
      <c r="JEO19" s="338"/>
      <c r="JEP19" s="338"/>
      <c r="JEQ19" s="338"/>
      <c r="JER19" s="338"/>
      <c r="JES19" s="338"/>
      <c r="JET19" s="338"/>
      <c r="JEU19" s="338"/>
      <c r="JEV19" s="338"/>
      <c r="JEW19" s="338"/>
      <c r="JEX19" s="338"/>
      <c r="JEY19" s="338"/>
      <c r="JEZ19" s="338"/>
      <c r="JFA19" s="338"/>
      <c r="JFB19" s="338"/>
      <c r="JFC19" s="338"/>
      <c r="JFD19" s="338"/>
      <c r="JFE19" s="338"/>
      <c r="JFF19" s="338"/>
      <c r="JFG19" s="338"/>
      <c r="JFH19" s="338"/>
      <c r="JFI19" s="338"/>
      <c r="JFJ19" s="338"/>
      <c r="JFK19" s="338"/>
      <c r="JFL19" s="338"/>
      <c r="JFM19" s="338"/>
      <c r="JFN19" s="338"/>
      <c r="JFO19" s="338"/>
      <c r="JFP19" s="338"/>
      <c r="JFQ19" s="338"/>
      <c r="JFR19" s="338"/>
      <c r="JFS19" s="338"/>
      <c r="JFT19" s="338"/>
      <c r="JFU19" s="338"/>
      <c r="JFV19" s="338"/>
      <c r="JFW19" s="338"/>
      <c r="JFX19" s="338"/>
      <c r="JFY19" s="338"/>
      <c r="JFZ19" s="338"/>
      <c r="JGA19" s="338"/>
      <c r="JGB19" s="338"/>
      <c r="JGC19" s="338"/>
      <c r="JGD19" s="338"/>
      <c r="JGE19" s="338"/>
      <c r="JGF19" s="338"/>
      <c r="JGG19" s="338"/>
      <c r="JGH19" s="338"/>
      <c r="JGI19" s="338"/>
      <c r="JGJ19" s="338"/>
      <c r="JGK19" s="338"/>
      <c r="JGL19" s="338"/>
      <c r="JGM19" s="338"/>
      <c r="JGN19" s="338"/>
      <c r="JGO19" s="338"/>
      <c r="JGP19" s="338"/>
      <c r="JGQ19" s="338"/>
      <c r="JGR19" s="338"/>
      <c r="JGS19" s="338"/>
      <c r="JGT19" s="338"/>
      <c r="JGU19" s="338"/>
      <c r="JGV19" s="338"/>
      <c r="JGW19" s="338"/>
      <c r="JGX19" s="338"/>
      <c r="JGY19" s="338"/>
      <c r="JGZ19" s="338"/>
      <c r="JHA19" s="338"/>
      <c r="JHB19" s="338"/>
      <c r="JHC19" s="338"/>
      <c r="JHD19" s="338"/>
      <c r="JHE19" s="338"/>
      <c r="JHF19" s="338"/>
      <c r="JHG19" s="338"/>
      <c r="JHH19" s="338"/>
      <c r="JHI19" s="338"/>
      <c r="JHJ19" s="338"/>
      <c r="JHK19" s="338"/>
      <c r="JHL19" s="338"/>
      <c r="JHM19" s="338"/>
      <c r="JHN19" s="338"/>
      <c r="JHO19" s="338"/>
      <c r="JHP19" s="338"/>
      <c r="JHQ19" s="338"/>
      <c r="JHR19" s="338"/>
      <c r="JHS19" s="338"/>
      <c r="JHT19" s="338"/>
      <c r="JHU19" s="338"/>
      <c r="JHV19" s="338"/>
      <c r="JHW19" s="338"/>
      <c r="JHX19" s="338"/>
      <c r="JHY19" s="338"/>
      <c r="JHZ19" s="338"/>
      <c r="JIA19" s="338"/>
      <c r="JIB19" s="338"/>
      <c r="JIC19" s="338"/>
      <c r="JID19" s="338"/>
      <c r="JIE19" s="338"/>
      <c r="JIF19" s="338"/>
      <c r="JIG19" s="338"/>
      <c r="JIH19" s="338"/>
      <c r="JII19" s="338"/>
      <c r="JIJ19" s="338"/>
      <c r="JIK19" s="338"/>
      <c r="JIL19" s="338"/>
      <c r="JIM19" s="338"/>
      <c r="JIN19" s="338"/>
      <c r="JIO19" s="338"/>
      <c r="JIP19" s="338"/>
      <c r="JIQ19" s="338"/>
      <c r="JIR19" s="338"/>
      <c r="JIS19" s="338"/>
      <c r="JIT19" s="338"/>
      <c r="JIU19" s="338"/>
      <c r="JIV19" s="338"/>
      <c r="JIW19" s="338"/>
      <c r="JIX19" s="338"/>
      <c r="JIY19" s="338"/>
      <c r="JIZ19" s="338"/>
      <c r="JJA19" s="338"/>
      <c r="JJB19" s="338"/>
      <c r="JJC19" s="338"/>
      <c r="JJD19" s="338"/>
      <c r="JJE19" s="338"/>
      <c r="JJF19" s="338"/>
      <c r="JJG19" s="338"/>
      <c r="JJH19" s="338"/>
      <c r="JJI19" s="338"/>
      <c r="JJJ19" s="338"/>
      <c r="JJK19" s="338"/>
      <c r="JJL19" s="338"/>
      <c r="JJM19" s="338"/>
      <c r="JJN19" s="338"/>
      <c r="JJO19" s="338"/>
      <c r="JJP19" s="338"/>
      <c r="JJQ19" s="338"/>
      <c r="JJR19" s="338"/>
      <c r="JJS19" s="338"/>
      <c r="JJT19" s="338"/>
      <c r="JJU19" s="338"/>
      <c r="JJV19" s="338"/>
      <c r="JJW19" s="338"/>
      <c r="JJX19" s="338"/>
      <c r="JJY19" s="338"/>
      <c r="JJZ19" s="338"/>
      <c r="JKA19" s="338"/>
      <c r="JKB19" s="338"/>
      <c r="JKC19" s="338"/>
      <c r="JKD19" s="338"/>
      <c r="JKE19" s="338"/>
      <c r="JKF19" s="338"/>
      <c r="JKG19" s="338"/>
      <c r="JKH19" s="338"/>
      <c r="JKI19" s="338"/>
      <c r="JKJ19" s="338"/>
      <c r="JKK19" s="338"/>
      <c r="JKL19" s="338"/>
      <c r="JKM19" s="338"/>
      <c r="JKN19" s="338"/>
      <c r="JKO19" s="338"/>
      <c r="JKP19" s="338"/>
      <c r="JKQ19" s="338"/>
      <c r="JKR19" s="338"/>
      <c r="JKS19" s="338"/>
      <c r="JKT19" s="338"/>
      <c r="JKU19" s="338"/>
      <c r="JKV19" s="338"/>
      <c r="JKW19" s="338"/>
      <c r="JKX19" s="338"/>
      <c r="JKY19" s="338"/>
      <c r="JKZ19" s="338"/>
      <c r="JLA19" s="338"/>
      <c r="JLB19" s="338"/>
      <c r="JLC19" s="338"/>
      <c r="JLD19" s="338"/>
      <c r="JLE19" s="338"/>
      <c r="JLF19" s="338"/>
      <c r="JLG19" s="338"/>
      <c r="JLH19" s="338"/>
      <c r="JLI19" s="338"/>
      <c r="JLJ19" s="338"/>
      <c r="JLK19" s="338"/>
      <c r="JLL19" s="338"/>
      <c r="JLM19" s="338"/>
      <c r="JLN19" s="338"/>
      <c r="JLO19" s="338"/>
      <c r="JLP19" s="338"/>
      <c r="JLQ19" s="338"/>
      <c r="JLR19" s="338"/>
      <c r="JLS19" s="338"/>
      <c r="JLT19" s="338"/>
      <c r="JLU19" s="338"/>
      <c r="JLV19" s="338"/>
      <c r="JLW19" s="338"/>
      <c r="JLX19" s="338"/>
      <c r="JLY19" s="338"/>
      <c r="JLZ19" s="338"/>
      <c r="JMA19" s="338"/>
      <c r="JMB19" s="338"/>
      <c r="JMC19" s="338"/>
      <c r="JMD19" s="338"/>
      <c r="JME19" s="338"/>
      <c r="JMF19" s="338"/>
      <c r="JMG19" s="338"/>
      <c r="JMH19" s="338"/>
      <c r="JMI19" s="338"/>
      <c r="JMJ19" s="338"/>
      <c r="JMK19" s="338"/>
      <c r="JML19" s="338"/>
      <c r="JMM19" s="338"/>
      <c r="JMN19" s="338"/>
      <c r="JMO19" s="338"/>
      <c r="JMP19" s="338"/>
      <c r="JMQ19" s="338"/>
      <c r="JMR19" s="338"/>
      <c r="JMS19" s="338"/>
      <c r="JMT19" s="338"/>
      <c r="JMU19" s="338"/>
      <c r="JMV19" s="338"/>
      <c r="JMW19" s="338"/>
      <c r="JMX19" s="338"/>
      <c r="JMY19" s="338"/>
      <c r="JMZ19" s="338"/>
      <c r="JNA19" s="338"/>
      <c r="JNB19" s="338"/>
      <c r="JNC19" s="338"/>
      <c r="JND19" s="338"/>
      <c r="JNE19" s="338"/>
      <c r="JNF19" s="338"/>
      <c r="JNG19" s="338"/>
      <c r="JNH19" s="338"/>
      <c r="JNI19" s="338"/>
      <c r="JNJ19" s="338"/>
      <c r="JNK19" s="338"/>
      <c r="JNL19" s="338"/>
      <c r="JNM19" s="338"/>
      <c r="JNN19" s="338"/>
      <c r="JNO19" s="338"/>
      <c r="JNP19" s="338"/>
      <c r="JNQ19" s="338"/>
      <c r="JNR19" s="338"/>
      <c r="JNS19" s="338"/>
      <c r="JNT19" s="338"/>
      <c r="JNU19" s="338"/>
      <c r="JNV19" s="338"/>
      <c r="JNW19" s="338"/>
      <c r="JNX19" s="338"/>
      <c r="JNY19" s="338"/>
      <c r="JNZ19" s="338"/>
      <c r="JOA19" s="338"/>
      <c r="JOB19" s="338"/>
      <c r="JOC19" s="338"/>
      <c r="JOD19" s="338"/>
      <c r="JOE19" s="338"/>
      <c r="JOF19" s="338"/>
      <c r="JOG19" s="338"/>
      <c r="JOH19" s="338"/>
      <c r="JOI19" s="338"/>
      <c r="JOJ19" s="338"/>
      <c r="JOK19" s="338"/>
      <c r="JOL19" s="338"/>
      <c r="JOM19" s="338"/>
      <c r="JON19" s="338"/>
      <c r="JOO19" s="338"/>
      <c r="JOP19" s="338"/>
      <c r="JOQ19" s="338"/>
      <c r="JOR19" s="338"/>
      <c r="JOS19" s="338"/>
      <c r="JOT19" s="338"/>
      <c r="JOU19" s="338"/>
      <c r="JOV19" s="338"/>
      <c r="JOW19" s="338"/>
      <c r="JOX19" s="338"/>
      <c r="JOY19" s="338"/>
      <c r="JOZ19" s="338"/>
      <c r="JPA19" s="338"/>
      <c r="JPB19" s="338"/>
      <c r="JPC19" s="338"/>
      <c r="JPD19" s="338"/>
      <c r="JPE19" s="338"/>
      <c r="JPF19" s="338"/>
      <c r="JPG19" s="338"/>
      <c r="JPH19" s="338"/>
      <c r="JPI19" s="338"/>
      <c r="JPJ19" s="338"/>
      <c r="JPK19" s="338"/>
      <c r="JPL19" s="338"/>
      <c r="JPM19" s="338"/>
      <c r="JPN19" s="338"/>
      <c r="JPO19" s="338"/>
      <c r="JPP19" s="338"/>
      <c r="JPQ19" s="338"/>
      <c r="JPR19" s="338"/>
      <c r="JPS19" s="338"/>
      <c r="JPT19" s="338"/>
      <c r="JPU19" s="338"/>
      <c r="JPV19" s="338"/>
      <c r="JPW19" s="338"/>
      <c r="JPX19" s="338"/>
      <c r="JPY19" s="338"/>
      <c r="JPZ19" s="338"/>
      <c r="JQA19" s="338"/>
      <c r="JQB19" s="338"/>
      <c r="JQC19" s="338"/>
      <c r="JQD19" s="338"/>
      <c r="JQE19" s="338"/>
      <c r="JQF19" s="338"/>
      <c r="JQG19" s="338"/>
      <c r="JQH19" s="338"/>
      <c r="JQI19" s="338"/>
      <c r="JQJ19" s="338"/>
      <c r="JQK19" s="338"/>
      <c r="JQL19" s="338"/>
      <c r="JQM19" s="338"/>
      <c r="JQN19" s="338"/>
      <c r="JQO19" s="338"/>
      <c r="JQP19" s="338"/>
      <c r="JQQ19" s="338"/>
      <c r="JQR19" s="338"/>
      <c r="JQS19" s="338"/>
      <c r="JQT19" s="338"/>
      <c r="JQU19" s="338"/>
      <c r="JQV19" s="338"/>
      <c r="JQW19" s="338"/>
      <c r="JQX19" s="338"/>
      <c r="JQY19" s="338"/>
      <c r="JQZ19" s="338"/>
      <c r="JRA19" s="338"/>
      <c r="JRB19" s="338"/>
      <c r="JRC19" s="338"/>
      <c r="JRD19" s="338"/>
      <c r="JRE19" s="338"/>
      <c r="JRF19" s="338"/>
      <c r="JRG19" s="338"/>
      <c r="JRH19" s="338"/>
      <c r="JRI19" s="338"/>
      <c r="JRJ19" s="338"/>
      <c r="JRK19" s="338"/>
      <c r="JRL19" s="338"/>
      <c r="JRM19" s="338"/>
      <c r="JRN19" s="338"/>
      <c r="JRO19" s="338"/>
      <c r="JRP19" s="338"/>
      <c r="JRQ19" s="338"/>
      <c r="JRR19" s="338"/>
      <c r="JRS19" s="338"/>
      <c r="JRT19" s="338"/>
      <c r="JRU19" s="338"/>
      <c r="JRV19" s="338"/>
      <c r="JRW19" s="338"/>
      <c r="JRX19" s="338"/>
      <c r="JRY19" s="338"/>
      <c r="JRZ19" s="338"/>
      <c r="JSA19" s="338"/>
      <c r="JSB19" s="338"/>
      <c r="JSC19" s="338"/>
      <c r="JSD19" s="338"/>
      <c r="JSE19" s="338"/>
      <c r="JSF19" s="338"/>
      <c r="JSG19" s="338"/>
      <c r="JSH19" s="338"/>
      <c r="JSI19" s="338"/>
      <c r="JSJ19" s="338"/>
      <c r="JSK19" s="338"/>
      <c r="JSL19" s="338"/>
      <c r="JSM19" s="338"/>
      <c r="JSN19" s="338"/>
      <c r="JSO19" s="338"/>
      <c r="JSP19" s="338"/>
      <c r="JSQ19" s="338"/>
      <c r="JSR19" s="338"/>
      <c r="JSS19" s="338"/>
      <c r="JST19" s="338"/>
      <c r="JSU19" s="338"/>
      <c r="JSV19" s="338"/>
      <c r="JSW19" s="338"/>
      <c r="JSX19" s="338"/>
      <c r="JSY19" s="338"/>
      <c r="JSZ19" s="338"/>
      <c r="JTA19" s="338"/>
      <c r="JTB19" s="338"/>
      <c r="JTC19" s="338"/>
      <c r="JTD19" s="338"/>
      <c r="JTE19" s="338"/>
      <c r="JTF19" s="338"/>
      <c r="JTG19" s="338"/>
      <c r="JTH19" s="338"/>
      <c r="JTI19" s="338"/>
      <c r="JTJ19" s="338"/>
      <c r="JTK19" s="338"/>
      <c r="JTL19" s="338"/>
      <c r="JTM19" s="338"/>
      <c r="JTN19" s="338"/>
      <c r="JTO19" s="338"/>
      <c r="JTP19" s="338"/>
      <c r="JTQ19" s="338"/>
      <c r="JTR19" s="338"/>
      <c r="JTS19" s="338"/>
      <c r="JTT19" s="338"/>
      <c r="JTU19" s="338"/>
      <c r="JTV19" s="338"/>
      <c r="JTW19" s="338"/>
      <c r="JTX19" s="338"/>
      <c r="JTY19" s="338"/>
      <c r="JTZ19" s="338"/>
      <c r="JUA19" s="338"/>
      <c r="JUB19" s="338"/>
      <c r="JUC19" s="338"/>
      <c r="JUD19" s="338"/>
      <c r="JUE19" s="338"/>
      <c r="JUF19" s="338"/>
      <c r="JUG19" s="338"/>
      <c r="JUH19" s="338"/>
      <c r="JUI19" s="338"/>
      <c r="JUJ19" s="338"/>
      <c r="JUK19" s="338"/>
      <c r="JUL19" s="338"/>
      <c r="JUM19" s="338"/>
      <c r="JUN19" s="338"/>
      <c r="JUO19" s="338"/>
      <c r="JUP19" s="338"/>
      <c r="JUQ19" s="338"/>
      <c r="JUR19" s="338"/>
      <c r="JUS19" s="338"/>
      <c r="JUT19" s="338"/>
      <c r="JUU19" s="338"/>
      <c r="JUV19" s="338"/>
      <c r="JUW19" s="338"/>
      <c r="JUX19" s="338"/>
      <c r="JUY19" s="338"/>
      <c r="JUZ19" s="338"/>
      <c r="JVA19" s="338"/>
      <c r="JVB19" s="338"/>
      <c r="JVC19" s="338"/>
      <c r="JVD19" s="338"/>
      <c r="JVE19" s="338"/>
      <c r="JVF19" s="338"/>
      <c r="JVG19" s="338"/>
      <c r="JVH19" s="338"/>
      <c r="JVI19" s="338"/>
      <c r="JVJ19" s="338"/>
      <c r="JVK19" s="338"/>
      <c r="JVL19" s="338"/>
      <c r="JVM19" s="338"/>
      <c r="JVN19" s="338"/>
      <c r="JVO19" s="338"/>
      <c r="JVP19" s="338"/>
      <c r="JVQ19" s="338"/>
      <c r="JVR19" s="338"/>
      <c r="JVS19" s="338"/>
      <c r="JVT19" s="338"/>
      <c r="JVU19" s="338"/>
      <c r="JVV19" s="338"/>
      <c r="JVW19" s="338"/>
      <c r="JVX19" s="338"/>
      <c r="JVY19" s="338"/>
      <c r="JVZ19" s="338"/>
      <c r="JWA19" s="338"/>
      <c r="JWB19" s="338"/>
      <c r="JWC19" s="338"/>
      <c r="JWD19" s="338"/>
      <c r="JWE19" s="338"/>
      <c r="JWF19" s="338"/>
      <c r="JWG19" s="338"/>
      <c r="JWH19" s="338"/>
      <c r="JWI19" s="338"/>
      <c r="JWJ19" s="338"/>
      <c r="JWK19" s="338"/>
      <c r="JWL19" s="338"/>
      <c r="JWM19" s="338"/>
      <c r="JWN19" s="338"/>
      <c r="JWO19" s="338"/>
      <c r="JWP19" s="338"/>
      <c r="JWQ19" s="338"/>
      <c r="JWR19" s="338"/>
      <c r="JWS19" s="338"/>
      <c r="JWT19" s="338"/>
      <c r="JWU19" s="338"/>
      <c r="JWV19" s="338"/>
      <c r="JWW19" s="338"/>
      <c r="JWX19" s="338"/>
      <c r="JWY19" s="338"/>
      <c r="JWZ19" s="338"/>
      <c r="JXA19" s="338"/>
      <c r="JXB19" s="338"/>
      <c r="JXC19" s="338"/>
      <c r="JXD19" s="338"/>
      <c r="JXE19" s="338"/>
      <c r="JXF19" s="338"/>
      <c r="JXG19" s="338"/>
      <c r="JXH19" s="338"/>
      <c r="JXI19" s="338"/>
      <c r="JXJ19" s="338"/>
      <c r="JXK19" s="338"/>
      <c r="JXL19" s="338"/>
      <c r="JXM19" s="338"/>
      <c r="JXN19" s="338"/>
      <c r="JXO19" s="338"/>
      <c r="JXP19" s="338"/>
      <c r="JXQ19" s="338"/>
      <c r="JXR19" s="338"/>
      <c r="JXS19" s="338"/>
      <c r="JXT19" s="338"/>
      <c r="JXU19" s="338"/>
      <c r="JXV19" s="338"/>
      <c r="JXW19" s="338"/>
      <c r="JXX19" s="338"/>
      <c r="JXY19" s="338"/>
      <c r="JXZ19" s="338"/>
      <c r="JYA19" s="338"/>
      <c r="JYB19" s="338"/>
      <c r="JYC19" s="338"/>
      <c r="JYD19" s="338"/>
      <c r="JYE19" s="338"/>
      <c r="JYF19" s="338"/>
      <c r="JYG19" s="338"/>
      <c r="JYH19" s="338"/>
      <c r="JYI19" s="338"/>
      <c r="JYJ19" s="338"/>
      <c r="JYK19" s="338"/>
      <c r="JYL19" s="338"/>
      <c r="JYM19" s="338"/>
      <c r="JYN19" s="338"/>
      <c r="JYO19" s="338"/>
      <c r="JYP19" s="338"/>
      <c r="JYQ19" s="338"/>
      <c r="JYR19" s="338"/>
      <c r="JYS19" s="338"/>
      <c r="JYT19" s="338"/>
      <c r="JYU19" s="338"/>
      <c r="JYV19" s="338"/>
      <c r="JYW19" s="338"/>
      <c r="JYX19" s="338"/>
      <c r="JYY19" s="338"/>
      <c r="JYZ19" s="338"/>
      <c r="JZA19" s="338"/>
      <c r="JZB19" s="338"/>
      <c r="JZC19" s="338"/>
      <c r="JZD19" s="338"/>
      <c r="JZE19" s="338"/>
      <c r="JZF19" s="338"/>
      <c r="JZG19" s="338"/>
      <c r="JZH19" s="338"/>
      <c r="JZI19" s="338"/>
      <c r="JZJ19" s="338"/>
      <c r="JZK19" s="338"/>
      <c r="JZL19" s="338"/>
      <c r="JZM19" s="338"/>
      <c r="JZN19" s="338"/>
      <c r="JZO19" s="338"/>
      <c r="JZP19" s="338"/>
      <c r="JZQ19" s="338"/>
      <c r="JZR19" s="338"/>
      <c r="JZS19" s="338"/>
      <c r="JZT19" s="338"/>
      <c r="JZU19" s="338"/>
      <c r="JZV19" s="338"/>
      <c r="JZW19" s="338"/>
      <c r="JZX19" s="338"/>
      <c r="JZY19" s="338"/>
      <c r="JZZ19" s="338"/>
      <c r="KAA19" s="338"/>
      <c r="KAB19" s="338"/>
      <c r="KAC19" s="338"/>
      <c r="KAD19" s="338"/>
      <c r="KAE19" s="338"/>
      <c r="KAF19" s="338"/>
      <c r="KAG19" s="338"/>
      <c r="KAH19" s="338"/>
      <c r="KAI19" s="338"/>
      <c r="KAJ19" s="338"/>
      <c r="KAK19" s="338"/>
      <c r="KAL19" s="338"/>
      <c r="KAM19" s="338"/>
      <c r="KAN19" s="338"/>
      <c r="KAO19" s="338"/>
      <c r="KAP19" s="338"/>
      <c r="KAQ19" s="338"/>
      <c r="KAR19" s="338"/>
      <c r="KAS19" s="338"/>
      <c r="KAT19" s="338"/>
      <c r="KAU19" s="338"/>
      <c r="KAV19" s="338"/>
      <c r="KAW19" s="338"/>
      <c r="KAX19" s="338"/>
      <c r="KAY19" s="338"/>
      <c r="KAZ19" s="338"/>
      <c r="KBA19" s="338"/>
      <c r="KBB19" s="338"/>
      <c r="KBC19" s="338"/>
      <c r="KBD19" s="338"/>
      <c r="KBE19" s="338"/>
      <c r="KBF19" s="338"/>
      <c r="KBG19" s="338"/>
      <c r="KBH19" s="338"/>
      <c r="KBI19" s="338"/>
      <c r="KBJ19" s="338"/>
      <c r="KBK19" s="338"/>
      <c r="KBL19" s="338"/>
      <c r="KBM19" s="338"/>
      <c r="KBN19" s="338"/>
      <c r="KBO19" s="338"/>
      <c r="KBP19" s="338"/>
      <c r="KBQ19" s="338"/>
      <c r="KBR19" s="338"/>
      <c r="KBS19" s="338"/>
      <c r="KBT19" s="338"/>
      <c r="KBU19" s="338"/>
      <c r="KBV19" s="338"/>
      <c r="KBW19" s="338"/>
      <c r="KBX19" s="338"/>
      <c r="KBY19" s="338"/>
      <c r="KBZ19" s="338"/>
      <c r="KCA19" s="338"/>
      <c r="KCB19" s="338"/>
      <c r="KCC19" s="338"/>
      <c r="KCD19" s="338"/>
      <c r="KCE19" s="338"/>
      <c r="KCF19" s="338"/>
      <c r="KCG19" s="338"/>
      <c r="KCH19" s="338"/>
      <c r="KCI19" s="338"/>
      <c r="KCJ19" s="338"/>
      <c r="KCK19" s="338"/>
      <c r="KCL19" s="338"/>
      <c r="KCM19" s="338"/>
      <c r="KCN19" s="338"/>
      <c r="KCO19" s="338"/>
      <c r="KCP19" s="338"/>
      <c r="KCQ19" s="338"/>
      <c r="KCR19" s="338"/>
      <c r="KCS19" s="338"/>
      <c r="KCT19" s="338"/>
      <c r="KCU19" s="338"/>
      <c r="KCV19" s="338"/>
      <c r="KCW19" s="338"/>
      <c r="KCX19" s="338"/>
      <c r="KCY19" s="338"/>
      <c r="KCZ19" s="338"/>
      <c r="KDA19" s="338"/>
      <c r="KDB19" s="338"/>
      <c r="KDC19" s="338"/>
      <c r="KDD19" s="338"/>
      <c r="KDE19" s="338"/>
      <c r="KDF19" s="338"/>
      <c r="KDG19" s="338"/>
      <c r="KDH19" s="338"/>
      <c r="KDI19" s="338"/>
      <c r="KDJ19" s="338"/>
      <c r="KDK19" s="338"/>
      <c r="KDL19" s="338"/>
      <c r="KDM19" s="338"/>
      <c r="KDN19" s="338"/>
      <c r="KDO19" s="338"/>
      <c r="KDP19" s="338"/>
      <c r="KDQ19" s="338"/>
      <c r="KDR19" s="338"/>
      <c r="KDS19" s="338"/>
      <c r="KDT19" s="338"/>
      <c r="KDU19" s="338"/>
      <c r="KDV19" s="338"/>
      <c r="KDW19" s="338"/>
      <c r="KDX19" s="338"/>
      <c r="KDY19" s="338"/>
      <c r="KDZ19" s="338"/>
      <c r="KEA19" s="338"/>
      <c r="KEB19" s="338"/>
      <c r="KEC19" s="338"/>
      <c r="KED19" s="338"/>
      <c r="KEE19" s="338"/>
      <c r="KEF19" s="338"/>
      <c r="KEG19" s="338"/>
      <c r="KEH19" s="338"/>
      <c r="KEI19" s="338"/>
      <c r="KEJ19" s="338"/>
      <c r="KEK19" s="338"/>
      <c r="KEL19" s="338"/>
      <c r="KEM19" s="338"/>
      <c r="KEN19" s="338"/>
      <c r="KEO19" s="338"/>
      <c r="KEP19" s="338"/>
      <c r="KEQ19" s="338"/>
      <c r="KER19" s="338"/>
      <c r="KES19" s="338"/>
      <c r="KET19" s="338"/>
      <c r="KEU19" s="338"/>
      <c r="KEV19" s="338"/>
      <c r="KEW19" s="338"/>
      <c r="KEX19" s="338"/>
      <c r="KEY19" s="338"/>
      <c r="KEZ19" s="338"/>
      <c r="KFA19" s="338"/>
      <c r="KFB19" s="338"/>
      <c r="KFC19" s="338"/>
      <c r="KFD19" s="338"/>
      <c r="KFE19" s="338"/>
      <c r="KFF19" s="338"/>
      <c r="KFG19" s="338"/>
      <c r="KFH19" s="338"/>
      <c r="KFI19" s="338"/>
      <c r="KFJ19" s="338"/>
      <c r="KFK19" s="338"/>
      <c r="KFL19" s="338"/>
      <c r="KFM19" s="338"/>
      <c r="KFN19" s="338"/>
      <c r="KFO19" s="338"/>
      <c r="KFP19" s="338"/>
      <c r="KFQ19" s="338"/>
      <c r="KFR19" s="338"/>
      <c r="KFS19" s="338"/>
      <c r="KFT19" s="338"/>
      <c r="KFU19" s="338"/>
      <c r="KFV19" s="338"/>
      <c r="KFW19" s="338"/>
      <c r="KFX19" s="338"/>
      <c r="KFY19" s="338"/>
      <c r="KFZ19" s="338"/>
      <c r="KGA19" s="338"/>
      <c r="KGB19" s="338"/>
      <c r="KGC19" s="338"/>
      <c r="KGD19" s="338"/>
      <c r="KGE19" s="338"/>
      <c r="KGF19" s="338"/>
      <c r="KGG19" s="338"/>
      <c r="KGH19" s="338"/>
      <c r="KGI19" s="338"/>
      <c r="KGJ19" s="338"/>
      <c r="KGK19" s="338"/>
      <c r="KGL19" s="338"/>
      <c r="KGM19" s="338"/>
      <c r="KGN19" s="338"/>
      <c r="KGO19" s="338"/>
      <c r="KGP19" s="338"/>
      <c r="KGQ19" s="338"/>
      <c r="KGR19" s="338"/>
      <c r="KGS19" s="338"/>
      <c r="KGT19" s="338"/>
      <c r="KGU19" s="338"/>
      <c r="KGV19" s="338"/>
      <c r="KGW19" s="338"/>
      <c r="KGX19" s="338"/>
      <c r="KGY19" s="338"/>
      <c r="KGZ19" s="338"/>
      <c r="KHA19" s="338"/>
      <c r="KHB19" s="338"/>
      <c r="KHC19" s="338"/>
      <c r="KHD19" s="338"/>
      <c r="KHE19" s="338"/>
      <c r="KHF19" s="338"/>
      <c r="KHG19" s="338"/>
      <c r="KHH19" s="338"/>
      <c r="KHI19" s="338"/>
      <c r="KHJ19" s="338"/>
      <c r="KHK19" s="338"/>
      <c r="KHL19" s="338"/>
      <c r="KHM19" s="338"/>
      <c r="KHN19" s="338"/>
      <c r="KHO19" s="338"/>
      <c r="KHP19" s="338"/>
      <c r="KHQ19" s="338"/>
      <c r="KHR19" s="338"/>
      <c r="KHS19" s="338"/>
      <c r="KHT19" s="338"/>
      <c r="KHU19" s="338"/>
      <c r="KHV19" s="338"/>
      <c r="KHW19" s="338"/>
      <c r="KHX19" s="338"/>
      <c r="KHY19" s="338"/>
      <c r="KHZ19" s="338"/>
      <c r="KIA19" s="338"/>
      <c r="KIB19" s="338"/>
      <c r="KIC19" s="338"/>
      <c r="KID19" s="338"/>
      <c r="KIE19" s="338"/>
      <c r="KIF19" s="338"/>
      <c r="KIG19" s="338"/>
      <c r="KIH19" s="338"/>
      <c r="KII19" s="338"/>
      <c r="KIJ19" s="338"/>
      <c r="KIK19" s="338"/>
      <c r="KIL19" s="338"/>
      <c r="KIM19" s="338"/>
      <c r="KIN19" s="338"/>
      <c r="KIO19" s="338"/>
      <c r="KIP19" s="338"/>
      <c r="KIQ19" s="338"/>
      <c r="KIR19" s="338"/>
      <c r="KIS19" s="338"/>
      <c r="KIT19" s="338"/>
      <c r="KIU19" s="338"/>
      <c r="KIV19" s="338"/>
      <c r="KIW19" s="338"/>
      <c r="KIX19" s="338"/>
      <c r="KIY19" s="338"/>
      <c r="KIZ19" s="338"/>
      <c r="KJA19" s="338"/>
      <c r="KJB19" s="338"/>
      <c r="KJC19" s="338"/>
      <c r="KJD19" s="338"/>
      <c r="KJE19" s="338"/>
      <c r="KJF19" s="338"/>
      <c r="KJG19" s="338"/>
      <c r="KJH19" s="338"/>
      <c r="KJI19" s="338"/>
      <c r="KJJ19" s="338"/>
      <c r="KJK19" s="338"/>
      <c r="KJL19" s="338"/>
      <c r="KJM19" s="338"/>
      <c r="KJN19" s="338"/>
      <c r="KJO19" s="338"/>
      <c r="KJP19" s="338"/>
      <c r="KJQ19" s="338"/>
      <c r="KJR19" s="338"/>
      <c r="KJS19" s="338"/>
      <c r="KJT19" s="338"/>
      <c r="KJU19" s="338"/>
      <c r="KJV19" s="338"/>
      <c r="KJW19" s="338"/>
      <c r="KJX19" s="338"/>
      <c r="KJY19" s="338"/>
      <c r="KJZ19" s="338"/>
      <c r="KKA19" s="338"/>
      <c r="KKB19" s="338"/>
      <c r="KKC19" s="338"/>
      <c r="KKD19" s="338"/>
      <c r="KKE19" s="338"/>
      <c r="KKF19" s="338"/>
      <c r="KKG19" s="338"/>
      <c r="KKH19" s="338"/>
      <c r="KKI19" s="338"/>
      <c r="KKJ19" s="338"/>
      <c r="KKK19" s="338"/>
      <c r="KKL19" s="338"/>
      <c r="KKM19" s="338"/>
      <c r="KKN19" s="338"/>
      <c r="KKO19" s="338"/>
      <c r="KKP19" s="338"/>
      <c r="KKQ19" s="338"/>
      <c r="KKR19" s="338"/>
      <c r="KKS19" s="338"/>
      <c r="KKT19" s="338"/>
      <c r="KKU19" s="338"/>
      <c r="KKV19" s="338"/>
      <c r="KKW19" s="338"/>
      <c r="KKX19" s="338"/>
      <c r="KKY19" s="338"/>
      <c r="KKZ19" s="338"/>
      <c r="KLA19" s="338"/>
      <c r="KLB19" s="338"/>
      <c r="KLC19" s="338"/>
      <c r="KLD19" s="338"/>
      <c r="KLE19" s="338"/>
      <c r="KLF19" s="338"/>
      <c r="KLG19" s="338"/>
      <c r="KLH19" s="338"/>
      <c r="KLI19" s="338"/>
      <c r="KLJ19" s="338"/>
      <c r="KLK19" s="338"/>
      <c r="KLL19" s="338"/>
      <c r="KLM19" s="338"/>
      <c r="KLN19" s="338"/>
      <c r="KLO19" s="338"/>
      <c r="KLP19" s="338"/>
      <c r="KLQ19" s="338"/>
      <c r="KLR19" s="338"/>
      <c r="KLS19" s="338"/>
      <c r="KLT19" s="338"/>
      <c r="KLU19" s="338"/>
      <c r="KLV19" s="338"/>
      <c r="KLW19" s="338"/>
      <c r="KLX19" s="338"/>
      <c r="KLY19" s="338"/>
      <c r="KLZ19" s="338"/>
      <c r="KMA19" s="338"/>
      <c r="KMB19" s="338"/>
      <c r="KMC19" s="338"/>
      <c r="KMD19" s="338"/>
      <c r="KME19" s="338"/>
      <c r="KMF19" s="338"/>
      <c r="KMG19" s="338"/>
      <c r="KMH19" s="338"/>
      <c r="KMI19" s="338"/>
      <c r="KMJ19" s="338"/>
      <c r="KMK19" s="338"/>
      <c r="KML19" s="338"/>
      <c r="KMM19" s="338"/>
      <c r="KMN19" s="338"/>
      <c r="KMO19" s="338"/>
      <c r="KMP19" s="338"/>
      <c r="KMQ19" s="338"/>
      <c r="KMR19" s="338"/>
      <c r="KMS19" s="338"/>
      <c r="KMT19" s="338"/>
      <c r="KMU19" s="338"/>
      <c r="KMV19" s="338"/>
      <c r="KMW19" s="338"/>
      <c r="KMX19" s="338"/>
      <c r="KMY19" s="338"/>
      <c r="KMZ19" s="338"/>
      <c r="KNA19" s="338"/>
      <c r="KNB19" s="338"/>
      <c r="KNC19" s="338"/>
      <c r="KND19" s="338"/>
      <c r="KNE19" s="338"/>
      <c r="KNF19" s="338"/>
      <c r="KNG19" s="338"/>
      <c r="KNH19" s="338"/>
      <c r="KNI19" s="338"/>
      <c r="KNJ19" s="338"/>
      <c r="KNK19" s="338"/>
      <c r="KNL19" s="338"/>
      <c r="KNM19" s="338"/>
      <c r="KNN19" s="338"/>
      <c r="KNO19" s="338"/>
      <c r="KNP19" s="338"/>
      <c r="KNQ19" s="338"/>
      <c r="KNR19" s="338"/>
      <c r="KNS19" s="338"/>
      <c r="KNT19" s="338"/>
      <c r="KNU19" s="338"/>
      <c r="KNV19" s="338"/>
      <c r="KNW19" s="338"/>
      <c r="KNX19" s="338"/>
      <c r="KNY19" s="338"/>
      <c r="KNZ19" s="338"/>
      <c r="KOA19" s="338"/>
      <c r="KOB19" s="338"/>
      <c r="KOC19" s="338"/>
      <c r="KOD19" s="338"/>
      <c r="KOE19" s="338"/>
      <c r="KOF19" s="338"/>
      <c r="KOG19" s="338"/>
      <c r="KOH19" s="338"/>
      <c r="KOI19" s="338"/>
      <c r="KOJ19" s="338"/>
      <c r="KOK19" s="338"/>
      <c r="KOL19" s="338"/>
      <c r="KOM19" s="338"/>
      <c r="KON19" s="338"/>
      <c r="KOO19" s="338"/>
      <c r="KOP19" s="338"/>
      <c r="KOQ19" s="338"/>
      <c r="KOR19" s="338"/>
      <c r="KOS19" s="338"/>
      <c r="KOT19" s="338"/>
      <c r="KOU19" s="338"/>
      <c r="KOV19" s="338"/>
      <c r="KOW19" s="338"/>
      <c r="KOX19" s="338"/>
      <c r="KOY19" s="338"/>
      <c r="KOZ19" s="338"/>
      <c r="KPA19" s="338"/>
      <c r="KPB19" s="338"/>
      <c r="KPC19" s="338"/>
      <c r="KPD19" s="338"/>
      <c r="KPE19" s="338"/>
      <c r="KPF19" s="338"/>
      <c r="KPG19" s="338"/>
      <c r="KPH19" s="338"/>
      <c r="KPI19" s="338"/>
      <c r="KPJ19" s="338"/>
      <c r="KPK19" s="338"/>
      <c r="KPL19" s="338"/>
      <c r="KPM19" s="338"/>
      <c r="KPN19" s="338"/>
      <c r="KPO19" s="338"/>
      <c r="KPP19" s="338"/>
      <c r="KPQ19" s="338"/>
      <c r="KPR19" s="338"/>
      <c r="KPS19" s="338"/>
      <c r="KPT19" s="338"/>
      <c r="KPU19" s="338"/>
      <c r="KPV19" s="338"/>
      <c r="KPW19" s="338"/>
      <c r="KPX19" s="338"/>
      <c r="KPY19" s="338"/>
      <c r="KPZ19" s="338"/>
      <c r="KQA19" s="338"/>
      <c r="KQB19" s="338"/>
      <c r="KQC19" s="338"/>
      <c r="KQD19" s="338"/>
      <c r="KQE19" s="338"/>
      <c r="KQF19" s="338"/>
      <c r="KQG19" s="338"/>
      <c r="KQH19" s="338"/>
      <c r="KQI19" s="338"/>
      <c r="KQJ19" s="338"/>
      <c r="KQK19" s="338"/>
      <c r="KQL19" s="338"/>
      <c r="KQM19" s="338"/>
      <c r="KQN19" s="338"/>
      <c r="KQO19" s="338"/>
      <c r="KQP19" s="338"/>
      <c r="KQQ19" s="338"/>
      <c r="KQR19" s="338"/>
      <c r="KQS19" s="338"/>
      <c r="KQT19" s="338"/>
      <c r="KQU19" s="338"/>
      <c r="KQV19" s="338"/>
      <c r="KQW19" s="338"/>
      <c r="KQX19" s="338"/>
      <c r="KQY19" s="338"/>
      <c r="KQZ19" s="338"/>
      <c r="KRA19" s="338"/>
      <c r="KRB19" s="338"/>
      <c r="KRC19" s="338"/>
      <c r="KRD19" s="338"/>
      <c r="KRE19" s="338"/>
      <c r="KRF19" s="338"/>
      <c r="KRG19" s="338"/>
      <c r="KRH19" s="338"/>
      <c r="KRI19" s="338"/>
      <c r="KRJ19" s="338"/>
      <c r="KRK19" s="338"/>
      <c r="KRL19" s="338"/>
      <c r="KRM19" s="338"/>
      <c r="KRN19" s="338"/>
      <c r="KRO19" s="338"/>
      <c r="KRP19" s="338"/>
      <c r="KRQ19" s="338"/>
      <c r="KRR19" s="338"/>
      <c r="KRS19" s="338"/>
      <c r="KRT19" s="338"/>
      <c r="KRU19" s="338"/>
      <c r="KRV19" s="338"/>
      <c r="KRW19" s="338"/>
      <c r="KRX19" s="338"/>
      <c r="KRY19" s="338"/>
      <c r="KRZ19" s="338"/>
      <c r="KSA19" s="338"/>
      <c r="KSB19" s="338"/>
      <c r="KSC19" s="338"/>
      <c r="KSD19" s="338"/>
      <c r="KSE19" s="338"/>
      <c r="KSF19" s="338"/>
      <c r="KSG19" s="338"/>
      <c r="KSH19" s="338"/>
      <c r="KSI19" s="338"/>
      <c r="KSJ19" s="338"/>
      <c r="KSK19" s="338"/>
      <c r="KSL19" s="338"/>
      <c r="KSM19" s="338"/>
      <c r="KSN19" s="338"/>
      <c r="KSO19" s="338"/>
      <c r="KSP19" s="338"/>
      <c r="KSQ19" s="338"/>
      <c r="KSR19" s="338"/>
      <c r="KSS19" s="338"/>
      <c r="KST19" s="338"/>
      <c r="KSU19" s="338"/>
      <c r="KSV19" s="338"/>
      <c r="KSW19" s="338"/>
      <c r="KSX19" s="338"/>
      <c r="KSY19" s="338"/>
      <c r="KSZ19" s="338"/>
      <c r="KTA19" s="338"/>
      <c r="KTB19" s="338"/>
      <c r="KTC19" s="338"/>
      <c r="KTD19" s="338"/>
      <c r="KTE19" s="338"/>
      <c r="KTF19" s="338"/>
      <c r="KTG19" s="338"/>
      <c r="KTH19" s="338"/>
      <c r="KTI19" s="338"/>
      <c r="KTJ19" s="338"/>
      <c r="KTK19" s="338"/>
      <c r="KTL19" s="338"/>
      <c r="KTM19" s="338"/>
      <c r="KTN19" s="338"/>
      <c r="KTO19" s="338"/>
      <c r="KTP19" s="338"/>
      <c r="KTQ19" s="338"/>
      <c r="KTR19" s="338"/>
      <c r="KTS19" s="338"/>
      <c r="KTT19" s="338"/>
      <c r="KTU19" s="338"/>
      <c r="KTV19" s="338"/>
      <c r="KTW19" s="338"/>
      <c r="KTX19" s="338"/>
      <c r="KTY19" s="338"/>
      <c r="KTZ19" s="338"/>
      <c r="KUA19" s="338"/>
      <c r="KUB19" s="338"/>
      <c r="KUC19" s="338"/>
      <c r="KUD19" s="338"/>
      <c r="KUE19" s="338"/>
      <c r="KUF19" s="338"/>
      <c r="KUG19" s="338"/>
      <c r="KUH19" s="338"/>
      <c r="KUI19" s="338"/>
      <c r="KUJ19" s="338"/>
      <c r="KUK19" s="338"/>
      <c r="KUL19" s="338"/>
      <c r="KUM19" s="338"/>
      <c r="KUN19" s="338"/>
      <c r="KUO19" s="338"/>
      <c r="KUP19" s="338"/>
      <c r="KUQ19" s="338"/>
      <c r="KUR19" s="338"/>
      <c r="KUS19" s="338"/>
      <c r="KUT19" s="338"/>
      <c r="KUU19" s="338"/>
      <c r="KUV19" s="338"/>
      <c r="KUW19" s="338"/>
      <c r="KUX19" s="338"/>
      <c r="KUY19" s="338"/>
      <c r="KUZ19" s="338"/>
      <c r="KVA19" s="338"/>
      <c r="KVB19" s="338"/>
      <c r="KVC19" s="338"/>
      <c r="KVD19" s="338"/>
      <c r="KVE19" s="338"/>
      <c r="KVF19" s="338"/>
      <c r="KVG19" s="338"/>
      <c r="KVH19" s="338"/>
      <c r="KVI19" s="338"/>
      <c r="KVJ19" s="338"/>
      <c r="KVK19" s="338"/>
      <c r="KVL19" s="338"/>
      <c r="KVM19" s="338"/>
      <c r="KVN19" s="338"/>
      <c r="KVO19" s="338"/>
      <c r="KVP19" s="338"/>
      <c r="KVQ19" s="338"/>
      <c r="KVR19" s="338"/>
      <c r="KVS19" s="338"/>
      <c r="KVT19" s="338"/>
      <c r="KVU19" s="338"/>
      <c r="KVV19" s="338"/>
      <c r="KVW19" s="338"/>
      <c r="KVX19" s="338"/>
      <c r="KVY19" s="338"/>
      <c r="KVZ19" s="338"/>
      <c r="KWA19" s="338"/>
      <c r="KWB19" s="338"/>
      <c r="KWC19" s="338"/>
      <c r="KWD19" s="338"/>
      <c r="KWE19" s="338"/>
      <c r="KWF19" s="338"/>
      <c r="KWG19" s="338"/>
      <c r="KWH19" s="338"/>
      <c r="KWI19" s="338"/>
      <c r="KWJ19" s="338"/>
      <c r="KWK19" s="338"/>
      <c r="KWL19" s="338"/>
      <c r="KWM19" s="338"/>
      <c r="KWN19" s="338"/>
      <c r="KWO19" s="338"/>
      <c r="KWP19" s="338"/>
      <c r="KWQ19" s="338"/>
      <c r="KWR19" s="338"/>
      <c r="KWS19" s="338"/>
      <c r="KWT19" s="338"/>
      <c r="KWU19" s="338"/>
      <c r="KWV19" s="338"/>
      <c r="KWW19" s="338"/>
      <c r="KWX19" s="338"/>
      <c r="KWY19" s="338"/>
      <c r="KWZ19" s="338"/>
      <c r="KXA19" s="338"/>
      <c r="KXB19" s="338"/>
      <c r="KXC19" s="338"/>
      <c r="KXD19" s="338"/>
      <c r="KXE19" s="338"/>
      <c r="KXF19" s="338"/>
      <c r="KXG19" s="338"/>
      <c r="KXH19" s="338"/>
      <c r="KXI19" s="338"/>
      <c r="KXJ19" s="338"/>
      <c r="KXK19" s="338"/>
      <c r="KXL19" s="338"/>
      <c r="KXM19" s="338"/>
      <c r="KXN19" s="338"/>
      <c r="KXO19" s="338"/>
      <c r="KXP19" s="338"/>
      <c r="KXQ19" s="338"/>
      <c r="KXR19" s="338"/>
      <c r="KXS19" s="338"/>
      <c r="KXT19" s="338"/>
      <c r="KXU19" s="338"/>
      <c r="KXV19" s="338"/>
      <c r="KXW19" s="338"/>
      <c r="KXX19" s="338"/>
      <c r="KXY19" s="338"/>
      <c r="KXZ19" s="338"/>
      <c r="KYA19" s="338"/>
      <c r="KYB19" s="338"/>
      <c r="KYC19" s="338"/>
      <c r="KYD19" s="338"/>
      <c r="KYE19" s="338"/>
      <c r="KYF19" s="338"/>
      <c r="KYG19" s="338"/>
      <c r="KYH19" s="338"/>
      <c r="KYI19" s="338"/>
      <c r="KYJ19" s="338"/>
      <c r="KYK19" s="338"/>
      <c r="KYL19" s="338"/>
      <c r="KYM19" s="338"/>
      <c r="KYN19" s="338"/>
      <c r="KYO19" s="338"/>
      <c r="KYP19" s="338"/>
      <c r="KYQ19" s="338"/>
      <c r="KYR19" s="338"/>
      <c r="KYS19" s="338"/>
      <c r="KYT19" s="338"/>
      <c r="KYU19" s="338"/>
      <c r="KYV19" s="338"/>
      <c r="KYW19" s="338"/>
      <c r="KYX19" s="338"/>
      <c r="KYY19" s="338"/>
      <c r="KYZ19" s="338"/>
      <c r="KZA19" s="338"/>
      <c r="KZB19" s="338"/>
      <c r="KZC19" s="338"/>
      <c r="KZD19" s="338"/>
      <c r="KZE19" s="338"/>
      <c r="KZF19" s="338"/>
      <c r="KZG19" s="338"/>
      <c r="KZH19" s="338"/>
      <c r="KZI19" s="338"/>
      <c r="KZJ19" s="338"/>
      <c r="KZK19" s="338"/>
      <c r="KZL19" s="338"/>
      <c r="KZM19" s="338"/>
      <c r="KZN19" s="338"/>
      <c r="KZO19" s="338"/>
      <c r="KZP19" s="338"/>
      <c r="KZQ19" s="338"/>
      <c r="KZR19" s="338"/>
      <c r="KZS19" s="338"/>
      <c r="KZT19" s="338"/>
      <c r="KZU19" s="338"/>
      <c r="KZV19" s="338"/>
      <c r="KZW19" s="338"/>
      <c r="KZX19" s="338"/>
      <c r="KZY19" s="338"/>
      <c r="KZZ19" s="338"/>
      <c r="LAA19" s="338"/>
      <c r="LAB19" s="338"/>
      <c r="LAC19" s="338"/>
      <c r="LAD19" s="338"/>
      <c r="LAE19" s="338"/>
      <c r="LAF19" s="338"/>
      <c r="LAG19" s="338"/>
      <c r="LAH19" s="338"/>
      <c r="LAI19" s="338"/>
      <c r="LAJ19" s="338"/>
      <c r="LAK19" s="338"/>
      <c r="LAL19" s="338"/>
      <c r="LAM19" s="338"/>
      <c r="LAN19" s="338"/>
      <c r="LAO19" s="338"/>
      <c r="LAP19" s="338"/>
      <c r="LAQ19" s="338"/>
      <c r="LAR19" s="338"/>
      <c r="LAS19" s="338"/>
      <c r="LAT19" s="338"/>
      <c r="LAU19" s="338"/>
      <c r="LAV19" s="338"/>
      <c r="LAW19" s="338"/>
      <c r="LAX19" s="338"/>
      <c r="LAY19" s="338"/>
      <c r="LAZ19" s="338"/>
      <c r="LBA19" s="338"/>
      <c r="LBB19" s="338"/>
      <c r="LBC19" s="338"/>
      <c r="LBD19" s="338"/>
      <c r="LBE19" s="338"/>
      <c r="LBF19" s="338"/>
      <c r="LBG19" s="338"/>
      <c r="LBH19" s="338"/>
      <c r="LBI19" s="338"/>
      <c r="LBJ19" s="338"/>
      <c r="LBK19" s="338"/>
      <c r="LBL19" s="338"/>
      <c r="LBM19" s="338"/>
      <c r="LBN19" s="338"/>
      <c r="LBO19" s="338"/>
      <c r="LBP19" s="338"/>
      <c r="LBQ19" s="338"/>
      <c r="LBR19" s="338"/>
      <c r="LBS19" s="338"/>
      <c r="LBT19" s="338"/>
      <c r="LBU19" s="338"/>
      <c r="LBV19" s="338"/>
      <c r="LBW19" s="338"/>
      <c r="LBX19" s="338"/>
      <c r="LBY19" s="338"/>
      <c r="LBZ19" s="338"/>
      <c r="LCA19" s="338"/>
      <c r="LCB19" s="338"/>
      <c r="LCC19" s="338"/>
      <c r="LCD19" s="338"/>
      <c r="LCE19" s="338"/>
      <c r="LCF19" s="338"/>
      <c r="LCG19" s="338"/>
      <c r="LCH19" s="338"/>
      <c r="LCI19" s="338"/>
      <c r="LCJ19" s="338"/>
      <c r="LCK19" s="338"/>
      <c r="LCL19" s="338"/>
      <c r="LCM19" s="338"/>
      <c r="LCN19" s="338"/>
      <c r="LCO19" s="338"/>
      <c r="LCP19" s="338"/>
      <c r="LCQ19" s="338"/>
      <c r="LCR19" s="338"/>
      <c r="LCS19" s="338"/>
      <c r="LCT19" s="338"/>
      <c r="LCU19" s="338"/>
      <c r="LCV19" s="338"/>
      <c r="LCW19" s="338"/>
      <c r="LCX19" s="338"/>
      <c r="LCY19" s="338"/>
      <c r="LCZ19" s="338"/>
      <c r="LDA19" s="338"/>
      <c r="LDB19" s="338"/>
      <c r="LDC19" s="338"/>
      <c r="LDD19" s="338"/>
      <c r="LDE19" s="338"/>
      <c r="LDF19" s="338"/>
      <c r="LDG19" s="338"/>
      <c r="LDH19" s="338"/>
      <c r="LDI19" s="338"/>
      <c r="LDJ19" s="338"/>
      <c r="LDK19" s="338"/>
      <c r="LDL19" s="338"/>
      <c r="LDM19" s="338"/>
      <c r="LDN19" s="338"/>
      <c r="LDO19" s="338"/>
      <c r="LDP19" s="338"/>
      <c r="LDQ19" s="338"/>
      <c r="LDR19" s="338"/>
      <c r="LDS19" s="338"/>
      <c r="LDT19" s="338"/>
      <c r="LDU19" s="338"/>
      <c r="LDV19" s="338"/>
      <c r="LDW19" s="338"/>
      <c r="LDX19" s="338"/>
      <c r="LDY19" s="338"/>
      <c r="LDZ19" s="338"/>
      <c r="LEA19" s="338"/>
      <c r="LEB19" s="338"/>
      <c r="LEC19" s="338"/>
      <c r="LED19" s="338"/>
      <c r="LEE19" s="338"/>
      <c r="LEF19" s="338"/>
      <c r="LEG19" s="338"/>
      <c r="LEH19" s="338"/>
      <c r="LEI19" s="338"/>
      <c r="LEJ19" s="338"/>
      <c r="LEK19" s="338"/>
      <c r="LEL19" s="338"/>
      <c r="LEM19" s="338"/>
      <c r="LEN19" s="338"/>
      <c r="LEO19" s="338"/>
      <c r="LEP19" s="338"/>
      <c r="LEQ19" s="338"/>
      <c r="LER19" s="338"/>
      <c r="LES19" s="338"/>
      <c r="LET19" s="338"/>
      <c r="LEU19" s="338"/>
      <c r="LEV19" s="338"/>
      <c r="LEW19" s="338"/>
      <c r="LEX19" s="338"/>
      <c r="LEY19" s="338"/>
      <c r="LEZ19" s="338"/>
      <c r="LFA19" s="338"/>
      <c r="LFB19" s="338"/>
      <c r="LFC19" s="338"/>
      <c r="LFD19" s="338"/>
      <c r="LFE19" s="338"/>
      <c r="LFF19" s="338"/>
      <c r="LFG19" s="338"/>
      <c r="LFH19" s="338"/>
      <c r="LFI19" s="338"/>
      <c r="LFJ19" s="338"/>
      <c r="LFK19" s="338"/>
      <c r="LFL19" s="338"/>
      <c r="LFM19" s="338"/>
      <c r="LFN19" s="338"/>
      <c r="LFO19" s="338"/>
      <c r="LFP19" s="338"/>
      <c r="LFQ19" s="338"/>
      <c r="LFR19" s="338"/>
      <c r="LFS19" s="338"/>
      <c r="LFT19" s="338"/>
      <c r="LFU19" s="338"/>
      <c r="LFV19" s="338"/>
      <c r="LFW19" s="338"/>
      <c r="LFX19" s="338"/>
      <c r="LFY19" s="338"/>
      <c r="LFZ19" s="338"/>
      <c r="LGA19" s="338"/>
      <c r="LGB19" s="338"/>
      <c r="LGC19" s="338"/>
      <c r="LGD19" s="338"/>
      <c r="LGE19" s="338"/>
      <c r="LGF19" s="338"/>
      <c r="LGG19" s="338"/>
      <c r="LGH19" s="338"/>
      <c r="LGI19" s="338"/>
      <c r="LGJ19" s="338"/>
      <c r="LGK19" s="338"/>
      <c r="LGL19" s="338"/>
      <c r="LGM19" s="338"/>
      <c r="LGN19" s="338"/>
      <c r="LGO19" s="338"/>
      <c r="LGP19" s="338"/>
      <c r="LGQ19" s="338"/>
      <c r="LGR19" s="338"/>
      <c r="LGS19" s="338"/>
      <c r="LGT19" s="338"/>
      <c r="LGU19" s="338"/>
      <c r="LGV19" s="338"/>
      <c r="LGW19" s="338"/>
      <c r="LGX19" s="338"/>
      <c r="LGY19" s="338"/>
      <c r="LGZ19" s="338"/>
      <c r="LHA19" s="338"/>
      <c r="LHB19" s="338"/>
      <c r="LHC19" s="338"/>
      <c r="LHD19" s="338"/>
      <c r="LHE19" s="338"/>
      <c r="LHF19" s="338"/>
      <c r="LHG19" s="338"/>
      <c r="LHH19" s="338"/>
      <c r="LHI19" s="338"/>
      <c r="LHJ19" s="338"/>
      <c r="LHK19" s="338"/>
      <c r="LHL19" s="338"/>
      <c r="LHM19" s="338"/>
      <c r="LHN19" s="338"/>
      <c r="LHO19" s="338"/>
      <c r="LHP19" s="338"/>
      <c r="LHQ19" s="338"/>
      <c r="LHR19" s="338"/>
      <c r="LHS19" s="338"/>
      <c r="LHT19" s="338"/>
      <c r="LHU19" s="338"/>
      <c r="LHV19" s="338"/>
      <c r="LHW19" s="338"/>
      <c r="LHX19" s="338"/>
      <c r="LHY19" s="338"/>
      <c r="LHZ19" s="338"/>
      <c r="LIA19" s="338"/>
      <c r="LIB19" s="338"/>
      <c r="LIC19" s="338"/>
      <c r="LID19" s="338"/>
      <c r="LIE19" s="338"/>
      <c r="LIF19" s="338"/>
      <c r="LIG19" s="338"/>
      <c r="LIH19" s="338"/>
      <c r="LII19" s="338"/>
      <c r="LIJ19" s="338"/>
      <c r="LIK19" s="338"/>
      <c r="LIL19" s="338"/>
      <c r="LIM19" s="338"/>
      <c r="LIN19" s="338"/>
      <c r="LIO19" s="338"/>
      <c r="LIP19" s="338"/>
      <c r="LIQ19" s="338"/>
      <c r="LIR19" s="338"/>
      <c r="LIS19" s="338"/>
      <c r="LIT19" s="338"/>
      <c r="LIU19" s="338"/>
      <c r="LIV19" s="338"/>
      <c r="LIW19" s="338"/>
      <c r="LIX19" s="338"/>
      <c r="LIY19" s="338"/>
      <c r="LIZ19" s="338"/>
      <c r="LJA19" s="338"/>
      <c r="LJB19" s="338"/>
      <c r="LJC19" s="338"/>
      <c r="LJD19" s="338"/>
      <c r="LJE19" s="338"/>
      <c r="LJF19" s="338"/>
      <c r="LJG19" s="338"/>
      <c r="LJH19" s="338"/>
      <c r="LJI19" s="338"/>
      <c r="LJJ19" s="338"/>
      <c r="LJK19" s="338"/>
      <c r="LJL19" s="338"/>
      <c r="LJM19" s="338"/>
      <c r="LJN19" s="338"/>
      <c r="LJO19" s="338"/>
      <c r="LJP19" s="338"/>
      <c r="LJQ19" s="338"/>
      <c r="LJR19" s="338"/>
      <c r="LJS19" s="338"/>
      <c r="LJT19" s="338"/>
      <c r="LJU19" s="338"/>
      <c r="LJV19" s="338"/>
      <c r="LJW19" s="338"/>
      <c r="LJX19" s="338"/>
      <c r="LJY19" s="338"/>
      <c r="LJZ19" s="338"/>
      <c r="LKA19" s="338"/>
      <c r="LKB19" s="338"/>
      <c r="LKC19" s="338"/>
      <c r="LKD19" s="338"/>
      <c r="LKE19" s="338"/>
      <c r="LKF19" s="338"/>
      <c r="LKG19" s="338"/>
      <c r="LKH19" s="338"/>
      <c r="LKI19" s="338"/>
      <c r="LKJ19" s="338"/>
      <c r="LKK19" s="338"/>
      <c r="LKL19" s="338"/>
      <c r="LKM19" s="338"/>
      <c r="LKN19" s="338"/>
      <c r="LKO19" s="338"/>
      <c r="LKP19" s="338"/>
      <c r="LKQ19" s="338"/>
      <c r="LKR19" s="338"/>
      <c r="LKS19" s="338"/>
      <c r="LKT19" s="338"/>
      <c r="LKU19" s="338"/>
      <c r="LKV19" s="338"/>
      <c r="LKW19" s="338"/>
      <c r="LKX19" s="338"/>
      <c r="LKY19" s="338"/>
      <c r="LKZ19" s="338"/>
      <c r="LLA19" s="338"/>
      <c r="LLB19" s="338"/>
      <c r="LLC19" s="338"/>
      <c r="LLD19" s="338"/>
      <c r="LLE19" s="338"/>
      <c r="LLF19" s="338"/>
      <c r="LLG19" s="338"/>
      <c r="LLH19" s="338"/>
      <c r="LLI19" s="338"/>
      <c r="LLJ19" s="338"/>
      <c r="LLK19" s="338"/>
      <c r="LLL19" s="338"/>
      <c r="LLM19" s="338"/>
      <c r="LLN19" s="338"/>
      <c r="LLO19" s="338"/>
      <c r="LLP19" s="338"/>
      <c r="LLQ19" s="338"/>
      <c r="LLR19" s="338"/>
      <c r="LLS19" s="338"/>
      <c r="LLT19" s="338"/>
      <c r="LLU19" s="338"/>
      <c r="LLV19" s="338"/>
      <c r="LLW19" s="338"/>
      <c r="LLX19" s="338"/>
      <c r="LLY19" s="338"/>
      <c r="LLZ19" s="338"/>
      <c r="LMA19" s="338"/>
      <c r="LMB19" s="338"/>
      <c r="LMC19" s="338"/>
      <c r="LMD19" s="338"/>
      <c r="LME19" s="338"/>
      <c r="LMF19" s="338"/>
      <c r="LMG19" s="338"/>
      <c r="LMH19" s="338"/>
      <c r="LMI19" s="338"/>
      <c r="LMJ19" s="338"/>
      <c r="LMK19" s="338"/>
      <c r="LML19" s="338"/>
      <c r="LMM19" s="338"/>
      <c r="LMN19" s="338"/>
      <c r="LMO19" s="338"/>
      <c r="LMP19" s="338"/>
      <c r="LMQ19" s="338"/>
      <c r="LMR19" s="338"/>
      <c r="LMS19" s="338"/>
      <c r="LMT19" s="338"/>
      <c r="LMU19" s="338"/>
      <c r="LMV19" s="338"/>
      <c r="LMW19" s="338"/>
      <c r="LMX19" s="338"/>
      <c r="LMY19" s="338"/>
      <c r="LMZ19" s="338"/>
      <c r="LNA19" s="338"/>
      <c r="LNB19" s="338"/>
      <c r="LNC19" s="338"/>
      <c r="LND19" s="338"/>
      <c r="LNE19" s="338"/>
      <c r="LNF19" s="338"/>
      <c r="LNG19" s="338"/>
      <c r="LNH19" s="338"/>
      <c r="LNI19" s="338"/>
      <c r="LNJ19" s="338"/>
      <c r="LNK19" s="338"/>
      <c r="LNL19" s="338"/>
      <c r="LNM19" s="338"/>
      <c r="LNN19" s="338"/>
      <c r="LNO19" s="338"/>
      <c r="LNP19" s="338"/>
      <c r="LNQ19" s="338"/>
      <c r="LNR19" s="338"/>
      <c r="LNS19" s="338"/>
      <c r="LNT19" s="338"/>
      <c r="LNU19" s="338"/>
      <c r="LNV19" s="338"/>
      <c r="LNW19" s="338"/>
      <c r="LNX19" s="338"/>
      <c r="LNY19" s="338"/>
      <c r="LNZ19" s="338"/>
      <c r="LOA19" s="338"/>
      <c r="LOB19" s="338"/>
      <c r="LOC19" s="338"/>
      <c r="LOD19" s="338"/>
      <c r="LOE19" s="338"/>
      <c r="LOF19" s="338"/>
      <c r="LOG19" s="338"/>
      <c r="LOH19" s="338"/>
      <c r="LOI19" s="338"/>
      <c r="LOJ19" s="338"/>
      <c r="LOK19" s="338"/>
      <c r="LOL19" s="338"/>
      <c r="LOM19" s="338"/>
      <c r="LON19" s="338"/>
      <c r="LOO19" s="338"/>
      <c r="LOP19" s="338"/>
      <c r="LOQ19" s="338"/>
      <c r="LOR19" s="338"/>
      <c r="LOS19" s="338"/>
      <c r="LOT19" s="338"/>
      <c r="LOU19" s="338"/>
      <c r="LOV19" s="338"/>
      <c r="LOW19" s="338"/>
      <c r="LOX19" s="338"/>
      <c r="LOY19" s="338"/>
      <c r="LOZ19" s="338"/>
      <c r="LPA19" s="338"/>
      <c r="LPB19" s="338"/>
      <c r="LPC19" s="338"/>
      <c r="LPD19" s="338"/>
      <c r="LPE19" s="338"/>
      <c r="LPF19" s="338"/>
      <c r="LPG19" s="338"/>
      <c r="LPH19" s="338"/>
      <c r="LPI19" s="338"/>
      <c r="LPJ19" s="338"/>
      <c r="LPK19" s="338"/>
      <c r="LPL19" s="338"/>
      <c r="LPM19" s="338"/>
      <c r="LPN19" s="338"/>
      <c r="LPO19" s="338"/>
      <c r="LPP19" s="338"/>
      <c r="LPQ19" s="338"/>
      <c r="LPR19" s="338"/>
      <c r="LPS19" s="338"/>
      <c r="LPT19" s="338"/>
      <c r="LPU19" s="338"/>
      <c r="LPV19" s="338"/>
      <c r="LPW19" s="338"/>
      <c r="LPX19" s="338"/>
      <c r="LPY19" s="338"/>
      <c r="LPZ19" s="338"/>
      <c r="LQA19" s="338"/>
      <c r="LQB19" s="338"/>
      <c r="LQC19" s="338"/>
      <c r="LQD19" s="338"/>
      <c r="LQE19" s="338"/>
      <c r="LQF19" s="338"/>
      <c r="LQG19" s="338"/>
      <c r="LQH19" s="338"/>
      <c r="LQI19" s="338"/>
      <c r="LQJ19" s="338"/>
      <c r="LQK19" s="338"/>
      <c r="LQL19" s="338"/>
      <c r="LQM19" s="338"/>
      <c r="LQN19" s="338"/>
      <c r="LQO19" s="338"/>
      <c r="LQP19" s="338"/>
      <c r="LQQ19" s="338"/>
      <c r="LQR19" s="338"/>
      <c r="LQS19" s="338"/>
      <c r="LQT19" s="338"/>
      <c r="LQU19" s="338"/>
      <c r="LQV19" s="338"/>
      <c r="LQW19" s="338"/>
      <c r="LQX19" s="338"/>
      <c r="LQY19" s="338"/>
      <c r="LQZ19" s="338"/>
      <c r="LRA19" s="338"/>
      <c r="LRB19" s="338"/>
      <c r="LRC19" s="338"/>
      <c r="LRD19" s="338"/>
      <c r="LRE19" s="338"/>
      <c r="LRF19" s="338"/>
      <c r="LRG19" s="338"/>
      <c r="LRH19" s="338"/>
      <c r="LRI19" s="338"/>
      <c r="LRJ19" s="338"/>
      <c r="LRK19" s="338"/>
      <c r="LRL19" s="338"/>
      <c r="LRM19" s="338"/>
      <c r="LRN19" s="338"/>
      <c r="LRO19" s="338"/>
      <c r="LRP19" s="338"/>
      <c r="LRQ19" s="338"/>
      <c r="LRR19" s="338"/>
      <c r="LRS19" s="338"/>
      <c r="LRT19" s="338"/>
      <c r="LRU19" s="338"/>
      <c r="LRV19" s="338"/>
      <c r="LRW19" s="338"/>
      <c r="LRX19" s="338"/>
      <c r="LRY19" s="338"/>
      <c r="LRZ19" s="338"/>
      <c r="LSA19" s="338"/>
      <c r="LSB19" s="338"/>
      <c r="LSC19" s="338"/>
      <c r="LSD19" s="338"/>
      <c r="LSE19" s="338"/>
      <c r="LSF19" s="338"/>
      <c r="LSG19" s="338"/>
      <c r="LSH19" s="338"/>
      <c r="LSI19" s="338"/>
      <c r="LSJ19" s="338"/>
      <c r="LSK19" s="338"/>
      <c r="LSL19" s="338"/>
      <c r="LSM19" s="338"/>
      <c r="LSN19" s="338"/>
      <c r="LSO19" s="338"/>
      <c r="LSP19" s="338"/>
      <c r="LSQ19" s="338"/>
      <c r="LSR19" s="338"/>
      <c r="LSS19" s="338"/>
      <c r="LST19" s="338"/>
      <c r="LSU19" s="338"/>
      <c r="LSV19" s="338"/>
      <c r="LSW19" s="338"/>
      <c r="LSX19" s="338"/>
      <c r="LSY19" s="338"/>
      <c r="LSZ19" s="338"/>
      <c r="LTA19" s="338"/>
      <c r="LTB19" s="338"/>
      <c r="LTC19" s="338"/>
      <c r="LTD19" s="338"/>
      <c r="LTE19" s="338"/>
      <c r="LTF19" s="338"/>
      <c r="LTG19" s="338"/>
      <c r="LTH19" s="338"/>
      <c r="LTI19" s="338"/>
      <c r="LTJ19" s="338"/>
      <c r="LTK19" s="338"/>
      <c r="LTL19" s="338"/>
      <c r="LTM19" s="338"/>
      <c r="LTN19" s="338"/>
      <c r="LTO19" s="338"/>
      <c r="LTP19" s="338"/>
      <c r="LTQ19" s="338"/>
      <c r="LTR19" s="338"/>
      <c r="LTS19" s="338"/>
      <c r="LTT19" s="338"/>
      <c r="LTU19" s="338"/>
      <c r="LTV19" s="338"/>
      <c r="LTW19" s="338"/>
      <c r="LTX19" s="338"/>
      <c r="LTY19" s="338"/>
      <c r="LTZ19" s="338"/>
      <c r="LUA19" s="338"/>
      <c r="LUB19" s="338"/>
      <c r="LUC19" s="338"/>
      <c r="LUD19" s="338"/>
      <c r="LUE19" s="338"/>
      <c r="LUF19" s="338"/>
      <c r="LUG19" s="338"/>
      <c r="LUH19" s="338"/>
      <c r="LUI19" s="338"/>
      <c r="LUJ19" s="338"/>
      <c r="LUK19" s="338"/>
      <c r="LUL19" s="338"/>
      <c r="LUM19" s="338"/>
      <c r="LUN19" s="338"/>
      <c r="LUO19" s="338"/>
      <c r="LUP19" s="338"/>
      <c r="LUQ19" s="338"/>
      <c r="LUR19" s="338"/>
      <c r="LUS19" s="338"/>
      <c r="LUT19" s="338"/>
      <c r="LUU19" s="338"/>
      <c r="LUV19" s="338"/>
      <c r="LUW19" s="338"/>
      <c r="LUX19" s="338"/>
      <c r="LUY19" s="338"/>
      <c r="LUZ19" s="338"/>
      <c r="LVA19" s="338"/>
      <c r="LVB19" s="338"/>
      <c r="LVC19" s="338"/>
      <c r="LVD19" s="338"/>
      <c r="LVE19" s="338"/>
      <c r="LVF19" s="338"/>
      <c r="LVG19" s="338"/>
      <c r="LVH19" s="338"/>
      <c r="LVI19" s="338"/>
      <c r="LVJ19" s="338"/>
      <c r="LVK19" s="338"/>
      <c r="LVL19" s="338"/>
      <c r="LVM19" s="338"/>
      <c r="LVN19" s="338"/>
      <c r="LVO19" s="338"/>
      <c r="LVP19" s="338"/>
      <c r="LVQ19" s="338"/>
      <c r="LVR19" s="338"/>
      <c r="LVS19" s="338"/>
      <c r="LVT19" s="338"/>
      <c r="LVU19" s="338"/>
      <c r="LVV19" s="338"/>
      <c r="LVW19" s="338"/>
      <c r="LVX19" s="338"/>
      <c r="LVY19" s="338"/>
      <c r="LVZ19" s="338"/>
      <c r="LWA19" s="338"/>
      <c r="LWB19" s="338"/>
      <c r="LWC19" s="338"/>
      <c r="LWD19" s="338"/>
      <c r="LWE19" s="338"/>
      <c r="LWF19" s="338"/>
      <c r="LWG19" s="338"/>
      <c r="LWH19" s="338"/>
      <c r="LWI19" s="338"/>
      <c r="LWJ19" s="338"/>
      <c r="LWK19" s="338"/>
      <c r="LWL19" s="338"/>
      <c r="LWM19" s="338"/>
      <c r="LWN19" s="338"/>
      <c r="LWO19" s="338"/>
      <c r="LWP19" s="338"/>
      <c r="LWQ19" s="338"/>
      <c r="LWR19" s="338"/>
      <c r="LWS19" s="338"/>
      <c r="LWT19" s="338"/>
      <c r="LWU19" s="338"/>
      <c r="LWV19" s="338"/>
      <c r="LWW19" s="338"/>
      <c r="LWX19" s="338"/>
      <c r="LWY19" s="338"/>
      <c r="LWZ19" s="338"/>
      <c r="LXA19" s="338"/>
      <c r="LXB19" s="338"/>
      <c r="LXC19" s="338"/>
      <c r="LXD19" s="338"/>
      <c r="LXE19" s="338"/>
      <c r="LXF19" s="338"/>
      <c r="LXG19" s="338"/>
      <c r="LXH19" s="338"/>
      <c r="LXI19" s="338"/>
      <c r="LXJ19" s="338"/>
      <c r="LXK19" s="338"/>
      <c r="LXL19" s="338"/>
      <c r="LXM19" s="338"/>
      <c r="LXN19" s="338"/>
      <c r="LXO19" s="338"/>
      <c r="LXP19" s="338"/>
      <c r="LXQ19" s="338"/>
      <c r="LXR19" s="338"/>
      <c r="LXS19" s="338"/>
      <c r="LXT19" s="338"/>
      <c r="LXU19" s="338"/>
      <c r="LXV19" s="338"/>
      <c r="LXW19" s="338"/>
      <c r="LXX19" s="338"/>
      <c r="LXY19" s="338"/>
      <c r="LXZ19" s="338"/>
      <c r="LYA19" s="338"/>
      <c r="LYB19" s="338"/>
      <c r="LYC19" s="338"/>
      <c r="LYD19" s="338"/>
      <c r="LYE19" s="338"/>
      <c r="LYF19" s="338"/>
      <c r="LYG19" s="338"/>
      <c r="LYH19" s="338"/>
      <c r="LYI19" s="338"/>
      <c r="LYJ19" s="338"/>
      <c r="LYK19" s="338"/>
      <c r="LYL19" s="338"/>
      <c r="LYM19" s="338"/>
      <c r="LYN19" s="338"/>
      <c r="LYO19" s="338"/>
      <c r="LYP19" s="338"/>
      <c r="LYQ19" s="338"/>
      <c r="LYR19" s="338"/>
      <c r="LYS19" s="338"/>
      <c r="LYT19" s="338"/>
      <c r="LYU19" s="338"/>
      <c r="LYV19" s="338"/>
      <c r="LYW19" s="338"/>
      <c r="LYX19" s="338"/>
      <c r="LYY19" s="338"/>
      <c r="LYZ19" s="338"/>
      <c r="LZA19" s="338"/>
      <c r="LZB19" s="338"/>
      <c r="LZC19" s="338"/>
      <c r="LZD19" s="338"/>
      <c r="LZE19" s="338"/>
      <c r="LZF19" s="338"/>
      <c r="LZG19" s="338"/>
      <c r="LZH19" s="338"/>
      <c r="LZI19" s="338"/>
      <c r="LZJ19" s="338"/>
      <c r="LZK19" s="338"/>
      <c r="LZL19" s="338"/>
      <c r="LZM19" s="338"/>
      <c r="LZN19" s="338"/>
      <c r="LZO19" s="338"/>
      <c r="LZP19" s="338"/>
      <c r="LZQ19" s="338"/>
      <c r="LZR19" s="338"/>
      <c r="LZS19" s="338"/>
      <c r="LZT19" s="338"/>
      <c r="LZU19" s="338"/>
      <c r="LZV19" s="338"/>
      <c r="LZW19" s="338"/>
      <c r="LZX19" s="338"/>
      <c r="LZY19" s="338"/>
      <c r="LZZ19" s="338"/>
      <c r="MAA19" s="338"/>
      <c r="MAB19" s="338"/>
      <c r="MAC19" s="338"/>
      <c r="MAD19" s="338"/>
      <c r="MAE19" s="338"/>
      <c r="MAF19" s="338"/>
      <c r="MAG19" s="338"/>
      <c r="MAH19" s="338"/>
      <c r="MAI19" s="338"/>
      <c r="MAJ19" s="338"/>
      <c r="MAK19" s="338"/>
      <c r="MAL19" s="338"/>
      <c r="MAM19" s="338"/>
      <c r="MAN19" s="338"/>
      <c r="MAO19" s="338"/>
      <c r="MAP19" s="338"/>
      <c r="MAQ19" s="338"/>
      <c r="MAR19" s="338"/>
      <c r="MAS19" s="338"/>
      <c r="MAT19" s="338"/>
      <c r="MAU19" s="338"/>
      <c r="MAV19" s="338"/>
      <c r="MAW19" s="338"/>
      <c r="MAX19" s="338"/>
      <c r="MAY19" s="338"/>
      <c r="MAZ19" s="338"/>
      <c r="MBA19" s="338"/>
      <c r="MBB19" s="338"/>
      <c r="MBC19" s="338"/>
      <c r="MBD19" s="338"/>
      <c r="MBE19" s="338"/>
      <c r="MBF19" s="338"/>
      <c r="MBG19" s="338"/>
      <c r="MBH19" s="338"/>
      <c r="MBI19" s="338"/>
      <c r="MBJ19" s="338"/>
      <c r="MBK19" s="338"/>
      <c r="MBL19" s="338"/>
      <c r="MBM19" s="338"/>
      <c r="MBN19" s="338"/>
      <c r="MBO19" s="338"/>
      <c r="MBP19" s="338"/>
      <c r="MBQ19" s="338"/>
      <c r="MBR19" s="338"/>
      <c r="MBS19" s="338"/>
      <c r="MBT19" s="338"/>
      <c r="MBU19" s="338"/>
      <c r="MBV19" s="338"/>
      <c r="MBW19" s="338"/>
      <c r="MBX19" s="338"/>
      <c r="MBY19" s="338"/>
      <c r="MBZ19" s="338"/>
      <c r="MCA19" s="338"/>
      <c r="MCB19" s="338"/>
      <c r="MCC19" s="338"/>
      <c r="MCD19" s="338"/>
      <c r="MCE19" s="338"/>
      <c r="MCF19" s="338"/>
      <c r="MCG19" s="338"/>
      <c r="MCH19" s="338"/>
      <c r="MCI19" s="338"/>
      <c r="MCJ19" s="338"/>
      <c r="MCK19" s="338"/>
      <c r="MCL19" s="338"/>
      <c r="MCM19" s="338"/>
      <c r="MCN19" s="338"/>
      <c r="MCO19" s="338"/>
      <c r="MCP19" s="338"/>
      <c r="MCQ19" s="338"/>
      <c r="MCR19" s="338"/>
      <c r="MCS19" s="338"/>
      <c r="MCT19" s="338"/>
      <c r="MCU19" s="338"/>
      <c r="MCV19" s="338"/>
      <c r="MCW19" s="338"/>
      <c r="MCX19" s="338"/>
      <c r="MCY19" s="338"/>
      <c r="MCZ19" s="338"/>
      <c r="MDA19" s="338"/>
      <c r="MDB19" s="338"/>
      <c r="MDC19" s="338"/>
      <c r="MDD19" s="338"/>
      <c r="MDE19" s="338"/>
      <c r="MDF19" s="338"/>
      <c r="MDG19" s="338"/>
      <c r="MDH19" s="338"/>
      <c r="MDI19" s="338"/>
      <c r="MDJ19" s="338"/>
      <c r="MDK19" s="338"/>
      <c r="MDL19" s="338"/>
      <c r="MDM19" s="338"/>
      <c r="MDN19" s="338"/>
      <c r="MDO19" s="338"/>
      <c r="MDP19" s="338"/>
      <c r="MDQ19" s="338"/>
      <c r="MDR19" s="338"/>
      <c r="MDS19" s="338"/>
      <c r="MDT19" s="338"/>
      <c r="MDU19" s="338"/>
      <c r="MDV19" s="338"/>
      <c r="MDW19" s="338"/>
      <c r="MDX19" s="338"/>
      <c r="MDY19" s="338"/>
      <c r="MDZ19" s="338"/>
      <c r="MEA19" s="338"/>
      <c r="MEB19" s="338"/>
      <c r="MEC19" s="338"/>
      <c r="MED19" s="338"/>
      <c r="MEE19" s="338"/>
      <c r="MEF19" s="338"/>
      <c r="MEG19" s="338"/>
      <c r="MEH19" s="338"/>
      <c r="MEI19" s="338"/>
      <c r="MEJ19" s="338"/>
      <c r="MEK19" s="338"/>
      <c r="MEL19" s="338"/>
      <c r="MEM19" s="338"/>
      <c r="MEN19" s="338"/>
      <c r="MEO19" s="338"/>
      <c r="MEP19" s="338"/>
      <c r="MEQ19" s="338"/>
      <c r="MER19" s="338"/>
      <c r="MES19" s="338"/>
      <c r="MET19" s="338"/>
      <c r="MEU19" s="338"/>
      <c r="MEV19" s="338"/>
      <c r="MEW19" s="338"/>
      <c r="MEX19" s="338"/>
      <c r="MEY19" s="338"/>
      <c r="MEZ19" s="338"/>
      <c r="MFA19" s="338"/>
      <c r="MFB19" s="338"/>
      <c r="MFC19" s="338"/>
      <c r="MFD19" s="338"/>
      <c r="MFE19" s="338"/>
      <c r="MFF19" s="338"/>
      <c r="MFG19" s="338"/>
      <c r="MFH19" s="338"/>
      <c r="MFI19" s="338"/>
      <c r="MFJ19" s="338"/>
      <c r="MFK19" s="338"/>
      <c r="MFL19" s="338"/>
      <c r="MFM19" s="338"/>
      <c r="MFN19" s="338"/>
      <c r="MFO19" s="338"/>
      <c r="MFP19" s="338"/>
      <c r="MFQ19" s="338"/>
      <c r="MFR19" s="338"/>
      <c r="MFS19" s="338"/>
      <c r="MFT19" s="338"/>
      <c r="MFU19" s="338"/>
      <c r="MFV19" s="338"/>
      <c r="MFW19" s="338"/>
      <c r="MFX19" s="338"/>
      <c r="MFY19" s="338"/>
      <c r="MFZ19" s="338"/>
      <c r="MGA19" s="338"/>
      <c r="MGB19" s="338"/>
      <c r="MGC19" s="338"/>
      <c r="MGD19" s="338"/>
      <c r="MGE19" s="338"/>
      <c r="MGF19" s="338"/>
      <c r="MGG19" s="338"/>
      <c r="MGH19" s="338"/>
      <c r="MGI19" s="338"/>
      <c r="MGJ19" s="338"/>
      <c r="MGK19" s="338"/>
      <c r="MGL19" s="338"/>
      <c r="MGM19" s="338"/>
      <c r="MGN19" s="338"/>
      <c r="MGO19" s="338"/>
      <c r="MGP19" s="338"/>
      <c r="MGQ19" s="338"/>
      <c r="MGR19" s="338"/>
      <c r="MGS19" s="338"/>
      <c r="MGT19" s="338"/>
      <c r="MGU19" s="338"/>
      <c r="MGV19" s="338"/>
      <c r="MGW19" s="338"/>
      <c r="MGX19" s="338"/>
      <c r="MGY19" s="338"/>
      <c r="MGZ19" s="338"/>
      <c r="MHA19" s="338"/>
      <c r="MHB19" s="338"/>
      <c r="MHC19" s="338"/>
      <c r="MHD19" s="338"/>
      <c r="MHE19" s="338"/>
      <c r="MHF19" s="338"/>
      <c r="MHG19" s="338"/>
      <c r="MHH19" s="338"/>
      <c r="MHI19" s="338"/>
      <c r="MHJ19" s="338"/>
      <c r="MHK19" s="338"/>
      <c r="MHL19" s="338"/>
      <c r="MHM19" s="338"/>
      <c r="MHN19" s="338"/>
      <c r="MHO19" s="338"/>
      <c r="MHP19" s="338"/>
      <c r="MHQ19" s="338"/>
      <c r="MHR19" s="338"/>
      <c r="MHS19" s="338"/>
      <c r="MHT19" s="338"/>
      <c r="MHU19" s="338"/>
      <c r="MHV19" s="338"/>
      <c r="MHW19" s="338"/>
      <c r="MHX19" s="338"/>
      <c r="MHY19" s="338"/>
      <c r="MHZ19" s="338"/>
      <c r="MIA19" s="338"/>
      <c r="MIB19" s="338"/>
      <c r="MIC19" s="338"/>
      <c r="MID19" s="338"/>
      <c r="MIE19" s="338"/>
      <c r="MIF19" s="338"/>
      <c r="MIG19" s="338"/>
      <c r="MIH19" s="338"/>
      <c r="MII19" s="338"/>
      <c r="MIJ19" s="338"/>
      <c r="MIK19" s="338"/>
      <c r="MIL19" s="338"/>
      <c r="MIM19" s="338"/>
      <c r="MIN19" s="338"/>
      <c r="MIO19" s="338"/>
      <c r="MIP19" s="338"/>
      <c r="MIQ19" s="338"/>
      <c r="MIR19" s="338"/>
      <c r="MIS19" s="338"/>
      <c r="MIT19" s="338"/>
      <c r="MIU19" s="338"/>
      <c r="MIV19" s="338"/>
      <c r="MIW19" s="338"/>
      <c r="MIX19" s="338"/>
      <c r="MIY19" s="338"/>
      <c r="MIZ19" s="338"/>
      <c r="MJA19" s="338"/>
      <c r="MJB19" s="338"/>
      <c r="MJC19" s="338"/>
      <c r="MJD19" s="338"/>
      <c r="MJE19" s="338"/>
      <c r="MJF19" s="338"/>
      <c r="MJG19" s="338"/>
      <c r="MJH19" s="338"/>
      <c r="MJI19" s="338"/>
      <c r="MJJ19" s="338"/>
      <c r="MJK19" s="338"/>
      <c r="MJL19" s="338"/>
      <c r="MJM19" s="338"/>
      <c r="MJN19" s="338"/>
      <c r="MJO19" s="338"/>
      <c r="MJP19" s="338"/>
      <c r="MJQ19" s="338"/>
      <c r="MJR19" s="338"/>
      <c r="MJS19" s="338"/>
      <c r="MJT19" s="338"/>
      <c r="MJU19" s="338"/>
      <c r="MJV19" s="338"/>
      <c r="MJW19" s="338"/>
      <c r="MJX19" s="338"/>
      <c r="MJY19" s="338"/>
      <c r="MJZ19" s="338"/>
      <c r="MKA19" s="338"/>
      <c r="MKB19" s="338"/>
      <c r="MKC19" s="338"/>
      <c r="MKD19" s="338"/>
      <c r="MKE19" s="338"/>
      <c r="MKF19" s="338"/>
      <c r="MKG19" s="338"/>
      <c r="MKH19" s="338"/>
      <c r="MKI19" s="338"/>
      <c r="MKJ19" s="338"/>
      <c r="MKK19" s="338"/>
      <c r="MKL19" s="338"/>
      <c r="MKM19" s="338"/>
      <c r="MKN19" s="338"/>
      <c r="MKO19" s="338"/>
      <c r="MKP19" s="338"/>
      <c r="MKQ19" s="338"/>
      <c r="MKR19" s="338"/>
      <c r="MKS19" s="338"/>
      <c r="MKT19" s="338"/>
      <c r="MKU19" s="338"/>
      <c r="MKV19" s="338"/>
      <c r="MKW19" s="338"/>
      <c r="MKX19" s="338"/>
      <c r="MKY19" s="338"/>
      <c r="MKZ19" s="338"/>
      <c r="MLA19" s="338"/>
      <c r="MLB19" s="338"/>
      <c r="MLC19" s="338"/>
      <c r="MLD19" s="338"/>
      <c r="MLE19" s="338"/>
      <c r="MLF19" s="338"/>
      <c r="MLG19" s="338"/>
      <c r="MLH19" s="338"/>
      <c r="MLI19" s="338"/>
      <c r="MLJ19" s="338"/>
      <c r="MLK19" s="338"/>
      <c r="MLL19" s="338"/>
      <c r="MLM19" s="338"/>
      <c r="MLN19" s="338"/>
      <c r="MLO19" s="338"/>
      <c r="MLP19" s="338"/>
      <c r="MLQ19" s="338"/>
      <c r="MLR19" s="338"/>
      <c r="MLS19" s="338"/>
      <c r="MLT19" s="338"/>
      <c r="MLU19" s="338"/>
      <c r="MLV19" s="338"/>
      <c r="MLW19" s="338"/>
      <c r="MLX19" s="338"/>
      <c r="MLY19" s="338"/>
      <c r="MLZ19" s="338"/>
      <c r="MMA19" s="338"/>
      <c r="MMB19" s="338"/>
      <c r="MMC19" s="338"/>
      <c r="MMD19" s="338"/>
      <c r="MME19" s="338"/>
      <c r="MMF19" s="338"/>
      <c r="MMG19" s="338"/>
      <c r="MMH19" s="338"/>
      <c r="MMI19" s="338"/>
      <c r="MMJ19" s="338"/>
      <c r="MMK19" s="338"/>
      <c r="MML19" s="338"/>
      <c r="MMM19" s="338"/>
      <c r="MMN19" s="338"/>
      <c r="MMO19" s="338"/>
      <c r="MMP19" s="338"/>
      <c r="MMQ19" s="338"/>
      <c r="MMR19" s="338"/>
      <c r="MMS19" s="338"/>
      <c r="MMT19" s="338"/>
      <c r="MMU19" s="338"/>
      <c r="MMV19" s="338"/>
      <c r="MMW19" s="338"/>
      <c r="MMX19" s="338"/>
      <c r="MMY19" s="338"/>
      <c r="MMZ19" s="338"/>
      <c r="MNA19" s="338"/>
      <c r="MNB19" s="338"/>
      <c r="MNC19" s="338"/>
      <c r="MND19" s="338"/>
      <c r="MNE19" s="338"/>
      <c r="MNF19" s="338"/>
      <c r="MNG19" s="338"/>
      <c r="MNH19" s="338"/>
      <c r="MNI19" s="338"/>
      <c r="MNJ19" s="338"/>
      <c r="MNK19" s="338"/>
      <c r="MNL19" s="338"/>
      <c r="MNM19" s="338"/>
      <c r="MNN19" s="338"/>
      <c r="MNO19" s="338"/>
      <c r="MNP19" s="338"/>
      <c r="MNQ19" s="338"/>
      <c r="MNR19" s="338"/>
      <c r="MNS19" s="338"/>
      <c r="MNT19" s="338"/>
      <c r="MNU19" s="338"/>
      <c r="MNV19" s="338"/>
      <c r="MNW19" s="338"/>
      <c r="MNX19" s="338"/>
      <c r="MNY19" s="338"/>
      <c r="MNZ19" s="338"/>
      <c r="MOA19" s="338"/>
      <c r="MOB19" s="338"/>
      <c r="MOC19" s="338"/>
      <c r="MOD19" s="338"/>
      <c r="MOE19" s="338"/>
      <c r="MOF19" s="338"/>
      <c r="MOG19" s="338"/>
      <c r="MOH19" s="338"/>
      <c r="MOI19" s="338"/>
      <c r="MOJ19" s="338"/>
      <c r="MOK19" s="338"/>
      <c r="MOL19" s="338"/>
      <c r="MOM19" s="338"/>
      <c r="MON19" s="338"/>
      <c r="MOO19" s="338"/>
      <c r="MOP19" s="338"/>
      <c r="MOQ19" s="338"/>
      <c r="MOR19" s="338"/>
      <c r="MOS19" s="338"/>
      <c r="MOT19" s="338"/>
      <c r="MOU19" s="338"/>
      <c r="MOV19" s="338"/>
      <c r="MOW19" s="338"/>
      <c r="MOX19" s="338"/>
      <c r="MOY19" s="338"/>
      <c r="MOZ19" s="338"/>
      <c r="MPA19" s="338"/>
      <c r="MPB19" s="338"/>
      <c r="MPC19" s="338"/>
      <c r="MPD19" s="338"/>
      <c r="MPE19" s="338"/>
      <c r="MPF19" s="338"/>
      <c r="MPG19" s="338"/>
      <c r="MPH19" s="338"/>
      <c r="MPI19" s="338"/>
      <c r="MPJ19" s="338"/>
      <c r="MPK19" s="338"/>
      <c r="MPL19" s="338"/>
      <c r="MPM19" s="338"/>
      <c r="MPN19" s="338"/>
      <c r="MPO19" s="338"/>
      <c r="MPP19" s="338"/>
      <c r="MPQ19" s="338"/>
      <c r="MPR19" s="338"/>
      <c r="MPS19" s="338"/>
      <c r="MPT19" s="338"/>
      <c r="MPU19" s="338"/>
      <c r="MPV19" s="338"/>
      <c r="MPW19" s="338"/>
      <c r="MPX19" s="338"/>
      <c r="MPY19" s="338"/>
      <c r="MPZ19" s="338"/>
      <c r="MQA19" s="338"/>
      <c r="MQB19" s="338"/>
      <c r="MQC19" s="338"/>
      <c r="MQD19" s="338"/>
      <c r="MQE19" s="338"/>
      <c r="MQF19" s="338"/>
      <c r="MQG19" s="338"/>
      <c r="MQH19" s="338"/>
      <c r="MQI19" s="338"/>
      <c r="MQJ19" s="338"/>
      <c r="MQK19" s="338"/>
      <c r="MQL19" s="338"/>
      <c r="MQM19" s="338"/>
      <c r="MQN19" s="338"/>
      <c r="MQO19" s="338"/>
      <c r="MQP19" s="338"/>
      <c r="MQQ19" s="338"/>
      <c r="MQR19" s="338"/>
      <c r="MQS19" s="338"/>
      <c r="MQT19" s="338"/>
      <c r="MQU19" s="338"/>
      <c r="MQV19" s="338"/>
      <c r="MQW19" s="338"/>
      <c r="MQX19" s="338"/>
      <c r="MQY19" s="338"/>
      <c r="MQZ19" s="338"/>
      <c r="MRA19" s="338"/>
      <c r="MRB19" s="338"/>
      <c r="MRC19" s="338"/>
      <c r="MRD19" s="338"/>
      <c r="MRE19" s="338"/>
      <c r="MRF19" s="338"/>
      <c r="MRG19" s="338"/>
      <c r="MRH19" s="338"/>
      <c r="MRI19" s="338"/>
      <c r="MRJ19" s="338"/>
      <c r="MRK19" s="338"/>
      <c r="MRL19" s="338"/>
      <c r="MRM19" s="338"/>
      <c r="MRN19" s="338"/>
      <c r="MRO19" s="338"/>
      <c r="MRP19" s="338"/>
      <c r="MRQ19" s="338"/>
      <c r="MRR19" s="338"/>
      <c r="MRS19" s="338"/>
      <c r="MRT19" s="338"/>
      <c r="MRU19" s="338"/>
      <c r="MRV19" s="338"/>
      <c r="MRW19" s="338"/>
      <c r="MRX19" s="338"/>
      <c r="MRY19" s="338"/>
      <c r="MRZ19" s="338"/>
      <c r="MSA19" s="338"/>
      <c r="MSB19" s="338"/>
      <c r="MSC19" s="338"/>
      <c r="MSD19" s="338"/>
      <c r="MSE19" s="338"/>
      <c r="MSF19" s="338"/>
      <c r="MSG19" s="338"/>
      <c r="MSH19" s="338"/>
      <c r="MSI19" s="338"/>
      <c r="MSJ19" s="338"/>
      <c r="MSK19" s="338"/>
      <c r="MSL19" s="338"/>
      <c r="MSM19" s="338"/>
      <c r="MSN19" s="338"/>
      <c r="MSO19" s="338"/>
      <c r="MSP19" s="338"/>
      <c r="MSQ19" s="338"/>
      <c r="MSR19" s="338"/>
      <c r="MSS19" s="338"/>
      <c r="MST19" s="338"/>
      <c r="MSU19" s="338"/>
      <c r="MSV19" s="338"/>
      <c r="MSW19" s="338"/>
      <c r="MSX19" s="338"/>
      <c r="MSY19" s="338"/>
      <c r="MSZ19" s="338"/>
      <c r="MTA19" s="338"/>
      <c r="MTB19" s="338"/>
      <c r="MTC19" s="338"/>
      <c r="MTD19" s="338"/>
      <c r="MTE19" s="338"/>
      <c r="MTF19" s="338"/>
      <c r="MTG19" s="338"/>
      <c r="MTH19" s="338"/>
      <c r="MTI19" s="338"/>
      <c r="MTJ19" s="338"/>
      <c r="MTK19" s="338"/>
      <c r="MTL19" s="338"/>
      <c r="MTM19" s="338"/>
      <c r="MTN19" s="338"/>
      <c r="MTO19" s="338"/>
      <c r="MTP19" s="338"/>
      <c r="MTQ19" s="338"/>
      <c r="MTR19" s="338"/>
      <c r="MTS19" s="338"/>
      <c r="MTT19" s="338"/>
      <c r="MTU19" s="338"/>
      <c r="MTV19" s="338"/>
      <c r="MTW19" s="338"/>
      <c r="MTX19" s="338"/>
      <c r="MTY19" s="338"/>
      <c r="MTZ19" s="338"/>
      <c r="MUA19" s="338"/>
      <c r="MUB19" s="338"/>
      <c r="MUC19" s="338"/>
      <c r="MUD19" s="338"/>
      <c r="MUE19" s="338"/>
      <c r="MUF19" s="338"/>
      <c r="MUG19" s="338"/>
      <c r="MUH19" s="338"/>
      <c r="MUI19" s="338"/>
      <c r="MUJ19" s="338"/>
      <c r="MUK19" s="338"/>
      <c r="MUL19" s="338"/>
      <c r="MUM19" s="338"/>
      <c r="MUN19" s="338"/>
      <c r="MUO19" s="338"/>
      <c r="MUP19" s="338"/>
      <c r="MUQ19" s="338"/>
      <c r="MUR19" s="338"/>
      <c r="MUS19" s="338"/>
      <c r="MUT19" s="338"/>
      <c r="MUU19" s="338"/>
      <c r="MUV19" s="338"/>
      <c r="MUW19" s="338"/>
      <c r="MUX19" s="338"/>
      <c r="MUY19" s="338"/>
      <c r="MUZ19" s="338"/>
      <c r="MVA19" s="338"/>
      <c r="MVB19" s="338"/>
      <c r="MVC19" s="338"/>
      <c r="MVD19" s="338"/>
      <c r="MVE19" s="338"/>
      <c r="MVF19" s="338"/>
      <c r="MVG19" s="338"/>
      <c r="MVH19" s="338"/>
      <c r="MVI19" s="338"/>
      <c r="MVJ19" s="338"/>
      <c r="MVK19" s="338"/>
      <c r="MVL19" s="338"/>
      <c r="MVM19" s="338"/>
      <c r="MVN19" s="338"/>
      <c r="MVO19" s="338"/>
      <c r="MVP19" s="338"/>
      <c r="MVQ19" s="338"/>
      <c r="MVR19" s="338"/>
      <c r="MVS19" s="338"/>
      <c r="MVT19" s="338"/>
      <c r="MVU19" s="338"/>
      <c r="MVV19" s="338"/>
      <c r="MVW19" s="338"/>
      <c r="MVX19" s="338"/>
      <c r="MVY19" s="338"/>
      <c r="MVZ19" s="338"/>
      <c r="MWA19" s="338"/>
      <c r="MWB19" s="338"/>
      <c r="MWC19" s="338"/>
      <c r="MWD19" s="338"/>
      <c r="MWE19" s="338"/>
      <c r="MWF19" s="338"/>
      <c r="MWG19" s="338"/>
      <c r="MWH19" s="338"/>
      <c r="MWI19" s="338"/>
      <c r="MWJ19" s="338"/>
      <c r="MWK19" s="338"/>
      <c r="MWL19" s="338"/>
      <c r="MWM19" s="338"/>
      <c r="MWN19" s="338"/>
      <c r="MWO19" s="338"/>
      <c r="MWP19" s="338"/>
      <c r="MWQ19" s="338"/>
      <c r="MWR19" s="338"/>
      <c r="MWS19" s="338"/>
      <c r="MWT19" s="338"/>
      <c r="MWU19" s="338"/>
      <c r="MWV19" s="338"/>
      <c r="MWW19" s="338"/>
      <c r="MWX19" s="338"/>
      <c r="MWY19" s="338"/>
      <c r="MWZ19" s="338"/>
      <c r="MXA19" s="338"/>
      <c r="MXB19" s="338"/>
      <c r="MXC19" s="338"/>
      <c r="MXD19" s="338"/>
      <c r="MXE19" s="338"/>
      <c r="MXF19" s="338"/>
      <c r="MXG19" s="338"/>
      <c r="MXH19" s="338"/>
      <c r="MXI19" s="338"/>
      <c r="MXJ19" s="338"/>
      <c r="MXK19" s="338"/>
      <c r="MXL19" s="338"/>
      <c r="MXM19" s="338"/>
      <c r="MXN19" s="338"/>
      <c r="MXO19" s="338"/>
      <c r="MXP19" s="338"/>
      <c r="MXQ19" s="338"/>
      <c r="MXR19" s="338"/>
      <c r="MXS19" s="338"/>
      <c r="MXT19" s="338"/>
      <c r="MXU19" s="338"/>
      <c r="MXV19" s="338"/>
      <c r="MXW19" s="338"/>
      <c r="MXX19" s="338"/>
      <c r="MXY19" s="338"/>
      <c r="MXZ19" s="338"/>
      <c r="MYA19" s="338"/>
      <c r="MYB19" s="338"/>
      <c r="MYC19" s="338"/>
      <c r="MYD19" s="338"/>
      <c r="MYE19" s="338"/>
      <c r="MYF19" s="338"/>
      <c r="MYG19" s="338"/>
      <c r="MYH19" s="338"/>
      <c r="MYI19" s="338"/>
      <c r="MYJ19" s="338"/>
      <c r="MYK19" s="338"/>
      <c r="MYL19" s="338"/>
      <c r="MYM19" s="338"/>
      <c r="MYN19" s="338"/>
      <c r="MYO19" s="338"/>
      <c r="MYP19" s="338"/>
      <c r="MYQ19" s="338"/>
      <c r="MYR19" s="338"/>
      <c r="MYS19" s="338"/>
      <c r="MYT19" s="338"/>
      <c r="MYU19" s="338"/>
      <c r="MYV19" s="338"/>
      <c r="MYW19" s="338"/>
      <c r="MYX19" s="338"/>
      <c r="MYY19" s="338"/>
      <c r="MYZ19" s="338"/>
      <c r="MZA19" s="338"/>
      <c r="MZB19" s="338"/>
      <c r="MZC19" s="338"/>
      <c r="MZD19" s="338"/>
      <c r="MZE19" s="338"/>
      <c r="MZF19" s="338"/>
      <c r="MZG19" s="338"/>
      <c r="MZH19" s="338"/>
      <c r="MZI19" s="338"/>
      <c r="MZJ19" s="338"/>
      <c r="MZK19" s="338"/>
      <c r="MZL19" s="338"/>
      <c r="MZM19" s="338"/>
      <c r="MZN19" s="338"/>
      <c r="MZO19" s="338"/>
      <c r="MZP19" s="338"/>
      <c r="MZQ19" s="338"/>
      <c r="MZR19" s="338"/>
      <c r="MZS19" s="338"/>
      <c r="MZT19" s="338"/>
      <c r="MZU19" s="338"/>
      <c r="MZV19" s="338"/>
      <c r="MZW19" s="338"/>
      <c r="MZX19" s="338"/>
      <c r="MZY19" s="338"/>
      <c r="MZZ19" s="338"/>
      <c r="NAA19" s="338"/>
      <c r="NAB19" s="338"/>
      <c r="NAC19" s="338"/>
      <c r="NAD19" s="338"/>
      <c r="NAE19" s="338"/>
      <c r="NAF19" s="338"/>
      <c r="NAG19" s="338"/>
      <c r="NAH19" s="338"/>
      <c r="NAI19" s="338"/>
      <c r="NAJ19" s="338"/>
      <c r="NAK19" s="338"/>
      <c r="NAL19" s="338"/>
      <c r="NAM19" s="338"/>
      <c r="NAN19" s="338"/>
      <c r="NAO19" s="338"/>
      <c r="NAP19" s="338"/>
      <c r="NAQ19" s="338"/>
      <c r="NAR19" s="338"/>
      <c r="NAS19" s="338"/>
      <c r="NAT19" s="338"/>
      <c r="NAU19" s="338"/>
      <c r="NAV19" s="338"/>
      <c r="NAW19" s="338"/>
      <c r="NAX19" s="338"/>
      <c r="NAY19" s="338"/>
      <c r="NAZ19" s="338"/>
      <c r="NBA19" s="338"/>
      <c r="NBB19" s="338"/>
      <c r="NBC19" s="338"/>
      <c r="NBD19" s="338"/>
      <c r="NBE19" s="338"/>
      <c r="NBF19" s="338"/>
      <c r="NBG19" s="338"/>
      <c r="NBH19" s="338"/>
      <c r="NBI19" s="338"/>
      <c r="NBJ19" s="338"/>
      <c r="NBK19" s="338"/>
      <c r="NBL19" s="338"/>
      <c r="NBM19" s="338"/>
      <c r="NBN19" s="338"/>
      <c r="NBO19" s="338"/>
      <c r="NBP19" s="338"/>
      <c r="NBQ19" s="338"/>
      <c r="NBR19" s="338"/>
      <c r="NBS19" s="338"/>
      <c r="NBT19" s="338"/>
      <c r="NBU19" s="338"/>
      <c r="NBV19" s="338"/>
      <c r="NBW19" s="338"/>
      <c r="NBX19" s="338"/>
      <c r="NBY19" s="338"/>
      <c r="NBZ19" s="338"/>
      <c r="NCA19" s="338"/>
      <c r="NCB19" s="338"/>
      <c r="NCC19" s="338"/>
      <c r="NCD19" s="338"/>
      <c r="NCE19" s="338"/>
      <c r="NCF19" s="338"/>
      <c r="NCG19" s="338"/>
      <c r="NCH19" s="338"/>
      <c r="NCI19" s="338"/>
      <c r="NCJ19" s="338"/>
      <c r="NCK19" s="338"/>
      <c r="NCL19" s="338"/>
      <c r="NCM19" s="338"/>
      <c r="NCN19" s="338"/>
      <c r="NCO19" s="338"/>
      <c r="NCP19" s="338"/>
      <c r="NCQ19" s="338"/>
      <c r="NCR19" s="338"/>
      <c r="NCS19" s="338"/>
      <c r="NCT19" s="338"/>
      <c r="NCU19" s="338"/>
      <c r="NCV19" s="338"/>
      <c r="NCW19" s="338"/>
      <c r="NCX19" s="338"/>
      <c r="NCY19" s="338"/>
      <c r="NCZ19" s="338"/>
      <c r="NDA19" s="338"/>
      <c r="NDB19" s="338"/>
      <c r="NDC19" s="338"/>
      <c r="NDD19" s="338"/>
      <c r="NDE19" s="338"/>
      <c r="NDF19" s="338"/>
      <c r="NDG19" s="338"/>
      <c r="NDH19" s="338"/>
      <c r="NDI19" s="338"/>
      <c r="NDJ19" s="338"/>
      <c r="NDK19" s="338"/>
      <c r="NDL19" s="338"/>
      <c r="NDM19" s="338"/>
      <c r="NDN19" s="338"/>
      <c r="NDO19" s="338"/>
      <c r="NDP19" s="338"/>
      <c r="NDQ19" s="338"/>
      <c r="NDR19" s="338"/>
      <c r="NDS19" s="338"/>
      <c r="NDT19" s="338"/>
      <c r="NDU19" s="338"/>
      <c r="NDV19" s="338"/>
      <c r="NDW19" s="338"/>
      <c r="NDX19" s="338"/>
      <c r="NDY19" s="338"/>
      <c r="NDZ19" s="338"/>
      <c r="NEA19" s="338"/>
      <c r="NEB19" s="338"/>
      <c r="NEC19" s="338"/>
      <c r="NED19" s="338"/>
      <c r="NEE19" s="338"/>
      <c r="NEF19" s="338"/>
      <c r="NEG19" s="338"/>
      <c r="NEH19" s="338"/>
      <c r="NEI19" s="338"/>
      <c r="NEJ19" s="338"/>
      <c r="NEK19" s="338"/>
      <c r="NEL19" s="338"/>
      <c r="NEM19" s="338"/>
      <c r="NEN19" s="338"/>
      <c r="NEO19" s="338"/>
      <c r="NEP19" s="338"/>
      <c r="NEQ19" s="338"/>
      <c r="NER19" s="338"/>
      <c r="NES19" s="338"/>
      <c r="NET19" s="338"/>
      <c r="NEU19" s="338"/>
      <c r="NEV19" s="338"/>
      <c r="NEW19" s="338"/>
      <c r="NEX19" s="338"/>
      <c r="NEY19" s="338"/>
      <c r="NEZ19" s="338"/>
      <c r="NFA19" s="338"/>
      <c r="NFB19" s="338"/>
      <c r="NFC19" s="338"/>
      <c r="NFD19" s="338"/>
      <c r="NFE19" s="338"/>
      <c r="NFF19" s="338"/>
      <c r="NFG19" s="338"/>
      <c r="NFH19" s="338"/>
      <c r="NFI19" s="338"/>
      <c r="NFJ19" s="338"/>
      <c r="NFK19" s="338"/>
      <c r="NFL19" s="338"/>
      <c r="NFM19" s="338"/>
      <c r="NFN19" s="338"/>
      <c r="NFO19" s="338"/>
      <c r="NFP19" s="338"/>
      <c r="NFQ19" s="338"/>
      <c r="NFR19" s="338"/>
      <c r="NFS19" s="338"/>
      <c r="NFT19" s="338"/>
      <c r="NFU19" s="338"/>
      <c r="NFV19" s="338"/>
      <c r="NFW19" s="338"/>
      <c r="NFX19" s="338"/>
      <c r="NFY19" s="338"/>
      <c r="NFZ19" s="338"/>
      <c r="NGA19" s="338"/>
      <c r="NGB19" s="338"/>
      <c r="NGC19" s="338"/>
      <c r="NGD19" s="338"/>
      <c r="NGE19" s="338"/>
      <c r="NGF19" s="338"/>
      <c r="NGG19" s="338"/>
      <c r="NGH19" s="338"/>
      <c r="NGI19" s="338"/>
      <c r="NGJ19" s="338"/>
      <c r="NGK19" s="338"/>
      <c r="NGL19" s="338"/>
      <c r="NGM19" s="338"/>
      <c r="NGN19" s="338"/>
      <c r="NGO19" s="338"/>
      <c r="NGP19" s="338"/>
      <c r="NGQ19" s="338"/>
      <c r="NGR19" s="338"/>
      <c r="NGS19" s="338"/>
      <c r="NGT19" s="338"/>
      <c r="NGU19" s="338"/>
      <c r="NGV19" s="338"/>
      <c r="NGW19" s="338"/>
      <c r="NGX19" s="338"/>
      <c r="NGY19" s="338"/>
      <c r="NGZ19" s="338"/>
      <c r="NHA19" s="338"/>
      <c r="NHB19" s="338"/>
      <c r="NHC19" s="338"/>
      <c r="NHD19" s="338"/>
      <c r="NHE19" s="338"/>
      <c r="NHF19" s="338"/>
      <c r="NHG19" s="338"/>
      <c r="NHH19" s="338"/>
      <c r="NHI19" s="338"/>
      <c r="NHJ19" s="338"/>
      <c r="NHK19" s="338"/>
      <c r="NHL19" s="338"/>
      <c r="NHM19" s="338"/>
      <c r="NHN19" s="338"/>
      <c r="NHO19" s="338"/>
      <c r="NHP19" s="338"/>
      <c r="NHQ19" s="338"/>
      <c r="NHR19" s="338"/>
      <c r="NHS19" s="338"/>
      <c r="NHT19" s="338"/>
      <c r="NHU19" s="338"/>
      <c r="NHV19" s="338"/>
      <c r="NHW19" s="338"/>
      <c r="NHX19" s="338"/>
      <c r="NHY19" s="338"/>
      <c r="NHZ19" s="338"/>
      <c r="NIA19" s="338"/>
      <c r="NIB19" s="338"/>
      <c r="NIC19" s="338"/>
      <c r="NID19" s="338"/>
      <c r="NIE19" s="338"/>
      <c r="NIF19" s="338"/>
      <c r="NIG19" s="338"/>
      <c r="NIH19" s="338"/>
      <c r="NII19" s="338"/>
      <c r="NIJ19" s="338"/>
      <c r="NIK19" s="338"/>
      <c r="NIL19" s="338"/>
      <c r="NIM19" s="338"/>
      <c r="NIN19" s="338"/>
      <c r="NIO19" s="338"/>
      <c r="NIP19" s="338"/>
      <c r="NIQ19" s="338"/>
      <c r="NIR19" s="338"/>
      <c r="NIS19" s="338"/>
      <c r="NIT19" s="338"/>
      <c r="NIU19" s="338"/>
      <c r="NIV19" s="338"/>
      <c r="NIW19" s="338"/>
      <c r="NIX19" s="338"/>
      <c r="NIY19" s="338"/>
      <c r="NIZ19" s="338"/>
      <c r="NJA19" s="338"/>
      <c r="NJB19" s="338"/>
      <c r="NJC19" s="338"/>
      <c r="NJD19" s="338"/>
      <c r="NJE19" s="338"/>
      <c r="NJF19" s="338"/>
      <c r="NJG19" s="338"/>
      <c r="NJH19" s="338"/>
      <c r="NJI19" s="338"/>
      <c r="NJJ19" s="338"/>
      <c r="NJK19" s="338"/>
      <c r="NJL19" s="338"/>
      <c r="NJM19" s="338"/>
      <c r="NJN19" s="338"/>
      <c r="NJO19" s="338"/>
      <c r="NJP19" s="338"/>
      <c r="NJQ19" s="338"/>
      <c r="NJR19" s="338"/>
      <c r="NJS19" s="338"/>
      <c r="NJT19" s="338"/>
      <c r="NJU19" s="338"/>
      <c r="NJV19" s="338"/>
      <c r="NJW19" s="338"/>
      <c r="NJX19" s="338"/>
      <c r="NJY19" s="338"/>
      <c r="NJZ19" s="338"/>
      <c r="NKA19" s="338"/>
      <c r="NKB19" s="338"/>
      <c r="NKC19" s="338"/>
      <c r="NKD19" s="338"/>
      <c r="NKE19" s="338"/>
      <c r="NKF19" s="338"/>
      <c r="NKG19" s="338"/>
      <c r="NKH19" s="338"/>
      <c r="NKI19" s="338"/>
      <c r="NKJ19" s="338"/>
      <c r="NKK19" s="338"/>
      <c r="NKL19" s="338"/>
      <c r="NKM19" s="338"/>
      <c r="NKN19" s="338"/>
      <c r="NKO19" s="338"/>
      <c r="NKP19" s="338"/>
      <c r="NKQ19" s="338"/>
      <c r="NKR19" s="338"/>
      <c r="NKS19" s="338"/>
      <c r="NKT19" s="338"/>
      <c r="NKU19" s="338"/>
      <c r="NKV19" s="338"/>
      <c r="NKW19" s="338"/>
      <c r="NKX19" s="338"/>
      <c r="NKY19" s="338"/>
      <c r="NKZ19" s="338"/>
      <c r="NLA19" s="338"/>
      <c r="NLB19" s="338"/>
      <c r="NLC19" s="338"/>
      <c r="NLD19" s="338"/>
      <c r="NLE19" s="338"/>
      <c r="NLF19" s="338"/>
      <c r="NLG19" s="338"/>
      <c r="NLH19" s="338"/>
      <c r="NLI19" s="338"/>
      <c r="NLJ19" s="338"/>
      <c r="NLK19" s="338"/>
      <c r="NLL19" s="338"/>
      <c r="NLM19" s="338"/>
      <c r="NLN19" s="338"/>
      <c r="NLO19" s="338"/>
      <c r="NLP19" s="338"/>
      <c r="NLQ19" s="338"/>
      <c r="NLR19" s="338"/>
      <c r="NLS19" s="338"/>
      <c r="NLT19" s="338"/>
      <c r="NLU19" s="338"/>
      <c r="NLV19" s="338"/>
      <c r="NLW19" s="338"/>
      <c r="NLX19" s="338"/>
      <c r="NLY19" s="338"/>
      <c r="NLZ19" s="338"/>
      <c r="NMA19" s="338"/>
      <c r="NMB19" s="338"/>
      <c r="NMC19" s="338"/>
      <c r="NMD19" s="338"/>
      <c r="NME19" s="338"/>
      <c r="NMF19" s="338"/>
      <c r="NMG19" s="338"/>
      <c r="NMH19" s="338"/>
      <c r="NMI19" s="338"/>
      <c r="NMJ19" s="338"/>
      <c r="NMK19" s="338"/>
      <c r="NML19" s="338"/>
      <c r="NMM19" s="338"/>
      <c r="NMN19" s="338"/>
      <c r="NMO19" s="338"/>
      <c r="NMP19" s="338"/>
      <c r="NMQ19" s="338"/>
      <c r="NMR19" s="338"/>
      <c r="NMS19" s="338"/>
      <c r="NMT19" s="338"/>
      <c r="NMU19" s="338"/>
      <c r="NMV19" s="338"/>
      <c r="NMW19" s="338"/>
      <c r="NMX19" s="338"/>
      <c r="NMY19" s="338"/>
      <c r="NMZ19" s="338"/>
      <c r="NNA19" s="338"/>
      <c r="NNB19" s="338"/>
      <c r="NNC19" s="338"/>
      <c r="NND19" s="338"/>
      <c r="NNE19" s="338"/>
      <c r="NNF19" s="338"/>
      <c r="NNG19" s="338"/>
      <c r="NNH19" s="338"/>
      <c r="NNI19" s="338"/>
      <c r="NNJ19" s="338"/>
      <c r="NNK19" s="338"/>
      <c r="NNL19" s="338"/>
      <c r="NNM19" s="338"/>
      <c r="NNN19" s="338"/>
      <c r="NNO19" s="338"/>
      <c r="NNP19" s="338"/>
      <c r="NNQ19" s="338"/>
      <c r="NNR19" s="338"/>
      <c r="NNS19" s="338"/>
      <c r="NNT19" s="338"/>
      <c r="NNU19" s="338"/>
      <c r="NNV19" s="338"/>
      <c r="NNW19" s="338"/>
      <c r="NNX19" s="338"/>
      <c r="NNY19" s="338"/>
      <c r="NNZ19" s="338"/>
      <c r="NOA19" s="338"/>
      <c r="NOB19" s="338"/>
      <c r="NOC19" s="338"/>
      <c r="NOD19" s="338"/>
      <c r="NOE19" s="338"/>
      <c r="NOF19" s="338"/>
      <c r="NOG19" s="338"/>
      <c r="NOH19" s="338"/>
      <c r="NOI19" s="338"/>
      <c r="NOJ19" s="338"/>
      <c r="NOK19" s="338"/>
      <c r="NOL19" s="338"/>
      <c r="NOM19" s="338"/>
      <c r="NON19" s="338"/>
      <c r="NOO19" s="338"/>
      <c r="NOP19" s="338"/>
      <c r="NOQ19" s="338"/>
      <c r="NOR19" s="338"/>
      <c r="NOS19" s="338"/>
      <c r="NOT19" s="338"/>
      <c r="NOU19" s="338"/>
      <c r="NOV19" s="338"/>
      <c r="NOW19" s="338"/>
      <c r="NOX19" s="338"/>
      <c r="NOY19" s="338"/>
      <c r="NOZ19" s="338"/>
      <c r="NPA19" s="338"/>
      <c r="NPB19" s="338"/>
      <c r="NPC19" s="338"/>
      <c r="NPD19" s="338"/>
      <c r="NPE19" s="338"/>
      <c r="NPF19" s="338"/>
      <c r="NPG19" s="338"/>
      <c r="NPH19" s="338"/>
      <c r="NPI19" s="338"/>
      <c r="NPJ19" s="338"/>
      <c r="NPK19" s="338"/>
      <c r="NPL19" s="338"/>
      <c r="NPM19" s="338"/>
      <c r="NPN19" s="338"/>
      <c r="NPO19" s="338"/>
      <c r="NPP19" s="338"/>
      <c r="NPQ19" s="338"/>
      <c r="NPR19" s="338"/>
      <c r="NPS19" s="338"/>
      <c r="NPT19" s="338"/>
      <c r="NPU19" s="338"/>
      <c r="NPV19" s="338"/>
      <c r="NPW19" s="338"/>
      <c r="NPX19" s="338"/>
      <c r="NPY19" s="338"/>
      <c r="NPZ19" s="338"/>
      <c r="NQA19" s="338"/>
      <c r="NQB19" s="338"/>
      <c r="NQC19" s="338"/>
      <c r="NQD19" s="338"/>
      <c r="NQE19" s="338"/>
      <c r="NQF19" s="338"/>
      <c r="NQG19" s="338"/>
      <c r="NQH19" s="338"/>
      <c r="NQI19" s="338"/>
      <c r="NQJ19" s="338"/>
      <c r="NQK19" s="338"/>
      <c r="NQL19" s="338"/>
      <c r="NQM19" s="338"/>
      <c r="NQN19" s="338"/>
      <c r="NQO19" s="338"/>
      <c r="NQP19" s="338"/>
      <c r="NQQ19" s="338"/>
      <c r="NQR19" s="338"/>
      <c r="NQS19" s="338"/>
      <c r="NQT19" s="338"/>
      <c r="NQU19" s="338"/>
      <c r="NQV19" s="338"/>
      <c r="NQW19" s="338"/>
      <c r="NQX19" s="338"/>
      <c r="NQY19" s="338"/>
      <c r="NQZ19" s="338"/>
      <c r="NRA19" s="338"/>
      <c r="NRB19" s="338"/>
      <c r="NRC19" s="338"/>
      <c r="NRD19" s="338"/>
      <c r="NRE19" s="338"/>
      <c r="NRF19" s="338"/>
      <c r="NRG19" s="338"/>
      <c r="NRH19" s="338"/>
      <c r="NRI19" s="338"/>
      <c r="NRJ19" s="338"/>
      <c r="NRK19" s="338"/>
      <c r="NRL19" s="338"/>
      <c r="NRM19" s="338"/>
      <c r="NRN19" s="338"/>
      <c r="NRO19" s="338"/>
      <c r="NRP19" s="338"/>
      <c r="NRQ19" s="338"/>
      <c r="NRR19" s="338"/>
      <c r="NRS19" s="338"/>
      <c r="NRT19" s="338"/>
      <c r="NRU19" s="338"/>
      <c r="NRV19" s="338"/>
      <c r="NRW19" s="338"/>
      <c r="NRX19" s="338"/>
      <c r="NRY19" s="338"/>
      <c r="NRZ19" s="338"/>
      <c r="NSA19" s="338"/>
      <c r="NSB19" s="338"/>
      <c r="NSC19" s="338"/>
      <c r="NSD19" s="338"/>
      <c r="NSE19" s="338"/>
      <c r="NSF19" s="338"/>
      <c r="NSG19" s="338"/>
      <c r="NSH19" s="338"/>
      <c r="NSI19" s="338"/>
      <c r="NSJ19" s="338"/>
      <c r="NSK19" s="338"/>
      <c r="NSL19" s="338"/>
      <c r="NSM19" s="338"/>
      <c r="NSN19" s="338"/>
      <c r="NSO19" s="338"/>
      <c r="NSP19" s="338"/>
      <c r="NSQ19" s="338"/>
      <c r="NSR19" s="338"/>
      <c r="NSS19" s="338"/>
      <c r="NST19" s="338"/>
      <c r="NSU19" s="338"/>
      <c r="NSV19" s="338"/>
      <c r="NSW19" s="338"/>
      <c r="NSX19" s="338"/>
      <c r="NSY19" s="338"/>
      <c r="NSZ19" s="338"/>
      <c r="NTA19" s="338"/>
      <c r="NTB19" s="338"/>
      <c r="NTC19" s="338"/>
      <c r="NTD19" s="338"/>
      <c r="NTE19" s="338"/>
      <c r="NTF19" s="338"/>
      <c r="NTG19" s="338"/>
      <c r="NTH19" s="338"/>
      <c r="NTI19" s="338"/>
      <c r="NTJ19" s="338"/>
      <c r="NTK19" s="338"/>
      <c r="NTL19" s="338"/>
      <c r="NTM19" s="338"/>
      <c r="NTN19" s="338"/>
      <c r="NTO19" s="338"/>
      <c r="NTP19" s="338"/>
      <c r="NTQ19" s="338"/>
      <c r="NTR19" s="338"/>
      <c r="NTS19" s="338"/>
      <c r="NTT19" s="338"/>
      <c r="NTU19" s="338"/>
      <c r="NTV19" s="338"/>
      <c r="NTW19" s="338"/>
      <c r="NTX19" s="338"/>
      <c r="NTY19" s="338"/>
      <c r="NTZ19" s="338"/>
      <c r="NUA19" s="338"/>
      <c r="NUB19" s="338"/>
      <c r="NUC19" s="338"/>
      <c r="NUD19" s="338"/>
      <c r="NUE19" s="338"/>
      <c r="NUF19" s="338"/>
      <c r="NUG19" s="338"/>
      <c r="NUH19" s="338"/>
      <c r="NUI19" s="338"/>
      <c r="NUJ19" s="338"/>
      <c r="NUK19" s="338"/>
      <c r="NUL19" s="338"/>
      <c r="NUM19" s="338"/>
      <c r="NUN19" s="338"/>
      <c r="NUO19" s="338"/>
      <c r="NUP19" s="338"/>
      <c r="NUQ19" s="338"/>
      <c r="NUR19" s="338"/>
      <c r="NUS19" s="338"/>
      <c r="NUT19" s="338"/>
      <c r="NUU19" s="338"/>
      <c r="NUV19" s="338"/>
      <c r="NUW19" s="338"/>
      <c r="NUX19" s="338"/>
      <c r="NUY19" s="338"/>
      <c r="NUZ19" s="338"/>
      <c r="NVA19" s="338"/>
      <c r="NVB19" s="338"/>
      <c r="NVC19" s="338"/>
      <c r="NVD19" s="338"/>
      <c r="NVE19" s="338"/>
      <c r="NVF19" s="338"/>
      <c r="NVG19" s="338"/>
      <c r="NVH19" s="338"/>
      <c r="NVI19" s="338"/>
      <c r="NVJ19" s="338"/>
      <c r="NVK19" s="338"/>
      <c r="NVL19" s="338"/>
      <c r="NVM19" s="338"/>
      <c r="NVN19" s="338"/>
      <c r="NVO19" s="338"/>
      <c r="NVP19" s="338"/>
      <c r="NVQ19" s="338"/>
      <c r="NVR19" s="338"/>
      <c r="NVS19" s="338"/>
      <c r="NVT19" s="338"/>
      <c r="NVU19" s="338"/>
      <c r="NVV19" s="338"/>
      <c r="NVW19" s="338"/>
      <c r="NVX19" s="338"/>
      <c r="NVY19" s="338"/>
      <c r="NVZ19" s="338"/>
      <c r="NWA19" s="338"/>
      <c r="NWB19" s="338"/>
      <c r="NWC19" s="338"/>
      <c r="NWD19" s="338"/>
      <c r="NWE19" s="338"/>
      <c r="NWF19" s="338"/>
      <c r="NWG19" s="338"/>
      <c r="NWH19" s="338"/>
      <c r="NWI19" s="338"/>
      <c r="NWJ19" s="338"/>
      <c r="NWK19" s="338"/>
      <c r="NWL19" s="338"/>
      <c r="NWM19" s="338"/>
      <c r="NWN19" s="338"/>
      <c r="NWO19" s="338"/>
      <c r="NWP19" s="338"/>
      <c r="NWQ19" s="338"/>
      <c r="NWR19" s="338"/>
      <c r="NWS19" s="338"/>
      <c r="NWT19" s="338"/>
      <c r="NWU19" s="338"/>
      <c r="NWV19" s="338"/>
      <c r="NWW19" s="338"/>
      <c r="NWX19" s="338"/>
      <c r="NWY19" s="338"/>
      <c r="NWZ19" s="338"/>
      <c r="NXA19" s="338"/>
      <c r="NXB19" s="338"/>
      <c r="NXC19" s="338"/>
      <c r="NXD19" s="338"/>
      <c r="NXE19" s="338"/>
      <c r="NXF19" s="338"/>
      <c r="NXG19" s="338"/>
      <c r="NXH19" s="338"/>
      <c r="NXI19" s="338"/>
      <c r="NXJ19" s="338"/>
      <c r="NXK19" s="338"/>
      <c r="NXL19" s="338"/>
      <c r="NXM19" s="338"/>
      <c r="NXN19" s="338"/>
      <c r="NXO19" s="338"/>
      <c r="NXP19" s="338"/>
      <c r="NXQ19" s="338"/>
      <c r="NXR19" s="338"/>
      <c r="NXS19" s="338"/>
      <c r="NXT19" s="338"/>
      <c r="NXU19" s="338"/>
      <c r="NXV19" s="338"/>
      <c r="NXW19" s="338"/>
      <c r="NXX19" s="338"/>
      <c r="NXY19" s="338"/>
      <c r="NXZ19" s="338"/>
      <c r="NYA19" s="338"/>
      <c r="NYB19" s="338"/>
      <c r="NYC19" s="338"/>
      <c r="NYD19" s="338"/>
      <c r="NYE19" s="338"/>
      <c r="NYF19" s="338"/>
      <c r="NYG19" s="338"/>
      <c r="NYH19" s="338"/>
      <c r="NYI19" s="338"/>
      <c r="NYJ19" s="338"/>
      <c r="NYK19" s="338"/>
      <c r="NYL19" s="338"/>
      <c r="NYM19" s="338"/>
      <c r="NYN19" s="338"/>
      <c r="NYO19" s="338"/>
      <c r="NYP19" s="338"/>
      <c r="NYQ19" s="338"/>
      <c r="NYR19" s="338"/>
      <c r="NYS19" s="338"/>
      <c r="NYT19" s="338"/>
      <c r="NYU19" s="338"/>
      <c r="NYV19" s="338"/>
      <c r="NYW19" s="338"/>
      <c r="NYX19" s="338"/>
      <c r="NYY19" s="338"/>
      <c r="NYZ19" s="338"/>
      <c r="NZA19" s="338"/>
      <c r="NZB19" s="338"/>
      <c r="NZC19" s="338"/>
      <c r="NZD19" s="338"/>
      <c r="NZE19" s="338"/>
      <c r="NZF19" s="338"/>
      <c r="NZG19" s="338"/>
      <c r="NZH19" s="338"/>
      <c r="NZI19" s="338"/>
      <c r="NZJ19" s="338"/>
      <c r="NZK19" s="338"/>
      <c r="NZL19" s="338"/>
      <c r="NZM19" s="338"/>
      <c r="NZN19" s="338"/>
      <c r="NZO19" s="338"/>
      <c r="NZP19" s="338"/>
      <c r="NZQ19" s="338"/>
      <c r="NZR19" s="338"/>
      <c r="NZS19" s="338"/>
      <c r="NZT19" s="338"/>
      <c r="NZU19" s="338"/>
      <c r="NZV19" s="338"/>
      <c r="NZW19" s="338"/>
      <c r="NZX19" s="338"/>
      <c r="NZY19" s="338"/>
      <c r="NZZ19" s="338"/>
      <c r="OAA19" s="338"/>
      <c r="OAB19" s="338"/>
      <c r="OAC19" s="338"/>
      <c r="OAD19" s="338"/>
      <c r="OAE19" s="338"/>
      <c r="OAF19" s="338"/>
      <c r="OAG19" s="338"/>
      <c r="OAH19" s="338"/>
      <c r="OAI19" s="338"/>
      <c r="OAJ19" s="338"/>
      <c r="OAK19" s="338"/>
      <c r="OAL19" s="338"/>
      <c r="OAM19" s="338"/>
      <c r="OAN19" s="338"/>
      <c r="OAO19" s="338"/>
      <c r="OAP19" s="338"/>
      <c r="OAQ19" s="338"/>
      <c r="OAR19" s="338"/>
      <c r="OAS19" s="338"/>
      <c r="OAT19" s="338"/>
      <c r="OAU19" s="338"/>
      <c r="OAV19" s="338"/>
      <c r="OAW19" s="338"/>
      <c r="OAX19" s="338"/>
      <c r="OAY19" s="338"/>
      <c r="OAZ19" s="338"/>
      <c r="OBA19" s="338"/>
      <c r="OBB19" s="338"/>
      <c r="OBC19" s="338"/>
      <c r="OBD19" s="338"/>
      <c r="OBE19" s="338"/>
      <c r="OBF19" s="338"/>
      <c r="OBG19" s="338"/>
      <c r="OBH19" s="338"/>
      <c r="OBI19" s="338"/>
      <c r="OBJ19" s="338"/>
      <c r="OBK19" s="338"/>
      <c r="OBL19" s="338"/>
      <c r="OBM19" s="338"/>
      <c r="OBN19" s="338"/>
      <c r="OBO19" s="338"/>
      <c r="OBP19" s="338"/>
      <c r="OBQ19" s="338"/>
      <c r="OBR19" s="338"/>
      <c r="OBS19" s="338"/>
      <c r="OBT19" s="338"/>
      <c r="OBU19" s="338"/>
      <c r="OBV19" s="338"/>
      <c r="OBW19" s="338"/>
      <c r="OBX19" s="338"/>
      <c r="OBY19" s="338"/>
      <c r="OBZ19" s="338"/>
      <c r="OCA19" s="338"/>
      <c r="OCB19" s="338"/>
      <c r="OCC19" s="338"/>
      <c r="OCD19" s="338"/>
      <c r="OCE19" s="338"/>
      <c r="OCF19" s="338"/>
      <c r="OCG19" s="338"/>
      <c r="OCH19" s="338"/>
      <c r="OCI19" s="338"/>
      <c r="OCJ19" s="338"/>
      <c r="OCK19" s="338"/>
      <c r="OCL19" s="338"/>
      <c r="OCM19" s="338"/>
      <c r="OCN19" s="338"/>
      <c r="OCO19" s="338"/>
      <c r="OCP19" s="338"/>
      <c r="OCQ19" s="338"/>
      <c r="OCR19" s="338"/>
      <c r="OCS19" s="338"/>
      <c r="OCT19" s="338"/>
      <c r="OCU19" s="338"/>
      <c r="OCV19" s="338"/>
      <c r="OCW19" s="338"/>
      <c r="OCX19" s="338"/>
      <c r="OCY19" s="338"/>
      <c r="OCZ19" s="338"/>
      <c r="ODA19" s="338"/>
      <c r="ODB19" s="338"/>
      <c r="ODC19" s="338"/>
      <c r="ODD19" s="338"/>
      <c r="ODE19" s="338"/>
      <c r="ODF19" s="338"/>
      <c r="ODG19" s="338"/>
      <c r="ODH19" s="338"/>
      <c r="ODI19" s="338"/>
      <c r="ODJ19" s="338"/>
      <c r="ODK19" s="338"/>
      <c r="ODL19" s="338"/>
      <c r="ODM19" s="338"/>
      <c r="ODN19" s="338"/>
      <c r="ODO19" s="338"/>
      <c r="ODP19" s="338"/>
      <c r="ODQ19" s="338"/>
      <c r="ODR19" s="338"/>
      <c r="ODS19" s="338"/>
      <c r="ODT19" s="338"/>
      <c r="ODU19" s="338"/>
      <c r="ODV19" s="338"/>
      <c r="ODW19" s="338"/>
      <c r="ODX19" s="338"/>
      <c r="ODY19" s="338"/>
      <c r="ODZ19" s="338"/>
      <c r="OEA19" s="338"/>
      <c r="OEB19" s="338"/>
      <c r="OEC19" s="338"/>
      <c r="OED19" s="338"/>
      <c r="OEE19" s="338"/>
      <c r="OEF19" s="338"/>
      <c r="OEG19" s="338"/>
      <c r="OEH19" s="338"/>
      <c r="OEI19" s="338"/>
      <c r="OEJ19" s="338"/>
      <c r="OEK19" s="338"/>
      <c r="OEL19" s="338"/>
      <c r="OEM19" s="338"/>
      <c r="OEN19" s="338"/>
      <c r="OEO19" s="338"/>
      <c r="OEP19" s="338"/>
      <c r="OEQ19" s="338"/>
      <c r="OER19" s="338"/>
      <c r="OES19" s="338"/>
      <c r="OET19" s="338"/>
      <c r="OEU19" s="338"/>
      <c r="OEV19" s="338"/>
      <c r="OEW19" s="338"/>
      <c r="OEX19" s="338"/>
      <c r="OEY19" s="338"/>
      <c r="OEZ19" s="338"/>
      <c r="OFA19" s="338"/>
      <c r="OFB19" s="338"/>
      <c r="OFC19" s="338"/>
      <c r="OFD19" s="338"/>
      <c r="OFE19" s="338"/>
      <c r="OFF19" s="338"/>
      <c r="OFG19" s="338"/>
      <c r="OFH19" s="338"/>
      <c r="OFI19" s="338"/>
      <c r="OFJ19" s="338"/>
      <c r="OFK19" s="338"/>
      <c r="OFL19" s="338"/>
      <c r="OFM19" s="338"/>
      <c r="OFN19" s="338"/>
      <c r="OFO19" s="338"/>
      <c r="OFP19" s="338"/>
      <c r="OFQ19" s="338"/>
      <c r="OFR19" s="338"/>
      <c r="OFS19" s="338"/>
      <c r="OFT19" s="338"/>
      <c r="OFU19" s="338"/>
      <c r="OFV19" s="338"/>
      <c r="OFW19" s="338"/>
      <c r="OFX19" s="338"/>
      <c r="OFY19" s="338"/>
      <c r="OFZ19" s="338"/>
      <c r="OGA19" s="338"/>
      <c r="OGB19" s="338"/>
      <c r="OGC19" s="338"/>
      <c r="OGD19" s="338"/>
      <c r="OGE19" s="338"/>
      <c r="OGF19" s="338"/>
      <c r="OGG19" s="338"/>
      <c r="OGH19" s="338"/>
      <c r="OGI19" s="338"/>
      <c r="OGJ19" s="338"/>
      <c r="OGK19" s="338"/>
      <c r="OGL19" s="338"/>
      <c r="OGM19" s="338"/>
      <c r="OGN19" s="338"/>
      <c r="OGO19" s="338"/>
      <c r="OGP19" s="338"/>
      <c r="OGQ19" s="338"/>
      <c r="OGR19" s="338"/>
      <c r="OGS19" s="338"/>
      <c r="OGT19" s="338"/>
      <c r="OGU19" s="338"/>
      <c r="OGV19" s="338"/>
      <c r="OGW19" s="338"/>
      <c r="OGX19" s="338"/>
      <c r="OGY19" s="338"/>
      <c r="OGZ19" s="338"/>
      <c r="OHA19" s="338"/>
      <c r="OHB19" s="338"/>
      <c r="OHC19" s="338"/>
      <c r="OHD19" s="338"/>
      <c r="OHE19" s="338"/>
      <c r="OHF19" s="338"/>
      <c r="OHG19" s="338"/>
      <c r="OHH19" s="338"/>
      <c r="OHI19" s="338"/>
      <c r="OHJ19" s="338"/>
      <c r="OHK19" s="338"/>
      <c r="OHL19" s="338"/>
      <c r="OHM19" s="338"/>
      <c r="OHN19" s="338"/>
      <c r="OHO19" s="338"/>
      <c r="OHP19" s="338"/>
      <c r="OHQ19" s="338"/>
      <c r="OHR19" s="338"/>
      <c r="OHS19" s="338"/>
      <c r="OHT19" s="338"/>
      <c r="OHU19" s="338"/>
      <c r="OHV19" s="338"/>
      <c r="OHW19" s="338"/>
      <c r="OHX19" s="338"/>
      <c r="OHY19" s="338"/>
      <c r="OHZ19" s="338"/>
      <c r="OIA19" s="338"/>
      <c r="OIB19" s="338"/>
      <c r="OIC19" s="338"/>
      <c r="OID19" s="338"/>
      <c r="OIE19" s="338"/>
      <c r="OIF19" s="338"/>
      <c r="OIG19" s="338"/>
      <c r="OIH19" s="338"/>
      <c r="OII19" s="338"/>
      <c r="OIJ19" s="338"/>
      <c r="OIK19" s="338"/>
      <c r="OIL19" s="338"/>
      <c r="OIM19" s="338"/>
      <c r="OIN19" s="338"/>
      <c r="OIO19" s="338"/>
      <c r="OIP19" s="338"/>
      <c r="OIQ19" s="338"/>
      <c r="OIR19" s="338"/>
      <c r="OIS19" s="338"/>
      <c r="OIT19" s="338"/>
      <c r="OIU19" s="338"/>
      <c r="OIV19" s="338"/>
      <c r="OIW19" s="338"/>
      <c r="OIX19" s="338"/>
      <c r="OIY19" s="338"/>
      <c r="OIZ19" s="338"/>
      <c r="OJA19" s="338"/>
      <c r="OJB19" s="338"/>
      <c r="OJC19" s="338"/>
      <c r="OJD19" s="338"/>
      <c r="OJE19" s="338"/>
      <c r="OJF19" s="338"/>
      <c r="OJG19" s="338"/>
      <c r="OJH19" s="338"/>
      <c r="OJI19" s="338"/>
      <c r="OJJ19" s="338"/>
      <c r="OJK19" s="338"/>
      <c r="OJL19" s="338"/>
      <c r="OJM19" s="338"/>
      <c r="OJN19" s="338"/>
      <c r="OJO19" s="338"/>
      <c r="OJP19" s="338"/>
      <c r="OJQ19" s="338"/>
      <c r="OJR19" s="338"/>
      <c r="OJS19" s="338"/>
      <c r="OJT19" s="338"/>
      <c r="OJU19" s="338"/>
      <c r="OJV19" s="338"/>
      <c r="OJW19" s="338"/>
      <c r="OJX19" s="338"/>
      <c r="OJY19" s="338"/>
      <c r="OJZ19" s="338"/>
      <c r="OKA19" s="338"/>
      <c r="OKB19" s="338"/>
      <c r="OKC19" s="338"/>
      <c r="OKD19" s="338"/>
      <c r="OKE19" s="338"/>
      <c r="OKF19" s="338"/>
      <c r="OKG19" s="338"/>
      <c r="OKH19" s="338"/>
      <c r="OKI19" s="338"/>
      <c r="OKJ19" s="338"/>
      <c r="OKK19" s="338"/>
      <c r="OKL19" s="338"/>
      <c r="OKM19" s="338"/>
      <c r="OKN19" s="338"/>
      <c r="OKO19" s="338"/>
      <c r="OKP19" s="338"/>
      <c r="OKQ19" s="338"/>
      <c r="OKR19" s="338"/>
      <c r="OKS19" s="338"/>
      <c r="OKT19" s="338"/>
      <c r="OKU19" s="338"/>
      <c r="OKV19" s="338"/>
      <c r="OKW19" s="338"/>
      <c r="OKX19" s="338"/>
      <c r="OKY19" s="338"/>
      <c r="OKZ19" s="338"/>
      <c r="OLA19" s="338"/>
      <c r="OLB19" s="338"/>
      <c r="OLC19" s="338"/>
      <c r="OLD19" s="338"/>
      <c r="OLE19" s="338"/>
      <c r="OLF19" s="338"/>
      <c r="OLG19" s="338"/>
      <c r="OLH19" s="338"/>
      <c r="OLI19" s="338"/>
      <c r="OLJ19" s="338"/>
      <c r="OLK19" s="338"/>
      <c r="OLL19" s="338"/>
      <c r="OLM19" s="338"/>
      <c r="OLN19" s="338"/>
      <c r="OLO19" s="338"/>
      <c r="OLP19" s="338"/>
      <c r="OLQ19" s="338"/>
      <c r="OLR19" s="338"/>
      <c r="OLS19" s="338"/>
      <c r="OLT19" s="338"/>
      <c r="OLU19" s="338"/>
      <c r="OLV19" s="338"/>
      <c r="OLW19" s="338"/>
      <c r="OLX19" s="338"/>
      <c r="OLY19" s="338"/>
      <c r="OLZ19" s="338"/>
      <c r="OMA19" s="338"/>
      <c r="OMB19" s="338"/>
      <c r="OMC19" s="338"/>
      <c r="OMD19" s="338"/>
      <c r="OME19" s="338"/>
      <c r="OMF19" s="338"/>
      <c r="OMG19" s="338"/>
      <c r="OMH19" s="338"/>
      <c r="OMI19" s="338"/>
      <c r="OMJ19" s="338"/>
      <c r="OMK19" s="338"/>
      <c r="OML19" s="338"/>
      <c r="OMM19" s="338"/>
      <c r="OMN19" s="338"/>
      <c r="OMO19" s="338"/>
      <c r="OMP19" s="338"/>
      <c r="OMQ19" s="338"/>
      <c r="OMR19" s="338"/>
      <c r="OMS19" s="338"/>
      <c r="OMT19" s="338"/>
      <c r="OMU19" s="338"/>
      <c r="OMV19" s="338"/>
      <c r="OMW19" s="338"/>
      <c r="OMX19" s="338"/>
      <c r="OMY19" s="338"/>
      <c r="OMZ19" s="338"/>
      <c r="ONA19" s="338"/>
      <c r="ONB19" s="338"/>
      <c r="ONC19" s="338"/>
      <c r="OND19" s="338"/>
      <c r="ONE19" s="338"/>
      <c r="ONF19" s="338"/>
      <c r="ONG19" s="338"/>
      <c r="ONH19" s="338"/>
      <c r="ONI19" s="338"/>
      <c r="ONJ19" s="338"/>
      <c r="ONK19" s="338"/>
      <c r="ONL19" s="338"/>
      <c r="ONM19" s="338"/>
      <c r="ONN19" s="338"/>
      <c r="ONO19" s="338"/>
      <c r="ONP19" s="338"/>
      <c r="ONQ19" s="338"/>
      <c r="ONR19" s="338"/>
      <c r="ONS19" s="338"/>
      <c r="ONT19" s="338"/>
      <c r="ONU19" s="338"/>
      <c r="ONV19" s="338"/>
      <c r="ONW19" s="338"/>
      <c r="ONX19" s="338"/>
      <c r="ONY19" s="338"/>
      <c r="ONZ19" s="338"/>
      <c r="OOA19" s="338"/>
      <c r="OOB19" s="338"/>
      <c r="OOC19" s="338"/>
      <c r="OOD19" s="338"/>
      <c r="OOE19" s="338"/>
      <c r="OOF19" s="338"/>
      <c r="OOG19" s="338"/>
      <c r="OOH19" s="338"/>
      <c r="OOI19" s="338"/>
      <c r="OOJ19" s="338"/>
      <c r="OOK19" s="338"/>
      <c r="OOL19" s="338"/>
      <c r="OOM19" s="338"/>
      <c r="OON19" s="338"/>
      <c r="OOO19" s="338"/>
      <c r="OOP19" s="338"/>
      <c r="OOQ19" s="338"/>
      <c r="OOR19" s="338"/>
      <c r="OOS19" s="338"/>
      <c r="OOT19" s="338"/>
      <c r="OOU19" s="338"/>
      <c r="OOV19" s="338"/>
      <c r="OOW19" s="338"/>
      <c r="OOX19" s="338"/>
      <c r="OOY19" s="338"/>
      <c r="OOZ19" s="338"/>
      <c r="OPA19" s="338"/>
      <c r="OPB19" s="338"/>
      <c r="OPC19" s="338"/>
      <c r="OPD19" s="338"/>
      <c r="OPE19" s="338"/>
      <c r="OPF19" s="338"/>
      <c r="OPG19" s="338"/>
      <c r="OPH19" s="338"/>
      <c r="OPI19" s="338"/>
      <c r="OPJ19" s="338"/>
      <c r="OPK19" s="338"/>
      <c r="OPL19" s="338"/>
      <c r="OPM19" s="338"/>
      <c r="OPN19" s="338"/>
      <c r="OPO19" s="338"/>
      <c r="OPP19" s="338"/>
      <c r="OPQ19" s="338"/>
      <c r="OPR19" s="338"/>
      <c r="OPS19" s="338"/>
      <c r="OPT19" s="338"/>
      <c r="OPU19" s="338"/>
      <c r="OPV19" s="338"/>
      <c r="OPW19" s="338"/>
      <c r="OPX19" s="338"/>
      <c r="OPY19" s="338"/>
      <c r="OPZ19" s="338"/>
      <c r="OQA19" s="338"/>
      <c r="OQB19" s="338"/>
      <c r="OQC19" s="338"/>
      <c r="OQD19" s="338"/>
      <c r="OQE19" s="338"/>
      <c r="OQF19" s="338"/>
      <c r="OQG19" s="338"/>
      <c r="OQH19" s="338"/>
      <c r="OQI19" s="338"/>
      <c r="OQJ19" s="338"/>
      <c r="OQK19" s="338"/>
      <c r="OQL19" s="338"/>
      <c r="OQM19" s="338"/>
      <c r="OQN19" s="338"/>
      <c r="OQO19" s="338"/>
      <c r="OQP19" s="338"/>
      <c r="OQQ19" s="338"/>
      <c r="OQR19" s="338"/>
      <c r="OQS19" s="338"/>
      <c r="OQT19" s="338"/>
      <c r="OQU19" s="338"/>
      <c r="OQV19" s="338"/>
      <c r="OQW19" s="338"/>
      <c r="OQX19" s="338"/>
      <c r="OQY19" s="338"/>
      <c r="OQZ19" s="338"/>
      <c r="ORA19" s="338"/>
      <c r="ORB19" s="338"/>
      <c r="ORC19" s="338"/>
      <c r="ORD19" s="338"/>
      <c r="ORE19" s="338"/>
      <c r="ORF19" s="338"/>
      <c r="ORG19" s="338"/>
      <c r="ORH19" s="338"/>
      <c r="ORI19" s="338"/>
      <c r="ORJ19" s="338"/>
      <c r="ORK19" s="338"/>
      <c r="ORL19" s="338"/>
      <c r="ORM19" s="338"/>
      <c r="ORN19" s="338"/>
      <c r="ORO19" s="338"/>
      <c r="ORP19" s="338"/>
      <c r="ORQ19" s="338"/>
      <c r="ORR19" s="338"/>
      <c r="ORS19" s="338"/>
      <c r="ORT19" s="338"/>
      <c r="ORU19" s="338"/>
      <c r="ORV19" s="338"/>
      <c r="ORW19" s="338"/>
      <c r="ORX19" s="338"/>
      <c r="ORY19" s="338"/>
      <c r="ORZ19" s="338"/>
      <c r="OSA19" s="338"/>
      <c r="OSB19" s="338"/>
      <c r="OSC19" s="338"/>
      <c r="OSD19" s="338"/>
      <c r="OSE19" s="338"/>
      <c r="OSF19" s="338"/>
      <c r="OSG19" s="338"/>
      <c r="OSH19" s="338"/>
      <c r="OSI19" s="338"/>
      <c r="OSJ19" s="338"/>
      <c r="OSK19" s="338"/>
      <c r="OSL19" s="338"/>
      <c r="OSM19" s="338"/>
      <c r="OSN19" s="338"/>
      <c r="OSO19" s="338"/>
      <c r="OSP19" s="338"/>
      <c r="OSQ19" s="338"/>
      <c r="OSR19" s="338"/>
      <c r="OSS19" s="338"/>
      <c r="OST19" s="338"/>
      <c r="OSU19" s="338"/>
      <c r="OSV19" s="338"/>
      <c r="OSW19" s="338"/>
      <c r="OSX19" s="338"/>
      <c r="OSY19" s="338"/>
      <c r="OSZ19" s="338"/>
      <c r="OTA19" s="338"/>
      <c r="OTB19" s="338"/>
      <c r="OTC19" s="338"/>
      <c r="OTD19" s="338"/>
      <c r="OTE19" s="338"/>
      <c r="OTF19" s="338"/>
      <c r="OTG19" s="338"/>
      <c r="OTH19" s="338"/>
      <c r="OTI19" s="338"/>
      <c r="OTJ19" s="338"/>
      <c r="OTK19" s="338"/>
      <c r="OTL19" s="338"/>
      <c r="OTM19" s="338"/>
      <c r="OTN19" s="338"/>
      <c r="OTO19" s="338"/>
      <c r="OTP19" s="338"/>
      <c r="OTQ19" s="338"/>
      <c r="OTR19" s="338"/>
      <c r="OTS19" s="338"/>
      <c r="OTT19" s="338"/>
      <c r="OTU19" s="338"/>
      <c r="OTV19" s="338"/>
      <c r="OTW19" s="338"/>
      <c r="OTX19" s="338"/>
      <c r="OTY19" s="338"/>
      <c r="OTZ19" s="338"/>
      <c r="OUA19" s="338"/>
      <c r="OUB19" s="338"/>
      <c r="OUC19" s="338"/>
      <c r="OUD19" s="338"/>
      <c r="OUE19" s="338"/>
      <c r="OUF19" s="338"/>
      <c r="OUG19" s="338"/>
      <c r="OUH19" s="338"/>
      <c r="OUI19" s="338"/>
      <c r="OUJ19" s="338"/>
      <c r="OUK19" s="338"/>
      <c r="OUL19" s="338"/>
      <c r="OUM19" s="338"/>
      <c r="OUN19" s="338"/>
      <c r="OUO19" s="338"/>
      <c r="OUP19" s="338"/>
      <c r="OUQ19" s="338"/>
      <c r="OUR19" s="338"/>
      <c r="OUS19" s="338"/>
      <c r="OUT19" s="338"/>
      <c r="OUU19" s="338"/>
      <c r="OUV19" s="338"/>
      <c r="OUW19" s="338"/>
      <c r="OUX19" s="338"/>
      <c r="OUY19" s="338"/>
      <c r="OUZ19" s="338"/>
      <c r="OVA19" s="338"/>
      <c r="OVB19" s="338"/>
      <c r="OVC19" s="338"/>
      <c r="OVD19" s="338"/>
      <c r="OVE19" s="338"/>
      <c r="OVF19" s="338"/>
      <c r="OVG19" s="338"/>
      <c r="OVH19" s="338"/>
      <c r="OVI19" s="338"/>
      <c r="OVJ19" s="338"/>
      <c r="OVK19" s="338"/>
      <c r="OVL19" s="338"/>
      <c r="OVM19" s="338"/>
      <c r="OVN19" s="338"/>
      <c r="OVO19" s="338"/>
      <c r="OVP19" s="338"/>
      <c r="OVQ19" s="338"/>
      <c r="OVR19" s="338"/>
      <c r="OVS19" s="338"/>
      <c r="OVT19" s="338"/>
      <c r="OVU19" s="338"/>
      <c r="OVV19" s="338"/>
      <c r="OVW19" s="338"/>
      <c r="OVX19" s="338"/>
      <c r="OVY19" s="338"/>
      <c r="OVZ19" s="338"/>
      <c r="OWA19" s="338"/>
      <c r="OWB19" s="338"/>
      <c r="OWC19" s="338"/>
      <c r="OWD19" s="338"/>
      <c r="OWE19" s="338"/>
      <c r="OWF19" s="338"/>
      <c r="OWG19" s="338"/>
      <c r="OWH19" s="338"/>
      <c r="OWI19" s="338"/>
      <c r="OWJ19" s="338"/>
      <c r="OWK19" s="338"/>
      <c r="OWL19" s="338"/>
      <c r="OWM19" s="338"/>
      <c r="OWN19" s="338"/>
      <c r="OWO19" s="338"/>
      <c r="OWP19" s="338"/>
      <c r="OWQ19" s="338"/>
      <c r="OWR19" s="338"/>
      <c r="OWS19" s="338"/>
      <c r="OWT19" s="338"/>
      <c r="OWU19" s="338"/>
      <c r="OWV19" s="338"/>
      <c r="OWW19" s="338"/>
      <c r="OWX19" s="338"/>
      <c r="OWY19" s="338"/>
      <c r="OWZ19" s="338"/>
      <c r="OXA19" s="338"/>
      <c r="OXB19" s="338"/>
      <c r="OXC19" s="338"/>
      <c r="OXD19" s="338"/>
      <c r="OXE19" s="338"/>
      <c r="OXF19" s="338"/>
      <c r="OXG19" s="338"/>
      <c r="OXH19" s="338"/>
      <c r="OXI19" s="338"/>
      <c r="OXJ19" s="338"/>
      <c r="OXK19" s="338"/>
      <c r="OXL19" s="338"/>
      <c r="OXM19" s="338"/>
      <c r="OXN19" s="338"/>
      <c r="OXO19" s="338"/>
      <c r="OXP19" s="338"/>
      <c r="OXQ19" s="338"/>
      <c r="OXR19" s="338"/>
      <c r="OXS19" s="338"/>
      <c r="OXT19" s="338"/>
      <c r="OXU19" s="338"/>
      <c r="OXV19" s="338"/>
      <c r="OXW19" s="338"/>
      <c r="OXX19" s="338"/>
      <c r="OXY19" s="338"/>
      <c r="OXZ19" s="338"/>
      <c r="OYA19" s="338"/>
      <c r="OYB19" s="338"/>
      <c r="OYC19" s="338"/>
      <c r="OYD19" s="338"/>
      <c r="OYE19" s="338"/>
      <c r="OYF19" s="338"/>
      <c r="OYG19" s="338"/>
      <c r="OYH19" s="338"/>
      <c r="OYI19" s="338"/>
      <c r="OYJ19" s="338"/>
      <c r="OYK19" s="338"/>
      <c r="OYL19" s="338"/>
      <c r="OYM19" s="338"/>
      <c r="OYN19" s="338"/>
      <c r="OYO19" s="338"/>
      <c r="OYP19" s="338"/>
      <c r="OYQ19" s="338"/>
      <c r="OYR19" s="338"/>
      <c r="OYS19" s="338"/>
      <c r="OYT19" s="338"/>
      <c r="OYU19" s="338"/>
      <c r="OYV19" s="338"/>
      <c r="OYW19" s="338"/>
      <c r="OYX19" s="338"/>
      <c r="OYY19" s="338"/>
      <c r="OYZ19" s="338"/>
      <c r="OZA19" s="338"/>
      <c r="OZB19" s="338"/>
      <c r="OZC19" s="338"/>
      <c r="OZD19" s="338"/>
      <c r="OZE19" s="338"/>
      <c r="OZF19" s="338"/>
      <c r="OZG19" s="338"/>
      <c r="OZH19" s="338"/>
      <c r="OZI19" s="338"/>
      <c r="OZJ19" s="338"/>
      <c r="OZK19" s="338"/>
      <c r="OZL19" s="338"/>
      <c r="OZM19" s="338"/>
      <c r="OZN19" s="338"/>
      <c r="OZO19" s="338"/>
      <c r="OZP19" s="338"/>
      <c r="OZQ19" s="338"/>
      <c r="OZR19" s="338"/>
      <c r="OZS19" s="338"/>
      <c r="OZT19" s="338"/>
      <c r="OZU19" s="338"/>
      <c r="OZV19" s="338"/>
      <c r="OZW19" s="338"/>
      <c r="OZX19" s="338"/>
      <c r="OZY19" s="338"/>
      <c r="OZZ19" s="338"/>
      <c r="PAA19" s="338"/>
      <c r="PAB19" s="338"/>
      <c r="PAC19" s="338"/>
      <c r="PAD19" s="338"/>
      <c r="PAE19" s="338"/>
      <c r="PAF19" s="338"/>
      <c r="PAG19" s="338"/>
      <c r="PAH19" s="338"/>
      <c r="PAI19" s="338"/>
      <c r="PAJ19" s="338"/>
      <c r="PAK19" s="338"/>
      <c r="PAL19" s="338"/>
      <c r="PAM19" s="338"/>
      <c r="PAN19" s="338"/>
      <c r="PAO19" s="338"/>
      <c r="PAP19" s="338"/>
      <c r="PAQ19" s="338"/>
      <c r="PAR19" s="338"/>
      <c r="PAS19" s="338"/>
      <c r="PAT19" s="338"/>
      <c r="PAU19" s="338"/>
      <c r="PAV19" s="338"/>
      <c r="PAW19" s="338"/>
      <c r="PAX19" s="338"/>
      <c r="PAY19" s="338"/>
      <c r="PAZ19" s="338"/>
      <c r="PBA19" s="338"/>
      <c r="PBB19" s="338"/>
      <c r="PBC19" s="338"/>
      <c r="PBD19" s="338"/>
      <c r="PBE19" s="338"/>
      <c r="PBF19" s="338"/>
      <c r="PBG19" s="338"/>
      <c r="PBH19" s="338"/>
      <c r="PBI19" s="338"/>
      <c r="PBJ19" s="338"/>
      <c r="PBK19" s="338"/>
      <c r="PBL19" s="338"/>
      <c r="PBM19" s="338"/>
      <c r="PBN19" s="338"/>
      <c r="PBO19" s="338"/>
      <c r="PBP19" s="338"/>
      <c r="PBQ19" s="338"/>
      <c r="PBR19" s="338"/>
      <c r="PBS19" s="338"/>
      <c r="PBT19" s="338"/>
      <c r="PBU19" s="338"/>
      <c r="PBV19" s="338"/>
      <c r="PBW19" s="338"/>
      <c r="PBX19" s="338"/>
      <c r="PBY19" s="338"/>
      <c r="PBZ19" s="338"/>
      <c r="PCA19" s="338"/>
      <c r="PCB19" s="338"/>
      <c r="PCC19" s="338"/>
      <c r="PCD19" s="338"/>
      <c r="PCE19" s="338"/>
      <c r="PCF19" s="338"/>
      <c r="PCG19" s="338"/>
      <c r="PCH19" s="338"/>
      <c r="PCI19" s="338"/>
      <c r="PCJ19" s="338"/>
      <c r="PCK19" s="338"/>
      <c r="PCL19" s="338"/>
      <c r="PCM19" s="338"/>
      <c r="PCN19" s="338"/>
      <c r="PCO19" s="338"/>
      <c r="PCP19" s="338"/>
      <c r="PCQ19" s="338"/>
      <c r="PCR19" s="338"/>
      <c r="PCS19" s="338"/>
      <c r="PCT19" s="338"/>
      <c r="PCU19" s="338"/>
      <c r="PCV19" s="338"/>
      <c r="PCW19" s="338"/>
      <c r="PCX19" s="338"/>
      <c r="PCY19" s="338"/>
      <c r="PCZ19" s="338"/>
      <c r="PDA19" s="338"/>
      <c r="PDB19" s="338"/>
      <c r="PDC19" s="338"/>
      <c r="PDD19" s="338"/>
      <c r="PDE19" s="338"/>
      <c r="PDF19" s="338"/>
      <c r="PDG19" s="338"/>
      <c r="PDH19" s="338"/>
      <c r="PDI19" s="338"/>
      <c r="PDJ19" s="338"/>
      <c r="PDK19" s="338"/>
      <c r="PDL19" s="338"/>
      <c r="PDM19" s="338"/>
      <c r="PDN19" s="338"/>
      <c r="PDO19" s="338"/>
      <c r="PDP19" s="338"/>
      <c r="PDQ19" s="338"/>
      <c r="PDR19" s="338"/>
      <c r="PDS19" s="338"/>
      <c r="PDT19" s="338"/>
      <c r="PDU19" s="338"/>
      <c r="PDV19" s="338"/>
      <c r="PDW19" s="338"/>
      <c r="PDX19" s="338"/>
      <c r="PDY19" s="338"/>
      <c r="PDZ19" s="338"/>
      <c r="PEA19" s="338"/>
      <c r="PEB19" s="338"/>
      <c r="PEC19" s="338"/>
      <c r="PED19" s="338"/>
      <c r="PEE19" s="338"/>
      <c r="PEF19" s="338"/>
      <c r="PEG19" s="338"/>
      <c r="PEH19" s="338"/>
      <c r="PEI19" s="338"/>
      <c r="PEJ19" s="338"/>
      <c r="PEK19" s="338"/>
      <c r="PEL19" s="338"/>
      <c r="PEM19" s="338"/>
      <c r="PEN19" s="338"/>
      <c r="PEO19" s="338"/>
      <c r="PEP19" s="338"/>
      <c r="PEQ19" s="338"/>
      <c r="PER19" s="338"/>
      <c r="PES19" s="338"/>
      <c r="PET19" s="338"/>
      <c r="PEU19" s="338"/>
      <c r="PEV19" s="338"/>
      <c r="PEW19" s="338"/>
      <c r="PEX19" s="338"/>
      <c r="PEY19" s="338"/>
      <c r="PEZ19" s="338"/>
      <c r="PFA19" s="338"/>
      <c r="PFB19" s="338"/>
      <c r="PFC19" s="338"/>
      <c r="PFD19" s="338"/>
      <c r="PFE19" s="338"/>
      <c r="PFF19" s="338"/>
      <c r="PFG19" s="338"/>
      <c r="PFH19" s="338"/>
      <c r="PFI19" s="338"/>
      <c r="PFJ19" s="338"/>
      <c r="PFK19" s="338"/>
      <c r="PFL19" s="338"/>
      <c r="PFM19" s="338"/>
      <c r="PFN19" s="338"/>
      <c r="PFO19" s="338"/>
      <c r="PFP19" s="338"/>
      <c r="PFQ19" s="338"/>
      <c r="PFR19" s="338"/>
      <c r="PFS19" s="338"/>
      <c r="PFT19" s="338"/>
      <c r="PFU19" s="338"/>
      <c r="PFV19" s="338"/>
      <c r="PFW19" s="338"/>
      <c r="PFX19" s="338"/>
      <c r="PFY19" s="338"/>
      <c r="PFZ19" s="338"/>
      <c r="PGA19" s="338"/>
      <c r="PGB19" s="338"/>
      <c r="PGC19" s="338"/>
      <c r="PGD19" s="338"/>
      <c r="PGE19" s="338"/>
      <c r="PGF19" s="338"/>
      <c r="PGG19" s="338"/>
      <c r="PGH19" s="338"/>
      <c r="PGI19" s="338"/>
      <c r="PGJ19" s="338"/>
      <c r="PGK19" s="338"/>
      <c r="PGL19" s="338"/>
      <c r="PGM19" s="338"/>
      <c r="PGN19" s="338"/>
      <c r="PGO19" s="338"/>
      <c r="PGP19" s="338"/>
      <c r="PGQ19" s="338"/>
      <c r="PGR19" s="338"/>
      <c r="PGS19" s="338"/>
      <c r="PGT19" s="338"/>
      <c r="PGU19" s="338"/>
      <c r="PGV19" s="338"/>
      <c r="PGW19" s="338"/>
      <c r="PGX19" s="338"/>
      <c r="PGY19" s="338"/>
      <c r="PGZ19" s="338"/>
      <c r="PHA19" s="338"/>
      <c r="PHB19" s="338"/>
      <c r="PHC19" s="338"/>
      <c r="PHD19" s="338"/>
      <c r="PHE19" s="338"/>
      <c r="PHF19" s="338"/>
      <c r="PHG19" s="338"/>
      <c r="PHH19" s="338"/>
      <c r="PHI19" s="338"/>
      <c r="PHJ19" s="338"/>
      <c r="PHK19" s="338"/>
      <c r="PHL19" s="338"/>
      <c r="PHM19" s="338"/>
      <c r="PHN19" s="338"/>
      <c r="PHO19" s="338"/>
      <c r="PHP19" s="338"/>
      <c r="PHQ19" s="338"/>
      <c r="PHR19" s="338"/>
      <c r="PHS19" s="338"/>
      <c r="PHT19" s="338"/>
      <c r="PHU19" s="338"/>
      <c r="PHV19" s="338"/>
      <c r="PHW19" s="338"/>
      <c r="PHX19" s="338"/>
      <c r="PHY19" s="338"/>
      <c r="PHZ19" s="338"/>
      <c r="PIA19" s="338"/>
      <c r="PIB19" s="338"/>
      <c r="PIC19" s="338"/>
      <c r="PID19" s="338"/>
      <c r="PIE19" s="338"/>
      <c r="PIF19" s="338"/>
      <c r="PIG19" s="338"/>
      <c r="PIH19" s="338"/>
      <c r="PII19" s="338"/>
      <c r="PIJ19" s="338"/>
      <c r="PIK19" s="338"/>
      <c r="PIL19" s="338"/>
      <c r="PIM19" s="338"/>
      <c r="PIN19" s="338"/>
      <c r="PIO19" s="338"/>
      <c r="PIP19" s="338"/>
      <c r="PIQ19" s="338"/>
      <c r="PIR19" s="338"/>
      <c r="PIS19" s="338"/>
      <c r="PIT19" s="338"/>
      <c r="PIU19" s="338"/>
      <c r="PIV19" s="338"/>
      <c r="PIW19" s="338"/>
      <c r="PIX19" s="338"/>
      <c r="PIY19" s="338"/>
      <c r="PIZ19" s="338"/>
      <c r="PJA19" s="338"/>
      <c r="PJB19" s="338"/>
      <c r="PJC19" s="338"/>
      <c r="PJD19" s="338"/>
      <c r="PJE19" s="338"/>
      <c r="PJF19" s="338"/>
      <c r="PJG19" s="338"/>
      <c r="PJH19" s="338"/>
      <c r="PJI19" s="338"/>
      <c r="PJJ19" s="338"/>
      <c r="PJK19" s="338"/>
      <c r="PJL19" s="338"/>
      <c r="PJM19" s="338"/>
      <c r="PJN19" s="338"/>
      <c r="PJO19" s="338"/>
      <c r="PJP19" s="338"/>
      <c r="PJQ19" s="338"/>
      <c r="PJR19" s="338"/>
      <c r="PJS19" s="338"/>
      <c r="PJT19" s="338"/>
      <c r="PJU19" s="338"/>
      <c r="PJV19" s="338"/>
      <c r="PJW19" s="338"/>
      <c r="PJX19" s="338"/>
      <c r="PJY19" s="338"/>
      <c r="PJZ19" s="338"/>
      <c r="PKA19" s="338"/>
      <c r="PKB19" s="338"/>
      <c r="PKC19" s="338"/>
      <c r="PKD19" s="338"/>
      <c r="PKE19" s="338"/>
      <c r="PKF19" s="338"/>
      <c r="PKG19" s="338"/>
      <c r="PKH19" s="338"/>
      <c r="PKI19" s="338"/>
      <c r="PKJ19" s="338"/>
      <c r="PKK19" s="338"/>
      <c r="PKL19" s="338"/>
      <c r="PKM19" s="338"/>
      <c r="PKN19" s="338"/>
      <c r="PKO19" s="338"/>
      <c r="PKP19" s="338"/>
      <c r="PKQ19" s="338"/>
      <c r="PKR19" s="338"/>
      <c r="PKS19" s="338"/>
      <c r="PKT19" s="338"/>
      <c r="PKU19" s="338"/>
      <c r="PKV19" s="338"/>
      <c r="PKW19" s="338"/>
      <c r="PKX19" s="338"/>
      <c r="PKY19" s="338"/>
      <c r="PKZ19" s="338"/>
      <c r="PLA19" s="338"/>
      <c r="PLB19" s="338"/>
      <c r="PLC19" s="338"/>
      <c r="PLD19" s="338"/>
      <c r="PLE19" s="338"/>
      <c r="PLF19" s="338"/>
      <c r="PLG19" s="338"/>
      <c r="PLH19" s="338"/>
      <c r="PLI19" s="338"/>
      <c r="PLJ19" s="338"/>
      <c r="PLK19" s="338"/>
      <c r="PLL19" s="338"/>
      <c r="PLM19" s="338"/>
      <c r="PLN19" s="338"/>
      <c r="PLO19" s="338"/>
      <c r="PLP19" s="338"/>
      <c r="PLQ19" s="338"/>
      <c r="PLR19" s="338"/>
      <c r="PLS19" s="338"/>
      <c r="PLT19" s="338"/>
      <c r="PLU19" s="338"/>
      <c r="PLV19" s="338"/>
      <c r="PLW19" s="338"/>
      <c r="PLX19" s="338"/>
      <c r="PLY19" s="338"/>
      <c r="PLZ19" s="338"/>
      <c r="PMA19" s="338"/>
      <c r="PMB19" s="338"/>
      <c r="PMC19" s="338"/>
      <c r="PMD19" s="338"/>
      <c r="PME19" s="338"/>
      <c r="PMF19" s="338"/>
      <c r="PMG19" s="338"/>
      <c r="PMH19" s="338"/>
      <c r="PMI19" s="338"/>
      <c r="PMJ19" s="338"/>
      <c r="PMK19" s="338"/>
      <c r="PML19" s="338"/>
      <c r="PMM19" s="338"/>
      <c r="PMN19" s="338"/>
      <c r="PMO19" s="338"/>
      <c r="PMP19" s="338"/>
      <c r="PMQ19" s="338"/>
      <c r="PMR19" s="338"/>
      <c r="PMS19" s="338"/>
      <c r="PMT19" s="338"/>
      <c r="PMU19" s="338"/>
      <c r="PMV19" s="338"/>
      <c r="PMW19" s="338"/>
      <c r="PMX19" s="338"/>
      <c r="PMY19" s="338"/>
      <c r="PMZ19" s="338"/>
      <c r="PNA19" s="338"/>
      <c r="PNB19" s="338"/>
      <c r="PNC19" s="338"/>
      <c r="PND19" s="338"/>
      <c r="PNE19" s="338"/>
      <c r="PNF19" s="338"/>
      <c r="PNG19" s="338"/>
      <c r="PNH19" s="338"/>
      <c r="PNI19" s="338"/>
      <c r="PNJ19" s="338"/>
      <c r="PNK19" s="338"/>
      <c r="PNL19" s="338"/>
      <c r="PNM19" s="338"/>
      <c r="PNN19" s="338"/>
      <c r="PNO19" s="338"/>
      <c r="PNP19" s="338"/>
      <c r="PNQ19" s="338"/>
      <c r="PNR19" s="338"/>
      <c r="PNS19" s="338"/>
      <c r="PNT19" s="338"/>
      <c r="PNU19" s="338"/>
      <c r="PNV19" s="338"/>
      <c r="PNW19" s="338"/>
      <c r="PNX19" s="338"/>
      <c r="PNY19" s="338"/>
      <c r="PNZ19" s="338"/>
      <c r="POA19" s="338"/>
      <c r="POB19" s="338"/>
      <c r="POC19" s="338"/>
      <c r="POD19" s="338"/>
      <c r="POE19" s="338"/>
      <c r="POF19" s="338"/>
      <c r="POG19" s="338"/>
      <c r="POH19" s="338"/>
      <c r="POI19" s="338"/>
      <c r="POJ19" s="338"/>
      <c r="POK19" s="338"/>
      <c r="POL19" s="338"/>
      <c r="POM19" s="338"/>
      <c r="PON19" s="338"/>
      <c r="POO19" s="338"/>
      <c r="POP19" s="338"/>
      <c r="POQ19" s="338"/>
      <c r="POR19" s="338"/>
      <c r="POS19" s="338"/>
      <c r="POT19" s="338"/>
      <c r="POU19" s="338"/>
      <c r="POV19" s="338"/>
      <c r="POW19" s="338"/>
      <c r="POX19" s="338"/>
      <c r="POY19" s="338"/>
      <c r="POZ19" s="338"/>
      <c r="PPA19" s="338"/>
      <c r="PPB19" s="338"/>
      <c r="PPC19" s="338"/>
      <c r="PPD19" s="338"/>
      <c r="PPE19" s="338"/>
      <c r="PPF19" s="338"/>
      <c r="PPG19" s="338"/>
      <c r="PPH19" s="338"/>
      <c r="PPI19" s="338"/>
      <c r="PPJ19" s="338"/>
      <c r="PPK19" s="338"/>
      <c r="PPL19" s="338"/>
      <c r="PPM19" s="338"/>
      <c r="PPN19" s="338"/>
      <c r="PPO19" s="338"/>
      <c r="PPP19" s="338"/>
      <c r="PPQ19" s="338"/>
      <c r="PPR19" s="338"/>
      <c r="PPS19" s="338"/>
      <c r="PPT19" s="338"/>
      <c r="PPU19" s="338"/>
      <c r="PPV19" s="338"/>
      <c r="PPW19" s="338"/>
      <c r="PPX19" s="338"/>
      <c r="PPY19" s="338"/>
      <c r="PPZ19" s="338"/>
      <c r="PQA19" s="338"/>
      <c r="PQB19" s="338"/>
      <c r="PQC19" s="338"/>
      <c r="PQD19" s="338"/>
      <c r="PQE19" s="338"/>
      <c r="PQF19" s="338"/>
      <c r="PQG19" s="338"/>
      <c r="PQH19" s="338"/>
      <c r="PQI19" s="338"/>
      <c r="PQJ19" s="338"/>
      <c r="PQK19" s="338"/>
      <c r="PQL19" s="338"/>
      <c r="PQM19" s="338"/>
      <c r="PQN19" s="338"/>
      <c r="PQO19" s="338"/>
      <c r="PQP19" s="338"/>
      <c r="PQQ19" s="338"/>
      <c r="PQR19" s="338"/>
      <c r="PQS19" s="338"/>
      <c r="PQT19" s="338"/>
      <c r="PQU19" s="338"/>
      <c r="PQV19" s="338"/>
      <c r="PQW19" s="338"/>
      <c r="PQX19" s="338"/>
      <c r="PQY19" s="338"/>
      <c r="PQZ19" s="338"/>
      <c r="PRA19" s="338"/>
      <c r="PRB19" s="338"/>
      <c r="PRC19" s="338"/>
      <c r="PRD19" s="338"/>
      <c r="PRE19" s="338"/>
      <c r="PRF19" s="338"/>
      <c r="PRG19" s="338"/>
      <c r="PRH19" s="338"/>
      <c r="PRI19" s="338"/>
      <c r="PRJ19" s="338"/>
      <c r="PRK19" s="338"/>
      <c r="PRL19" s="338"/>
      <c r="PRM19" s="338"/>
      <c r="PRN19" s="338"/>
      <c r="PRO19" s="338"/>
      <c r="PRP19" s="338"/>
      <c r="PRQ19" s="338"/>
      <c r="PRR19" s="338"/>
      <c r="PRS19" s="338"/>
      <c r="PRT19" s="338"/>
      <c r="PRU19" s="338"/>
      <c r="PRV19" s="338"/>
      <c r="PRW19" s="338"/>
      <c r="PRX19" s="338"/>
      <c r="PRY19" s="338"/>
      <c r="PRZ19" s="338"/>
      <c r="PSA19" s="338"/>
      <c r="PSB19" s="338"/>
      <c r="PSC19" s="338"/>
      <c r="PSD19" s="338"/>
      <c r="PSE19" s="338"/>
      <c r="PSF19" s="338"/>
      <c r="PSG19" s="338"/>
      <c r="PSH19" s="338"/>
      <c r="PSI19" s="338"/>
      <c r="PSJ19" s="338"/>
      <c r="PSK19" s="338"/>
      <c r="PSL19" s="338"/>
      <c r="PSM19" s="338"/>
      <c r="PSN19" s="338"/>
      <c r="PSO19" s="338"/>
      <c r="PSP19" s="338"/>
      <c r="PSQ19" s="338"/>
      <c r="PSR19" s="338"/>
      <c r="PSS19" s="338"/>
      <c r="PST19" s="338"/>
      <c r="PSU19" s="338"/>
      <c r="PSV19" s="338"/>
      <c r="PSW19" s="338"/>
      <c r="PSX19" s="338"/>
      <c r="PSY19" s="338"/>
      <c r="PSZ19" s="338"/>
      <c r="PTA19" s="338"/>
      <c r="PTB19" s="338"/>
      <c r="PTC19" s="338"/>
      <c r="PTD19" s="338"/>
      <c r="PTE19" s="338"/>
      <c r="PTF19" s="338"/>
      <c r="PTG19" s="338"/>
      <c r="PTH19" s="338"/>
      <c r="PTI19" s="338"/>
      <c r="PTJ19" s="338"/>
      <c r="PTK19" s="338"/>
      <c r="PTL19" s="338"/>
      <c r="PTM19" s="338"/>
      <c r="PTN19" s="338"/>
      <c r="PTO19" s="338"/>
      <c r="PTP19" s="338"/>
      <c r="PTQ19" s="338"/>
      <c r="PTR19" s="338"/>
      <c r="PTS19" s="338"/>
      <c r="PTT19" s="338"/>
      <c r="PTU19" s="338"/>
      <c r="PTV19" s="338"/>
      <c r="PTW19" s="338"/>
      <c r="PTX19" s="338"/>
      <c r="PTY19" s="338"/>
      <c r="PTZ19" s="338"/>
      <c r="PUA19" s="338"/>
      <c r="PUB19" s="338"/>
      <c r="PUC19" s="338"/>
      <c r="PUD19" s="338"/>
      <c r="PUE19" s="338"/>
      <c r="PUF19" s="338"/>
      <c r="PUG19" s="338"/>
      <c r="PUH19" s="338"/>
      <c r="PUI19" s="338"/>
      <c r="PUJ19" s="338"/>
      <c r="PUK19" s="338"/>
      <c r="PUL19" s="338"/>
      <c r="PUM19" s="338"/>
      <c r="PUN19" s="338"/>
      <c r="PUO19" s="338"/>
      <c r="PUP19" s="338"/>
      <c r="PUQ19" s="338"/>
      <c r="PUR19" s="338"/>
      <c r="PUS19" s="338"/>
      <c r="PUT19" s="338"/>
      <c r="PUU19" s="338"/>
      <c r="PUV19" s="338"/>
      <c r="PUW19" s="338"/>
      <c r="PUX19" s="338"/>
      <c r="PUY19" s="338"/>
      <c r="PUZ19" s="338"/>
      <c r="PVA19" s="338"/>
      <c r="PVB19" s="338"/>
      <c r="PVC19" s="338"/>
      <c r="PVD19" s="338"/>
      <c r="PVE19" s="338"/>
      <c r="PVF19" s="338"/>
      <c r="PVG19" s="338"/>
      <c r="PVH19" s="338"/>
      <c r="PVI19" s="338"/>
      <c r="PVJ19" s="338"/>
      <c r="PVK19" s="338"/>
      <c r="PVL19" s="338"/>
      <c r="PVM19" s="338"/>
      <c r="PVN19" s="338"/>
      <c r="PVO19" s="338"/>
      <c r="PVP19" s="338"/>
      <c r="PVQ19" s="338"/>
      <c r="PVR19" s="338"/>
      <c r="PVS19" s="338"/>
      <c r="PVT19" s="338"/>
      <c r="PVU19" s="338"/>
      <c r="PVV19" s="338"/>
      <c r="PVW19" s="338"/>
      <c r="PVX19" s="338"/>
      <c r="PVY19" s="338"/>
      <c r="PVZ19" s="338"/>
      <c r="PWA19" s="338"/>
      <c r="PWB19" s="338"/>
      <c r="PWC19" s="338"/>
      <c r="PWD19" s="338"/>
      <c r="PWE19" s="338"/>
      <c r="PWF19" s="338"/>
      <c r="PWG19" s="338"/>
      <c r="PWH19" s="338"/>
      <c r="PWI19" s="338"/>
      <c r="PWJ19" s="338"/>
      <c r="PWK19" s="338"/>
      <c r="PWL19" s="338"/>
      <c r="PWM19" s="338"/>
      <c r="PWN19" s="338"/>
      <c r="PWO19" s="338"/>
      <c r="PWP19" s="338"/>
      <c r="PWQ19" s="338"/>
      <c r="PWR19" s="338"/>
      <c r="PWS19" s="338"/>
      <c r="PWT19" s="338"/>
      <c r="PWU19" s="338"/>
      <c r="PWV19" s="338"/>
      <c r="PWW19" s="338"/>
      <c r="PWX19" s="338"/>
      <c r="PWY19" s="338"/>
      <c r="PWZ19" s="338"/>
      <c r="PXA19" s="338"/>
      <c r="PXB19" s="338"/>
      <c r="PXC19" s="338"/>
      <c r="PXD19" s="338"/>
      <c r="PXE19" s="338"/>
      <c r="PXF19" s="338"/>
      <c r="PXG19" s="338"/>
      <c r="PXH19" s="338"/>
      <c r="PXI19" s="338"/>
      <c r="PXJ19" s="338"/>
      <c r="PXK19" s="338"/>
      <c r="PXL19" s="338"/>
      <c r="PXM19" s="338"/>
      <c r="PXN19" s="338"/>
      <c r="PXO19" s="338"/>
      <c r="PXP19" s="338"/>
      <c r="PXQ19" s="338"/>
      <c r="PXR19" s="338"/>
      <c r="PXS19" s="338"/>
      <c r="PXT19" s="338"/>
      <c r="PXU19" s="338"/>
      <c r="PXV19" s="338"/>
      <c r="PXW19" s="338"/>
      <c r="PXX19" s="338"/>
      <c r="PXY19" s="338"/>
      <c r="PXZ19" s="338"/>
      <c r="PYA19" s="338"/>
      <c r="PYB19" s="338"/>
      <c r="PYC19" s="338"/>
      <c r="PYD19" s="338"/>
      <c r="PYE19" s="338"/>
      <c r="PYF19" s="338"/>
      <c r="PYG19" s="338"/>
      <c r="PYH19" s="338"/>
      <c r="PYI19" s="338"/>
      <c r="PYJ19" s="338"/>
      <c r="PYK19" s="338"/>
      <c r="PYL19" s="338"/>
      <c r="PYM19" s="338"/>
      <c r="PYN19" s="338"/>
      <c r="PYO19" s="338"/>
      <c r="PYP19" s="338"/>
      <c r="PYQ19" s="338"/>
      <c r="PYR19" s="338"/>
      <c r="PYS19" s="338"/>
      <c r="PYT19" s="338"/>
      <c r="PYU19" s="338"/>
      <c r="PYV19" s="338"/>
      <c r="PYW19" s="338"/>
      <c r="PYX19" s="338"/>
      <c r="PYY19" s="338"/>
      <c r="PYZ19" s="338"/>
      <c r="PZA19" s="338"/>
      <c r="PZB19" s="338"/>
      <c r="PZC19" s="338"/>
      <c r="PZD19" s="338"/>
      <c r="PZE19" s="338"/>
      <c r="PZF19" s="338"/>
      <c r="PZG19" s="338"/>
      <c r="PZH19" s="338"/>
      <c r="PZI19" s="338"/>
      <c r="PZJ19" s="338"/>
      <c r="PZK19" s="338"/>
      <c r="PZL19" s="338"/>
      <c r="PZM19" s="338"/>
      <c r="PZN19" s="338"/>
      <c r="PZO19" s="338"/>
      <c r="PZP19" s="338"/>
      <c r="PZQ19" s="338"/>
      <c r="PZR19" s="338"/>
      <c r="PZS19" s="338"/>
      <c r="PZT19" s="338"/>
      <c r="PZU19" s="338"/>
      <c r="PZV19" s="338"/>
      <c r="PZW19" s="338"/>
      <c r="PZX19" s="338"/>
      <c r="PZY19" s="338"/>
      <c r="PZZ19" s="338"/>
      <c r="QAA19" s="338"/>
      <c r="QAB19" s="338"/>
      <c r="QAC19" s="338"/>
      <c r="QAD19" s="338"/>
      <c r="QAE19" s="338"/>
      <c r="QAF19" s="338"/>
      <c r="QAG19" s="338"/>
      <c r="QAH19" s="338"/>
      <c r="QAI19" s="338"/>
      <c r="QAJ19" s="338"/>
      <c r="QAK19" s="338"/>
      <c r="QAL19" s="338"/>
      <c r="QAM19" s="338"/>
      <c r="QAN19" s="338"/>
      <c r="QAO19" s="338"/>
      <c r="QAP19" s="338"/>
      <c r="QAQ19" s="338"/>
      <c r="QAR19" s="338"/>
      <c r="QAS19" s="338"/>
      <c r="QAT19" s="338"/>
      <c r="QAU19" s="338"/>
      <c r="QAV19" s="338"/>
      <c r="QAW19" s="338"/>
      <c r="QAX19" s="338"/>
      <c r="QAY19" s="338"/>
      <c r="QAZ19" s="338"/>
      <c r="QBA19" s="338"/>
      <c r="QBB19" s="338"/>
      <c r="QBC19" s="338"/>
      <c r="QBD19" s="338"/>
      <c r="QBE19" s="338"/>
      <c r="QBF19" s="338"/>
      <c r="QBG19" s="338"/>
      <c r="QBH19" s="338"/>
      <c r="QBI19" s="338"/>
      <c r="QBJ19" s="338"/>
      <c r="QBK19" s="338"/>
      <c r="QBL19" s="338"/>
      <c r="QBM19" s="338"/>
      <c r="QBN19" s="338"/>
      <c r="QBO19" s="338"/>
      <c r="QBP19" s="338"/>
      <c r="QBQ19" s="338"/>
      <c r="QBR19" s="338"/>
      <c r="QBS19" s="338"/>
      <c r="QBT19" s="338"/>
      <c r="QBU19" s="338"/>
      <c r="QBV19" s="338"/>
      <c r="QBW19" s="338"/>
      <c r="QBX19" s="338"/>
      <c r="QBY19" s="338"/>
      <c r="QBZ19" s="338"/>
      <c r="QCA19" s="338"/>
      <c r="QCB19" s="338"/>
      <c r="QCC19" s="338"/>
      <c r="QCD19" s="338"/>
      <c r="QCE19" s="338"/>
      <c r="QCF19" s="338"/>
      <c r="QCG19" s="338"/>
      <c r="QCH19" s="338"/>
      <c r="QCI19" s="338"/>
      <c r="QCJ19" s="338"/>
      <c r="QCK19" s="338"/>
      <c r="QCL19" s="338"/>
      <c r="QCM19" s="338"/>
      <c r="QCN19" s="338"/>
      <c r="QCO19" s="338"/>
      <c r="QCP19" s="338"/>
      <c r="QCQ19" s="338"/>
      <c r="QCR19" s="338"/>
      <c r="QCS19" s="338"/>
      <c r="QCT19" s="338"/>
      <c r="QCU19" s="338"/>
      <c r="QCV19" s="338"/>
      <c r="QCW19" s="338"/>
      <c r="QCX19" s="338"/>
      <c r="QCY19" s="338"/>
      <c r="QCZ19" s="338"/>
      <c r="QDA19" s="338"/>
      <c r="QDB19" s="338"/>
      <c r="QDC19" s="338"/>
      <c r="QDD19" s="338"/>
      <c r="QDE19" s="338"/>
      <c r="QDF19" s="338"/>
      <c r="QDG19" s="338"/>
      <c r="QDH19" s="338"/>
      <c r="QDI19" s="338"/>
      <c r="QDJ19" s="338"/>
      <c r="QDK19" s="338"/>
      <c r="QDL19" s="338"/>
      <c r="QDM19" s="338"/>
      <c r="QDN19" s="338"/>
      <c r="QDO19" s="338"/>
      <c r="QDP19" s="338"/>
      <c r="QDQ19" s="338"/>
      <c r="QDR19" s="338"/>
      <c r="QDS19" s="338"/>
      <c r="QDT19" s="338"/>
      <c r="QDU19" s="338"/>
      <c r="QDV19" s="338"/>
      <c r="QDW19" s="338"/>
      <c r="QDX19" s="338"/>
      <c r="QDY19" s="338"/>
      <c r="QDZ19" s="338"/>
      <c r="QEA19" s="338"/>
      <c r="QEB19" s="338"/>
      <c r="QEC19" s="338"/>
      <c r="QED19" s="338"/>
      <c r="QEE19" s="338"/>
      <c r="QEF19" s="338"/>
      <c r="QEG19" s="338"/>
      <c r="QEH19" s="338"/>
      <c r="QEI19" s="338"/>
      <c r="QEJ19" s="338"/>
      <c r="QEK19" s="338"/>
      <c r="QEL19" s="338"/>
      <c r="QEM19" s="338"/>
      <c r="QEN19" s="338"/>
      <c r="QEO19" s="338"/>
      <c r="QEP19" s="338"/>
      <c r="QEQ19" s="338"/>
      <c r="QER19" s="338"/>
      <c r="QES19" s="338"/>
      <c r="QET19" s="338"/>
      <c r="QEU19" s="338"/>
      <c r="QEV19" s="338"/>
      <c r="QEW19" s="338"/>
      <c r="QEX19" s="338"/>
      <c r="QEY19" s="338"/>
      <c r="QEZ19" s="338"/>
      <c r="QFA19" s="338"/>
      <c r="QFB19" s="338"/>
      <c r="QFC19" s="338"/>
      <c r="QFD19" s="338"/>
      <c r="QFE19" s="338"/>
      <c r="QFF19" s="338"/>
      <c r="QFG19" s="338"/>
      <c r="QFH19" s="338"/>
      <c r="QFI19" s="338"/>
      <c r="QFJ19" s="338"/>
      <c r="QFK19" s="338"/>
      <c r="QFL19" s="338"/>
      <c r="QFM19" s="338"/>
      <c r="QFN19" s="338"/>
      <c r="QFO19" s="338"/>
      <c r="QFP19" s="338"/>
      <c r="QFQ19" s="338"/>
      <c r="QFR19" s="338"/>
      <c r="QFS19" s="338"/>
      <c r="QFT19" s="338"/>
      <c r="QFU19" s="338"/>
      <c r="QFV19" s="338"/>
      <c r="QFW19" s="338"/>
      <c r="QFX19" s="338"/>
      <c r="QFY19" s="338"/>
      <c r="QFZ19" s="338"/>
      <c r="QGA19" s="338"/>
      <c r="QGB19" s="338"/>
      <c r="QGC19" s="338"/>
      <c r="QGD19" s="338"/>
      <c r="QGE19" s="338"/>
      <c r="QGF19" s="338"/>
      <c r="QGG19" s="338"/>
      <c r="QGH19" s="338"/>
      <c r="QGI19" s="338"/>
      <c r="QGJ19" s="338"/>
      <c r="QGK19" s="338"/>
      <c r="QGL19" s="338"/>
      <c r="QGM19" s="338"/>
      <c r="QGN19" s="338"/>
      <c r="QGO19" s="338"/>
      <c r="QGP19" s="338"/>
      <c r="QGQ19" s="338"/>
      <c r="QGR19" s="338"/>
      <c r="QGS19" s="338"/>
      <c r="QGT19" s="338"/>
      <c r="QGU19" s="338"/>
      <c r="QGV19" s="338"/>
      <c r="QGW19" s="338"/>
      <c r="QGX19" s="338"/>
      <c r="QGY19" s="338"/>
      <c r="QGZ19" s="338"/>
      <c r="QHA19" s="338"/>
      <c r="QHB19" s="338"/>
      <c r="QHC19" s="338"/>
      <c r="QHD19" s="338"/>
      <c r="QHE19" s="338"/>
      <c r="QHF19" s="338"/>
      <c r="QHG19" s="338"/>
      <c r="QHH19" s="338"/>
      <c r="QHI19" s="338"/>
      <c r="QHJ19" s="338"/>
      <c r="QHK19" s="338"/>
      <c r="QHL19" s="338"/>
      <c r="QHM19" s="338"/>
      <c r="QHN19" s="338"/>
      <c r="QHO19" s="338"/>
      <c r="QHP19" s="338"/>
      <c r="QHQ19" s="338"/>
      <c r="QHR19" s="338"/>
      <c r="QHS19" s="338"/>
      <c r="QHT19" s="338"/>
      <c r="QHU19" s="338"/>
      <c r="QHV19" s="338"/>
      <c r="QHW19" s="338"/>
      <c r="QHX19" s="338"/>
      <c r="QHY19" s="338"/>
      <c r="QHZ19" s="338"/>
      <c r="QIA19" s="338"/>
      <c r="QIB19" s="338"/>
      <c r="QIC19" s="338"/>
      <c r="QID19" s="338"/>
      <c r="QIE19" s="338"/>
      <c r="QIF19" s="338"/>
      <c r="QIG19" s="338"/>
      <c r="QIH19" s="338"/>
      <c r="QII19" s="338"/>
      <c r="QIJ19" s="338"/>
      <c r="QIK19" s="338"/>
      <c r="QIL19" s="338"/>
      <c r="QIM19" s="338"/>
      <c r="QIN19" s="338"/>
      <c r="QIO19" s="338"/>
      <c r="QIP19" s="338"/>
      <c r="QIQ19" s="338"/>
      <c r="QIR19" s="338"/>
      <c r="QIS19" s="338"/>
      <c r="QIT19" s="338"/>
      <c r="QIU19" s="338"/>
      <c r="QIV19" s="338"/>
      <c r="QIW19" s="338"/>
      <c r="QIX19" s="338"/>
      <c r="QIY19" s="338"/>
      <c r="QIZ19" s="338"/>
      <c r="QJA19" s="338"/>
      <c r="QJB19" s="338"/>
      <c r="QJC19" s="338"/>
      <c r="QJD19" s="338"/>
      <c r="QJE19" s="338"/>
      <c r="QJF19" s="338"/>
      <c r="QJG19" s="338"/>
      <c r="QJH19" s="338"/>
      <c r="QJI19" s="338"/>
      <c r="QJJ19" s="338"/>
      <c r="QJK19" s="338"/>
      <c r="QJL19" s="338"/>
      <c r="QJM19" s="338"/>
      <c r="QJN19" s="338"/>
      <c r="QJO19" s="338"/>
      <c r="QJP19" s="338"/>
      <c r="QJQ19" s="338"/>
      <c r="QJR19" s="338"/>
      <c r="QJS19" s="338"/>
      <c r="QJT19" s="338"/>
      <c r="QJU19" s="338"/>
      <c r="QJV19" s="338"/>
      <c r="QJW19" s="338"/>
      <c r="QJX19" s="338"/>
      <c r="QJY19" s="338"/>
      <c r="QJZ19" s="338"/>
      <c r="QKA19" s="338"/>
      <c r="QKB19" s="338"/>
      <c r="QKC19" s="338"/>
      <c r="QKD19" s="338"/>
      <c r="QKE19" s="338"/>
      <c r="QKF19" s="338"/>
      <c r="QKG19" s="338"/>
      <c r="QKH19" s="338"/>
      <c r="QKI19" s="338"/>
      <c r="QKJ19" s="338"/>
      <c r="QKK19" s="338"/>
      <c r="QKL19" s="338"/>
      <c r="QKM19" s="338"/>
      <c r="QKN19" s="338"/>
      <c r="QKO19" s="338"/>
      <c r="QKP19" s="338"/>
      <c r="QKQ19" s="338"/>
      <c r="QKR19" s="338"/>
      <c r="QKS19" s="338"/>
      <c r="QKT19" s="338"/>
      <c r="QKU19" s="338"/>
      <c r="QKV19" s="338"/>
      <c r="QKW19" s="338"/>
      <c r="QKX19" s="338"/>
      <c r="QKY19" s="338"/>
      <c r="QKZ19" s="338"/>
      <c r="QLA19" s="338"/>
      <c r="QLB19" s="338"/>
      <c r="QLC19" s="338"/>
      <c r="QLD19" s="338"/>
      <c r="QLE19" s="338"/>
      <c r="QLF19" s="338"/>
      <c r="QLG19" s="338"/>
      <c r="QLH19" s="338"/>
      <c r="QLI19" s="338"/>
      <c r="QLJ19" s="338"/>
      <c r="QLK19" s="338"/>
      <c r="QLL19" s="338"/>
      <c r="QLM19" s="338"/>
      <c r="QLN19" s="338"/>
      <c r="QLO19" s="338"/>
      <c r="QLP19" s="338"/>
      <c r="QLQ19" s="338"/>
      <c r="QLR19" s="338"/>
      <c r="QLS19" s="338"/>
      <c r="QLT19" s="338"/>
      <c r="QLU19" s="338"/>
      <c r="QLV19" s="338"/>
      <c r="QLW19" s="338"/>
      <c r="QLX19" s="338"/>
      <c r="QLY19" s="338"/>
      <c r="QLZ19" s="338"/>
      <c r="QMA19" s="338"/>
      <c r="QMB19" s="338"/>
      <c r="QMC19" s="338"/>
      <c r="QMD19" s="338"/>
      <c r="QME19" s="338"/>
      <c r="QMF19" s="338"/>
      <c r="QMG19" s="338"/>
      <c r="QMH19" s="338"/>
      <c r="QMI19" s="338"/>
      <c r="QMJ19" s="338"/>
      <c r="QMK19" s="338"/>
      <c r="QML19" s="338"/>
      <c r="QMM19" s="338"/>
      <c r="QMN19" s="338"/>
      <c r="QMO19" s="338"/>
      <c r="QMP19" s="338"/>
      <c r="QMQ19" s="338"/>
      <c r="QMR19" s="338"/>
      <c r="QMS19" s="338"/>
      <c r="QMT19" s="338"/>
      <c r="QMU19" s="338"/>
      <c r="QMV19" s="338"/>
      <c r="QMW19" s="338"/>
      <c r="QMX19" s="338"/>
      <c r="QMY19" s="338"/>
      <c r="QMZ19" s="338"/>
      <c r="QNA19" s="338"/>
      <c r="QNB19" s="338"/>
      <c r="QNC19" s="338"/>
      <c r="QND19" s="338"/>
      <c r="QNE19" s="338"/>
      <c r="QNF19" s="338"/>
      <c r="QNG19" s="338"/>
      <c r="QNH19" s="338"/>
      <c r="QNI19" s="338"/>
      <c r="QNJ19" s="338"/>
      <c r="QNK19" s="338"/>
      <c r="QNL19" s="338"/>
      <c r="QNM19" s="338"/>
      <c r="QNN19" s="338"/>
      <c r="QNO19" s="338"/>
      <c r="QNP19" s="338"/>
      <c r="QNQ19" s="338"/>
      <c r="QNR19" s="338"/>
      <c r="QNS19" s="338"/>
      <c r="QNT19" s="338"/>
      <c r="QNU19" s="338"/>
      <c r="QNV19" s="338"/>
      <c r="QNW19" s="338"/>
      <c r="QNX19" s="338"/>
      <c r="QNY19" s="338"/>
      <c r="QNZ19" s="338"/>
      <c r="QOA19" s="338"/>
      <c r="QOB19" s="338"/>
      <c r="QOC19" s="338"/>
      <c r="QOD19" s="338"/>
      <c r="QOE19" s="338"/>
      <c r="QOF19" s="338"/>
      <c r="QOG19" s="338"/>
      <c r="QOH19" s="338"/>
      <c r="QOI19" s="338"/>
      <c r="QOJ19" s="338"/>
      <c r="QOK19" s="338"/>
      <c r="QOL19" s="338"/>
      <c r="QOM19" s="338"/>
      <c r="QON19" s="338"/>
      <c r="QOO19" s="338"/>
      <c r="QOP19" s="338"/>
      <c r="QOQ19" s="338"/>
      <c r="QOR19" s="338"/>
      <c r="QOS19" s="338"/>
      <c r="QOT19" s="338"/>
      <c r="QOU19" s="338"/>
      <c r="QOV19" s="338"/>
      <c r="QOW19" s="338"/>
      <c r="QOX19" s="338"/>
      <c r="QOY19" s="338"/>
      <c r="QOZ19" s="338"/>
      <c r="QPA19" s="338"/>
      <c r="QPB19" s="338"/>
      <c r="QPC19" s="338"/>
      <c r="QPD19" s="338"/>
      <c r="QPE19" s="338"/>
      <c r="QPF19" s="338"/>
      <c r="QPG19" s="338"/>
      <c r="QPH19" s="338"/>
      <c r="QPI19" s="338"/>
      <c r="QPJ19" s="338"/>
      <c r="QPK19" s="338"/>
      <c r="QPL19" s="338"/>
      <c r="QPM19" s="338"/>
      <c r="QPN19" s="338"/>
      <c r="QPO19" s="338"/>
      <c r="QPP19" s="338"/>
      <c r="QPQ19" s="338"/>
      <c r="QPR19" s="338"/>
      <c r="QPS19" s="338"/>
      <c r="QPT19" s="338"/>
      <c r="QPU19" s="338"/>
      <c r="QPV19" s="338"/>
      <c r="QPW19" s="338"/>
      <c r="QPX19" s="338"/>
      <c r="QPY19" s="338"/>
      <c r="QPZ19" s="338"/>
      <c r="QQA19" s="338"/>
      <c r="QQB19" s="338"/>
      <c r="QQC19" s="338"/>
      <c r="QQD19" s="338"/>
      <c r="QQE19" s="338"/>
      <c r="QQF19" s="338"/>
      <c r="QQG19" s="338"/>
      <c r="QQH19" s="338"/>
      <c r="QQI19" s="338"/>
      <c r="QQJ19" s="338"/>
      <c r="QQK19" s="338"/>
      <c r="QQL19" s="338"/>
      <c r="QQM19" s="338"/>
      <c r="QQN19" s="338"/>
      <c r="QQO19" s="338"/>
      <c r="QQP19" s="338"/>
      <c r="QQQ19" s="338"/>
      <c r="QQR19" s="338"/>
      <c r="QQS19" s="338"/>
      <c r="QQT19" s="338"/>
      <c r="QQU19" s="338"/>
      <c r="QQV19" s="338"/>
      <c r="QQW19" s="338"/>
      <c r="QQX19" s="338"/>
      <c r="QQY19" s="338"/>
      <c r="QQZ19" s="338"/>
      <c r="QRA19" s="338"/>
      <c r="QRB19" s="338"/>
      <c r="QRC19" s="338"/>
      <c r="QRD19" s="338"/>
      <c r="QRE19" s="338"/>
      <c r="QRF19" s="338"/>
      <c r="QRG19" s="338"/>
      <c r="QRH19" s="338"/>
      <c r="QRI19" s="338"/>
      <c r="QRJ19" s="338"/>
      <c r="QRK19" s="338"/>
      <c r="QRL19" s="338"/>
      <c r="QRM19" s="338"/>
      <c r="QRN19" s="338"/>
      <c r="QRO19" s="338"/>
      <c r="QRP19" s="338"/>
      <c r="QRQ19" s="338"/>
      <c r="QRR19" s="338"/>
      <c r="QRS19" s="338"/>
      <c r="QRT19" s="338"/>
      <c r="QRU19" s="338"/>
      <c r="QRV19" s="338"/>
      <c r="QRW19" s="338"/>
      <c r="QRX19" s="338"/>
      <c r="QRY19" s="338"/>
      <c r="QRZ19" s="338"/>
      <c r="QSA19" s="338"/>
      <c r="QSB19" s="338"/>
      <c r="QSC19" s="338"/>
      <c r="QSD19" s="338"/>
      <c r="QSE19" s="338"/>
      <c r="QSF19" s="338"/>
      <c r="QSG19" s="338"/>
      <c r="QSH19" s="338"/>
      <c r="QSI19" s="338"/>
      <c r="QSJ19" s="338"/>
      <c r="QSK19" s="338"/>
      <c r="QSL19" s="338"/>
      <c r="QSM19" s="338"/>
      <c r="QSN19" s="338"/>
      <c r="QSO19" s="338"/>
      <c r="QSP19" s="338"/>
      <c r="QSQ19" s="338"/>
      <c r="QSR19" s="338"/>
      <c r="QSS19" s="338"/>
      <c r="QST19" s="338"/>
      <c r="QSU19" s="338"/>
      <c r="QSV19" s="338"/>
      <c r="QSW19" s="338"/>
      <c r="QSX19" s="338"/>
      <c r="QSY19" s="338"/>
      <c r="QSZ19" s="338"/>
      <c r="QTA19" s="338"/>
      <c r="QTB19" s="338"/>
      <c r="QTC19" s="338"/>
      <c r="QTD19" s="338"/>
      <c r="QTE19" s="338"/>
      <c r="QTF19" s="338"/>
      <c r="QTG19" s="338"/>
      <c r="QTH19" s="338"/>
      <c r="QTI19" s="338"/>
      <c r="QTJ19" s="338"/>
      <c r="QTK19" s="338"/>
      <c r="QTL19" s="338"/>
      <c r="QTM19" s="338"/>
      <c r="QTN19" s="338"/>
      <c r="QTO19" s="338"/>
      <c r="QTP19" s="338"/>
      <c r="QTQ19" s="338"/>
      <c r="QTR19" s="338"/>
      <c r="QTS19" s="338"/>
      <c r="QTT19" s="338"/>
      <c r="QTU19" s="338"/>
      <c r="QTV19" s="338"/>
      <c r="QTW19" s="338"/>
      <c r="QTX19" s="338"/>
      <c r="QTY19" s="338"/>
      <c r="QTZ19" s="338"/>
      <c r="QUA19" s="338"/>
      <c r="QUB19" s="338"/>
      <c r="QUC19" s="338"/>
      <c r="QUD19" s="338"/>
      <c r="QUE19" s="338"/>
      <c r="QUF19" s="338"/>
      <c r="QUG19" s="338"/>
      <c r="QUH19" s="338"/>
      <c r="QUI19" s="338"/>
      <c r="QUJ19" s="338"/>
      <c r="QUK19" s="338"/>
      <c r="QUL19" s="338"/>
      <c r="QUM19" s="338"/>
      <c r="QUN19" s="338"/>
      <c r="QUO19" s="338"/>
      <c r="QUP19" s="338"/>
      <c r="QUQ19" s="338"/>
      <c r="QUR19" s="338"/>
      <c r="QUS19" s="338"/>
      <c r="QUT19" s="338"/>
      <c r="QUU19" s="338"/>
      <c r="QUV19" s="338"/>
      <c r="QUW19" s="338"/>
      <c r="QUX19" s="338"/>
      <c r="QUY19" s="338"/>
      <c r="QUZ19" s="338"/>
      <c r="QVA19" s="338"/>
      <c r="QVB19" s="338"/>
      <c r="QVC19" s="338"/>
      <c r="QVD19" s="338"/>
      <c r="QVE19" s="338"/>
      <c r="QVF19" s="338"/>
      <c r="QVG19" s="338"/>
      <c r="QVH19" s="338"/>
      <c r="QVI19" s="338"/>
      <c r="QVJ19" s="338"/>
      <c r="QVK19" s="338"/>
      <c r="QVL19" s="338"/>
      <c r="QVM19" s="338"/>
      <c r="QVN19" s="338"/>
      <c r="QVO19" s="338"/>
      <c r="QVP19" s="338"/>
      <c r="QVQ19" s="338"/>
      <c r="QVR19" s="338"/>
      <c r="QVS19" s="338"/>
      <c r="QVT19" s="338"/>
      <c r="QVU19" s="338"/>
      <c r="QVV19" s="338"/>
      <c r="QVW19" s="338"/>
      <c r="QVX19" s="338"/>
      <c r="QVY19" s="338"/>
      <c r="QVZ19" s="338"/>
      <c r="QWA19" s="338"/>
      <c r="QWB19" s="338"/>
      <c r="QWC19" s="338"/>
      <c r="QWD19" s="338"/>
      <c r="QWE19" s="338"/>
      <c r="QWF19" s="338"/>
      <c r="QWG19" s="338"/>
      <c r="QWH19" s="338"/>
      <c r="QWI19" s="338"/>
      <c r="QWJ19" s="338"/>
      <c r="QWK19" s="338"/>
      <c r="QWL19" s="338"/>
      <c r="QWM19" s="338"/>
      <c r="QWN19" s="338"/>
      <c r="QWO19" s="338"/>
      <c r="QWP19" s="338"/>
      <c r="QWQ19" s="338"/>
      <c r="QWR19" s="338"/>
      <c r="QWS19" s="338"/>
      <c r="QWT19" s="338"/>
      <c r="QWU19" s="338"/>
      <c r="QWV19" s="338"/>
      <c r="QWW19" s="338"/>
      <c r="QWX19" s="338"/>
      <c r="QWY19" s="338"/>
      <c r="QWZ19" s="338"/>
      <c r="QXA19" s="338"/>
      <c r="QXB19" s="338"/>
      <c r="QXC19" s="338"/>
      <c r="QXD19" s="338"/>
      <c r="QXE19" s="338"/>
      <c r="QXF19" s="338"/>
      <c r="QXG19" s="338"/>
      <c r="QXH19" s="338"/>
      <c r="QXI19" s="338"/>
      <c r="QXJ19" s="338"/>
      <c r="QXK19" s="338"/>
      <c r="QXL19" s="338"/>
      <c r="QXM19" s="338"/>
      <c r="QXN19" s="338"/>
      <c r="QXO19" s="338"/>
      <c r="QXP19" s="338"/>
      <c r="QXQ19" s="338"/>
      <c r="QXR19" s="338"/>
      <c r="QXS19" s="338"/>
      <c r="QXT19" s="338"/>
      <c r="QXU19" s="338"/>
      <c r="QXV19" s="338"/>
      <c r="QXW19" s="338"/>
      <c r="QXX19" s="338"/>
      <c r="QXY19" s="338"/>
      <c r="QXZ19" s="338"/>
      <c r="QYA19" s="338"/>
      <c r="QYB19" s="338"/>
      <c r="QYC19" s="338"/>
      <c r="QYD19" s="338"/>
      <c r="QYE19" s="338"/>
      <c r="QYF19" s="338"/>
      <c r="QYG19" s="338"/>
      <c r="QYH19" s="338"/>
      <c r="QYI19" s="338"/>
      <c r="QYJ19" s="338"/>
      <c r="QYK19" s="338"/>
      <c r="QYL19" s="338"/>
      <c r="QYM19" s="338"/>
      <c r="QYN19" s="338"/>
      <c r="QYO19" s="338"/>
      <c r="QYP19" s="338"/>
      <c r="QYQ19" s="338"/>
      <c r="QYR19" s="338"/>
      <c r="QYS19" s="338"/>
      <c r="QYT19" s="338"/>
      <c r="QYU19" s="338"/>
      <c r="QYV19" s="338"/>
      <c r="QYW19" s="338"/>
      <c r="QYX19" s="338"/>
      <c r="QYY19" s="338"/>
      <c r="QYZ19" s="338"/>
      <c r="QZA19" s="338"/>
      <c r="QZB19" s="338"/>
      <c r="QZC19" s="338"/>
      <c r="QZD19" s="338"/>
      <c r="QZE19" s="338"/>
      <c r="QZF19" s="338"/>
      <c r="QZG19" s="338"/>
      <c r="QZH19" s="338"/>
      <c r="QZI19" s="338"/>
      <c r="QZJ19" s="338"/>
      <c r="QZK19" s="338"/>
      <c r="QZL19" s="338"/>
      <c r="QZM19" s="338"/>
      <c r="QZN19" s="338"/>
      <c r="QZO19" s="338"/>
      <c r="QZP19" s="338"/>
      <c r="QZQ19" s="338"/>
      <c r="QZR19" s="338"/>
      <c r="QZS19" s="338"/>
      <c r="QZT19" s="338"/>
      <c r="QZU19" s="338"/>
      <c r="QZV19" s="338"/>
      <c r="QZW19" s="338"/>
      <c r="QZX19" s="338"/>
      <c r="QZY19" s="338"/>
      <c r="QZZ19" s="338"/>
      <c r="RAA19" s="338"/>
      <c r="RAB19" s="338"/>
      <c r="RAC19" s="338"/>
      <c r="RAD19" s="338"/>
      <c r="RAE19" s="338"/>
      <c r="RAF19" s="338"/>
      <c r="RAG19" s="338"/>
      <c r="RAH19" s="338"/>
      <c r="RAI19" s="338"/>
      <c r="RAJ19" s="338"/>
      <c r="RAK19" s="338"/>
      <c r="RAL19" s="338"/>
      <c r="RAM19" s="338"/>
      <c r="RAN19" s="338"/>
      <c r="RAO19" s="338"/>
      <c r="RAP19" s="338"/>
      <c r="RAQ19" s="338"/>
      <c r="RAR19" s="338"/>
      <c r="RAS19" s="338"/>
      <c r="RAT19" s="338"/>
      <c r="RAU19" s="338"/>
      <c r="RAV19" s="338"/>
      <c r="RAW19" s="338"/>
      <c r="RAX19" s="338"/>
      <c r="RAY19" s="338"/>
      <c r="RAZ19" s="338"/>
      <c r="RBA19" s="338"/>
      <c r="RBB19" s="338"/>
      <c r="RBC19" s="338"/>
      <c r="RBD19" s="338"/>
      <c r="RBE19" s="338"/>
      <c r="RBF19" s="338"/>
      <c r="RBG19" s="338"/>
      <c r="RBH19" s="338"/>
      <c r="RBI19" s="338"/>
      <c r="RBJ19" s="338"/>
      <c r="RBK19" s="338"/>
      <c r="RBL19" s="338"/>
      <c r="RBM19" s="338"/>
      <c r="RBN19" s="338"/>
      <c r="RBO19" s="338"/>
      <c r="RBP19" s="338"/>
      <c r="RBQ19" s="338"/>
      <c r="RBR19" s="338"/>
      <c r="RBS19" s="338"/>
      <c r="RBT19" s="338"/>
      <c r="RBU19" s="338"/>
      <c r="RBV19" s="338"/>
      <c r="RBW19" s="338"/>
      <c r="RBX19" s="338"/>
      <c r="RBY19" s="338"/>
      <c r="RBZ19" s="338"/>
      <c r="RCA19" s="338"/>
      <c r="RCB19" s="338"/>
      <c r="RCC19" s="338"/>
      <c r="RCD19" s="338"/>
      <c r="RCE19" s="338"/>
      <c r="RCF19" s="338"/>
      <c r="RCG19" s="338"/>
      <c r="RCH19" s="338"/>
      <c r="RCI19" s="338"/>
      <c r="RCJ19" s="338"/>
      <c r="RCK19" s="338"/>
      <c r="RCL19" s="338"/>
      <c r="RCM19" s="338"/>
      <c r="RCN19" s="338"/>
      <c r="RCO19" s="338"/>
      <c r="RCP19" s="338"/>
      <c r="RCQ19" s="338"/>
      <c r="RCR19" s="338"/>
      <c r="RCS19" s="338"/>
      <c r="RCT19" s="338"/>
      <c r="RCU19" s="338"/>
      <c r="RCV19" s="338"/>
      <c r="RCW19" s="338"/>
      <c r="RCX19" s="338"/>
      <c r="RCY19" s="338"/>
      <c r="RCZ19" s="338"/>
      <c r="RDA19" s="338"/>
      <c r="RDB19" s="338"/>
      <c r="RDC19" s="338"/>
      <c r="RDD19" s="338"/>
      <c r="RDE19" s="338"/>
      <c r="RDF19" s="338"/>
      <c r="RDG19" s="338"/>
      <c r="RDH19" s="338"/>
      <c r="RDI19" s="338"/>
      <c r="RDJ19" s="338"/>
      <c r="RDK19" s="338"/>
      <c r="RDL19" s="338"/>
      <c r="RDM19" s="338"/>
      <c r="RDN19" s="338"/>
      <c r="RDO19" s="338"/>
      <c r="RDP19" s="338"/>
      <c r="RDQ19" s="338"/>
      <c r="RDR19" s="338"/>
      <c r="RDS19" s="338"/>
      <c r="RDT19" s="338"/>
      <c r="RDU19" s="338"/>
      <c r="RDV19" s="338"/>
      <c r="RDW19" s="338"/>
      <c r="RDX19" s="338"/>
      <c r="RDY19" s="338"/>
      <c r="RDZ19" s="338"/>
      <c r="REA19" s="338"/>
      <c r="REB19" s="338"/>
      <c r="REC19" s="338"/>
      <c r="RED19" s="338"/>
      <c r="REE19" s="338"/>
      <c r="REF19" s="338"/>
      <c r="REG19" s="338"/>
      <c r="REH19" s="338"/>
      <c r="REI19" s="338"/>
      <c r="REJ19" s="338"/>
      <c r="REK19" s="338"/>
      <c r="REL19" s="338"/>
      <c r="REM19" s="338"/>
      <c r="REN19" s="338"/>
      <c r="REO19" s="338"/>
      <c r="REP19" s="338"/>
      <c r="REQ19" s="338"/>
      <c r="RER19" s="338"/>
      <c r="RES19" s="338"/>
      <c r="RET19" s="338"/>
      <c r="REU19" s="338"/>
      <c r="REV19" s="338"/>
      <c r="REW19" s="338"/>
      <c r="REX19" s="338"/>
      <c r="REY19" s="338"/>
      <c r="REZ19" s="338"/>
      <c r="RFA19" s="338"/>
      <c r="RFB19" s="338"/>
      <c r="RFC19" s="338"/>
      <c r="RFD19" s="338"/>
      <c r="RFE19" s="338"/>
      <c r="RFF19" s="338"/>
      <c r="RFG19" s="338"/>
      <c r="RFH19" s="338"/>
      <c r="RFI19" s="338"/>
      <c r="RFJ19" s="338"/>
      <c r="RFK19" s="338"/>
      <c r="RFL19" s="338"/>
      <c r="RFM19" s="338"/>
      <c r="RFN19" s="338"/>
      <c r="RFO19" s="338"/>
      <c r="RFP19" s="338"/>
      <c r="RFQ19" s="338"/>
      <c r="RFR19" s="338"/>
      <c r="RFS19" s="338"/>
      <c r="RFT19" s="338"/>
      <c r="RFU19" s="338"/>
      <c r="RFV19" s="338"/>
      <c r="RFW19" s="338"/>
      <c r="RFX19" s="338"/>
      <c r="RFY19" s="338"/>
      <c r="RFZ19" s="338"/>
      <c r="RGA19" s="338"/>
      <c r="RGB19" s="338"/>
      <c r="RGC19" s="338"/>
      <c r="RGD19" s="338"/>
      <c r="RGE19" s="338"/>
      <c r="RGF19" s="338"/>
      <c r="RGG19" s="338"/>
      <c r="RGH19" s="338"/>
      <c r="RGI19" s="338"/>
      <c r="RGJ19" s="338"/>
      <c r="RGK19" s="338"/>
      <c r="RGL19" s="338"/>
      <c r="RGM19" s="338"/>
      <c r="RGN19" s="338"/>
      <c r="RGO19" s="338"/>
      <c r="RGP19" s="338"/>
      <c r="RGQ19" s="338"/>
      <c r="RGR19" s="338"/>
      <c r="RGS19" s="338"/>
      <c r="RGT19" s="338"/>
      <c r="RGU19" s="338"/>
      <c r="RGV19" s="338"/>
      <c r="RGW19" s="338"/>
      <c r="RGX19" s="338"/>
      <c r="RGY19" s="338"/>
      <c r="RGZ19" s="338"/>
      <c r="RHA19" s="338"/>
      <c r="RHB19" s="338"/>
      <c r="RHC19" s="338"/>
      <c r="RHD19" s="338"/>
      <c r="RHE19" s="338"/>
      <c r="RHF19" s="338"/>
      <c r="RHG19" s="338"/>
      <c r="RHH19" s="338"/>
      <c r="RHI19" s="338"/>
      <c r="RHJ19" s="338"/>
      <c r="RHK19" s="338"/>
      <c r="RHL19" s="338"/>
      <c r="RHM19" s="338"/>
      <c r="RHN19" s="338"/>
      <c r="RHO19" s="338"/>
      <c r="RHP19" s="338"/>
      <c r="RHQ19" s="338"/>
      <c r="RHR19" s="338"/>
      <c r="RHS19" s="338"/>
      <c r="RHT19" s="338"/>
      <c r="RHU19" s="338"/>
      <c r="RHV19" s="338"/>
      <c r="RHW19" s="338"/>
      <c r="RHX19" s="338"/>
      <c r="RHY19" s="338"/>
      <c r="RHZ19" s="338"/>
      <c r="RIA19" s="338"/>
      <c r="RIB19" s="338"/>
      <c r="RIC19" s="338"/>
      <c r="RID19" s="338"/>
      <c r="RIE19" s="338"/>
      <c r="RIF19" s="338"/>
      <c r="RIG19" s="338"/>
      <c r="RIH19" s="338"/>
      <c r="RII19" s="338"/>
      <c r="RIJ19" s="338"/>
      <c r="RIK19" s="338"/>
      <c r="RIL19" s="338"/>
      <c r="RIM19" s="338"/>
      <c r="RIN19" s="338"/>
      <c r="RIO19" s="338"/>
      <c r="RIP19" s="338"/>
      <c r="RIQ19" s="338"/>
      <c r="RIR19" s="338"/>
      <c r="RIS19" s="338"/>
      <c r="RIT19" s="338"/>
      <c r="RIU19" s="338"/>
      <c r="RIV19" s="338"/>
      <c r="RIW19" s="338"/>
      <c r="RIX19" s="338"/>
      <c r="RIY19" s="338"/>
      <c r="RIZ19" s="338"/>
      <c r="RJA19" s="338"/>
      <c r="RJB19" s="338"/>
      <c r="RJC19" s="338"/>
      <c r="RJD19" s="338"/>
      <c r="RJE19" s="338"/>
      <c r="RJF19" s="338"/>
      <c r="RJG19" s="338"/>
      <c r="RJH19" s="338"/>
      <c r="RJI19" s="338"/>
      <c r="RJJ19" s="338"/>
      <c r="RJK19" s="338"/>
      <c r="RJL19" s="338"/>
      <c r="RJM19" s="338"/>
      <c r="RJN19" s="338"/>
      <c r="RJO19" s="338"/>
      <c r="RJP19" s="338"/>
      <c r="RJQ19" s="338"/>
      <c r="RJR19" s="338"/>
      <c r="RJS19" s="338"/>
      <c r="RJT19" s="338"/>
      <c r="RJU19" s="338"/>
      <c r="RJV19" s="338"/>
      <c r="RJW19" s="338"/>
      <c r="RJX19" s="338"/>
      <c r="RJY19" s="338"/>
      <c r="RJZ19" s="338"/>
      <c r="RKA19" s="338"/>
      <c r="RKB19" s="338"/>
      <c r="RKC19" s="338"/>
      <c r="RKD19" s="338"/>
      <c r="RKE19" s="338"/>
      <c r="RKF19" s="338"/>
      <c r="RKG19" s="338"/>
      <c r="RKH19" s="338"/>
      <c r="RKI19" s="338"/>
      <c r="RKJ19" s="338"/>
      <c r="RKK19" s="338"/>
      <c r="RKL19" s="338"/>
      <c r="RKM19" s="338"/>
      <c r="RKN19" s="338"/>
      <c r="RKO19" s="338"/>
      <c r="RKP19" s="338"/>
      <c r="RKQ19" s="338"/>
      <c r="RKR19" s="338"/>
      <c r="RKS19" s="338"/>
      <c r="RKT19" s="338"/>
      <c r="RKU19" s="338"/>
      <c r="RKV19" s="338"/>
      <c r="RKW19" s="338"/>
      <c r="RKX19" s="338"/>
      <c r="RKY19" s="338"/>
      <c r="RKZ19" s="338"/>
      <c r="RLA19" s="338"/>
      <c r="RLB19" s="338"/>
      <c r="RLC19" s="338"/>
      <c r="RLD19" s="338"/>
      <c r="RLE19" s="338"/>
      <c r="RLF19" s="338"/>
      <c r="RLG19" s="338"/>
      <c r="RLH19" s="338"/>
      <c r="RLI19" s="338"/>
      <c r="RLJ19" s="338"/>
      <c r="RLK19" s="338"/>
      <c r="RLL19" s="338"/>
      <c r="RLM19" s="338"/>
      <c r="RLN19" s="338"/>
      <c r="RLO19" s="338"/>
      <c r="RLP19" s="338"/>
      <c r="RLQ19" s="338"/>
      <c r="RLR19" s="338"/>
      <c r="RLS19" s="338"/>
      <c r="RLT19" s="338"/>
      <c r="RLU19" s="338"/>
      <c r="RLV19" s="338"/>
      <c r="RLW19" s="338"/>
      <c r="RLX19" s="338"/>
      <c r="RLY19" s="338"/>
      <c r="RLZ19" s="338"/>
      <c r="RMA19" s="338"/>
      <c r="RMB19" s="338"/>
      <c r="RMC19" s="338"/>
      <c r="RMD19" s="338"/>
      <c r="RME19" s="338"/>
      <c r="RMF19" s="338"/>
      <c r="RMG19" s="338"/>
      <c r="RMH19" s="338"/>
      <c r="RMI19" s="338"/>
      <c r="RMJ19" s="338"/>
      <c r="RMK19" s="338"/>
      <c r="RML19" s="338"/>
      <c r="RMM19" s="338"/>
      <c r="RMN19" s="338"/>
      <c r="RMO19" s="338"/>
      <c r="RMP19" s="338"/>
      <c r="RMQ19" s="338"/>
      <c r="RMR19" s="338"/>
      <c r="RMS19" s="338"/>
      <c r="RMT19" s="338"/>
      <c r="RMU19" s="338"/>
      <c r="RMV19" s="338"/>
      <c r="RMW19" s="338"/>
      <c r="RMX19" s="338"/>
      <c r="RMY19" s="338"/>
      <c r="RMZ19" s="338"/>
      <c r="RNA19" s="338"/>
      <c r="RNB19" s="338"/>
      <c r="RNC19" s="338"/>
      <c r="RND19" s="338"/>
      <c r="RNE19" s="338"/>
      <c r="RNF19" s="338"/>
      <c r="RNG19" s="338"/>
      <c r="RNH19" s="338"/>
      <c r="RNI19" s="338"/>
      <c r="RNJ19" s="338"/>
      <c r="RNK19" s="338"/>
      <c r="RNL19" s="338"/>
      <c r="RNM19" s="338"/>
      <c r="RNN19" s="338"/>
      <c r="RNO19" s="338"/>
      <c r="RNP19" s="338"/>
      <c r="RNQ19" s="338"/>
      <c r="RNR19" s="338"/>
      <c r="RNS19" s="338"/>
      <c r="RNT19" s="338"/>
      <c r="RNU19" s="338"/>
      <c r="RNV19" s="338"/>
      <c r="RNW19" s="338"/>
      <c r="RNX19" s="338"/>
      <c r="RNY19" s="338"/>
      <c r="RNZ19" s="338"/>
      <c r="ROA19" s="338"/>
      <c r="ROB19" s="338"/>
      <c r="ROC19" s="338"/>
      <c r="ROD19" s="338"/>
      <c r="ROE19" s="338"/>
      <c r="ROF19" s="338"/>
      <c r="ROG19" s="338"/>
      <c r="ROH19" s="338"/>
      <c r="ROI19" s="338"/>
      <c r="ROJ19" s="338"/>
      <c r="ROK19" s="338"/>
      <c r="ROL19" s="338"/>
      <c r="ROM19" s="338"/>
      <c r="RON19" s="338"/>
      <c r="ROO19" s="338"/>
      <c r="ROP19" s="338"/>
      <c r="ROQ19" s="338"/>
      <c r="ROR19" s="338"/>
      <c r="ROS19" s="338"/>
      <c r="ROT19" s="338"/>
      <c r="ROU19" s="338"/>
      <c r="ROV19" s="338"/>
      <c r="ROW19" s="338"/>
      <c r="ROX19" s="338"/>
      <c r="ROY19" s="338"/>
      <c r="ROZ19" s="338"/>
      <c r="RPA19" s="338"/>
      <c r="RPB19" s="338"/>
      <c r="RPC19" s="338"/>
      <c r="RPD19" s="338"/>
      <c r="RPE19" s="338"/>
      <c r="RPF19" s="338"/>
      <c r="RPG19" s="338"/>
      <c r="RPH19" s="338"/>
      <c r="RPI19" s="338"/>
      <c r="RPJ19" s="338"/>
      <c r="RPK19" s="338"/>
      <c r="RPL19" s="338"/>
      <c r="RPM19" s="338"/>
      <c r="RPN19" s="338"/>
      <c r="RPO19" s="338"/>
      <c r="RPP19" s="338"/>
      <c r="RPQ19" s="338"/>
      <c r="RPR19" s="338"/>
      <c r="RPS19" s="338"/>
      <c r="RPT19" s="338"/>
      <c r="RPU19" s="338"/>
      <c r="RPV19" s="338"/>
      <c r="RPW19" s="338"/>
      <c r="RPX19" s="338"/>
      <c r="RPY19" s="338"/>
      <c r="RPZ19" s="338"/>
      <c r="RQA19" s="338"/>
      <c r="RQB19" s="338"/>
      <c r="RQC19" s="338"/>
      <c r="RQD19" s="338"/>
      <c r="RQE19" s="338"/>
      <c r="RQF19" s="338"/>
      <c r="RQG19" s="338"/>
      <c r="RQH19" s="338"/>
      <c r="RQI19" s="338"/>
      <c r="RQJ19" s="338"/>
      <c r="RQK19" s="338"/>
      <c r="RQL19" s="338"/>
      <c r="RQM19" s="338"/>
      <c r="RQN19" s="338"/>
      <c r="RQO19" s="338"/>
      <c r="RQP19" s="338"/>
      <c r="RQQ19" s="338"/>
      <c r="RQR19" s="338"/>
      <c r="RQS19" s="338"/>
      <c r="RQT19" s="338"/>
      <c r="RQU19" s="338"/>
      <c r="RQV19" s="338"/>
      <c r="RQW19" s="338"/>
      <c r="RQX19" s="338"/>
      <c r="RQY19" s="338"/>
      <c r="RQZ19" s="338"/>
      <c r="RRA19" s="338"/>
      <c r="RRB19" s="338"/>
      <c r="RRC19" s="338"/>
      <c r="RRD19" s="338"/>
      <c r="RRE19" s="338"/>
      <c r="RRF19" s="338"/>
      <c r="RRG19" s="338"/>
      <c r="RRH19" s="338"/>
      <c r="RRI19" s="338"/>
      <c r="RRJ19" s="338"/>
      <c r="RRK19" s="338"/>
      <c r="RRL19" s="338"/>
      <c r="RRM19" s="338"/>
      <c r="RRN19" s="338"/>
      <c r="RRO19" s="338"/>
      <c r="RRP19" s="338"/>
      <c r="RRQ19" s="338"/>
      <c r="RRR19" s="338"/>
      <c r="RRS19" s="338"/>
      <c r="RRT19" s="338"/>
      <c r="RRU19" s="338"/>
      <c r="RRV19" s="338"/>
      <c r="RRW19" s="338"/>
      <c r="RRX19" s="338"/>
      <c r="RRY19" s="338"/>
      <c r="RRZ19" s="338"/>
      <c r="RSA19" s="338"/>
      <c r="RSB19" s="338"/>
      <c r="RSC19" s="338"/>
      <c r="RSD19" s="338"/>
      <c r="RSE19" s="338"/>
      <c r="RSF19" s="338"/>
      <c r="RSG19" s="338"/>
      <c r="RSH19" s="338"/>
      <c r="RSI19" s="338"/>
      <c r="RSJ19" s="338"/>
      <c r="RSK19" s="338"/>
      <c r="RSL19" s="338"/>
      <c r="RSM19" s="338"/>
      <c r="RSN19" s="338"/>
      <c r="RSO19" s="338"/>
      <c r="RSP19" s="338"/>
      <c r="RSQ19" s="338"/>
      <c r="RSR19" s="338"/>
      <c r="RSS19" s="338"/>
      <c r="RST19" s="338"/>
      <c r="RSU19" s="338"/>
      <c r="RSV19" s="338"/>
      <c r="RSW19" s="338"/>
      <c r="RSX19" s="338"/>
      <c r="RSY19" s="338"/>
      <c r="RSZ19" s="338"/>
      <c r="RTA19" s="338"/>
      <c r="RTB19" s="338"/>
      <c r="RTC19" s="338"/>
      <c r="RTD19" s="338"/>
      <c r="RTE19" s="338"/>
      <c r="RTF19" s="338"/>
      <c r="RTG19" s="338"/>
      <c r="RTH19" s="338"/>
      <c r="RTI19" s="338"/>
      <c r="RTJ19" s="338"/>
      <c r="RTK19" s="338"/>
      <c r="RTL19" s="338"/>
      <c r="RTM19" s="338"/>
      <c r="RTN19" s="338"/>
      <c r="RTO19" s="338"/>
      <c r="RTP19" s="338"/>
      <c r="RTQ19" s="338"/>
      <c r="RTR19" s="338"/>
      <c r="RTS19" s="338"/>
      <c r="RTT19" s="338"/>
      <c r="RTU19" s="338"/>
      <c r="RTV19" s="338"/>
      <c r="RTW19" s="338"/>
      <c r="RTX19" s="338"/>
      <c r="RTY19" s="338"/>
      <c r="RTZ19" s="338"/>
      <c r="RUA19" s="338"/>
      <c r="RUB19" s="338"/>
      <c r="RUC19" s="338"/>
      <c r="RUD19" s="338"/>
      <c r="RUE19" s="338"/>
      <c r="RUF19" s="338"/>
      <c r="RUG19" s="338"/>
      <c r="RUH19" s="338"/>
      <c r="RUI19" s="338"/>
      <c r="RUJ19" s="338"/>
      <c r="RUK19" s="338"/>
      <c r="RUL19" s="338"/>
      <c r="RUM19" s="338"/>
      <c r="RUN19" s="338"/>
      <c r="RUO19" s="338"/>
      <c r="RUP19" s="338"/>
      <c r="RUQ19" s="338"/>
      <c r="RUR19" s="338"/>
      <c r="RUS19" s="338"/>
      <c r="RUT19" s="338"/>
      <c r="RUU19" s="338"/>
      <c r="RUV19" s="338"/>
      <c r="RUW19" s="338"/>
      <c r="RUX19" s="338"/>
      <c r="RUY19" s="338"/>
      <c r="RUZ19" s="338"/>
      <c r="RVA19" s="338"/>
      <c r="RVB19" s="338"/>
      <c r="RVC19" s="338"/>
      <c r="RVD19" s="338"/>
      <c r="RVE19" s="338"/>
      <c r="RVF19" s="338"/>
      <c r="RVG19" s="338"/>
      <c r="RVH19" s="338"/>
      <c r="RVI19" s="338"/>
      <c r="RVJ19" s="338"/>
      <c r="RVK19" s="338"/>
      <c r="RVL19" s="338"/>
      <c r="RVM19" s="338"/>
      <c r="RVN19" s="338"/>
      <c r="RVO19" s="338"/>
      <c r="RVP19" s="338"/>
      <c r="RVQ19" s="338"/>
      <c r="RVR19" s="338"/>
      <c r="RVS19" s="338"/>
      <c r="RVT19" s="338"/>
      <c r="RVU19" s="338"/>
      <c r="RVV19" s="338"/>
      <c r="RVW19" s="338"/>
      <c r="RVX19" s="338"/>
      <c r="RVY19" s="338"/>
      <c r="RVZ19" s="338"/>
      <c r="RWA19" s="338"/>
      <c r="RWB19" s="338"/>
      <c r="RWC19" s="338"/>
      <c r="RWD19" s="338"/>
      <c r="RWE19" s="338"/>
      <c r="RWF19" s="338"/>
      <c r="RWG19" s="338"/>
      <c r="RWH19" s="338"/>
      <c r="RWI19" s="338"/>
      <c r="RWJ19" s="338"/>
      <c r="RWK19" s="338"/>
      <c r="RWL19" s="338"/>
      <c r="RWM19" s="338"/>
      <c r="RWN19" s="338"/>
      <c r="RWO19" s="338"/>
      <c r="RWP19" s="338"/>
      <c r="RWQ19" s="338"/>
      <c r="RWR19" s="338"/>
      <c r="RWS19" s="338"/>
      <c r="RWT19" s="338"/>
      <c r="RWU19" s="338"/>
      <c r="RWV19" s="338"/>
      <c r="RWW19" s="338"/>
      <c r="RWX19" s="338"/>
      <c r="RWY19" s="338"/>
      <c r="RWZ19" s="338"/>
      <c r="RXA19" s="338"/>
      <c r="RXB19" s="338"/>
      <c r="RXC19" s="338"/>
      <c r="RXD19" s="338"/>
      <c r="RXE19" s="338"/>
      <c r="RXF19" s="338"/>
      <c r="RXG19" s="338"/>
      <c r="RXH19" s="338"/>
      <c r="RXI19" s="338"/>
      <c r="RXJ19" s="338"/>
      <c r="RXK19" s="338"/>
      <c r="RXL19" s="338"/>
      <c r="RXM19" s="338"/>
      <c r="RXN19" s="338"/>
      <c r="RXO19" s="338"/>
      <c r="RXP19" s="338"/>
      <c r="RXQ19" s="338"/>
      <c r="RXR19" s="338"/>
      <c r="RXS19" s="338"/>
      <c r="RXT19" s="338"/>
      <c r="RXU19" s="338"/>
      <c r="RXV19" s="338"/>
      <c r="RXW19" s="338"/>
      <c r="RXX19" s="338"/>
      <c r="RXY19" s="338"/>
      <c r="RXZ19" s="338"/>
      <c r="RYA19" s="338"/>
      <c r="RYB19" s="338"/>
      <c r="RYC19" s="338"/>
      <c r="RYD19" s="338"/>
      <c r="RYE19" s="338"/>
      <c r="RYF19" s="338"/>
      <c r="RYG19" s="338"/>
      <c r="RYH19" s="338"/>
      <c r="RYI19" s="338"/>
      <c r="RYJ19" s="338"/>
      <c r="RYK19" s="338"/>
      <c r="RYL19" s="338"/>
      <c r="RYM19" s="338"/>
      <c r="RYN19" s="338"/>
      <c r="RYO19" s="338"/>
      <c r="RYP19" s="338"/>
      <c r="RYQ19" s="338"/>
      <c r="RYR19" s="338"/>
      <c r="RYS19" s="338"/>
      <c r="RYT19" s="338"/>
      <c r="RYU19" s="338"/>
      <c r="RYV19" s="338"/>
      <c r="RYW19" s="338"/>
      <c r="RYX19" s="338"/>
      <c r="RYY19" s="338"/>
      <c r="RYZ19" s="338"/>
      <c r="RZA19" s="338"/>
      <c r="RZB19" s="338"/>
      <c r="RZC19" s="338"/>
      <c r="RZD19" s="338"/>
      <c r="RZE19" s="338"/>
      <c r="RZF19" s="338"/>
      <c r="RZG19" s="338"/>
      <c r="RZH19" s="338"/>
      <c r="RZI19" s="338"/>
      <c r="RZJ19" s="338"/>
      <c r="RZK19" s="338"/>
      <c r="RZL19" s="338"/>
      <c r="RZM19" s="338"/>
      <c r="RZN19" s="338"/>
      <c r="RZO19" s="338"/>
      <c r="RZP19" s="338"/>
      <c r="RZQ19" s="338"/>
      <c r="RZR19" s="338"/>
      <c r="RZS19" s="338"/>
      <c r="RZT19" s="338"/>
      <c r="RZU19" s="338"/>
      <c r="RZV19" s="338"/>
      <c r="RZW19" s="338"/>
      <c r="RZX19" s="338"/>
      <c r="RZY19" s="338"/>
      <c r="RZZ19" s="338"/>
      <c r="SAA19" s="338"/>
      <c r="SAB19" s="338"/>
      <c r="SAC19" s="338"/>
      <c r="SAD19" s="338"/>
      <c r="SAE19" s="338"/>
      <c r="SAF19" s="338"/>
      <c r="SAG19" s="338"/>
      <c r="SAH19" s="338"/>
      <c r="SAI19" s="338"/>
      <c r="SAJ19" s="338"/>
      <c r="SAK19" s="338"/>
      <c r="SAL19" s="338"/>
      <c r="SAM19" s="338"/>
      <c r="SAN19" s="338"/>
      <c r="SAO19" s="338"/>
      <c r="SAP19" s="338"/>
      <c r="SAQ19" s="338"/>
      <c r="SAR19" s="338"/>
      <c r="SAS19" s="338"/>
      <c r="SAT19" s="338"/>
      <c r="SAU19" s="338"/>
      <c r="SAV19" s="338"/>
      <c r="SAW19" s="338"/>
      <c r="SAX19" s="338"/>
      <c r="SAY19" s="338"/>
      <c r="SAZ19" s="338"/>
      <c r="SBA19" s="338"/>
      <c r="SBB19" s="338"/>
      <c r="SBC19" s="338"/>
      <c r="SBD19" s="338"/>
      <c r="SBE19" s="338"/>
      <c r="SBF19" s="338"/>
      <c r="SBG19" s="338"/>
      <c r="SBH19" s="338"/>
      <c r="SBI19" s="338"/>
      <c r="SBJ19" s="338"/>
      <c r="SBK19" s="338"/>
      <c r="SBL19" s="338"/>
      <c r="SBM19" s="338"/>
      <c r="SBN19" s="338"/>
      <c r="SBO19" s="338"/>
      <c r="SBP19" s="338"/>
      <c r="SBQ19" s="338"/>
      <c r="SBR19" s="338"/>
      <c r="SBS19" s="338"/>
      <c r="SBT19" s="338"/>
      <c r="SBU19" s="338"/>
      <c r="SBV19" s="338"/>
      <c r="SBW19" s="338"/>
      <c r="SBX19" s="338"/>
      <c r="SBY19" s="338"/>
      <c r="SBZ19" s="338"/>
      <c r="SCA19" s="338"/>
      <c r="SCB19" s="338"/>
      <c r="SCC19" s="338"/>
      <c r="SCD19" s="338"/>
      <c r="SCE19" s="338"/>
      <c r="SCF19" s="338"/>
      <c r="SCG19" s="338"/>
      <c r="SCH19" s="338"/>
      <c r="SCI19" s="338"/>
      <c r="SCJ19" s="338"/>
      <c r="SCK19" s="338"/>
      <c r="SCL19" s="338"/>
      <c r="SCM19" s="338"/>
      <c r="SCN19" s="338"/>
      <c r="SCO19" s="338"/>
      <c r="SCP19" s="338"/>
      <c r="SCQ19" s="338"/>
      <c r="SCR19" s="338"/>
      <c r="SCS19" s="338"/>
      <c r="SCT19" s="338"/>
      <c r="SCU19" s="338"/>
      <c r="SCV19" s="338"/>
      <c r="SCW19" s="338"/>
      <c r="SCX19" s="338"/>
      <c r="SCY19" s="338"/>
      <c r="SCZ19" s="338"/>
      <c r="SDA19" s="338"/>
      <c r="SDB19" s="338"/>
      <c r="SDC19" s="338"/>
      <c r="SDD19" s="338"/>
      <c r="SDE19" s="338"/>
      <c r="SDF19" s="338"/>
      <c r="SDG19" s="338"/>
      <c r="SDH19" s="338"/>
      <c r="SDI19" s="338"/>
      <c r="SDJ19" s="338"/>
      <c r="SDK19" s="338"/>
      <c r="SDL19" s="338"/>
      <c r="SDM19" s="338"/>
      <c r="SDN19" s="338"/>
      <c r="SDO19" s="338"/>
      <c r="SDP19" s="338"/>
      <c r="SDQ19" s="338"/>
      <c r="SDR19" s="338"/>
      <c r="SDS19" s="338"/>
      <c r="SDT19" s="338"/>
      <c r="SDU19" s="338"/>
      <c r="SDV19" s="338"/>
      <c r="SDW19" s="338"/>
      <c r="SDX19" s="338"/>
      <c r="SDY19" s="338"/>
      <c r="SDZ19" s="338"/>
      <c r="SEA19" s="338"/>
      <c r="SEB19" s="338"/>
      <c r="SEC19" s="338"/>
      <c r="SED19" s="338"/>
      <c r="SEE19" s="338"/>
      <c r="SEF19" s="338"/>
      <c r="SEG19" s="338"/>
      <c r="SEH19" s="338"/>
      <c r="SEI19" s="338"/>
      <c r="SEJ19" s="338"/>
      <c r="SEK19" s="338"/>
      <c r="SEL19" s="338"/>
      <c r="SEM19" s="338"/>
      <c r="SEN19" s="338"/>
      <c r="SEO19" s="338"/>
      <c r="SEP19" s="338"/>
      <c r="SEQ19" s="338"/>
      <c r="SER19" s="338"/>
      <c r="SES19" s="338"/>
      <c r="SET19" s="338"/>
      <c r="SEU19" s="338"/>
      <c r="SEV19" s="338"/>
      <c r="SEW19" s="338"/>
      <c r="SEX19" s="338"/>
      <c r="SEY19" s="338"/>
      <c r="SEZ19" s="338"/>
      <c r="SFA19" s="338"/>
      <c r="SFB19" s="338"/>
      <c r="SFC19" s="338"/>
      <c r="SFD19" s="338"/>
      <c r="SFE19" s="338"/>
      <c r="SFF19" s="338"/>
      <c r="SFG19" s="338"/>
      <c r="SFH19" s="338"/>
      <c r="SFI19" s="338"/>
      <c r="SFJ19" s="338"/>
      <c r="SFK19" s="338"/>
      <c r="SFL19" s="338"/>
      <c r="SFM19" s="338"/>
      <c r="SFN19" s="338"/>
      <c r="SFO19" s="338"/>
      <c r="SFP19" s="338"/>
      <c r="SFQ19" s="338"/>
      <c r="SFR19" s="338"/>
      <c r="SFS19" s="338"/>
      <c r="SFT19" s="338"/>
      <c r="SFU19" s="338"/>
      <c r="SFV19" s="338"/>
      <c r="SFW19" s="338"/>
      <c r="SFX19" s="338"/>
      <c r="SFY19" s="338"/>
      <c r="SFZ19" s="338"/>
      <c r="SGA19" s="338"/>
      <c r="SGB19" s="338"/>
      <c r="SGC19" s="338"/>
      <c r="SGD19" s="338"/>
      <c r="SGE19" s="338"/>
      <c r="SGF19" s="338"/>
      <c r="SGG19" s="338"/>
      <c r="SGH19" s="338"/>
      <c r="SGI19" s="338"/>
      <c r="SGJ19" s="338"/>
      <c r="SGK19" s="338"/>
      <c r="SGL19" s="338"/>
      <c r="SGM19" s="338"/>
      <c r="SGN19" s="338"/>
      <c r="SGO19" s="338"/>
      <c r="SGP19" s="338"/>
      <c r="SGQ19" s="338"/>
      <c r="SGR19" s="338"/>
      <c r="SGS19" s="338"/>
      <c r="SGT19" s="338"/>
      <c r="SGU19" s="338"/>
      <c r="SGV19" s="338"/>
      <c r="SGW19" s="338"/>
      <c r="SGX19" s="338"/>
      <c r="SGY19" s="338"/>
      <c r="SGZ19" s="338"/>
      <c r="SHA19" s="338"/>
      <c r="SHB19" s="338"/>
      <c r="SHC19" s="338"/>
      <c r="SHD19" s="338"/>
      <c r="SHE19" s="338"/>
      <c r="SHF19" s="338"/>
      <c r="SHG19" s="338"/>
      <c r="SHH19" s="338"/>
      <c r="SHI19" s="338"/>
      <c r="SHJ19" s="338"/>
      <c r="SHK19" s="338"/>
      <c r="SHL19" s="338"/>
      <c r="SHM19" s="338"/>
      <c r="SHN19" s="338"/>
      <c r="SHO19" s="338"/>
      <c r="SHP19" s="338"/>
      <c r="SHQ19" s="338"/>
      <c r="SHR19" s="338"/>
      <c r="SHS19" s="338"/>
      <c r="SHT19" s="338"/>
      <c r="SHU19" s="338"/>
      <c r="SHV19" s="338"/>
      <c r="SHW19" s="338"/>
      <c r="SHX19" s="338"/>
      <c r="SHY19" s="338"/>
      <c r="SHZ19" s="338"/>
      <c r="SIA19" s="338"/>
      <c r="SIB19" s="338"/>
      <c r="SIC19" s="338"/>
      <c r="SID19" s="338"/>
      <c r="SIE19" s="338"/>
      <c r="SIF19" s="338"/>
      <c r="SIG19" s="338"/>
      <c r="SIH19" s="338"/>
      <c r="SII19" s="338"/>
      <c r="SIJ19" s="338"/>
      <c r="SIK19" s="338"/>
      <c r="SIL19" s="338"/>
      <c r="SIM19" s="338"/>
      <c r="SIN19" s="338"/>
      <c r="SIO19" s="338"/>
      <c r="SIP19" s="338"/>
      <c r="SIQ19" s="338"/>
      <c r="SIR19" s="338"/>
      <c r="SIS19" s="338"/>
      <c r="SIT19" s="338"/>
      <c r="SIU19" s="338"/>
      <c r="SIV19" s="338"/>
      <c r="SIW19" s="338"/>
      <c r="SIX19" s="338"/>
      <c r="SIY19" s="338"/>
      <c r="SIZ19" s="338"/>
      <c r="SJA19" s="338"/>
      <c r="SJB19" s="338"/>
      <c r="SJC19" s="338"/>
      <c r="SJD19" s="338"/>
      <c r="SJE19" s="338"/>
      <c r="SJF19" s="338"/>
      <c r="SJG19" s="338"/>
      <c r="SJH19" s="338"/>
      <c r="SJI19" s="338"/>
      <c r="SJJ19" s="338"/>
      <c r="SJK19" s="338"/>
      <c r="SJL19" s="338"/>
      <c r="SJM19" s="338"/>
      <c r="SJN19" s="338"/>
      <c r="SJO19" s="338"/>
      <c r="SJP19" s="338"/>
      <c r="SJQ19" s="338"/>
      <c r="SJR19" s="338"/>
      <c r="SJS19" s="338"/>
      <c r="SJT19" s="338"/>
      <c r="SJU19" s="338"/>
      <c r="SJV19" s="338"/>
      <c r="SJW19" s="338"/>
      <c r="SJX19" s="338"/>
      <c r="SJY19" s="338"/>
      <c r="SJZ19" s="338"/>
      <c r="SKA19" s="338"/>
      <c r="SKB19" s="338"/>
      <c r="SKC19" s="338"/>
      <c r="SKD19" s="338"/>
      <c r="SKE19" s="338"/>
      <c r="SKF19" s="338"/>
      <c r="SKG19" s="338"/>
      <c r="SKH19" s="338"/>
      <c r="SKI19" s="338"/>
      <c r="SKJ19" s="338"/>
      <c r="SKK19" s="338"/>
      <c r="SKL19" s="338"/>
      <c r="SKM19" s="338"/>
      <c r="SKN19" s="338"/>
      <c r="SKO19" s="338"/>
      <c r="SKP19" s="338"/>
      <c r="SKQ19" s="338"/>
      <c r="SKR19" s="338"/>
      <c r="SKS19" s="338"/>
      <c r="SKT19" s="338"/>
      <c r="SKU19" s="338"/>
      <c r="SKV19" s="338"/>
      <c r="SKW19" s="338"/>
      <c r="SKX19" s="338"/>
      <c r="SKY19" s="338"/>
      <c r="SKZ19" s="338"/>
      <c r="SLA19" s="338"/>
      <c r="SLB19" s="338"/>
      <c r="SLC19" s="338"/>
      <c r="SLD19" s="338"/>
      <c r="SLE19" s="338"/>
      <c r="SLF19" s="338"/>
      <c r="SLG19" s="338"/>
      <c r="SLH19" s="338"/>
      <c r="SLI19" s="338"/>
      <c r="SLJ19" s="338"/>
      <c r="SLK19" s="338"/>
      <c r="SLL19" s="338"/>
      <c r="SLM19" s="338"/>
      <c r="SLN19" s="338"/>
      <c r="SLO19" s="338"/>
      <c r="SLP19" s="338"/>
      <c r="SLQ19" s="338"/>
      <c r="SLR19" s="338"/>
      <c r="SLS19" s="338"/>
      <c r="SLT19" s="338"/>
      <c r="SLU19" s="338"/>
      <c r="SLV19" s="338"/>
      <c r="SLW19" s="338"/>
      <c r="SLX19" s="338"/>
      <c r="SLY19" s="338"/>
      <c r="SLZ19" s="338"/>
      <c r="SMA19" s="338"/>
      <c r="SMB19" s="338"/>
      <c r="SMC19" s="338"/>
      <c r="SMD19" s="338"/>
      <c r="SME19" s="338"/>
      <c r="SMF19" s="338"/>
      <c r="SMG19" s="338"/>
      <c r="SMH19" s="338"/>
      <c r="SMI19" s="338"/>
      <c r="SMJ19" s="338"/>
      <c r="SMK19" s="338"/>
      <c r="SML19" s="338"/>
      <c r="SMM19" s="338"/>
      <c r="SMN19" s="338"/>
      <c r="SMO19" s="338"/>
      <c r="SMP19" s="338"/>
      <c r="SMQ19" s="338"/>
      <c r="SMR19" s="338"/>
      <c r="SMS19" s="338"/>
      <c r="SMT19" s="338"/>
      <c r="SMU19" s="338"/>
      <c r="SMV19" s="338"/>
      <c r="SMW19" s="338"/>
      <c r="SMX19" s="338"/>
      <c r="SMY19" s="338"/>
      <c r="SMZ19" s="338"/>
      <c r="SNA19" s="338"/>
      <c r="SNB19" s="338"/>
      <c r="SNC19" s="338"/>
      <c r="SND19" s="338"/>
      <c r="SNE19" s="338"/>
      <c r="SNF19" s="338"/>
      <c r="SNG19" s="338"/>
      <c r="SNH19" s="338"/>
      <c r="SNI19" s="338"/>
      <c r="SNJ19" s="338"/>
      <c r="SNK19" s="338"/>
      <c r="SNL19" s="338"/>
      <c r="SNM19" s="338"/>
      <c r="SNN19" s="338"/>
      <c r="SNO19" s="338"/>
      <c r="SNP19" s="338"/>
      <c r="SNQ19" s="338"/>
      <c r="SNR19" s="338"/>
      <c r="SNS19" s="338"/>
      <c r="SNT19" s="338"/>
      <c r="SNU19" s="338"/>
      <c r="SNV19" s="338"/>
      <c r="SNW19" s="338"/>
      <c r="SNX19" s="338"/>
      <c r="SNY19" s="338"/>
      <c r="SNZ19" s="338"/>
      <c r="SOA19" s="338"/>
      <c r="SOB19" s="338"/>
      <c r="SOC19" s="338"/>
      <c r="SOD19" s="338"/>
      <c r="SOE19" s="338"/>
      <c r="SOF19" s="338"/>
      <c r="SOG19" s="338"/>
      <c r="SOH19" s="338"/>
      <c r="SOI19" s="338"/>
      <c r="SOJ19" s="338"/>
      <c r="SOK19" s="338"/>
      <c r="SOL19" s="338"/>
      <c r="SOM19" s="338"/>
      <c r="SON19" s="338"/>
      <c r="SOO19" s="338"/>
      <c r="SOP19" s="338"/>
      <c r="SOQ19" s="338"/>
      <c r="SOR19" s="338"/>
      <c r="SOS19" s="338"/>
      <c r="SOT19" s="338"/>
      <c r="SOU19" s="338"/>
      <c r="SOV19" s="338"/>
      <c r="SOW19" s="338"/>
      <c r="SOX19" s="338"/>
      <c r="SOY19" s="338"/>
      <c r="SOZ19" s="338"/>
      <c r="SPA19" s="338"/>
      <c r="SPB19" s="338"/>
      <c r="SPC19" s="338"/>
      <c r="SPD19" s="338"/>
      <c r="SPE19" s="338"/>
      <c r="SPF19" s="338"/>
      <c r="SPG19" s="338"/>
      <c r="SPH19" s="338"/>
      <c r="SPI19" s="338"/>
      <c r="SPJ19" s="338"/>
      <c r="SPK19" s="338"/>
      <c r="SPL19" s="338"/>
      <c r="SPM19" s="338"/>
      <c r="SPN19" s="338"/>
      <c r="SPO19" s="338"/>
      <c r="SPP19" s="338"/>
      <c r="SPQ19" s="338"/>
      <c r="SPR19" s="338"/>
      <c r="SPS19" s="338"/>
      <c r="SPT19" s="338"/>
      <c r="SPU19" s="338"/>
      <c r="SPV19" s="338"/>
      <c r="SPW19" s="338"/>
      <c r="SPX19" s="338"/>
      <c r="SPY19" s="338"/>
      <c r="SPZ19" s="338"/>
      <c r="SQA19" s="338"/>
      <c r="SQB19" s="338"/>
      <c r="SQC19" s="338"/>
      <c r="SQD19" s="338"/>
      <c r="SQE19" s="338"/>
      <c r="SQF19" s="338"/>
      <c r="SQG19" s="338"/>
      <c r="SQH19" s="338"/>
      <c r="SQI19" s="338"/>
      <c r="SQJ19" s="338"/>
      <c r="SQK19" s="338"/>
      <c r="SQL19" s="338"/>
      <c r="SQM19" s="338"/>
      <c r="SQN19" s="338"/>
      <c r="SQO19" s="338"/>
      <c r="SQP19" s="338"/>
      <c r="SQQ19" s="338"/>
      <c r="SQR19" s="338"/>
      <c r="SQS19" s="338"/>
      <c r="SQT19" s="338"/>
      <c r="SQU19" s="338"/>
      <c r="SQV19" s="338"/>
      <c r="SQW19" s="338"/>
      <c r="SQX19" s="338"/>
      <c r="SQY19" s="338"/>
      <c r="SQZ19" s="338"/>
      <c r="SRA19" s="338"/>
      <c r="SRB19" s="338"/>
      <c r="SRC19" s="338"/>
      <c r="SRD19" s="338"/>
      <c r="SRE19" s="338"/>
      <c r="SRF19" s="338"/>
      <c r="SRG19" s="338"/>
      <c r="SRH19" s="338"/>
      <c r="SRI19" s="338"/>
      <c r="SRJ19" s="338"/>
      <c r="SRK19" s="338"/>
      <c r="SRL19" s="338"/>
      <c r="SRM19" s="338"/>
      <c r="SRN19" s="338"/>
      <c r="SRO19" s="338"/>
      <c r="SRP19" s="338"/>
      <c r="SRQ19" s="338"/>
      <c r="SRR19" s="338"/>
      <c r="SRS19" s="338"/>
      <c r="SRT19" s="338"/>
      <c r="SRU19" s="338"/>
      <c r="SRV19" s="338"/>
      <c r="SRW19" s="338"/>
      <c r="SRX19" s="338"/>
      <c r="SRY19" s="338"/>
      <c r="SRZ19" s="338"/>
      <c r="SSA19" s="338"/>
      <c r="SSB19" s="338"/>
      <c r="SSC19" s="338"/>
      <c r="SSD19" s="338"/>
      <c r="SSE19" s="338"/>
      <c r="SSF19" s="338"/>
      <c r="SSG19" s="338"/>
      <c r="SSH19" s="338"/>
      <c r="SSI19" s="338"/>
      <c r="SSJ19" s="338"/>
      <c r="SSK19" s="338"/>
      <c r="SSL19" s="338"/>
      <c r="SSM19" s="338"/>
      <c r="SSN19" s="338"/>
      <c r="SSO19" s="338"/>
      <c r="SSP19" s="338"/>
      <c r="SSQ19" s="338"/>
      <c r="SSR19" s="338"/>
      <c r="SSS19" s="338"/>
      <c r="SST19" s="338"/>
      <c r="SSU19" s="338"/>
      <c r="SSV19" s="338"/>
      <c r="SSW19" s="338"/>
      <c r="SSX19" s="338"/>
      <c r="SSY19" s="338"/>
      <c r="SSZ19" s="338"/>
      <c r="STA19" s="338"/>
      <c r="STB19" s="338"/>
      <c r="STC19" s="338"/>
      <c r="STD19" s="338"/>
      <c r="STE19" s="338"/>
      <c r="STF19" s="338"/>
      <c r="STG19" s="338"/>
      <c r="STH19" s="338"/>
      <c r="STI19" s="338"/>
      <c r="STJ19" s="338"/>
      <c r="STK19" s="338"/>
      <c r="STL19" s="338"/>
      <c r="STM19" s="338"/>
      <c r="STN19" s="338"/>
      <c r="STO19" s="338"/>
      <c r="STP19" s="338"/>
      <c r="STQ19" s="338"/>
      <c r="STR19" s="338"/>
      <c r="STS19" s="338"/>
      <c r="STT19" s="338"/>
      <c r="STU19" s="338"/>
      <c r="STV19" s="338"/>
      <c r="STW19" s="338"/>
      <c r="STX19" s="338"/>
      <c r="STY19" s="338"/>
      <c r="STZ19" s="338"/>
      <c r="SUA19" s="338"/>
      <c r="SUB19" s="338"/>
      <c r="SUC19" s="338"/>
      <c r="SUD19" s="338"/>
      <c r="SUE19" s="338"/>
      <c r="SUF19" s="338"/>
      <c r="SUG19" s="338"/>
      <c r="SUH19" s="338"/>
      <c r="SUI19" s="338"/>
      <c r="SUJ19" s="338"/>
      <c r="SUK19" s="338"/>
      <c r="SUL19" s="338"/>
      <c r="SUM19" s="338"/>
      <c r="SUN19" s="338"/>
      <c r="SUO19" s="338"/>
      <c r="SUP19" s="338"/>
      <c r="SUQ19" s="338"/>
      <c r="SUR19" s="338"/>
      <c r="SUS19" s="338"/>
      <c r="SUT19" s="338"/>
      <c r="SUU19" s="338"/>
      <c r="SUV19" s="338"/>
      <c r="SUW19" s="338"/>
      <c r="SUX19" s="338"/>
      <c r="SUY19" s="338"/>
      <c r="SUZ19" s="338"/>
      <c r="SVA19" s="338"/>
      <c r="SVB19" s="338"/>
      <c r="SVC19" s="338"/>
      <c r="SVD19" s="338"/>
      <c r="SVE19" s="338"/>
      <c r="SVF19" s="338"/>
      <c r="SVG19" s="338"/>
      <c r="SVH19" s="338"/>
      <c r="SVI19" s="338"/>
      <c r="SVJ19" s="338"/>
      <c r="SVK19" s="338"/>
      <c r="SVL19" s="338"/>
      <c r="SVM19" s="338"/>
      <c r="SVN19" s="338"/>
      <c r="SVO19" s="338"/>
      <c r="SVP19" s="338"/>
      <c r="SVQ19" s="338"/>
      <c r="SVR19" s="338"/>
      <c r="SVS19" s="338"/>
      <c r="SVT19" s="338"/>
      <c r="SVU19" s="338"/>
      <c r="SVV19" s="338"/>
      <c r="SVW19" s="338"/>
      <c r="SVX19" s="338"/>
      <c r="SVY19" s="338"/>
      <c r="SVZ19" s="338"/>
      <c r="SWA19" s="338"/>
      <c r="SWB19" s="338"/>
      <c r="SWC19" s="338"/>
      <c r="SWD19" s="338"/>
      <c r="SWE19" s="338"/>
      <c r="SWF19" s="338"/>
      <c r="SWG19" s="338"/>
      <c r="SWH19" s="338"/>
      <c r="SWI19" s="338"/>
      <c r="SWJ19" s="338"/>
      <c r="SWK19" s="338"/>
      <c r="SWL19" s="338"/>
      <c r="SWM19" s="338"/>
      <c r="SWN19" s="338"/>
      <c r="SWO19" s="338"/>
      <c r="SWP19" s="338"/>
      <c r="SWQ19" s="338"/>
      <c r="SWR19" s="338"/>
      <c r="SWS19" s="338"/>
      <c r="SWT19" s="338"/>
      <c r="SWU19" s="338"/>
      <c r="SWV19" s="338"/>
      <c r="SWW19" s="338"/>
      <c r="SWX19" s="338"/>
      <c r="SWY19" s="338"/>
      <c r="SWZ19" s="338"/>
      <c r="SXA19" s="338"/>
      <c r="SXB19" s="338"/>
      <c r="SXC19" s="338"/>
      <c r="SXD19" s="338"/>
      <c r="SXE19" s="338"/>
      <c r="SXF19" s="338"/>
      <c r="SXG19" s="338"/>
      <c r="SXH19" s="338"/>
      <c r="SXI19" s="338"/>
      <c r="SXJ19" s="338"/>
      <c r="SXK19" s="338"/>
      <c r="SXL19" s="338"/>
      <c r="SXM19" s="338"/>
      <c r="SXN19" s="338"/>
      <c r="SXO19" s="338"/>
      <c r="SXP19" s="338"/>
      <c r="SXQ19" s="338"/>
      <c r="SXR19" s="338"/>
      <c r="SXS19" s="338"/>
      <c r="SXT19" s="338"/>
      <c r="SXU19" s="338"/>
      <c r="SXV19" s="338"/>
      <c r="SXW19" s="338"/>
      <c r="SXX19" s="338"/>
      <c r="SXY19" s="338"/>
      <c r="SXZ19" s="338"/>
      <c r="SYA19" s="338"/>
      <c r="SYB19" s="338"/>
      <c r="SYC19" s="338"/>
      <c r="SYD19" s="338"/>
      <c r="SYE19" s="338"/>
      <c r="SYF19" s="338"/>
      <c r="SYG19" s="338"/>
      <c r="SYH19" s="338"/>
      <c r="SYI19" s="338"/>
      <c r="SYJ19" s="338"/>
      <c r="SYK19" s="338"/>
      <c r="SYL19" s="338"/>
      <c r="SYM19" s="338"/>
      <c r="SYN19" s="338"/>
      <c r="SYO19" s="338"/>
      <c r="SYP19" s="338"/>
      <c r="SYQ19" s="338"/>
      <c r="SYR19" s="338"/>
      <c r="SYS19" s="338"/>
      <c r="SYT19" s="338"/>
      <c r="SYU19" s="338"/>
      <c r="SYV19" s="338"/>
      <c r="SYW19" s="338"/>
      <c r="SYX19" s="338"/>
      <c r="SYY19" s="338"/>
      <c r="SYZ19" s="338"/>
      <c r="SZA19" s="338"/>
      <c r="SZB19" s="338"/>
      <c r="SZC19" s="338"/>
      <c r="SZD19" s="338"/>
      <c r="SZE19" s="338"/>
      <c r="SZF19" s="338"/>
      <c r="SZG19" s="338"/>
      <c r="SZH19" s="338"/>
      <c r="SZI19" s="338"/>
      <c r="SZJ19" s="338"/>
      <c r="SZK19" s="338"/>
      <c r="SZL19" s="338"/>
      <c r="SZM19" s="338"/>
      <c r="SZN19" s="338"/>
      <c r="SZO19" s="338"/>
      <c r="SZP19" s="338"/>
      <c r="SZQ19" s="338"/>
      <c r="SZR19" s="338"/>
      <c r="SZS19" s="338"/>
      <c r="SZT19" s="338"/>
      <c r="SZU19" s="338"/>
      <c r="SZV19" s="338"/>
      <c r="SZW19" s="338"/>
      <c r="SZX19" s="338"/>
      <c r="SZY19" s="338"/>
      <c r="SZZ19" s="338"/>
      <c r="TAA19" s="338"/>
      <c r="TAB19" s="338"/>
      <c r="TAC19" s="338"/>
      <c r="TAD19" s="338"/>
      <c r="TAE19" s="338"/>
      <c r="TAF19" s="338"/>
      <c r="TAG19" s="338"/>
      <c r="TAH19" s="338"/>
      <c r="TAI19" s="338"/>
      <c r="TAJ19" s="338"/>
      <c r="TAK19" s="338"/>
      <c r="TAL19" s="338"/>
      <c r="TAM19" s="338"/>
      <c r="TAN19" s="338"/>
      <c r="TAO19" s="338"/>
      <c r="TAP19" s="338"/>
      <c r="TAQ19" s="338"/>
      <c r="TAR19" s="338"/>
      <c r="TAS19" s="338"/>
      <c r="TAT19" s="338"/>
      <c r="TAU19" s="338"/>
      <c r="TAV19" s="338"/>
      <c r="TAW19" s="338"/>
      <c r="TAX19" s="338"/>
      <c r="TAY19" s="338"/>
      <c r="TAZ19" s="338"/>
      <c r="TBA19" s="338"/>
      <c r="TBB19" s="338"/>
      <c r="TBC19" s="338"/>
      <c r="TBD19" s="338"/>
      <c r="TBE19" s="338"/>
      <c r="TBF19" s="338"/>
      <c r="TBG19" s="338"/>
      <c r="TBH19" s="338"/>
      <c r="TBI19" s="338"/>
      <c r="TBJ19" s="338"/>
      <c r="TBK19" s="338"/>
      <c r="TBL19" s="338"/>
      <c r="TBM19" s="338"/>
      <c r="TBN19" s="338"/>
      <c r="TBO19" s="338"/>
      <c r="TBP19" s="338"/>
      <c r="TBQ19" s="338"/>
      <c r="TBR19" s="338"/>
      <c r="TBS19" s="338"/>
      <c r="TBT19" s="338"/>
      <c r="TBU19" s="338"/>
      <c r="TBV19" s="338"/>
      <c r="TBW19" s="338"/>
      <c r="TBX19" s="338"/>
      <c r="TBY19" s="338"/>
      <c r="TBZ19" s="338"/>
      <c r="TCA19" s="338"/>
      <c r="TCB19" s="338"/>
      <c r="TCC19" s="338"/>
      <c r="TCD19" s="338"/>
      <c r="TCE19" s="338"/>
      <c r="TCF19" s="338"/>
      <c r="TCG19" s="338"/>
      <c r="TCH19" s="338"/>
      <c r="TCI19" s="338"/>
      <c r="TCJ19" s="338"/>
      <c r="TCK19" s="338"/>
      <c r="TCL19" s="338"/>
      <c r="TCM19" s="338"/>
      <c r="TCN19" s="338"/>
      <c r="TCO19" s="338"/>
      <c r="TCP19" s="338"/>
      <c r="TCQ19" s="338"/>
      <c r="TCR19" s="338"/>
      <c r="TCS19" s="338"/>
      <c r="TCT19" s="338"/>
      <c r="TCU19" s="338"/>
      <c r="TCV19" s="338"/>
      <c r="TCW19" s="338"/>
      <c r="TCX19" s="338"/>
      <c r="TCY19" s="338"/>
      <c r="TCZ19" s="338"/>
      <c r="TDA19" s="338"/>
      <c r="TDB19" s="338"/>
      <c r="TDC19" s="338"/>
      <c r="TDD19" s="338"/>
      <c r="TDE19" s="338"/>
      <c r="TDF19" s="338"/>
      <c r="TDG19" s="338"/>
      <c r="TDH19" s="338"/>
      <c r="TDI19" s="338"/>
      <c r="TDJ19" s="338"/>
      <c r="TDK19" s="338"/>
      <c r="TDL19" s="338"/>
      <c r="TDM19" s="338"/>
      <c r="TDN19" s="338"/>
      <c r="TDO19" s="338"/>
      <c r="TDP19" s="338"/>
      <c r="TDQ19" s="338"/>
      <c r="TDR19" s="338"/>
      <c r="TDS19" s="338"/>
      <c r="TDT19" s="338"/>
      <c r="TDU19" s="338"/>
      <c r="TDV19" s="338"/>
      <c r="TDW19" s="338"/>
      <c r="TDX19" s="338"/>
      <c r="TDY19" s="338"/>
      <c r="TDZ19" s="338"/>
      <c r="TEA19" s="338"/>
      <c r="TEB19" s="338"/>
      <c r="TEC19" s="338"/>
      <c r="TED19" s="338"/>
      <c r="TEE19" s="338"/>
      <c r="TEF19" s="338"/>
      <c r="TEG19" s="338"/>
      <c r="TEH19" s="338"/>
      <c r="TEI19" s="338"/>
      <c r="TEJ19" s="338"/>
      <c r="TEK19" s="338"/>
      <c r="TEL19" s="338"/>
      <c r="TEM19" s="338"/>
      <c r="TEN19" s="338"/>
      <c r="TEO19" s="338"/>
      <c r="TEP19" s="338"/>
      <c r="TEQ19" s="338"/>
      <c r="TER19" s="338"/>
      <c r="TES19" s="338"/>
      <c r="TET19" s="338"/>
      <c r="TEU19" s="338"/>
      <c r="TEV19" s="338"/>
      <c r="TEW19" s="338"/>
      <c r="TEX19" s="338"/>
      <c r="TEY19" s="338"/>
      <c r="TEZ19" s="338"/>
      <c r="TFA19" s="338"/>
      <c r="TFB19" s="338"/>
      <c r="TFC19" s="338"/>
      <c r="TFD19" s="338"/>
      <c r="TFE19" s="338"/>
      <c r="TFF19" s="338"/>
      <c r="TFG19" s="338"/>
      <c r="TFH19" s="338"/>
      <c r="TFI19" s="338"/>
      <c r="TFJ19" s="338"/>
      <c r="TFK19" s="338"/>
      <c r="TFL19" s="338"/>
      <c r="TFM19" s="338"/>
      <c r="TFN19" s="338"/>
      <c r="TFO19" s="338"/>
      <c r="TFP19" s="338"/>
      <c r="TFQ19" s="338"/>
      <c r="TFR19" s="338"/>
      <c r="TFS19" s="338"/>
      <c r="TFT19" s="338"/>
      <c r="TFU19" s="338"/>
      <c r="TFV19" s="338"/>
      <c r="TFW19" s="338"/>
      <c r="TFX19" s="338"/>
      <c r="TFY19" s="338"/>
      <c r="TFZ19" s="338"/>
      <c r="TGA19" s="338"/>
      <c r="TGB19" s="338"/>
      <c r="TGC19" s="338"/>
      <c r="TGD19" s="338"/>
      <c r="TGE19" s="338"/>
      <c r="TGF19" s="338"/>
      <c r="TGG19" s="338"/>
      <c r="TGH19" s="338"/>
      <c r="TGI19" s="338"/>
      <c r="TGJ19" s="338"/>
      <c r="TGK19" s="338"/>
      <c r="TGL19" s="338"/>
      <c r="TGM19" s="338"/>
      <c r="TGN19" s="338"/>
      <c r="TGO19" s="338"/>
      <c r="TGP19" s="338"/>
      <c r="TGQ19" s="338"/>
      <c r="TGR19" s="338"/>
      <c r="TGS19" s="338"/>
      <c r="TGT19" s="338"/>
      <c r="TGU19" s="338"/>
      <c r="TGV19" s="338"/>
      <c r="TGW19" s="338"/>
      <c r="TGX19" s="338"/>
      <c r="TGY19" s="338"/>
      <c r="TGZ19" s="338"/>
      <c r="THA19" s="338"/>
      <c r="THB19" s="338"/>
      <c r="THC19" s="338"/>
      <c r="THD19" s="338"/>
      <c r="THE19" s="338"/>
      <c r="THF19" s="338"/>
      <c r="THG19" s="338"/>
      <c r="THH19" s="338"/>
      <c r="THI19" s="338"/>
      <c r="THJ19" s="338"/>
      <c r="THK19" s="338"/>
      <c r="THL19" s="338"/>
      <c r="THM19" s="338"/>
      <c r="THN19" s="338"/>
      <c r="THO19" s="338"/>
      <c r="THP19" s="338"/>
      <c r="THQ19" s="338"/>
      <c r="THR19" s="338"/>
      <c r="THS19" s="338"/>
      <c r="THT19" s="338"/>
      <c r="THU19" s="338"/>
      <c r="THV19" s="338"/>
      <c r="THW19" s="338"/>
      <c r="THX19" s="338"/>
      <c r="THY19" s="338"/>
      <c r="THZ19" s="338"/>
      <c r="TIA19" s="338"/>
      <c r="TIB19" s="338"/>
      <c r="TIC19" s="338"/>
      <c r="TID19" s="338"/>
      <c r="TIE19" s="338"/>
      <c r="TIF19" s="338"/>
      <c r="TIG19" s="338"/>
      <c r="TIH19" s="338"/>
      <c r="TII19" s="338"/>
      <c r="TIJ19" s="338"/>
      <c r="TIK19" s="338"/>
      <c r="TIL19" s="338"/>
      <c r="TIM19" s="338"/>
      <c r="TIN19" s="338"/>
      <c r="TIO19" s="338"/>
      <c r="TIP19" s="338"/>
      <c r="TIQ19" s="338"/>
      <c r="TIR19" s="338"/>
      <c r="TIS19" s="338"/>
      <c r="TIT19" s="338"/>
      <c r="TIU19" s="338"/>
      <c r="TIV19" s="338"/>
      <c r="TIW19" s="338"/>
      <c r="TIX19" s="338"/>
      <c r="TIY19" s="338"/>
      <c r="TIZ19" s="338"/>
      <c r="TJA19" s="338"/>
      <c r="TJB19" s="338"/>
      <c r="TJC19" s="338"/>
      <c r="TJD19" s="338"/>
      <c r="TJE19" s="338"/>
      <c r="TJF19" s="338"/>
      <c r="TJG19" s="338"/>
      <c r="TJH19" s="338"/>
      <c r="TJI19" s="338"/>
      <c r="TJJ19" s="338"/>
      <c r="TJK19" s="338"/>
      <c r="TJL19" s="338"/>
      <c r="TJM19" s="338"/>
      <c r="TJN19" s="338"/>
      <c r="TJO19" s="338"/>
      <c r="TJP19" s="338"/>
      <c r="TJQ19" s="338"/>
      <c r="TJR19" s="338"/>
      <c r="TJS19" s="338"/>
      <c r="TJT19" s="338"/>
      <c r="TJU19" s="338"/>
      <c r="TJV19" s="338"/>
      <c r="TJW19" s="338"/>
      <c r="TJX19" s="338"/>
      <c r="TJY19" s="338"/>
      <c r="TJZ19" s="338"/>
      <c r="TKA19" s="338"/>
      <c r="TKB19" s="338"/>
      <c r="TKC19" s="338"/>
      <c r="TKD19" s="338"/>
      <c r="TKE19" s="338"/>
      <c r="TKF19" s="338"/>
      <c r="TKG19" s="338"/>
      <c r="TKH19" s="338"/>
      <c r="TKI19" s="338"/>
      <c r="TKJ19" s="338"/>
      <c r="TKK19" s="338"/>
      <c r="TKL19" s="338"/>
      <c r="TKM19" s="338"/>
      <c r="TKN19" s="338"/>
      <c r="TKO19" s="338"/>
      <c r="TKP19" s="338"/>
      <c r="TKQ19" s="338"/>
      <c r="TKR19" s="338"/>
      <c r="TKS19" s="338"/>
      <c r="TKT19" s="338"/>
      <c r="TKU19" s="338"/>
      <c r="TKV19" s="338"/>
      <c r="TKW19" s="338"/>
      <c r="TKX19" s="338"/>
      <c r="TKY19" s="338"/>
      <c r="TKZ19" s="338"/>
      <c r="TLA19" s="338"/>
      <c r="TLB19" s="338"/>
      <c r="TLC19" s="338"/>
      <c r="TLD19" s="338"/>
      <c r="TLE19" s="338"/>
      <c r="TLF19" s="338"/>
      <c r="TLG19" s="338"/>
      <c r="TLH19" s="338"/>
      <c r="TLI19" s="338"/>
      <c r="TLJ19" s="338"/>
      <c r="TLK19" s="338"/>
      <c r="TLL19" s="338"/>
      <c r="TLM19" s="338"/>
      <c r="TLN19" s="338"/>
      <c r="TLO19" s="338"/>
      <c r="TLP19" s="338"/>
      <c r="TLQ19" s="338"/>
      <c r="TLR19" s="338"/>
      <c r="TLS19" s="338"/>
      <c r="TLT19" s="338"/>
      <c r="TLU19" s="338"/>
      <c r="TLV19" s="338"/>
      <c r="TLW19" s="338"/>
      <c r="TLX19" s="338"/>
      <c r="TLY19" s="338"/>
      <c r="TLZ19" s="338"/>
      <c r="TMA19" s="338"/>
      <c r="TMB19" s="338"/>
      <c r="TMC19" s="338"/>
      <c r="TMD19" s="338"/>
      <c r="TME19" s="338"/>
      <c r="TMF19" s="338"/>
      <c r="TMG19" s="338"/>
      <c r="TMH19" s="338"/>
      <c r="TMI19" s="338"/>
      <c r="TMJ19" s="338"/>
      <c r="TMK19" s="338"/>
      <c r="TML19" s="338"/>
      <c r="TMM19" s="338"/>
      <c r="TMN19" s="338"/>
      <c r="TMO19" s="338"/>
      <c r="TMP19" s="338"/>
      <c r="TMQ19" s="338"/>
      <c r="TMR19" s="338"/>
      <c r="TMS19" s="338"/>
      <c r="TMT19" s="338"/>
      <c r="TMU19" s="338"/>
      <c r="TMV19" s="338"/>
      <c r="TMW19" s="338"/>
      <c r="TMX19" s="338"/>
      <c r="TMY19" s="338"/>
      <c r="TMZ19" s="338"/>
      <c r="TNA19" s="338"/>
      <c r="TNB19" s="338"/>
      <c r="TNC19" s="338"/>
      <c r="TND19" s="338"/>
      <c r="TNE19" s="338"/>
      <c r="TNF19" s="338"/>
      <c r="TNG19" s="338"/>
      <c r="TNH19" s="338"/>
      <c r="TNI19" s="338"/>
      <c r="TNJ19" s="338"/>
      <c r="TNK19" s="338"/>
      <c r="TNL19" s="338"/>
      <c r="TNM19" s="338"/>
      <c r="TNN19" s="338"/>
      <c r="TNO19" s="338"/>
      <c r="TNP19" s="338"/>
      <c r="TNQ19" s="338"/>
      <c r="TNR19" s="338"/>
      <c r="TNS19" s="338"/>
      <c r="TNT19" s="338"/>
      <c r="TNU19" s="338"/>
      <c r="TNV19" s="338"/>
      <c r="TNW19" s="338"/>
      <c r="TNX19" s="338"/>
      <c r="TNY19" s="338"/>
      <c r="TNZ19" s="338"/>
      <c r="TOA19" s="338"/>
      <c r="TOB19" s="338"/>
      <c r="TOC19" s="338"/>
      <c r="TOD19" s="338"/>
      <c r="TOE19" s="338"/>
      <c r="TOF19" s="338"/>
      <c r="TOG19" s="338"/>
      <c r="TOH19" s="338"/>
      <c r="TOI19" s="338"/>
      <c r="TOJ19" s="338"/>
      <c r="TOK19" s="338"/>
      <c r="TOL19" s="338"/>
      <c r="TOM19" s="338"/>
      <c r="TON19" s="338"/>
      <c r="TOO19" s="338"/>
      <c r="TOP19" s="338"/>
      <c r="TOQ19" s="338"/>
      <c r="TOR19" s="338"/>
      <c r="TOS19" s="338"/>
      <c r="TOT19" s="338"/>
      <c r="TOU19" s="338"/>
      <c r="TOV19" s="338"/>
      <c r="TOW19" s="338"/>
      <c r="TOX19" s="338"/>
      <c r="TOY19" s="338"/>
      <c r="TOZ19" s="338"/>
      <c r="TPA19" s="338"/>
      <c r="TPB19" s="338"/>
      <c r="TPC19" s="338"/>
      <c r="TPD19" s="338"/>
      <c r="TPE19" s="338"/>
      <c r="TPF19" s="338"/>
      <c r="TPG19" s="338"/>
      <c r="TPH19" s="338"/>
      <c r="TPI19" s="338"/>
      <c r="TPJ19" s="338"/>
      <c r="TPK19" s="338"/>
      <c r="TPL19" s="338"/>
      <c r="TPM19" s="338"/>
      <c r="TPN19" s="338"/>
      <c r="TPO19" s="338"/>
      <c r="TPP19" s="338"/>
      <c r="TPQ19" s="338"/>
      <c r="TPR19" s="338"/>
      <c r="TPS19" s="338"/>
      <c r="TPT19" s="338"/>
      <c r="TPU19" s="338"/>
      <c r="TPV19" s="338"/>
      <c r="TPW19" s="338"/>
      <c r="TPX19" s="338"/>
      <c r="TPY19" s="338"/>
      <c r="TPZ19" s="338"/>
      <c r="TQA19" s="338"/>
      <c r="TQB19" s="338"/>
      <c r="TQC19" s="338"/>
      <c r="TQD19" s="338"/>
      <c r="TQE19" s="338"/>
      <c r="TQF19" s="338"/>
      <c r="TQG19" s="338"/>
      <c r="TQH19" s="338"/>
      <c r="TQI19" s="338"/>
      <c r="TQJ19" s="338"/>
      <c r="TQK19" s="338"/>
      <c r="TQL19" s="338"/>
      <c r="TQM19" s="338"/>
      <c r="TQN19" s="338"/>
      <c r="TQO19" s="338"/>
      <c r="TQP19" s="338"/>
      <c r="TQQ19" s="338"/>
      <c r="TQR19" s="338"/>
      <c r="TQS19" s="338"/>
      <c r="TQT19" s="338"/>
      <c r="TQU19" s="338"/>
      <c r="TQV19" s="338"/>
      <c r="TQW19" s="338"/>
      <c r="TQX19" s="338"/>
      <c r="TQY19" s="338"/>
      <c r="TQZ19" s="338"/>
      <c r="TRA19" s="338"/>
      <c r="TRB19" s="338"/>
      <c r="TRC19" s="338"/>
      <c r="TRD19" s="338"/>
      <c r="TRE19" s="338"/>
      <c r="TRF19" s="338"/>
      <c r="TRG19" s="338"/>
      <c r="TRH19" s="338"/>
      <c r="TRI19" s="338"/>
      <c r="TRJ19" s="338"/>
      <c r="TRK19" s="338"/>
      <c r="TRL19" s="338"/>
      <c r="TRM19" s="338"/>
      <c r="TRN19" s="338"/>
      <c r="TRO19" s="338"/>
      <c r="TRP19" s="338"/>
      <c r="TRQ19" s="338"/>
      <c r="TRR19" s="338"/>
      <c r="TRS19" s="338"/>
      <c r="TRT19" s="338"/>
      <c r="TRU19" s="338"/>
      <c r="TRV19" s="338"/>
      <c r="TRW19" s="338"/>
      <c r="TRX19" s="338"/>
      <c r="TRY19" s="338"/>
      <c r="TRZ19" s="338"/>
      <c r="TSA19" s="338"/>
      <c r="TSB19" s="338"/>
      <c r="TSC19" s="338"/>
      <c r="TSD19" s="338"/>
      <c r="TSE19" s="338"/>
      <c r="TSF19" s="338"/>
      <c r="TSG19" s="338"/>
      <c r="TSH19" s="338"/>
      <c r="TSI19" s="338"/>
      <c r="TSJ19" s="338"/>
      <c r="TSK19" s="338"/>
      <c r="TSL19" s="338"/>
      <c r="TSM19" s="338"/>
      <c r="TSN19" s="338"/>
      <c r="TSO19" s="338"/>
      <c r="TSP19" s="338"/>
      <c r="TSQ19" s="338"/>
      <c r="TSR19" s="338"/>
      <c r="TSS19" s="338"/>
      <c r="TST19" s="338"/>
      <c r="TSU19" s="338"/>
      <c r="TSV19" s="338"/>
      <c r="TSW19" s="338"/>
      <c r="TSX19" s="338"/>
      <c r="TSY19" s="338"/>
      <c r="TSZ19" s="338"/>
      <c r="TTA19" s="338"/>
      <c r="TTB19" s="338"/>
      <c r="TTC19" s="338"/>
      <c r="TTD19" s="338"/>
      <c r="TTE19" s="338"/>
      <c r="TTF19" s="338"/>
      <c r="TTG19" s="338"/>
      <c r="TTH19" s="338"/>
      <c r="TTI19" s="338"/>
      <c r="TTJ19" s="338"/>
      <c r="TTK19" s="338"/>
      <c r="TTL19" s="338"/>
      <c r="TTM19" s="338"/>
      <c r="TTN19" s="338"/>
      <c r="TTO19" s="338"/>
      <c r="TTP19" s="338"/>
      <c r="TTQ19" s="338"/>
      <c r="TTR19" s="338"/>
      <c r="TTS19" s="338"/>
      <c r="TTT19" s="338"/>
      <c r="TTU19" s="338"/>
      <c r="TTV19" s="338"/>
      <c r="TTW19" s="338"/>
      <c r="TTX19" s="338"/>
      <c r="TTY19" s="338"/>
      <c r="TTZ19" s="338"/>
      <c r="TUA19" s="338"/>
      <c r="TUB19" s="338"/>
      <c r="TUC19" s="338"/>
      <c r="TUD19" s="338"/>
      <c r="TUE19" s="338"/>
      <c r="TUF19" s="338"/>
      <c r="TUG19" s="338"/>
      <c r="TUH19" s="338"/>
      <c r="TUI19" s="338"/>
      <c r="TUJ19" s="338"/>
      <c r="TUK19" s="338"/>
      <c r="TUL19" s="338"/>
      <c r="TUM19" s="338"/>
      <c r="TUN19" s="338"/>
      <c r="TUO19" s="338"/>
      <c r="TUP19" s="338"/>
      <c r="TUQ19" s="338"/>
      <c r="TUR19" s="338"/>
      <c r="TUS19" s="338"/>
      <c r="TUT19" s="338"/>
      <c r="TUU19" s="338"/>
      <c r="TUV19" s="338"/>
      <c r="TUW19" s="338"/>
      <c r="TUX19" s="338"/>
      <c r="TUY19" s="338"/>
      <c r="TUZ19" s="338"/>
      <c r="TVA19" s="338"/>
      <c r="TVB19" s="338"/>
      <c r="TVC19" s="338"/>
      <c r="TVD19" s="338"/>
      <c r="TVE19" s="338"/>
      <c r="TVF19" s="338"/>
      <c r="TVG19" s="338"/>
      <c r="TVH19" s="338"/>
      <c r="TVI19" s="338"/>
      <c r="TVJ19" s="338"/>
      <c r="TVK19" s="338"/>
      <c r="TVL19" s="338"/>
      <c r="TVM19" s="338"/>
      <c r="TVN19" s="338"/>
      <c r="TVO19" s="338"/>
      <c r="TVP19" s="338"/>
      <c r="TVQ19" s="338"/>
      <c r="TVR19" s="338"/>
      <c r="TVS19" s="338"/>
      <c r="TVT19" s="338"/>
      <c r="TVU19" s="338"/>
      <c r="TVV19" s="338"/>
      <c r="TVW19" s="338"/>
      <c r="TVX19" s="338"/>
      <c r="TVY19" s="338"/>
      <c r="TVZ19" s="338"/>
      <c r="TWA19" s="338"/>
      <c r="TWB19" s="338"/>
      <c r="TWC19" s="338"/>
      <c r="TWD19" s="338"/>
      <c r="TWE19" s="338"/>
      <c r="TWF19" s="338"/>
      <c r="TWG19" s="338"/>
      <c r="TWH19" s="338"/>
      <c r="TWI19" s="338"/>
      <c r="TWJ19" s="338"/>
      <c r="TWK19" s="338"/>
      <c r="TWL19" s="338"/>
      <c r="TWM19" s="338"/>
      <c r="TWN19" s="338"/>
      <c r="TWO19" s="338"/>
      <c r="TWP19" s="338"/>
      <c r="TWQ19" s="338"/>
      <c r="TWR19" s="338"/>
      <c r="TWS19" s="338"/>
      <c r="TWT19" s="338"/>
      <c r="TWU19" s="338"/>
      <c r="TWV19" s="338"/>
      <c r="TWW19" s="338"/>
      <c r="TWX19" s="338"/>
      <c r="TWY19" s="338"/>
      <c r="TWZ19" s="338"/>
      <c r="TXA19" s="338"/>
      <c r="TXB19" s="338"/>
      <c r="TXC19" s="338"/>
      <c r="TXD19" s="338"/>
      <c r="TXE19" s="338"/>
      <c r="TXF19" s="338"/>
      <c r="TXG19" s="338"/>
      <c r="TXH19" s="338"/>
      <c r="TXI19" s="338"/>
      <c r="TXJ19" s="338"/>
      <c r="TXK19" s="338"/>
      <c r="TXL19" s="338"/>
      <c r="TXM19" s="338"/>
      <c r="TXN19" s="338"/>
      <c r="TXO19" s="338"/>
      <c r="TXP19" s="338"/>
      <c r="TXQ19" s="338"/>
      <c r="TXR19" s="338"/>
      <c r="TXS19" s="338"/>
      <c r="TXT19" s="338"/>
      <c r="TXU19" s="338"/>
      <c r="TXV19" s="338"/>
      <c r="TXW19" s="338"/>
      <c r="TXX19" s="338"/>
      <c r="TXY19" s="338"/>
      <c r="TXZ19" s="338"/>
      <c r="TYA19" s="338"/>
      <c r="TYB19" s="338"/>
      <c r="TYC19" s="338"/>
      <c r="TYD19" s="338"/>
      <c r="TYE19" s="338"/>
      <c r="TYF19" s="338"/>
      <c r="TYG19" s="338"/>
      <c r="TYH19" s="338"/>
      <c r="TYI19" s="338"/>
      <c r="TYJ19" s="338"/>
      <c r="TYK19" s="338"/>
      <c r="TYL19" s="338"/>
      <c r="TYM19" s="338"/>
      <c r="TYN19" s="338"/>
      <c r="TYO19" s="338"/>
      <c r="TYP19" s="338"/>
      <c r="TYQ19" s="338"/>
      <c r="TYR19" s="338"/>
      <c r="TYS19" s="338"/>
      <c r="TYT19" s="338"/>
      <c r="TYU19" s="338"/>
      <c r="TYV19" s="338"/>
      <c r="TYW19" s="338"/>
      <c r="TYX19" s="338"/>
      <c r="TYY19" s="338"/>
      <c r="TYZ19" s="338"/>
      <c r="TZA19" s="338"/>
      <c r="TZB19" s="338"/>
      <c r="TZC19" s="338"/>
      <c r="TZD19" s="338"/>
      <c r="TZE19" s="338"/>
      <c r="TZF19" s="338"/>
      <c r="TZG19" s="338"/>
      <c r="TZH19" s="338"/>
      <c r="TZI19" s="338"/>
      <c r="TZJ19" s="338"/>
      <c r="TZK19" s="338"/>
      <c r="TZL19" s="338"/>
      <c r="TZM19" s="338"/>
      <c r="TZN19" s="338"/>
      <c r="TZO19" s="338"/>
      <c r="TZP19" s="338"/>
      <c r="TZQ19" s="338"/>
      <c r="TZR19" s="338"/>
      <c r="TZS19" s="338"/>
      <c r="TZT19" s="338"/>
      <c r="TZU19" s="338"/>
      <c r="TZV19" s="338"/>
      <c r="TZW19" s="338"/>
      <c r="TZX19" s="338"/>
      <c r="TZY19" s="338"/>
      <c r="TZZ19" s="338"/>
      <c r="UAA19" s="338"/>
      <c r="UAB19" s="338"/>
      <c r="UAC19" s="338"/>
      <c r="UAD19" s="338"/>
      <c r="UAE19" s="338"/>
      <c r="UAF19" s="338"/>
      <c r="UAG19" s="338"/>
      <c r="UAH19" s="338"/>
      <c r="UAI19" s="338"/>
      <c r="UAJ19" s="338"/>
      <c r="UAK19" s="338"/>
      <c r="UAL19" s="338"/>
      <c r="UAM19" s="338"/>
      <c r="UAN19" s="338"/>
      <c r="UAO19" s="338"/>
      <c r="UAP19" s="338"/>
      <c r="UAQ19" s="338"/>
      <c r="UAR19" s="338"/>
      <c r="UAS19" s="338"/>
      <c r="UAT19" s="338"/>
      <c r="UAU19" s="338"/>
      <c r="UAV19" s="338"/>
      <c r="UAW19" s="338"/>
      <c r="UAX19" s="338"/>
      <c r="UAY19" s="338"/>
      <c r="UAZ19" s="338"/>
      <c r="UBA19" s="338"/>
      <c r="UBB19" s="338"/>
      <c r="UBC19" s="338"/>
      <c r="UBD19" s="338"/>
      <c r="UBE19" s="338"/>
      <c r="UBF19" s="338"/>
      <c r="UBG19" s="338"/>
      <c r="UBH19" s="338"/>
      <c r="UBI19" s="338"/>
      <c r="UBJ19" s="338"/>
      <c r="UBK19" s="338"/>
      <c r="UBL19" s="338"/>
      <c r="UBM19" s="338"/>
      <c r="UBN19" s="338"/>
      <c r="UBO19" s="338"/>
      <c r="UBP19" s="338"/>
      <c r="UBQ19" s="338"/>
      <c r="UBR19" s="338"/>
      <c r="UBS19" s="338"/>
      <c r="UBT19" s="338"/>
      <c r="UBU19" s="338"/>
      <c r="UBV19" s="338"/>
      <c r="UBW19" s="338"/>
      <c r="UBX19" s="338"/>
      <c r="UBY19" s="338"/>
      <c r="UBZ19" s="338"/>
      <c r="UCA19" s="338"/>
      <c r="UCB19" s="338"/>
      <c r="UCC19" s="338"/>
      <c r="UCD19" s="338"/>
      <c r="UCE19" s="338"/>
      <c r="UCF19" s="338"/>
      <c r="UCG19" s="338"/>
      <c r="UCH19" s="338"/>
      <c r="UCI19" s="338"/>
      <c r="UCJ19" s="338"/>
      <c r="UCK19" s="338"/>
      <c r="UCL19" s="338"/>
      <c r="UCM19" s="338"/>
      <c r="UCN19" s="338"/>
      <c r="UCO19" s="338"/>
      <c r="UCP19" s="338"/>
      <c r="UCQ19" s="338"/>
      <c r="UCR19" s="338"/>
      <c r="UCS19" s="338"/>
      <c r="UCT19" s="338"/>
      <c r="UCU19" s="338"/>
      <c r="UCV19" s="338"/>
      <c r="UCW19" s="338"/>
      <c r="UCX19" s="338"/>
      <c r="UCY19" s="338"/>
      <c r="UCZ19" s="338"/>
      <c r="UDA19" s="338"/>
      <c r="UDB19" s="338"/>
      <c r="UDC19" s="338"/>
      <c r="UDD19" s="338"/>
      <c r="UDE19" s="338"/>
      <c r="UDF19" s="338"/>
      <c r="UDG19" s="338"/>
      <c r="UDH19" s="338"/>
      <c r="UDI19" s="338"/>
      <c r="UDJ19" s="338"/>
      <c r="UDK19" s="338"/>
      <c r="UDL19" s="338"/>
      <c r="UDM19" s="338"/>
      <c r="UDN19" s="338"/>
      <c r="UDO19" s="338"/>
      <c r="UDP19" s="338"/>
      <c r="UDQ19" s="338"/>
      <c r="UDR19" s="338"/>
      <c r="UDS19" s="338"/>
      <c r="UDT19" s="338"/>
      <c r="UDU19" s="338"/>
      <c r="UDV19" s="338"/>
      <c r="UDW19" s="338"/>
      <c r="UDX19" s="338"/>
      <c r="UDY19" s="338"/>
      <c r="UDZ19" s="338"/>
      <c r="UEA19" s="338"/>
      <c r="UEB19" s="338"/>
      <c r="UEC19" s="338"/>
      <c r="UED19" s="338"/>
      <c r="UEE19" s="338"/>
      <c r="UEF19" s="338"/>
      <c r="UEG19" s="338"/>
      <c r="UEH19" s="338"/>
      <c r="UEI19" s="338"/>
      <c r="UEJ19" s="338"/>
      <c r="UEK19" s="338"/>
      <c r="UEL19" s="338"/>
      <c r="UEM19" s="338"/>
      <c r="UEN19" s="338"/>
      <c r="UEO19" s="338"/>
      <c r="UEP19" s="338"/>
      <c r="UEQ19" s="338"/>
      <c r="UER19" s="338"/>
      <c r="UES19" s="338"/>
      <c r="UET19" s="338"/>
      <c r="UEU19" s="338"/>
      <c r="UEV19" s="338"/>
      <c r="UEW19" s="338"/>
      <c r="UEX19" s="338"/>
      <c r="UEY19" s="338"/>
      <c r="UEZ19" s="338"/>
      <c r="UFA19" s="338"/>
      <c r="UFB19" s="338"/>
      <c r="UFC19" s="338"/>
      <c r="UFD19" s="338"/>
      <c r="UFE19" s="338"/>
      <c r="UFF19" s="338"/>
      <c r="UFG19" s="338"/>
      <c r="UFH19" s="338"/>
      <c r="UFI19" s="338"/>
      <c r="UFJ19" s="338"/>
      <c r="UFK19" s="338"/>
      <c r="UFL19" s="338"/>
      <c r="UFM19" s="338"/>
      <c r="UFN19" s="338"/>
      <c r="UFO19" s="338"/>
      <c r="UFP19" s="338"/>
      <c r="UFQ19" s="338"/>
      <c r="UFR19" s="338"/>
      <c r="UFS19" s="338"/>
      <c r="UFT19" s="338"/>
      <c r="UFU19" s="338"/>
      <c r="UFV19" s="338"/>
      <c r="UFW19" s="338"/>
      <c r="UFX19" s="338"/>
      <c r="UFY19" s="338"/>
      <c r="UFZ19" s="338"/>
      <c r="UGA19" s="338"/>
      <c r="UGB19" s="338"/>
      <c r="UGC19" s="338"/>
      <c r="UGD19" s="338"/>
      <c r="UGE19" s="338"/>
      <c r="UGF19" s="338"/>
      <c r="UGG19" s="338"/>
      <c r="UGH19" s="338"/>
      <c r="UGI19" s="338"/>
      <c r="UGJ19" s="338"/>
      <c r="UGK19" s="338"/>
      <c r="UGL19" s="338"/>
      <c r="UGM19" s="338"/>
      <c r="UGN19" s="338"/>
      <c r="UGO19" s="338"/>
      <c r="UGP19" s="338"/>
      <c r="UGQ19" s="338"/>
      <c r="UGR19" s="338"/>
      <c r="UGS19" s="338"/>
      <c r="UGT19" s="338"/>
      <c r="UGU19" s="338"/>
      <c r="UGV19" s="338"/>
      <c r="UGW19" s="338"/>
      <c r="UGX19" s="338"/>
      <c r="UGY19" s="338"/>
      <c r="UGZ19" s="338"/>
      <c r="UHA19" s="338"/>
      <c r="UHB19" s="338"/>
      <c r="UHC19" s="338"/>
      <c r="UHD19" s="338"/>
      <c r="UHE19" s="338"/>
      <c r="UHF19" s="338"/>
      <c r="UHG19" s="338"/>
      <c r="UHH19" s="338"/>
      <c r="UHI19" s="338"/>
      <c r="UHJ19" s="338"/>
      <c r="UHK19" s="338"/>
      <c r="UHL19" s="338"/>
      <c r="UHM19" s="338"/>
      <c r="UHN19" s="338"/>
      <c r="UHO19" s="338"/>
      <c r="UHP19" s="338"/>
      <c r="UHQ19" s="338"/>
      <c r="UHR19" s="338"/>
      <c r="UHS19" s="338"/>
      <c r="UHT19" s="338"/>
      <c r="UHU19" s="338"/>
      <c r="UHV19" s="338"/>
      <c r="UHW19" s="338"/>
      <c r="UHX19" s="338"/>
      <c r="UHY19" s="338"/>
      <c r="UHZ19" s="338"/>
      <c r="UIA19" s="338"/>
      <c r="UIB19" s="338"/>
      <c r="UIC19" s="338"/>
      <c r="UID19" s="338"/>
      <c r="UIE19" s="338"/>
      <c r="UIF19" s="338"/>
      <c r="UIG19" s="338"/>
      <c r="UIH19" s="338"/>
      <c r="UII19" s="338"/>
      <c r="UIJ19" s="338"/>
      <c r="UIK19" s="338"/>
      <c r="UIL19" s="338"/>
      <c r="UIM19" s="338"/>
      <c r="UIN19" s="338"/>
      <c r="UIO19" s="338"/>
      <c r="UIP19" s="338"/>
      <c r="UIQ19" s="338"/>
      <c r="UIR19" s="338"/>
      <c r="UIS19" s="338"/>
      <c r="UIT19" s="338"/>
      <c r="UIU19" s="338"/>
      <c r="UIV19" s="338"/>
      <c r="UIW19" s="338"/>
      <c r="UIX19" s="338"/>
      <c r="UIY19" s="338"/>
      <c r="UIZ19" s="338"/>
      <c r="UJA19" s="338"/>
      <c r="UJB19" s="338"/>
      <c r="UJC19" s="338"/>
      <c r="UJD19" s="338"/>
      <c r="UJE19" s="338"/>
      <c r="UJF19" s="338"/>
      <c r="UJG19" s="338"/>
      <c r="UJH19" s="338"/>
      <c r="UJI19" s="338"/>
      <c r="UJJ19" s="338"/>
      <c r="UJK19" s="338"/>
      <c r="UJL19" s="338"/>
      <c r="UJM19" s="338"/>
      <c r="UJN19" s="338"/>
      <c r="UJO19" s="338"/>
      <c r="UJP19" s="338"/>
      <c r="UJQ19" s="338"/>
      <c r="UJR19" s="338"/>
      <c r="UJS19" s="338"/>
      <c r="UJT19" s="338"/>
      <c r="UJU19" s="338"/>
      <c r="UJV19" s="338"/>
      <c r="UJW19" s="338"/>
      <c r="UJX19" s="338"/>
      <c r="UJY19" s="338"/>
      <c r="UJZ19" s="338"/>
      <c r="UKA19" s="338"/>
      <c r="UKB19" s="338"/>
      <c r="UKC19" s="338"/>
      <c r="UKD19" s="338"/>
      <c r="UKE19" s="338"/>
      <c r="UKF19" s="338"/>
      <c r="UKG19" s="338"/>
      <c r="UKH19" s="338"/>
      <c r="UKI19" s="338"/>
      <c r="UKJ19" s="338"/>
      <c r="UKK19" s="338"/>
      <c r="UKL19" s="338"/>
      <c r="UKM19" s="338"/>
      <c r="UKN19" s="338"/>
      <c r="UKO19" s="338"/>
      <c r="UKP19" s="338"/>
      <c r="UKQ19" s="338"/>
      <c r="UKR19" s="338"/>
      <c r="UKS19" s="338"/>
      <c r="UKT19" s="338"/>
      <c r="UKU19" s="338"/>
      <c r="UKV19" s="338"/>
      <c r="UKW19" s="338"/>
      <c r="UKX19" s="338"/>
      <c r="UKY19" s="338"/>
      <c r="UKZ19" s="338"/>
      <c r="ULA19" s="338"/>
      <c r="ULB19" s="338"/>
      <c r="ULC19" s="338"/>
      <c r="ULD19" s="338"/>
      <c r="ULE19" s="338"/>
      <c r="ULF19" s="338"/>
      <c r="ULG19" s="338"/>
      <c r="ULH19" s="338"/>
      <c r="ULI19" s="338"/>
      <c r="ULJ19" s="338"/>
      <c r="ULK19" s="338"/>
      <c r="ULL19" s="338"/>
      <c r="ULM19" s="338"/>
      <c r="ULN19" s="338"/>
      <c r="ULO19" s="338"/>
      <c r="ULP19" s="338"/>
      <c r="ULQ19" s="338"/>
      <c r="ULR19" s="338"/>
      <c r="ULS19" s="338"/>
      <c r="ULT19" s="338"/>
      <c r="ULU19" s="338"/>
      <c r="ULV19" s="338"/>
      <c r="ULW19" s="338"/>
      <c r="ULX19" s="338"/>
      <c r="ULY19" s="338"/>
      <c r="ULZ19" s="338"/>
      <c r="UMA19" s="338"/>
      <c r="UMB19" s="338"/>
      <c r="UMC19" s="338"/>
      <c r="UMD19" s="338"/>
      <c r="UME19" s="338"/>
      <c r="UMF19" s="338"/>
      <c r="UMG19" s="338"/>
      <c r="UMH19" s="338"/>
      <c r="UMI19" s="338"/>
      <c r="UMJ19" s="338"/>
      <c r="UMK19" s="338"/>
      <c r="UML19" s="338"/>
      <c r="UMM19" s="338"/>
      <c r="UMN19" s="338"/>
      <c r="UMO19" s="338"/>
      <c r="UMP19" s="338"/>
      <c r="UMQ19" s="338"/>
      <c r="UMR19" s="338"/>
      <c r="UMS19" s="338"/>
      <c r="UMT19" s="338"/>
      <c r="UMU19" s="338"/>
      <c r="UMV19" s="338"/>
      <c r="UMW19" s="338"/>
      <c r="UMX19" s="338"/>
      <c r="UMY19" s="338"/>
      <c r="UMZ19" s="338"/>
      <c r="UNA19" s="338"/>
      <c r="UNB19" s="338"/>
      <c r="UNC19" s="338"/>
      <c r="UND19" s="338"/>
      <c r="UNE19" s="338"/>
      <c r="UNF19" s="338"/>
      <c r="UNG19" s="338"/>
      <c r="UNH19" s="338"/>
      <c r="UNI19" s="338"/>
      <c r="UNJ19" s="338"/>
      <c r="UNK19" s="338"/>
      <c r="UNL19" s="338"/>
      <c r="UNM19" s="338"/>
      <c r="UNN19" s="338"/>
      <c r="UNO19" s="338"/>
      <c r="UNP19" s="338"/>
      <c r="UNQ19" s="338"/>
      <c r="UNR19" s="338"/>
      <c r="UNS19" s="338"/>
      <c r="UNT19" s="338"/>
      <c r="UNU19" s="338"/>
      <c r="UNV19" s="338"/>
      <c r="UNW19" s="338"/>
      <c r="UNX19" s="338"/>
      <c r="UNY19" s="338"/>
      <c r="UNZ19" s="338"/>
      <c r="UOA19" s="338"/>
      <c r="UOB19" s="338"/>
      <c r="UOC19" s="338"/>
      <c r="UOD19" s="338"/>
      <c r="UOE19" s="338"/>
      <c r="UOF19" s="338"/>
      <c r="UOG19" s="338"/>
      <c r="UOH19" s="338"/>
      <c r="UOI19" s="338"/>
      <c r="UOJ19" s="338"/>
      <c r="UOK19" s="338"/>
      <c r="UOL19" s="338"/>
      <c r="UOM19" s="338"/>
      <c r="UON19" s="338"/>
      <c r="UOO19" s="338"/>
      <c r="UOP19" s="338"/>
      <c r="UOQ19" s="338"/>
      <c r="UOR19" s="338"/>
      <c r="UOS19" s="338"/>
      <c r="UOT19" s="338"/>
      <c r="UOU19" s="338"/>
      <c r="UOV19" s="338"/>
      <c r="UOW19" s="338"/>
      <c r="UOX19" s="338"/>
      <c r="UOY19" s="338"/>
      <c r="UOZ19" s="338"/>
      <c r="UPA19" s="338"/>
      <c r="UPB19" s="338"/>
      <c r="UPC19" s="338"/>
      <c r="UPD19" s="338"/>
      <c r="UPE19" s="338"/>
      <c r="UPF19" s="338"/>
      <c r="UPG19" s="338"/>
      <c r="UPH19" s="338"/>
      <c r="UPI19" s="338"/>
      <c r="UPJ19" s="338"/>
      <c r="UPK19" s="338"/>
      <c r="UPL19" s="338"/>
      <c r="UPM19" s="338"/>
      <c r="UPN19" s="338"/>
      <c r="UPO19" s="338"/>
      <c r="UPP19" s="338"/>
      <c r="UPQ19" s="338"/>
      <c r="UPR19" s="338"/>
      <c r="UPS19" s="338"/>
      <c r="UPT19" s="338"/>
      <c r="UPU19" s="338"/>
      <c r="UPV19" s="338"/>
      <c r="UPW19" s="338"/>
      <c r="UPX19" s="338"/>
      <c r="UPY19" s="338"/>
      <c r="UPZ19" s="338"/>
      <c r="UQA19" s="338"/>
      <c r="UQB19" s="338"/>
      <c r="UQC19" s="338"/>
      <c r="UQD19" s="338"/>
      <c r="UQE19" s="338"/>
      <c r="UQF19" s="338"/>
      <c r="UQG19" s="338"/>
      <c r="UQH19" s="338"/>
      <c r="UQI19" s="338"/>
      <c r="UQJ19" s="338"/>
      <c r="UQK19" s="338"/>
      <c r="UQL19" s="338"/>
      <c r="UQM19" s="338"/>
      <c r="UQN19" s="338"/>
      <c r="UQO19" s="338"/>
      <c r="UQP19" s="338"/>
      <c r="UQQ19" s="338"/>
      <c r="UQR19" s="338"/>
      <c r="UQS19" s="338"/>
      <c r="UQT19" s="338"/>
      <c r="UQU19" s="338"/>
      <c r="UQV19" s="338"/>
      <c r="UQW19" s="338"/>
      <c r="UQX19" s="338"/>
      <c r="UQY19" s="338"/>
      <c r="UQZ19" s="338"/>
      <c r="URA19" s="338"/>
      <c r="URB19" s="338"/>
      <c r="URC19" s="338"/>
      <c r="URD19" s="338"/>
      <c r="URE19" s="338"/>
      <c r="URF19" s="338"/>
      <c r="URG19" s="338"/>
      <c r="URH19" s="338"/>
      <c r="URI19" s="338"/>
      <c r="URJ19" s="338"/>
      <c r="URK19" s="338"/>
      <c r="URL19" s="338"/>
      <c r="URM19" s="338"/>
      <c r="URN19" s="338"/>
      <c r="URO19" s="338"/>
      <c r="URP19" s="338"/>
      <c r="URQ19" s="338"/>
      <c r="URR19" s="338"/>
      <c r="URS19" s="338"/>
      <c r="URT19" s="338"/>
      <c r="URU19" s="338"/>
      <c r="URV19" s="338"/>
      <c r="URW19" s="338"/>
      <c r="URX19" s="338"/>
      <c r="URY19" s="338"/>
      <c r="URZ19" s="338"/>
      <c r="USA19" s="338"/>
      <c r="USB19" s="338"/>
      <c r="USC19" s="338"/>
      <c r="USD19" s="338"/>
      <c r="USE19" s="338"/>
      <c r="USF19" s="338"/>
      <c r="USG19" s="338"/>
      <c r="USH19" s="338"/>
      <c r="USI19" s="338"/>
      <c r="USJ19" s="338"/>
      <c r="USK19" s="338"/>
      <c r="USL19" s="338"/>
      <c r="USM19" s="338"/>
      <c r="USN19" s="338"/>
      <c r="USO19" s="338"/>
      <c r="USP19" s="338"/>
      <c r="USQ19" s="338"/>
      <c r="USR19" s="338"/>
      <c r="USS19" s="338"/>
      <c r="UST19" s="338"/>
      <c r="USU19" s="338"/>
      <c r="USV19" s="338"/>
      <c r="USW19" s="338"/>
      <c r="USX19" s="338"/>
      <c r="USY19" s="338"/>
      <c r="USZ19" s="338"/>
      <c r="UTA19" s="338"/>
      <c r="UTB19" s="338"/>
      <c r="UTC19" s="338"/>
      <c r="UTD19" s="338"/>
      <c r="UTE19" s="338"/>
      <c r="UTF19" s="338"/>
      <c r="UTG19" s="338"/>
      <c r="UTH19" s="338"/>
      <c r="UTI19" s="338"/>
      <c r="UTJ19" s="338"/>
      <c r="UTK19" s="338"/>
      <c r="UTL19" s="338"/>
      <c r="UTM19" s="338"/>
      <c r="UTN19" s="338"/>
      <c r="UTO19" s="338"/>
      <c r="UTP19" s="338"/>
      <c r="UTQ19" s="338"/>
      <c r="UTR19" s="338"/>
      <c r="UTS19" s="338"/>
      <c r="UTT19" s="338"/>
      <c r="UTU19" s="338"/>
      <c r="UTV19" s="338"/>
      <c r="UTW19" s="338"/>
      <c r="UTX19" s="338"/>
      <c r="UTY19" s="338"/>
      <c r="UTZ19" s="338"/>
      <c r="UUA19" s="338"/>
      <c r="UUB19" s="338"/>
      <c r="UUC19" s="338"/>
      <c r="UUD19" s="338"/>
      <c r="UUE19" s="338"/>
      <c r="UUF19" s="338"/>
      <c r="UUG19" s="338"/>
      <c r="UUH19" s="338"/>
      <c r="UUI19" s="338"/>
      <c r="UUJ19" s="338"/>
      <c r="UUK19" s="338"/>
      <c r="UUL19" s="338"/>
      <c r="UUM19" s="338"/>
      <c r="UUN19" s="338"/>
      <c r="UUO19" s="338"/>
      <c r="UUP19" s="338"/>
      <c r="UUQ19" s="338"/>
      <c r="UUR19" s="338"/>
      <c r="UUS19" s="338"/>
      <c r="UUT19" s="338"/>
      <c r="UUU19" s="338"/>
      <c r="UUV19" s="338"/>
      <c r="UUW19" s="338"/>
      <c r="UUX19" s="338"/>
      <c r="UUY19" s="338"/>
      <c r="UUZ19" s="338"/>
      <c r="UVA19" s="338"/>
      <c r="UVB19" s="338"/>
      <c r="UVC19" s="338"/>
      <c r="UVD19" s="338"/>
      <c r="UVE19" s="338"/>
      <c r="UVF19" s="338"/>
      <c r="UVG19" s="338"/>
      <c r="UVH19" s="338"/>
      <c r="UVI19" s="338"/>
      <c r="UVJ19" s="338"/>
      <c r="UVK19" s="338"/>
      <c r="UVL19" s="338"/>
      <c r="UVM19" s="338"/>
      <c r="UVN19" s="338"/>
      <c r="UVO19" s="338"/>
      <c r="UVP19" s="338"/>
      <c r="UVQ19" s="338"/>
      <c r="UVR19" s="338"/>
      <c r="UVS19" s="338"/>
      <c r="UVT19" s="338"/>
      <c r="UVU19" s="338"/>
      <c r="UVV19" s="338"/>
      <c r="UVW19" s="338"/>
      <c r="UVX19" s="338"/>
      <c r="UVY19" s="338"/>
      <c r="UVZ19" s="338"/>
      <c r="UWA19" s="338"/>
      <c r="UWB19" s="338"/>
      <c r="UWC19" s="338"/>
      <c r="UWD19" s="338"/>
      <c r="UWE19" s="338"/>
      <c r="UWF19" s="338"/>
      <c r="UWG19" s="338"/>
      <c r="UWH19" s="338"/>
      <c r="UWI19" s="338"/>
      <c r="UWJ19" s="338"/>
      <c r="UWK19" s="338"/>
      <c r="UWL19" s="338"/>
      <c r="UWM19" s="338"/>
      <c r="UWN19" s="338"/>
      <c r="UWO19" s="338"/>
      <c r="UWP19" s="338"/>
      <c r="UWQ19" s="338"/>
      <c r="UWR19" s="338"/>
      <c r="UWS19" s="338"/>
      <c r="UWT19" s="338"/>
      <c r="UWU19" s="338"/>
      <c r="UWV19" s="338"/>
      <c r="UWW19" s="338"/>
      <c r="UWX19" s="338"/>
      <c r="UWY19" s="338"/>
      <c r="UWZ19" s="338"/>
      <c r="UXA19" s="338"/>
      <c r="UXB19" s="338"/>
      <c r="UXC19" s="338"/>
      <c r="UXD19" s="338"/>
      <c r="UXE19" s="338"/>
      <c r="UXF19" s="338"/>
      <c r="UXG19" s="338"/>
      <c r="UXH19" s="338"/>
      <c r="UXI19" s="338"/>
      <c r="UXJ19" s="338"/>
      <c r="UXK19" s="338"/>
      <c r="UXL19" s="338"/>
      <c r="UXM19" s="338"/>
      <c r="UXN19" s="338"/>
      <c r="UXO19" s="338"/>
      <c r="UXP19" s="338"/>
      <c r="UXQ19" s="338"/>
      <c r="UXR19" s="338"/>
      <c r="UXS19" s="338"/>
      <c r="UXT19" s="338"/>
      <c r="UXU19" s="338"/>
      <c r="UXV19" s="338"/>
      <c r="UXW19" s="338"/>
      <c r="UXX19" s="338"/>
      <c r="UXY19" s="338"/>
      <c r="UXZ19" s="338"/>
      <c r="UYA19" s="338"/>
      <c r="UYB19" s="338"/>
      <c r="UYC19" s="338"/>
      <c r="UYD19" s="338"/>
      <c r="UYE19" s="338"/>
      <c r="UYF19" s="338"/>
      <c r="UYG19" s="338"/>
      <c r="UYH19" s="338"/>
      <c r="UYI19" s="338"/>
      <c r="UYJ19" s="338"/>
      <c r="UYK19" s="338"/>
      <c r="UYL19" s="338"/>
      <c r="UYM19" s="338"/>
      <c r="UYN19" s="338"/>
      <c r="UYO19" s="338"/>
      <c r="UYP19" s="338"/>
      <c r="UYQ19" s="338"/>
      <c r="UYR19" s="338"/>
      <c r="UYS19" s="338"/>
      <c r="UYT19" s="338"/>
      <c r="UYU19" s="338"/>
      <c r="UYV19" s="338"/>
      <c r="UYW19" s="338"/>
      <c r="UYX19" s="338"/>
      <c r="UYY19" s="338"/>
      <c r="UYZ19" s="338"/>
      <c r="UZA19" s="338"/>
      <c r="UZB19" s="338"/>
      <c r="UZC19" s="338"/>
      <c r="UZD19" s="338"/>
      <c r="UZE19" s="338"/>
      <c r="UZF19" s="338"/>
      <c r="UZG19" s="338"/>
      <c r="UZH19" s="338"/>
      <c r="UZI19" s="338"/>
      <c r="UZJ19" s="338"/>
      <c r="UZK19" s="338"/>
      <c r="UZL19" s="338"/>
      <c r="UZM19" s="338"/>
      <c r="UZN19" s="338"/>
      <c r="UZO19" s="338"/>
      <c r="UZP19" s="338"/>
      <c r="UZQ19" s="338"/>
      <c r="UZR19" s="338"/>
      <c r="UZS19" s="338"/>
      <c r="UZT19" s="338"/>
      <c r="UZU19" s="338"/>
      <c r="UZV19" s="338"/>
      <c r="UZW19" s="338"/>
      <c r="UZX19" s="338"/>
      <c r="UZY19" s="338"/>
      <c r="UZZ19" s="338"/>
      <c r="VAA19" s="338"/>
      <c r="VAB19" s="338"/>
      <c r="VAC19" s="338"/>
      <c r="VAD19" s="338"/>
      <c r="VAE19" s="338"/>
      <c r="VAF19" s="338"/>
      <c r="VAG19" s="338"/>
      <c r="VAH19" s="338"/>
      <c r="VAI19" s="338"/>
      <c r="VAJ19" s="338"/>
      <c r="VAK19" s="338"/>
      <c r="VAL19" s="338"/>
      <c r="VAM19" s="338"/>
      <c r="VAN19" s="338"/>
      <c r="VAO19" s="338"/>
      <c r="VAP19" s="338"/>
      <c r="VAQ19" s="338"/>
      <c r="VAR19" s="338"/>
      <c r="VAS19" s="338"/>
      <c r="VAT19" s="338"/>
      <c r="VAU19" s="338"/>
      <c r="VAV19" s="338"/>
      <c r="VAW19" s="338"/>
      <c r="VAX19" s="338"/>
      <c r="VAY19" s="338"/>
      <c r="VAZ19" s="338"/>
      <c r="VBA19" s="338"/>
      <c r="VBB19" s="338"/>
      <c r="VBC19" s="338"/>
      <c r="VBD19" s="338"/>
      <c r="VBE19" s="338"/>
      <c r="VBF19" s="338"/>
      <c r="VBG19" s="338"/>
      <c r="VBH19" s="338"/>
      <c r="VBI19" s="338"/>
      <c r="VBJ19" s="338"/>
      <c r="VBK19" s="338"/>
      <c r="VBL19" s="338"/>
      <c r="VBM19" s="338"/>
      <c r="VBN19" s="338"/>
      <c r="VBO19" s="338"/>
      <c r="VBP19" s="338"/>
      <c r="VBQ19" s="338"/>
      <c r="VBR19" s="338"/>
      <c r="VBS19" s="338"/>
      <c r="VBT19" s="338"/>
      <c r="VBU19" s="338"/>
      <c r="VBV19" s="338"/>
      <c r="VBW19" s="338"/>
      <c r="VBX19" s="338"/>
      <c r="VBY19" s="338"/>
      <c r="VBZ19" s="338"/>
      <c r="VCA19" s="338"/>
      <c r="VCB19" s="338"/>
      <c r="VCC19" s="338"/>
      <c r="VCD19" s="338"/>
      <c r="VCE19" s="338"/>
      <c r="VCF19" s="338"/>
      <c r="VCG19" s="338"/>
      <c r="VCH19" s="338"/>
      <c r="VCI19" s="338"/>
      <c r="VCJ19" s="338"/>
      <c r="VCK19" s="338"/>
      <c r="VCL19" s="338"/>
      <c r="VCM19" s="338"/>
      <c r="VCN19" s="338"/>
      <c r="VCO19" s="338"/>
      <c r="VCP19" s="338"/>
      <c r="VCQ19" s="338"/>
      <c r="VCR19" s="338"/>
      <c r="VCS19" s="338"/>
      <c r="VCT19" s="338"/>
      <c r="VCU19" s="338"/>
      <c r="VCV19" s="338"/>
      <c r="VCW19" s="338"/>
      <c r="VCX19" s="338"/>
      <c r="VCY19" s="338"/>
      <c r="VCZ19" s="338"/>
      <c r="VDA19" s="338"/>
      <c r="VDB19" s="338"/>
      <c r="VDC19" s="338"/>
      <c r="VDD19" s="338"/>
      <c r="VDE19" s="338"/>
      <c r="VDF19" s="338"/>
      <c r="VDG19" s="338"/>
      <c r="VDH19" s="338"/>
      <c r="VDI19" s="338"/>
      <c r="VDJ19" s="338"/>
      <c r="VDK19" s="338"/>
      <c r="VDL19" s="338"/>
      <c r="VDM19" s="338"/>
      <c r="VDN19" s="338"/>
      <c r="VDO19" s="338"/>
      <c r="VDP19" s="338"/>
      <c r="VDQ19" s="338"/>
      <c r="VDR19" s="338"/>
      <c r="VDS19" s="338"/>
      <c r="VDT19" s="338"/>
      <c r="VDU19" s="338"/>
      <c r="VDV19" s="338"/>
      <c r="VDW19" s="338"/>
      <c r="VDX19" s="338"/>
      <c r="VDY19" s="338"/>
      <c r="VDZ19" s="338"/>
      <c r="VEA19" s="338"/>
      <c r="VEB19" s="338"/>
      <c r="VEC19" s="338"/>
      <c r="VED19" s="338"/>
      <c r="VEE19" s="338"/>
      <c r="VEF19" s="338"/>
      <c r="VEG19" s="338"/>
      <c r="VEH19" s="338"/>
      <c r="VEI19" s="338"/>
      <c r="VEJ19" s="338"/>
      <c r="VEK19" s="338"/>
      <c r="VEL19" s="338"/>
      <c r="VEM19" s="338"/>
      <c r="VEN19" s="338"/>
      <c r="VEO19" s="338"/>
      <c r="VEP19" s="338"/>
      <c r="VEQ19" s="338"/>
      <c r="VER19" s="338"/>
      <c r="VES19" s="338"/>
      <c r="VET19" s="338"/>
      <c r="VEU19" s="338"/>
      <c r="VEV19" s="338"/>
      <c r="VEW19" s="338"/>
      <c r="VEX19" s="338"/>
      <c r="VEY19" s="338"/>
      <c r="VEZ19" s="338"/>
      <c r="VFA19" s="338"/>
      <c r="VFB19" s="338"/>
      <c r="VFC19" s="338"/>
      <c r="VFD19" s="338"/>
      <c r="VFE19" s="338"/>
      <c r="VFF19" s="338"/>
      <c r="VFG19" s="338"/>
      <c r="VFH19" s="338"/>
      <c r="VFI19" s="338"/>
      <c r="VFJ19" s="338"/>
      <c r="VFK19" s="338"/>
      <c r="VFL19" s="338"/>
      <c r="VFM19" s="338"/>
      <c r="VFN19" s="338"/>
      <c r="VFO19" s="338"/>
      <c r="VFP19" s="338"/>
      <c r="VFQ19" s="338"/>
      <c r="VFR19" s="338"/>
      <c r="VFS19" s="338"/>
      <c r="VFT19" s="338"/>
      <c r="VFU19" s="338"/>
      <c r="VFV19" s="338"/>
      <c r="VFW19" s="338"/>
      <c r="VFX19" s="338"/>
      <c r="VFY19" s="338"/>
      <c r="VFZ19" s="338"/>
      <c r="VGA19" s="338"/>
      <c r="VGB19" s="338"/>
      <c r="VGC19" s="338"/>
      <c r="VGD19" s="338"/>
      <c r="VGE19" s="338"/>
      <c r="VGF19" s="338"/>
      <c r="VGG19" s="338"/>
      <c r="VGH19" s="338"/>
      <c r="VGI19" s="338"/>
      <c r="VGJ19" s="338"/>
      <c r="VGK19" s="338"/>
      <c r="VGL19" s="338"/>
      <c r="VGM19" s="338"/>
      <c r="VGN19" s="338"/>
      <c r="VGO19" s="338"/>
      <c r="VGP19" s="338"/>
      <c r="VGQ19" s="338"/>
      <c r="VGR19" s="338"/>
      <c r="VGS19" s="338"/>
      <c r="VGT19" s="338"/>
      <c r="VGU19" s="338"/>
      <c r="VGV19" s="338"/>
      <c r="VGW19" s="338"/>
      <c r="VGX19" s="338"/>
      <c r="VGY19" s="338"/>
      <c r="VGZ19" s="338"/>
      <c r="VHA19" s="338"/>
      <c r="VHB19" s="338"/>
      <c r="VHC19" s="338"/>
      <c r="VHD19" s="338"/>
      <c r="VHE19" s="338"/>
      <c r="VHF19" s="338"/>
      <c r="VHG19" s="338"/>
      <c r="VHH19" s="338"/>
      <c r="VHI19" s="338"/>
      <c r="VHJ19" s="338"/>
      <c r="VHK19" s="338"/>
      <c r="VHL19" s="338"/>
      <c r="VHM19" s="338"/>
      <c r="VHN19" s="338"/>
      <c r="VHO19" s="338"/>
      <c r="VHP19" s="338"/>
      <c r="VHQ19" s="338"/>
      <c r="VHR19" s="338"/>
      <c r="VHS19" s="338"/>
      <c r="VHT19" s="338"/>
      <c r="VHU19" s="338"/>
      <c r="VHV19" s="338"/>
      <c r="VHW19" s="338"/>
      <c r="VHX19" s="338"/>
      <c r="VHY19" s="338"/>
      <c r="VHZ19" s="338"/>
      <c r="VIA19" s="338"/>
      <c r="VIB19" s="338"/>
      <c r="VIC19" s="338"/>
      <c r="VID19" s="338"/>
      <c r="VIE19" s="338"/>
      <c r="VIF19" s="338"/>
      <c r="VIG19" s="338"/>
      <c r="VIH19" s="338"/>
      <c r="VII19" s="338"/>
      <c r="VIJ19" s="338"/>
      <c r="VIK19" s="338"/>
      <c r="VIL19" s="338"/>
      <c r="VIM19" s="338"/>
      <c r="VIN19" s="338"/>
      <c r="VIO19" s="338"/>
      <c r="VIP19" s="338"/>
      <c r="VIQ19" s="338"/>
      <c r="VIR19" s="338"/>
      <c r="VIS19" s="338"/>
      <c r="VIT19" s="338"/>
      <c r="VIU19" s="338"/>
      <c r="VIV19" s="338"/>
      <c r="VIW19" s="338"/>
      <c r="VIX19" s="338"/>
      <c r="VIY19" s="338"/>
      <c r="VIZ19" s="338"/>
      <c r="VJA19" s="338"/>
      <c r="VJB19" s="338"/>
      <c r="VJC19" s="338"/>
      <c r="VJD19" s="338"/>
      <c r="VJE19" s="338"/>
      <c r="VJF19" s="338"/>
      <c r="VJG19" s="338"/>
      <c r="VJH19" s="338"/>
      <c r="VJI19" s="338"/>
      <c r="VJJ19" s="338"/>
      <c r="VJK19" s="338"/>
      <c r="VJL19" s="338"/>
      <c r="VJM19" s="338"/>
      <c r="VJN19" s="338"/>
      <c r="VJO19" s="338"/>
      <c r="VJP19" s="338"/>
      <c r="VJQ19" s="338"/>
      <c r="VJR19" s="338"/>
      <c r="VJS19" s="338"/>
      <c r="VJT19" s="338"/>
      <c r="VJU19" s="338"/>
      <c r="VJV19" s="338"/>
      <c r="VJW19" s="338"/>
      <c r="VJX19" s="338"/>
      <c r="VJY19" s="338"/>
      <c r="VJZ19" s="338"/>
      <c r="VKA19" s="338"/>
      <c r="VKB19" s="338"/>
      <c r="VKC19" s="338"/>
      <c r="VKD19" s="338"/>
      <c r="VKE19" s="338"/>
      <c r="VKF19" s="338"/>
      <c r="VKG19" s="338"/>
      <c r="VKH19" s="338"/>
      <c r="VKI19" s="338"/>
      <c r="VKJ19" s="338"/>
      <c r="VKK19" s="338"/>
      <c r="VKL19" s="338"/>
      <c r="VKM19" s="338"/>
      <c r="VKN19" s="338"/>
      <c r="VKO19" s="338"/>
      <c r="VKP19" s="338"/>
      <c r="VKQ19" s="338"/>
      <c r="VKR19" s="338"/>
      <c r="VKS19" s="338"/>
      <c r="VKT19" s="338"/>
      <c r="VKU19" s="338"/>
      <c r="VKV19" s="338"/>
      <c r="VKW19" s="338"/>
      <c r="VKX19" s="338"/>
      <c r="VKY19" s="338"/>
      <c r="VKZ19" s="338"/>
      <c r="VLA19" s="338"/>
      <c r="VLB19" s="338"/>
      <c r="VLC19" s="338"/>
      <c r="VLD19" s="338"/>
      <c r="VLE19" s="338"/>
      <c r="VLF19" s="338"/>
      <c r="VLG19" s="338"/>
      <c r="VLH19" s="338"/>
      <c r="VLI19" s="338"/>
      <c r="VLJ19" s="338"/>
      <c r="VLK19" s="338"/>
      <c r="VLL19" s="338"/>
      <c r="VLM19" s="338"/>
      <c r="VLN19" s="338"/>
      <c r="VLO19" s="338"/>
      <c r="VLP19" s="338"/>
      <c r="VLQ19" s="338"/>
      <c r="VLR19" s="338"/>
      <c r="VLS19" s="338"/>
      <c r="VLT19" s="338"/>
      <c r="VLU19" s="338"/>
      <c r="VLV19" s="338"/>
      <c r="VLW19" s="338"/>
      <c r="VLX19" s="338"/>
      <c r="VLY19" s="338"/>
      <c r="VLZ19" s="338"/>
      <c r="VMA19" s="338"/>
      <c r="VMB19" s="338"/>
      <c r="VMC19" s="338"/>
      <c r="VMD19" s="338"/>
      <c r="VME19" s="338"/>
      <c r="VMF19" s="338"/>
      <c r="VMG19" s="338"/>
      <c r="VMH19" s="338"/>
      <c r="VMI19" s="338"/>
      <c r="VMJ19" s="338"/>
      <c r="VMK19" s="338"/>
      <c r="VML19" s="338"/>
      <c r="VMM19" s="338"/>
      <c r="VMN19" s="338"/>
      <c r="VMO19" s="338"/>
      <c r="VMP19" s="338"/>
      <c r="VMQ19" s="338"/>
      <c r="VMR19" s="338"/>
      <c r="VMS19" s="338"/>
      <c r="VMT19" s="338"/>
      <c r="VMU19" s="338"/>
      <c r="VMV19" s="338"/>
      <c r="VMW19" s="338"/>
      <c r="VMX19" s="338"/>
      <c r="VMY19" s="338"/>
      <c r="VMZ19" s="338"/>
      <c r="VNA19" s="338"/>
      <c r="VNB19" s="338"/>
      <c r="VNC19" s="338"/>
      <c r="VND19" s="338"/>
      <c r="VNE19" s="338"/>
      <c r="VNF19" s="338"/>
      <c r="VNG19" s="338"/>
      <c r="VNH19" s="338"/>
      <c r="VNI19" s="338"/>
      <c r="VNJ19" s="338"/>
      <c r="VNK19" s="338"/>
      <c r="VNL19" s="338"/>
      <c r="VNM19" s="338"/>
      <c r="VNN19" s="338"/>
      <c r="VNO19" s="338"/>
      <c r="VNP19" s="338"/>
      <c r="VNQ19" s="338"/>
      <c r="VNR19" s="338"/>
      <c r="VNS19" s="338"/>
      <c r="VNT19" s="338"/>
      <c r="VNU19" s="338"/>
      <c r="VNV19" s="338"/>
      <c r="VNW19" s="338"/>
      <c r="VNX19" s="338"/>
      <c r="VNY19" s="338"/>
      <c r="VNZ19" s="338"/>
      <c r="VOA19" s="338"/>
      <c r="VOB19" s="338"/>
      <c r="VOC19" s="338"/>
      <c r="VOD19" s="338"/>
      <c r="VOE19" s="338"/>
      <c r="VOF19" s="338"/>
      <c r="VOG19" s="338"/>
      <c r="VOH19" s="338"/>
      <c r="VOI19" s="338"/>
      <c r="VOJ19" s="338"/>
      <c r="VOK19" s="338"/>
      <c r="VOL19" s="338"/>
      <c r="VOM19" s="338"/>
      <c r="VON19" s="338"/>
      <c r="VOO19" s="338"/>
      <c r="VOP19" s="338"/>
      <c r="VOQ19" s="338"/>
      <c r="VOR19" s="338"/>
      <c r="VOS19" s="338"/>
      <c r="VOT19" s="338"/>
      <c r="VOU19" s="338"/>
      <c r="VOV19" s="338"/>
      <c r="VOW19" s="338"/>
      <c r="VOX19" s="338"/>
      <c r="VOY19" s="338"/>
      <c r="VOZ19" s="338"/>
      <c r="VPA19" s="338"/>
      <c r="VPB19" s="338"/>
      <c r="VPC19" s="338"/>
      <c r="VPD19" s="338"/>
      <c r="VPE19" s="338"/>
      <c r="VPF19" s="338"/>
      <c r="VPG19" s="338"/>
      <c r="VPH19" s="338"/>
      <c r="VPI19" s="338"/>
      <c r="VPJ19" s="338"/>
      <c r="VPK19" s="338"/>
      <c r="VPL19" s="338"/>
      <c r="VPM19" s="338"/>
      <c r="VPN19" s="338"/>
      <c r="VPO19" s="338"/>
      <c r="VPP19" s="338"/>
      <c r="VPQ19" s="338"/>
      <c r="VPR19" s="338"/>
      <c r="VPS19" s="338"/>
      <c r="VPT19" s="338"/>
      <c r="VPU19" s="338"/>
      <c r="VPV19" s="338"/>
      <c r="VPW19" s="338"/>
      <c r="VPX19" s="338"/>
      <c r="VPY19" s="338"/>
      <c r="VPZ19" s="338"/>
      <c r="VQA19" s="338"/>
      <c r="VQB19" s="338"/>
      <c r="VQC19" s="338"/>
      <c r="VQD19" s="338"/>
      <c r="VQE19" s="338"/>
      <c r="VQF19" s="338"/>
      <c r="VQG19" s="338"/>
      <c r="VQH19" s="338"/>
      <c r="VQI19" s="338"/>
      <c r="VQJ19" s="338"/>
      <c r="VQK19" s="338"/>
      <c r="VQL19" s="338"/>
      <c r="VQM19" s="338"/>
      <c r="VQN19" s="338"/>
      <c r="VQO19" s="338"/>
      <c r="VQP19" s="338"/>
      <c r="VQQ19" s="338"/>
      <c r="VQR19" s="338"/>
      <c r="VQS19" s="338"/>
      <c r="VQT19" s="338"/>
      <c r="VQU19" s="338"/>
      <c r="VQV19" s="338"/>
      <c r="VQW19" s="338"/>
      <c r="VQX19" s="338"/>
      <c r="VQY19" s="338"/>
      <c r="VQZ19" s="338"/>
      <c r="VRA19" s="338"/>
      <c r="VRB19" s="338"/>
      <c r="VRC19" s="338"/>
      <c r="VRD19" s="338"/>
      <c r="VRE19" s="338"/>
      <c r="VRF19" s="338"/>
      <c r="VRG19" s="338"/>
      <c r="VRH19" s="338"/>
      <c r="VRI19" s="338"/>
      <c r="VRJ19" s="338"/>
      <c r="VRK19" s="338"/>
      <c r="VRL19" s="338"/>
      <c r="VRM19" s="338"/>
      <c r="VRN19" s="338"/>
      <c r="VRO19" s="338"/>
      <c r="VRP19" s="338"/>
      <c r="VRQ19" s="338"/>
      <c r="VRR19" s="338"/>
      <c r="VRS19" s="338"/>
      <c r="VRT19" s="338"/>
      <c r="VRU19" s="338"/>
      <c r="VRV19" s="338"/>
      <c r="VRW19" s="338"/>
      <c r="VRX19" s="338"/>
      <c r="VRY19" s="338"/>
      <c r="VRZ19" s="338"/>
      <c r="VSA19" s="338"/>
      <c r="VSB19" s="338"/>
      <c r="VSC19" s="338"/>
      <c r="VSD19" s="338"/>
      <c r="VSE19" s="338"/>
      <c r="VSF19" s="338"/>
      <c r="VSG19" s="338"/>
      <c r="VSH19" s="338"/>
      <c r="VSI19" s="338"/>
      <c r="VSJ19" s="338"/>
      <c r="VSK19" s="338"/>
      <c r="VSL19" s="338"/>
      <c r="VSM19" s="338"/>
      <c r="VSN19" s="338"/>
      <c r="VSO19" s="338"/>
      <c r="VSP19" s="338"/>
      <c r="VSQ19" s="338"/>
      <c r="VSR19" s="338"/>
      <c r="VSS19" s="338"/>
      <c r="VST19" s="338"/>
      <c r="VSU19" s="338"/>
      <c r="VSV19" s="338"/>
      <c r="VSW19" s="338"/>
      <c r="VSX19" s="338"/>
      <c r="VSY19" s="338"/>
      <c r="VSZ19" s="338"/>
      <c r="VTA19" s="338"/>
      <c r="VTB19" s="338"/>
      <c r="VTC19" s="338"/>
      <c r="VTD19" s="338"/>
      <c r="VTE19" s="338"/>
      <c r="VTF19" s="338"/>
      <c r="VTG19" s="338"/>
      <c r="VTH19" s="338"/>
      <c r="VTI19" s="338"/>
      <c r="VTJ19" s="338"/>
      <c r="VTK19" s="338"/>
      <c r="VTL19" s="338"/>
      <c r="VTM19" s="338"/>
      <c r="VTN19" s="338"/>
      <c r="VTO19" s="338"/>
      <c r="VTP19" s="338"/>
      <c r="VTQ19" s="338"/>
      <c r="VTR19" s="338"/>
      <c r="VTS19" s="338"/>
      <c r="VTT19" s="338"/>
      <c r="VTU19" s="338"/>
      <c r="VTV19" s="338"/>
      <c r="VTW19" s="338"/>
      <c r="VTX19" s="338"/>
      <c r="VTY19" s="338"/>
      <c r="VTZ19" s="338"/>
      <c r="VUA19" s="338"/>
      <c r="VUB19" s="338"/>
      <c r="VUC19" s="338"/>
      <c r="VUD19" s="338"/>
      <c r="VUE19" s="338"/>
      <c r="VUF19" s="338"/>
      <c r="VUG19" s="338"/>
      <c r="VUH19" s="338"/>
      <c r="VUI19" s="338"/>
      <c r="VUJ19" s="338"/>
      <c r="VUK19" s="338"/>
      <c r="VUL19" s="338"/>
      <c r="VUM19" s="338"/>
      <c r="VUN19" s="338"/>
      <c r="VUO19" s="338"/>
      <c r="VUP19" s="338"/>
      <c r="VUQ19" s="338"/>
      <c r="VUR19" s="338"/>
      <c r="VUS19" s="338"/>
      <c r="VUT19" s="338"/>
      <c r="VUU19" s="338"/>
      <c r="VUV19" s="338"/>
      <c r="VUW19" s="338"/>
      <c r="VUX19" s="338"/>
      <c r="VUY19" s="338"/>
      <c r="VUZ19" s="338"/>
      <c r="VVA19" s="338"/>
      <c r="VVB19" s="338"/>
      <c r="VVC19" s="338"/>
      <c r="VVD19" s="338"/>
      <c r="VVE19" s="338"/>
      <c r="VVF19" s="338"/>
      <c r="VVG19" s="338"/>
      <c r="VVH19" s="338"/>
      <c r="VVI19" s="338"/>
      <c r="VVJ19" s="338"/>
      <c r="VVK19" s="338"/>
      <c r="VVL19" s="338"/>
      <c r="VVM19" s="338"/>
      <c r="VVN19" s="338"/>
      <c r="VVO19" s="338"/>
      <c r="VVP19" s="338"/>
      <c r="VVQ19" s="338"/>
      <c r="VVR19" s="338"/>
      <c r="VVS19" s="338"/>
      <c r="VVT19" s="338"/>
      <c r="VVU19" s="338"/>
      <c r="VVV19" s="338"/>
      <c r="VVW19" s="338"/>
      <c r="VVX19" s="338"/>
      <c r="VVY19" s="338"/>
      <c r="VVZ19" s="338"/>
      <c r="VWA19" s="338"/>
      <c r="VWB19" s="338"/>
      <c r="VWC19" s="338"/>
      <c r="VWD19" s="338"/>
      <c r="VWE19" s="338"/>
      <c r="VWF19" s="338"/>
      <c r="VWG19" s="338"/>
      <c r="VWH19" s="338"/>
      <c r="VWI19" s="338"/>
      <c r="VWJ19" s="338"/>
      <c r="VWK19" s="338"/>
      <c r="VWL19" s="338"/>
      <c r="VWM19" s="338"/>
      <c r="VWN19" s="338"/>
      <c r="VWO19" s="338"/>
      <c r="VWP19" s="338"/>
      <c r="VWQ19" s="338"/>
      <c r="VWR19" s="338"/>
      <c r="VWS19" s="338"/>
      <c r="VWT19" s="338"/>
      <c r="VWU19" s="338"/>
      <c r="VWV19" s="338"/>
      <c r="VWW19" s="338"/>
      <c r="VWX19" s="338"/>
      <c r="VWY19" s="338"/>
      <c r="VWZ19" s="338"/>
      <c r="VXA19" s="338"/>
      <c r="VXB19" s="338"/>
      <c r="VXC19" s="338"/>
      <c r="VXD19" s="338"/>
      <c r="VXE19" s="338"/>
      <c r="VXF19" s="338"/>
      <c r="VXG19" s="338"/>
      <c r="VXH19" s="338"/>
      <c r="VXI19" s="338"/>
      <c r="VXJ19" s="338"/>
      <c r="VXK19" s="338"/>
      <c r="VXL19" s="338"/>
      <c r="VXM19" s="338"/>
      <c r="VXN19" s="338"/>
      <c r="VXO19" s="338"/>
      <c r="VXP19" s="338"/>
      <c r="VXQ19" s="338"/>
      <c r="VXR19" s="338"/>
      <c r="VXS19" s="338"/>
      <c r="VXT19" s="338"/>
      <c r="VXU19" s="338"/>
      <c r="VXV19" s="338"/>
      <c r="VXW19" s="338"/>
      <c r="VXX19" s="338"/>
      <c r="VXY19" s="338"/>
      <c r="VXZ19" s="338"/>
      <c r="VYA19" s="338"/>
      <c r="VYB19" s="338"/>
      <c r="VYC19" s="338"/>
      <c r="VYD19" s="338"/>
      <c r="VYE19" s="338"/>
      <c r="VYF19" s="338"/>
      <c r="VYG19" s="338"/>
      <c r="VYH19" s="338"/>
      <c r="VYI19" s="338"/>
      <c r="VYJ19" s="338"/>
      <c r="VYK19" s="338"/>
      <c r="VYL19" s="338"/>
      <c r="VYM19" s="338"/>
      <c r="VYN19" s="338"/>
      <c r="VYO19" s="338"/>
      <c r="VYP19" s="338"/>
      <c r="VYQ19" s="338"/>
      <c r="VYR19" s="338"/>
      <c r="VYS19" s="338"/>
      <c r="VYT19" s="338"/>
      <c r="VYU19" s="338"/>
      <c r="VYV19" s="338"/>
      <c r="VYW19" s="338"/>
      <c r="VYX19" s="338"/>
      <c r="VYY19" s="338"/>
      <c r="VYZ19" s="338"/>
      <c r="VZA19" s="338"/>
      <c r="VZB19" s="338"/>
      <c r="VZC19" s="338"/>
      <c r="VZD19" s="338"/>
      <c r="VZE19" s="338"/>
      <c r="VZF19" s="338"/>
      <c r="VZG19" s="338"/>
      <c r="VZH19" s="338"/>
      <c r="VZI19" s="338"/>
      <c r="VZJ19" s="338"/>
      <c r="VZK19" s="338"/>
      <c r="VZL19" s="338"/>
      <c r="VZM19" s="338"/>
      <c r="VZN19" s="338"/>
      <c r="VZO19" s="338"/>
      <c r="VZP19" s="338"/>
      <c r="VZQ19" s="338"/>
      <c r="VZR19" s="338"/>
      <c r="VZS19" s="338"/>
      <c r="VZT19" s="338"/>
      <c r="VZU19" s="338"/>
      <c r="VZV19" s="338"/>
      <c r="VZW19" s="338"/>
      <c r="VZX19" s="338"/>
      <c r="VZY19" s="338"/>
      <c r="VZZ19" s="338"/>
      <c r="WAA19" s="338"/>
      <c r="WAB19" s="338"/>
      <c r="WAC19" s="338"/>
      <c r="WAD19" s="338"/>
      <c r="WAE19" s="338"/>
      <c r="WAF19" s="338"/>
      <c r="WAG19" s="338"/>
      <c r="WAH19" s="338"/>
      <c r="WAI19" s="338"/>
      <c r="WAJ19" s="338"/>
      <c r="WAK19" s="338"/>
      <c r="WAL19" s="338"/>
      <c r="WAM19" s="338"/>
      <c r="WAN19" s="338"/>
      <c r="WAO19" s="338"/>
      <c r="WAP19" s="338"/>
      <c r="WAQ19" s="338"/>
      <c r="WAR19" s="338"/>
      <c r="WAS19" s="338"/>
      <c r="WAT19" s="338"/>
      <c r="WAU19" s="338"/>
      <c r="WAV19" s="338"/>
      <c r="WAW19" s="338"/>
      <c r="WAX19" s="338"/>
      <c r="WAY19" s="338"/>
      <c r="WAZ19" s="338"/>
      <c r="WBA19" s="338"/>
      <c r="WBB19" s="338"/>
      <c r="WBC19" s="338"/>
      <c r="WBD19" s="338"/>
      <c r="WBE19" s="338"/>
      <c r="WBF19" s="338"/>
      <c r="WBG19" s="338"/>
      <c r="WBH19" s="338"/>
      <c r="WBI19" s="338"/>
      <c r="WBJ19" s="338"/>
      <c r="WBK19" s="338"/>
      <c r="WBL19" s="338"/>
      <c r="WBM19" s="338"/>
      <c r="WBN19" s="338"/>
      <c r="WBO19" s="338"/>
      <c r="WBP19" s="338"/>
      <c r="WBQ19" s="338"/>
      <c r="WBR19" s="338"/>
      <c r="WBS19" s="338"/>
      <c r="WBT19" s="338"/>
      <c r="WBU19" s="338"/>
      <c r="WBV19" s="338"/>
      <c r="WBW19" s="338"/>
      <c r="WBX19" s="338"/>
      <c r="WBY19" s="338"/>
      <c r="WBZ19" s="338"/>
      <c r="WCA19" s="338"/>
      <c r="WCB19" s="338"/>
      <c r="WCC19" s="338"/>
      <c r="WCD19" s="338"/>
      <c r="WCE19" s="338"/>
      <c r="WCF19" s="338"/>
      <c r="WCG19" s="338"/>
      <c r="WCH19" s="338"/>
      <c r="WCI19" s="338"/>
      <c r="WCJ19" s="338"/>
      <c r="WCK19" s="338"/>
      <c r="WCL19" s="338"/>
      <c r="WCM19" s="338"/>
      <c r="WCN19" s="338"/>
      <c r="WCO19" s="338"/>
      <c r="WCP19" s="338"/>
      <c r="WCQ19" s="338"/>
      <c r="WCR19" s="338"/>
      <c r="WCS19" s="338"/>
      <c r="WCT19" s="338"/>
      <c r="WCU19" s="338"/>
      <c r="WCV19" s="338"/>
      <c r="WCW19" s="338"/>
      <c r="WCX19" s="338"/>
      <c r="WCY19" s="338"/>
      <c r="WCZ19" s="338"/>
      <c r="WDA19" s="338"/>
      <c r="WDB19" s="338"/>
      <c r="WDC19" s="338"/>
      <c r="WDD19" s="338"/>
      <c r="WDE19" s="338"/>
      <c r="WDF19" s="338"/>
      <c r="WDG19" s="338"/>
      <c r="WDH19" s="338"/>
      <c r="WDI19" s="338"/>
      <c r="WDJ19" s="338"/>
      <c r="WDK19" s="338"/>
      <c r="WDL19" s="338"/>
      <c r="WDM19" s="338"/>
      <c r="WDN19" s="338"/>
      <c r="WDO19" s="338"/>
      <c r="WDP19" s="338"/>
      <c r="WDQ19" s="338"/>
      <c r="WDR19" s="338"/>
      <c r="WDS19" s="338"/>
      <c r="WDT19" s="338"/>
      <c r="WDU19" s="338"/>
      <c r="WDV19" s="338"/>
      <c r="WDW19" s="338"/>
      <c r="WDX19" s="338"/>
      <c r="WDY19" s="338"/>
      <c r="WDZ19" s="338"/>
      <c r="WEA19" s="338"/>
      <c r="WEB19" s="338"/>
      <c r="WEC19" s="338"/>
      <c r="WED19" s="338"/>
      <c r="WEE19" s="338"/>
      <c r="WEF19" s="338"/>
      <c r="WEG19" s="338"/>
      <c r="WEH19" s="338"/>
      <c r="WEI19" s="338"/>
      <c r="WEJ19" s="338"/>
      <c r="WEK19" s="338"/>
      <c r="WEL19" s="338"/>
      <c r="WEM19" s="338"/>
      <c r="WEN19" s="338"/>
      <c r="WEO19" s="338"/>
      <c r="WEP19" s="338"/>
      <c r="WEQ19" s="338"/>
      <c r="WER19" s="338"/>
      <c r="WES19" s="338"/>
      <c r="WET19" s="338"/>
      <c r="WEU19" s="338"/>
      <c r="WEV19" s="338"/>
      <c r="WEW19" s="338"/>
      <c r="WEX19" s="338"/>
      <c r="WEY19" s="338"/>
      <c r="WEZ19" s="338"/>
      <c r="WFA19" s="338"/>
      <c r="WFB19" s="338"/>
      <c r="WFC19" s="338"/>
      <c r="WFD19" s="338"/>
      <c r="WFE19" s="338"/>
      <c r="WFF19" s="338"/>
      <c r="WFG19" s="338"/>
      <c r="WFH19" s="338"/>
      <c r="WFI19" s="338"/>
      <c r="WFJ19" s="338"/>
      <c r="WFK19" s="338"/>
      <c r="WFL19" s="338"/>
      <c r="WFM19" s="338"/>
      <c r="WFN19" s="338"/>
      <c r="WFO19" s="338"/>
      <c r="WFP19" s="338"/>
      <c r="WFQ19" s="338"/>
      <c r="WFR19" s="338"/>
      <c r="WFS19" s="338"/>
      <c r="WFT19" s="338"/>
      <c r="WFU19" s="338"/>
      <c r="WFV19" s="338"/>
      <c r="WFW19" s="338"/>
      <c r="WFX19" s="338"/>
      <c r="WFY19" s="338"/>
      <c r="WFZ19" s="338"/>
      <c r="WGA19" s="338"/>
      <c r="WGB19" s="338"/>
      <c r="WGC19" s="338"/>
      <c r="WGD19" s="338"/>
      <c r="WGE19" s="338"/>
      <c r="WGF19" s="338"/>
      <c r="WGG19" s="338"/>
      <c r="WGH19" s="338"/>
      <c r="WGI19" s="338"/>
      <c r="WGJ19" s="338"/>
      <c r="WGK19" s="338"/>
      <c r="WGL19" s="338"/>
      <c r="WGM19" s="338"/>
      <c r="WGN19" s="338"/>
      <c r="WGO19" s="338"/>
      <c r="WGP19" s="338"/>
      <c r="WGQ19" s="338"/>
      <c r="WGR19" s="338"/>
      <c r="WGS19" s="338"/>
      <c r="WGT19" s="338"/>
      <c r="WGU19" s="338"/>
      <c r="WGV19" s="338"/>
      <c r="WGW19" s="338"/>
      <c r="WGX19" s="338"/>
      <c r="WGY19" s="338"/>
      <c r="WGZ19" s="338"/>
      <c r="WHA19" s="338"/>
      <c r="WHB19" s="338"/>
      <c r="WHC19" s="338"/>
      <c r="WHD19" s="338"/>
      <c r="WHE19" s="338"/>
      <c r="WHF19" s="338"/>
      <c r="WHG19" s="338"/>
      <c r="WHH19" s="338"/>
      <c r="WHI19" s="338"/>
      <c r="WHJ19" s="338"/>
      <c r="WHK19" s="338"/>
      <c r="WHL19" s="338"/>
      <c r="WHM19" s="338"/>
      <c r="WHN19" s="338"/>
      <c r="WHO19" s="338"/>
      <c r="WHP19" s="338"/>
      <c r="WHQ19" s="338"/>
      <c r="WHR19" s="338"/>
      <c r="WHS19" s="338"/>
      <c r="WHT19" s="338"/>
      <c r="WHU19" s="338"/>
      <c r="WHV19" s="338"/>
      <c r="WHW19" s="338"/>
      <c r="WHX19" s="338"/>
      <c r="WHY19" s="338"/>
      <c r="WHZ19" s="338"/>
      <c r="WIA19" s="338"/>
      <c r="WIB19" s="338"/>
      <c r="WIC19" s="338"/>
      <c r="WID19" s="338"/>
      <c r="WIE19" s="338"/>
      <c r="WIF19" s="338"/>
      <c r="WIG19" s="338"/>
      <c r="WIH19" s="338"/>
      <c r="WII19" s="338"/>
      <c r="WIJ19" s="338"/>
      <c r="WIK19" s="338"/>
      <c r="WIL19" s="338"/>
      <c r="WIM19" s="338"/>
      <c r="WIN19" s="338"/>
      <c r="WIO19" s="338"/>
      <c r="WIP19" s="338"/>
      <c r="WIQ19" s="338"/>
      <c r="WIR19" s="338"/>
      <c r="WIS19" s="338"/>
      <c r="WIT19" s="338"/>
      <c r="WIU19" s="338"/>
      <c r="WIV19" s="338"/>
      <c r="WIW19" s="338"/>
      <c r="WIX19" s="338"/>
      <c r="WIY19" s="338"/>
      <c r="WIZ19" s="338"/>
      <c r="WJA19" s="338"/>
      <c r="WJB19" s="338"/>
      <c r="WJC19" s="338"/>
      <c r="WJD19" s="338"/>
      <c r="WJE19" s="338"/>
      <c r="WJF19" s="338"/>
      <c r="WJG19" s="338"/>
      <c r="WJH19" s="338"/>
      <c r="WJI19" s="338"/>
      <c r="WJJ19" s="338"/>
      <c r="WJK19" s="338"/>
      <c r="WJL19" s="338"/>
      <c r="WJM19" s="338"/>
      <c r="WJN19" s="338"/>
      <c r="WJO19" s="338"/>
      <c r="WJP19" s="338"/>
      <c r="WJQ19" s="338"/>
      <c r="WJR19" s="338"/>
      <c r="WJS19" s="338"/>
      <c r="WJT19" s="338"/>
      <c r="WJU19" s="338"/>
      <c r="WJV19" s="338"/>
      <c r="WJW19" s="338"/>
      <c r="WJX19" s="338"/>
      <c r="WJY19" s="338"/>
      <c r="WJZ19" s="338"/>
      <c r="WKA19" s="338"/>
      <c r="WKB19" s="338"/>
      <c r="WKC19" s="338"/>
      <c r="WKD19" s="338"/>
      <c r="WKE19" s="338"/>
      <c r="WKF19" s="338"/>
      <c r="WKG19" s="338"/>
      <c r="WKH19" s="338"/>
      <c r="WKI19" s="338"/>
      <c r="WKJ19" s="338"/>
      <c r="WKK19" s="338"/>
      <c r="WKL19" s="338"/>
      <c r="WKM19" s="338"/>
      <c r="WKN19" s="338"/>
      <c r="WKO19" s="338"/>
      <c r="WKP19" s="338"/>
      <c r="WKQ19" s="338"/>
      <c r="WKR19" s="338"/>
      <c r="WKS19" s="338"/>
      <c r="WKT19" s="338"/>
      <c r="WKU19" s="338"/>
      <c r="WKV19" s="338"/>
      <c r="WKW19" s="338"/>
      <c r="WKX19" s="338"/>
      <c r="WKY19" s="338"/>
      <c r="WKZ19" s="338"/>
      <c r="WLA19" s="338"/>
      <c r="WLB19" s="338"/>
      <c r="WLC19" s="338"/>
      <c r="WLD19" s="338"/>
      <c r="WLE19" s="338"/>
      <c r="WLF19" s="338"/>
      <c r="WLG19" s="338"/>
      <c r="WLH19" s="338"/>
      <c r="WLI19" s="338"/>
      <c r="WLJ19" s="338"/>
      <c r="WLK19" s="338"/>
      <c r="WLL19" s="338"/>
      <c r="WLM19" s="338"/>
      <c r="WLN19" s="338"/>
      <c r="WLO19" s="338"/>
      <c r="WLP19" s="338"/>
      <c r="WLQ19" s="338"/>
      <c r="WLR19" s="338"/>
      <c r="WLS19" s="338"/>
      <c r="WLT19" s="338"/>
      <c r="WLU19" s="338"/>
      <c r="WLV19" s="338"/>
      <c r="WLW19" s="338"/>
      <c r="WLX19" s="338"/>
      <c r="WLY19" s="338"/>
      <c r="WLZ19" s="338"/>
      <c r="WMA19" s="338"/>
      <c r="WMB19" s="338"/>
      <c r="WMC19" s="338"/>
      <c r="WMD19" s="338"/>
      <c r="WME19" s="338"/>
      <c r="WMF19" s="338"/>
      <c r="WMG19" s="338"/>
      <c r="WMH19" s="338"/>
      <c r="WMI19" s="338"/>
      <c r="WMJ19" s="338"/>
      <c r="WMK19" s="338"/>
      <c r="WML19" s="338"/>
      <c r="WMM19" s="338"/>
      <c r="WMN19" s="338"/>
      <c r="WMO19" s="338"/>
      <c r="WMP19" s="338"/>
      <c r="WMQ19" s="338"/>
      <c r="WMR19" s="338"/>
      <c r="WMS19" s="338"/>
      <c r="WMT19" s="338"/>
      <c r="WMU19" s="338"/>
      <c r="WMV19" s="338"/>
      <c r="WMW19" s="338"/>
      <c r="WMX19" s="338"/>
      <c r="WMY19" s="338"/>
      <c r="WMZ19" s="338"/>
      <c r="WNA19" s="338"/>
      <c r="WNB19" s="338"/>
      <c r="WNC19" s="338"/>
      <c r="WND19" s="338"/>
      <c r="WNE19" s="338"/>
      <c r="WNF19" s="338"/>
      <c r="WNG19" s="338"/>
      <c r="WNH19" s="338"/>
      <c r="WNI19" s="338"/>
      <c r="WNJ19" s="338"/>
      <c r="WNK19" s="338"/>
      <c r="WNL19" s="338"/>
      <c r="WNM19" s="338"/>
      <c r="WNN19" s="338"/>
      <c r="WNO19" s="338"/>
      <c r="WNP19" s="338"/>
      <c r="WNQ19" s="338"/>
      <c r="WNR19" s="338"/>
      <c r="WNS19" s="338"/>
      <c r="WNT19" s="338"/>
      <c r="WNU19" s="338"/>
      <c r="WNV19" s="338"/>
      <c r="WNW19" s="338"/>
      <c r="WNX19" s="338"/>
      <c r="WNY19" s="338"/>
      <c r="WNZ19" s="338"/>
      <c r="WOA19" s="338"/>
      <c r="WOB19" s="338"/>
      <c r="WOC19" s="338"/>
      <c r="WOD19" s="338"/>
      <c r="WOE19" s="338"/>
      <c r="WOF19" s="338"/>
      <c r="WOG19" s="338"/>
      <c r="WOH19" s="338"/>
      <c r="WOI19" s="338"/>
      <c r="WOJ19" s="338"/>
      <c r="WOK19" s="338"/>
      <c r="WOL19" s="338"/>
      <c r="WOM19" s="338"/>
      <c r="WON19" s="338"/>
      <c r="WOO19" s="338"/>
      <c r="WOP19" s="338"/>
      <c r="WOQ19" s="338"/>
      <c r="WOR19" s="338"/>
      <c r="WOS19" s="338"/>
      <c r="WOT19" s="338"/>
      <c r="WOU19" s="338"/>
      <c r="WOV19" s="338"/>
      <c r="WOW19" s="338"/>
      <c r="WOX19" s="338"/>
      <c r="WOY19" s="338"/>
      <c r="WOZ19" s="338"/>
      <c r="WPA19" s="338"/>
      <c r="WPB19" s="338"/>
      <c r="WPC19" s="338"/>
      <c r="WPD19" s="338"/>
      <c r="WPE19" s="338"/>
      <c r="WPF19" s="338"/>
      <c r="WPG19" s="338"/>
      <c r="WPH19" s="338"/>
      <c r="WPI19" s="338"/>
      <c r="WPJ19" s="338"/>
      <c r="WPK19" s="338"/>
      <c r="WPL19" s="338"/>
      <c r="WPM19" s="338"/>
      <c r="WPN19" s="338"/>
      <c r="WPO19" s="338"/>
      <c r="WPP19" s="338"/>
      <c r="WPQ19" s="338"/>
      <c r="WPR19" s="338"/>
      <c r="WPS19" s="338"/>
      <c r="WPT19" s="338"/>
      <c r="WPU19" s="338"/>
      <c r="WPV19" s="338"/>
      <c r="WPW19" s="338"/>
      <c r="WPX19" s="338"/>
      <c r="WPY19" s="338"/>
      <c r="WPZ19" s="338"/>
      <c r="WQA19" s="338"/>
      <c r="WQB19" s="338"/>
      <c r="WQC19" s="338"/>
      <c r="WQD19" s="338"/>
      <c r="WQE19" s="338"/>
      <c r="WQF19" s="338"/>
      <c r="WQG19" s="338"/>
      <c r="WQH19" s="338"/>
      <c r="WQI19" s="338"/>
      <c r="WQJ19" s="338"/>
      <c r="WQK19" s="338"/>
      <c r="WQL19" s="338"/>
      <c r="WQM19" s="338"/>
      <c r="WQN19" s="338"/>
      <c r="WQO19" s="338"/>
      <c r="WQP19" s="338"/>
      <c r="WQQ19" s="338"/>
      <c r="WQR19" s="338"/>
      <c r="WQS19" s="338"/>
      <c r="WQT19" s="338"/>
      <c r="WQU19" s="338"/>
      <c r="WQV19" s="338"/>
      <c r="WQW19" s="338"/>
      <c r="WQX19" s="338"/>
      <c r="WQY19" s="338"/>
      <c r="WQZ19" s="338"/>
      <c r="WRA19" s="338"/>
      <c r="WRB19" s="338"/>
      <c r="WRC19" s="338"/>
      <c r="WRD19" s="338"/>
      <c r="WRE19" s="338"/>
      <c r="WRF19" s="338"/>
      <c r="WRG19" s="338"/>
      <c r="WRH19" s="338"/>
      <c r="WRI19" s="338"/>
      <c r="WRJ19" s="338"/>
      <c r="WRK19" s="338"/>
      <c r="WRL19" s="338"/>
      <c r="WRM19" s="338"/>
      <c r="WRN19" s="338"/>
      <c r="WRO19" s="338"/>
      <c r="WRP19" s="338"/>
      <c r="WRQ19" s="338"/>
      <c r="WRR19" s="338"/>
      <c r="WRS19" s="338"/>
      <c r="WRT19" s="338"/>
      <c r="WRU19" s="338"/>
      <c r="WRV19" s="338"/>
      <c r="WRW19" s="338"/>
      <c r="WRX19" s="338"/>
      <c r="WRY19" s="338"/>
      <c r="WRZ19" s="338"/>
      <c r="WSA19" s="338"/>
      <c r="WSB19" s="338"/>
      <c r="WSC19" s="338"/>
      <c r="WSD19" s="338"/>
      <c r="WSE19" s="338"/>
      <c r="WSF19" s="338"/>
      <c r="WSG19" s="338"/>
      <c r="WSH19" s="338"/>
      <c r="WSI19" s="338"/>
      <c r="WSJ19" s="338"/>
      <c r="WSK19" s="338"/>
      <c r="WSL19" s="338"/>
      <c r="WSM19" s="338"/>
      <c r="WSN19" s="338"/>
      <c r="WSO19" s="338"/>
      <c r="WSP19" s="338"/>
      <c r="WSQ19" s="338"/>
      <c r="WSR19" s="338"/>
      <c r="WSS19" s="338"/>
      <c r="WST19" s="338"/>
      <c r="WSU19" s="338"/>
      <c r="WSV19" s="338"/>
      <c r="WSW19" s="338"/>
      <c r="WSX19" s="338"/>
      <c r="WSY19" s="338"/>
      <c r="WSZ19" s="338"/>
      <c r="WTA19" s="338"/>
      <c r="WTB19" s="338"/>
      <c r="WTC19" s="338"/>
      <c r="WTD19" s="338"/>
      <c r="WTE19" s="338"/>
      <c r="WTF19" s="338"/>
      <c r="WTG19" s="338"/>
      <c r="WTH19" s="338"/>
      <c r="WTI19" s="338"/>
      <c r="WTJ19" s="338"/>
      <c r="WTK19" s="338"/>
      <c r="WTL19" s="338"/>
      <c r="WTM19" s="338"/>
      <c r="WTN19" s="338"/>
      <c r="WTO19" s="338"/>
      <c r="WTP19" s="338"/>
      <c r="WTQ19" s="338"/>
      <c r="WTR19" s="338"/>
      <c r="WTS19" s="338"/>
      <c r="WTT19" s="338"/>
      <c r="WTU19" s="338"/>
      <c r="WTV19" s="338"/>
      <c r="WTW19" s="338"/>
      <c r="WTX19" s="338"/>
      <c r="WTY19" s="338"/>
      <c r="WTZ19" s="338"/>
      <c r="WUA19" s="338"/>
      <c r="WUB19" s="338"/>
      <c r="WUC19" s="338"/>
      <c r="WUD19" s="338"/>
      <c r="WUE19" s="338"/>
      <c r="WUF19" s="338"/>
      <c r="WUG19" s="338"/>
      <c r="WUH19" s="338"/>
      <c r="WUI19" s="338"/>
      <c r="WUJ19" s="338"/>
      <c r="WUK19" s="338"/>
      <c r="WUL19" s="338"/>
      <c r="WUM19" s="338"/>
      <c r="WUN19" s="338"/>
      <c r="WUO19" s="338"/>
      <c r="WUP19" s="338"/>
      <c r="WUQ19" s="338"/>
      <c r="WUR19" s="338"/>
      <c r="WUS19" s="338"/>
      <c r="WUT19" s="338"/>
      <c r="WUU19" s="338"/>
      <c r="WUV19" s="338"/>
      <c r="WUW19" s="338"/>
      <c r="WUX19" s="338"/>
      <c r="WUY19" s="338"/>
      <c r="WUZ19" s="338"/>
      <c r="WVA19" s="338"/>
      <c r="WVB19" s="338"/>
      <c r="WVC19" s="338"/>
      <c r="WVD19" s="338"/>
      <c r="WVE19" s="338"/>
      <c r="WVF19" s="338"/>
      <c r="WVG19" s="338"/>
      <c r="WVH19" s="338"/>
      <c r="WVI19" s="338"/>
      <c r="WVJ19" s="338"/>
      <c r="WVK19" s="338"/>
      <c r="WVL19" s="338"/>
      <c r="WVM19" s="338"/>
      <c r="WVN19" s="338"/>
      <c r="WVO19" s="338"/>
      <c r="WVP19" s="338"/>
      <c r="WVQ19" s="338"/>
      <c r="WVR19" s="338"/>
      <c r="WVS19" s="338"/>
      <c r="WVT19" s="338"/>
      <c r="WVU19" s="338"/>
      <c r="WVV19" s="338"/>
      <c r="WVW19" s="338"/>
      <c r="WVX19" s="338"/>
      <c r="WVY19" s="338"/>
      <c r="WVZ19" s="338"/>
      <c r="WWA19" s="338"/>
      <c r="WWB19" s="338"/>
      <c r="WWC19" s="338"/>
      <c r="WWD19" s="338"/>
      <c r="WWE19" s="338"/>
      <c r="WWF19" s="338"/>
      <c r="WWG19" s="338"/>
      <c r="WWH19" s="338"/>
      <c r="WWI19" s="338"/>
      <c r="WWJ19" s="338"/>
      <c r="WWK19" s="338"/>
      <c r="WWL19" s="338"/>
      <c r="WWM19" s="338"/>
      <c r="WWN19" s="338"/>
      <c r="WWO19" s="338"/>
      <c r="WWP19" s="338"/>
      <c r="WWQ19" s="338"/>
      <c r="WWR19" s="338"/>
      <c r="WWS19" s="338"/>
      <c r="WWT19" s="338"/>
      <c r="WWU19" s="338"/>
      <c r="WWV19" s="338"/>
      <c r="WWW19" s="338"/>
      <c r="WWX19" s="338"/>
      <c r="WWY19" s="338"/>
      <c r="WWZ19" s="338"/>
      <c r="WXA19" s="338"/>
      <c r="WXB19" s="338"/>
      <c r="WXC19" s="338"/>
      <c r="WXD19" s="338"/>
      <c r="WXE19" s="338"/>
      <c r="WXF19" s="338"/>
      <c r="WXG19" s="338"/>
      <c r="WXH19" s="338"/>
      <c r="WXI19" s="338"/>
      <c r="WXJ19" s="338"/>
      <c r="WXK19" s="338"/>
      <c r="WXL19" s="338"/>
      <c r="WXM19" s="338"/>
      <c r="WXN19" s="338"/>
      <c r="WXO19" s="338"/>
      <c r="WXP19" s="338"/>
      <c r="WXQ19" s="338"/>
      <c r="WXR19" s="338"/>
      <c r="WXS19" s="338"/>
      <c r="WXT19" s="338"/>
      <c r="WXU19" s="338"/>
      <c r="WXV19" s="338"/>
      <c r="WXW19" s="338"/>
      <c r="WXX19" s="338"/>
      <c r="WXY19" s="338"/>
      <c r="WXZ19" s="338"/>
      <c r="WYA19" s="338"/>
      <c r="WYB19" s="338"/>
      <c r="WYC19" s="338"/>
      <c r="WYD19" s="338"/>
      <c r="WYE19" s="338"/>
      <c r="WYF19" s="338"/>
      <c r="WYG19" s="338"/>
      <c r="WYH19" s="338"/>
      <c r="WYI19" s="338"/>
      <c r="WYJ19" s="338"/>
      <c r="WYK19" s="338"/>
      <c r="WYL19" s="338"/>
      <c r="WYM19" s="338"/>
      <c r="WYN19" s="338"/>
      <c r="WYO19" s="338"/>
      <c r="WYP19" s="338"/>
      <c r="WYQ19" s="338"/>
      <c r="WYR19" s="338"/>
      <c r="WYS19" s="338"/>
      <c r="WYT19" s="338"/>
      <c r="WYU19" s="338"/>
      <c r="WYV19" s="338"/>
      <c r="WYW19" s="338"/>
      <c r="WYX19" s="338"/>
      <c r="WYY19" s="338"/>
      <c r="WYZ19" s="338"/>
      <c r="WZA19" s="338"/>
      <c r="WZB19" s="338"/>
      <c r="WZC19" s="338"/>
      <c r="WZD19" s="338"/>
      <c r="WZE19" s="338"/>
      <c r="WZF19" s="338"/>
      <c r="WZG19" s="338"/>
      <c r="WZH19" s="338"/>
      <c r="WZI19" s="338"/>
      <c r="WZJ19" s="338"/>
      <c r="WZK19" s="338"/>
      <c r="WZL19" s="338"/>
      <c r="WZM19" s="338"/>
      <c r="WZN19" s="338"/>
      <c r="WZO19" s="338"/>
      <c r="WZP19" s="338"/>
      <c r="WZQ19" s="338"/>
      <c r="WZR19" s="338"/>
      <c r="WZS19" s="338"/>
      <c r="WZT19" s="338"/>
      <c r="WZU19" s="338"/>
      <c r="WZV19" s="338"/>
      <c r="WZW19" s="338"/>
      <c r="WZX19" s="338"/>
      <c r="WZY19" s="338"/>
      <c r="WZZ19" s="338"/>
      <c r="XAA19" s="338"/>
      <c r="XAB19" s="338"/>
      <c r="XAC19" s="338"/>
      <c r="XAD19" s="338"/>
      <c r="XAE19" s="338"/>
      <c r="XAF19" s="338"/>
      <c r="XAG19" s="338"/>
      <c r="XAH19" s="338"/>
      <c r="XAI19" s="338"/>
      <c r="XAJ19" s="338"/>
      <c r="XAK19" s="338"/>
      <c r="XAL19" s="338"/>
      <c r="XAM19" s="338"/>
      <c r="XAN19" s="338"/>
      <c r="XAO19" s="338"/>
      <c r="XAP19" s="338"/>
      <c r="XAQ19" s="338"/>
      <c r="XAR19" s="338"/>
      <c r="XAS19" s="338"/>
      <c r="XAT19" s="338"/>
      <c r="XAU19" s="338"/>
      <c r="XAV19" s="338"/>
      <c r="XAW19" s="338"/>
      <c r="XAX19" s="338"/>
      <c r="XAY19" s="338"/>
      <c r="XAZ19" s="338"/>
      <c r="XBA19" s="338"/>
      <c r="XBB19" s="338"/>
      <c r="XBC19" s="338"/>
      <c r="XBD19" s="338"/>
      <c r="XBE19" s="338"/>
      <c r="XBF19" s="338"/>
      <c r="XBG19" s="338"/>
      <c r="XBH19" s="338"/>
      <c r="XBI19" s="338"/>
      <c r="XBJ19" s="338"/>
      <c r="XBK19" s="338"/>
      <c r="XBL19" s="338"/>
      <c r="XBM19" s="338"/>
      <c r="XBN19" s="338"/>
      <c r="XBO19" s="338"/>
      <c r="XBP19" s="338"/>
      <c r="XBQ19" s="338"/>
      <c r="XBR19" s="338"/>
      <c r="XBS19" s="338"/>
      <c r="XBT19" s="338"/>
      <c r="XBU19" s="338"/>
      <c r="XBV19" s="338"/>
      <c r="XBW19" s="338"/>
      <c r="XBX19" s="338"/>
      <c r="XBY19" s="338"/>
      <c r="XBZ19" s="338"/>
      <c r="XCA19" s="338"/>
      <c r="XCB19" s="338"/>
      <c r="XCC19" s="338"/>
      <c r="XCD19" s="338"/>
      <c r="XCE19" s="338"/>
      <c r="XCF19" s="338"/>
      <c r="XCG19" s="338"/>
      <c r="XCH19" s="338"/>
      <c r="XCI19" s="338"/>
      <c r="XCJ19" s="338"/>
      <c r="XCK19" s="338"/>
      <c r="XCL19" s="338"/>
      <c r="XCM19" s="338"/>
      <c r="XCN19" s="338"/>
      <c r="XCO19" s="338"/>
      <c r="XCP19" s="338"/>
      <c r="XCQ19" s="338"/>
      <c r="XCR19" s="338"/>
      <c r="XCS19" s="338"/>
      <c r="XCT19" s="338"/>
      <c r="XCU19" s="338"/>
      <c r="XCV19" s="338"/>
      <c r="XCW19" s="338"/>
      <c r="XCX19" s="338"/>
      <c r="XCY19" s="338"/>
      <c r="XCZ19" s="338"/>
      <c r="XDA19" s="338"/>
      <c r="XDB19" s="338"/>
      <c r="XDC19" s="338"/>
      <c r="XDD19" s="338"/>
      <c r="XDE19" s="338"/>
      <c r="XDF19" s="338"/>
      <c r="XDG19" s="338"/>
      <c r="XDH19" s="338"/>
      <c r="XDI19" s="338"/>
      <c r="XDJ19" s="338"/>
      <c r="XDK19" s="338"/>
      <c r="XDL19" s="338"/>
      <c r="XDM19" s="338"/>
      <c r="XDN19" s="338"/>
      <c r="XDO19" s="338"/>
      <c r="XDP19" s="338"/>
      <c r="XDQ19" s="338"/>
      <c r="XDR19" s="338"/>
      <c r="XDS19" s="338"/>
      <c r="XDT19" s="338"/>
      <c r="XDU19" s="338"/>
      <c r="XDV19" s="338"/>
      <c r="XDW19" s="338"/>
      <c r="XDX19" s="338"/>
      <c r="XDY19" s="338"/>
      <c r="XDZ19" s="338"/>
      <c r="XEA19" s="338"/>
      <c r="XEB19" s="338"/>
      <c r="XEC19" s="338"/>
      <c r="XED19" s="338"/>
      <c r="XEE19" s="338"/>
      <c r="XEF19" s="338"/>
      <c r="XEG19" s="338"/>
      <c r="XEH19" s="338"/>
      <c r="XEI19" s="338"/>
      <c r="XEJ19" s="338"/>
      <c r="XEK19" s="338"/>
      <c r="XEL19" s="338"/>
      <c r="XEM19" s="338"/>
      <c r="XEN19" s="338"/>
      <c r="XEO19" s="338"/>
      <c r="XEP19" s="338"/>
      <c r="XEQ19" s="338"/>
      <c r="XER19" s="338"/>
      <c r="XES19" s="338"/>
      <c r="XET19" s="338"/>
      <c r="XEU19" s="338"/>
      <c r="XEV19" s="338"/>
      <c r="XEW19" s="338"/>
      <c r="XEX19" s="338"/>
      <c r="XEY19" s="338"/>
      <c r="XEZ19" s="338"/>
      <c r="XFA19" s="338"/>
      <c r="XFB19" s="338"/>
      <c r="XFC19" s="338"/>
      <c r="XFD19" s="338"/>
    </row>
    <row r="20" spans="1:16384" s="164" customFormat="1" x14ac:dyDescent="0.2">
      <c r="A20" s="11"/>
      <c r="B20" s="172"/>
      <c r="C20" s="172"/>
      <c r="D20" s="172"/>
      <c r="E20" s="172"/>
    </row>
    <row r="21" spans="1:16384" x14ac:dyDescent="0.2">
      <c r="B21" s="242" t="s">
        <v>196</v>
      </c>
      <c r="C21" s="243"/>
      <c r="D21" s="243"/>
      <c r="E21" s="244"/>
    </row>
    <row r="22" spans="1:16384" x14ac:dyDescent="0.2">
      <c r="B22" s="245"/>
      <c r="C22" s="246"/>
      <c r="D22" s="246"/>
      <c r="E22" s="247"/>
    </row>
    <row r="23" spans="1:16384" s="11" customFormat="1" x14ac:dyDescent="0.2">
      <c r="B23" s="339" t="s">
        <v>132</v>
      </c>
      <c r="C23" s="338"/>
      <c r="D23" s="338"/>
      <c r="E23" s="340"/>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c r="CN23" s="338"/>
      <c r="CO23" s="338"/>
      <c r="CP23" s="338"/>
      <c r="CQ23" s="338"/>
      <c r="CR23" s="338"/>
      <c r="CS23" s="338"/>
      <c r="CT23" s="338"/>
      <c r="CU23" s="338"/>
      <c r="CV23" s="338"/>
      <c r="CW23" s="338"/>
      <c r="CX23" s="338"/>
      <c r="CY23" s="338"/>
      <c r="CZ23" s="338"/>
      <c r="DA23" s="338"/>
      <c r="DB23" s="338"/>
      <c r="DC23" s="338"/>
      <c r="DD23" s="338"/>
      <c r="DE23" s="338"/>
      <c r="DF23" s="338"/>
      <c r="DG23" s="338"/>
      <c r="DH23" s="338"/>
      <c r="DI23" s="338"/>
      <c r="DJ23" s="338"/>
      <c r="DK23" s="338"/>
      <c r="DL23" s="338"/>
      <c r="DM23" s="338"/>
      <c r="DN23" s="338"/>
      <c r="DO23" s="338"/>
      <c r="DP23" s="338"/>
      <c r="DQ23" s="338"/>
      <c r="DR23" s="338"/>
      <c r="DS23" s="338"/>
      <c r="DT23" s="338"/>
      <c r="DU23" s="338"/>
      <c r="DV23" s="338"/>
      <c r="DW23" s="338"/>
      <c r="DX23" s="338"/>
      <c r="DY23" s="338"/>
      <c r="DZ23" s="338"/>
      <c r="EA23" s="338"/>
      <c r="EB23" s="338"/>
      <c r="EC23" s="338"/>
      <c r="ED23" s="338"/>
      <c r="EE23" s="338"/>
      <c r="EF23" s="338"/>
      <c r="EG23" s="338"/>
      <c r="EH23" s="338"/>
      <c r="EI23" s="338"/>
      <c r="EJ23" s="338"/>
      <c r="EK23" s="338"/>
      <c r="EL23" s="338"/>
      <c r="EM23" s="338"/>
      <c r="EN23" s="338"/>
      <c r="EO23" s="338"/>
      <c r="EP23" s="338"/>
      <c r="EQ23" s="338"/>
      <c r="ER23" s="338"/>
      <c r="ES23" s="338"/>
      <c r="ET23" s="338"/>
      <c r="EU23" s="338"/>
      <c r="EV23" s="338"/>
      <c r="EW23" s="338"/>
      <c r="EX23" s="338"/>
      <c r="EY23" s="338"/>
      <c r="EZ23" s="338"/>
      <c r="FA23" s="338"/>
      <c r="FB23" s="338"/>
      <c r="FC23" s="338"/>
      <c r="FD23" s="338"/>
      <c r="FE23" s="338"/>
      <c r="FF23" s="338"/>
      <c r="FG23" s="338"/>
      <c r="FH23" s="338"/>
      <c r="FI23" s="338"/>
      <c r="FJ23" s="338"/>
      <c r="FK23" s="338"/>
      <c r="FL23" s="338"/>
      <c r="FM23" s="338"/>
      <c r="FN23" s="338"/>
      <c r="FO23" s="338"/>
      <c r="FP23" s="338"/>
      <c r="FQ23" s="338"/>
      <c r="FR23" s="338"/>
      <c r="FS23" s="338"/>
      <c r="FT23" s="338"/>
      <c r="FU23" s="338"/>
      <c r="FV23" s="338"/>
      <c r="FW23" s="338"/>
      <c r="FX23" s="338"/>
      <c r="FY23" s="338"/>
      <c r="FZ23" s="338"/>
      <c r="GA23" s="338"/>
      <c r="GB23" s="338"/>
      <c r="GC23" s="338"/>
      <c r="GD23" s="338"/>
      <c r="GE23" s="338"/>
      <c r="GF23" s="338"/>
      <c r="GG23" s="338"/>
      <c r="GH23" s="338"/>
      <c r="GI23" s="338"/>
      <c r="GJ23" s="338"/>
      <c r="GK23" s="338"/>
      <c r="GL23" s="338"/>
      <c r="GM23" s="338"/>
      <c r="GN23" s="338"/>
      <c r="GO23" s="338"/>
      <c r="GP23" s="338"/>
      <c r="GQ23" s="338"/>
      <c r="GR23" s="338"/>
      <c r="GS23" s="338"/>
      <c r="GT23" s="338"/>
      <c r="GU23" s="338"/>
      <c r="GV23" s="338"/>
      <c r="GW23" s="338"/>
      <c r="GX23" s="338"/>
      <c r="GY23" s="338"/>
      <c r="GZ23" s="338"/>
      <c r="HA23" s="338"/>
      <c r="HB23" s="338"/>
      <c r="HC23" s="338"/>
      <c r="HD23" s="338"/>
      <c r="HE23" s="338"/>
      <c r="HF23" s="338"/>
      <c r="HG23" s="338"/>
      <c r="HH23" s="338"/>
      <c r="HI23" s="338"/>
      <c r="HJ23" s="338"/>
      <c r="HK23" s="338"/>
      <c r="HL23" s="338"/>
      <c r="HM23" s="338"/>
      <c r="HN23" s="338"/>
      <c r="HO23" s="338"/>
      <c r="HP23" s="338"/>
      <c r="HQ23" s="338"/>
      <c r="HR23" s="338"/>
      <c r="HS23" s="338"/>
      <c r="HT23" s="338"/>
      <c r="HU23" s="338"/>
      <c r="HV23" s="338"/>
      <c r="HW23" s="338"/>
      <c r="HX23" s="338"/>
      <c r="HY23" s="338"/>
      <c r="HZ23" s="338"/>
      <c r="IA23" s="338"/>
      <c r="IB23" s="338"/>
      <c r="IC23" s="338"/>
      <c r="ID23" s="338"/>
      <c r="IE23" s="338"/>
      <c r="IF23" s="338"/>
      <c r="IG23" s="338"/>
      <c r="IH23" s="338"/>
      <c r="II23" s="338"/>
      <c r="IJ23" s="338"/>
      <c r="IK23" s="338"/>
      <c r="IL23" s="338"/>
      <c r="IM23" s="338"/>
      <c r="IN23" s="338"/>
      <c r="IO23" s="338"/>
      <c r="IP23" s="338"/>
      <c r="IQ23" s="338"/>
      <c r="IR23" s="338"/>
      <c r="IS23" s="338"/>
      <c r="IT23" s="338"/>
      <c r="IU23" s="338"/>
      <c r="IV23" s="338"/>
      <c r="IW23" s="338"/>
      <c r="IX23" s="338"/>
      <c r="IY23" s="338"/>
      <c r="IZ23" s="338"/>
      <c r="JA23" s="338"/>
      <c r="JB23" s="338"/>
      <c r="JC23" s="338"/>
      <c r="JD23" s="338"/>
      <c r="JE23" s="338"/>
      <c r="JF23" s="338"/>
      <c r="JG23" s="338"/>
      <c r="JH23" s="338"/>
      <c r="JI23" s="338"/>
      <c r="JJ23" s="338"/>
      <c r="JK23" s="338"/>
      <c r="JL23" s="338"/>
      <c r="JM23" s="338"/>
      <c r="JN23" s="338"/>
      <c r="JO23" s="338"/>
      <c r="JP23" s="338"/>
      <c r="JQ23" s="338"/>
      <c r="JR23" s="338"/>
      <c r="JS23" s="338"/>
      <c r="JT23" s="338"/>
      <c r="JU23" s="338"/>
      <c r="JV23" s="338"/>
      <c r="JW23" s="338"/>
      <c r="JX23" s="338"/>
      <c r="JY23" s="338"/>
      <c r="JZ23" s="338"/>
      <c r="KA23" s="338"/>
      <c r="KB23" s="338"/>
      <c r="KC23" s="338"/>
      <c r="KD23" s="338"/>
      <c r="KE23" s="338"/>
      <c r="KF23" s="338"/>
      <c r="KG23" s="338"/>
      <c r="KH23" s="338"/>
      <c r="KI23" s="338"/>
      <c r="KJ23" s="338"/>
      <c r="KK23" s="338"/>
      <c r="KL23" s="338"/>
      <c r="KM23" s="338"/>
      <c r="KN23" s="338"/>
      <c r="KO23" s="338"/>
      <c r="KP23" s="338"/>
      <c r="KQ23" s="338"/>
      <c r="KR23" s="338"/>
      <c r="KS23" s="338"/>
      <c r="KT23" s="338"/>
      <c r="KU23" s="338"/>
      <c r="KV23" s="338"/>
      <c r="KW23" s="338"/>
      <c r="KX23" s="338"/>
      <c r="KY23" s="338"/>
      <c r="KZ23" s="338"/>
      <c r="LA23" s="338"/>
      <c r="LB23" s="338"/>
      <c r="LC23" s="338"/>
      <c r="LD23" s="338"/>
      <c r="LE23" s="338"/>
      <c r="LF23" s="338"/>
      <c r="LG23" s="338"/>
      <c r="LH23" s="338"/>
      <c r="LI23" s="338"/>
      <c r="LJ23" s="338"/>
      <c r="LK23" s="338"/>
      <c r="LL23" s="338"/>
      <c r="LM23" s="338"/>
      <c r="LN23" s="338"/>
      <c r="LO23" s="338"/>
      <c r="LP23" s="338"/>
      <c r="LQ23" s="338"/>
      <c r="LR23" s="338"/>
      <c r="LS23" s="338"/>
      <c r="LT23" s="338"/>
      <c r="LU23" s="338"/>
      <c r="LV23" s="338"/>
      <c r="LW23" s="338"/>
      <c r="LX23" s="338"/>
      <c r="LY23" s="338"/>
      <c r="LZ23" s="338"/>
      <c r="MA23" s="338"/>
      <c r="MB23" s="338"/>
      <c r="MC23" s="338"/>
      <c r="MD23" s="338"/>
      <c r="ME23" s="338"/>
      <c r="MF23" s="338"/>
      <c r="MG23" s="338"/>
      <c r="MH23" s="338"/>
      <c r="MI23" s="338"/>
      <c r="MJ23" s="338"/>
      <c r="MK23" s="338"/>
      <c r="ML23" s="338"/>
      <c r="MM23" s="338"/>
      <c r="MN23" s="338"/>
      <c r="MO23" s="338"/>
      <c r="MP23" s="338"/>
      <c r="MQ23" s="338"/>
      <c r="MR23" s="338"/>
      <c r="MS23" s="338"/>
      <c r="MT23" s="338"/>
      <c r="MU23" s="338"/>
      <c r="MV23" s="338"/>
      <c r="MW23" s="338"/>
      <c r="MX23" s="338"/>
      <c r="MY23" s="338"/>
      <c r="MZ23" s="338"/>
      <c r="NA23" s="338"/>
      <c r="NB23" s="338"/>
      <c r="NC23" s="338"/>
      <c r="ND23" s="338"/>
      <c r="NE23" s="338"/>
      <c r="NF23" s="338"/>
      <c r="NG23" s="338"/>
      <c r="NH23" s="338"/>
      <c r="NI23" s="338"/>
      <c r="NJ23" s="338"/>
      <c r="NK23" s="338"/>
      <c r="NL23" s="338"/>
      <c r="NM23" s="338"/>
      <c r="NN23" s="338"/>
      <c r="NO23" s="338"/>
      <c r="NP23" s="338"/>
      <c r="NQ23" s="338"/>
      <c r="NR23" s="338"/>
      <c r="NS23" s="338"/>
      <c r="NT23" s="338"/>
      <c r="NU23" s="338"/>
      <c r="NV23" s="338"/>
      <c r="NW23" s="338"/>
      <c r="NX23" s="338"/>
      <c r="NY23" s="338"/>
      <c r="NZ23" s="338"/>
      <c r="OA23" s="338"/>
      <c r="OB23" s="338"/>
      <c r="OC23" s="338"/>
      <c r="OD23" s="338"/>
      <c r="OE23" s="338"/>
      <c r="OF23" s="338"/>
      <c r="OG23" s="338"/>
      <c r="OH23" s="338"/>
      <c r="OI23" s="338"/>
      <c r="OJ23" s="338"/>
      <c r="OK23" s="338"/>
      <c r="OL23" s="338"/>
      <c r="OM23" s="338"/>
      <c r="ON23" s="338"/>
      <c r="OO23" s="338"/>
      <c r="OP23" s="338"/>
      <c r="OQ23" s="338"/>
      <c r="OR23" s="338"/>
      <c r="OS23" s="338"/>
      <c r="OT23" s="338"/>
      <c r="OU23" s="338"/>
      <c r="OV23" s="338"/>
      <c r="OW23" s="338"/>
      <c r="OX23" s="338"/>
      <c r="OY23" s="338"/>
      <c r="OZ23" s="338"/>
      <c r="PA23" s="338"/>
      <c r="PB23" s="338"/>
      <c r="PC23" s="338"/>
      <c r="PD23" s="338"/>
      <c r="PE23" s="338"/>
      <c r="PF23" s="338"/>
      <c r="PG23" s="338"/>
      <c r="PH23" s="338"/>
      <c r="PI23" s="338"/>
      <c r="PJ23" s="338"/>
      <c r="PK23" s="338"/>
      <c r="PL23" s="338"/>
      <c r="PM23" s="338"/>
      <c r="PN23" s="338"/>
      <c r="PO23" s="338"/>
      <c r="PP23" s="338"/>
      <c r="PQ23" s="338"/>
      <c r="PR23" s="338"/>
      <c r="PS23" s="338"/>
      <c r="PT23" s="338"/>
      <c r="PU23" s="338"/>
      <c r="PV23" s="338"/>
      <c r="PW23" s="338"/>
      <c r="PX23" s="338"/>
      <c r="PY23" s="338"/>
      <c r="PZ23" s="338"/>
      <c r="QA23" s="338"/>
      <c r="QB23" s="338"/>
      <c r="QC23" s="338"/>
      <c r="QD23" s="338"/>
      <c r="QE23" s="338"/>
      <c r="QF23" s="338"/>
      <c r="QG23" s="338"/>
      <c r="QH23" s="338"/>
      <c r="QI23" s="338"/>
      <c r="QJ23" s="338"/>
      <c r="QK23" s="338"/>
      <c r="QL23" s="338"/>
      <c r="QM23" s="338"/>
      <c r="QN23" s="338"/>
      <c r="QO23" s="338"/>
      <c r="QP23" s="338"/>
      <c r="QQ23" s="338"/>
      <c r="QR23" s="338"/>
      <c r="QS23" s="338"/>
      <c r="QT23" s="338"/>
      <c r="QU23" s="338"/>
      <c r="QV23" s="338"/>
      <c r="QW23" s="338"/>
      <c r="QX23" s="338"/>
      <c r="QY23" s="338"/>
      <c r="QZ23" s="338"/>
      <c r="RA23" s="338"/>
      <c r="RB23" s="338"/>
      <c r="RC23" s="338"/>
      <c r="RD23" s="338"/>
      <c r="RE23" s="338"/>
      <c r="RF23" s="338"/>
      <c r="RG23" s="338"/>
      <c r="RH23" s="338"/>
      <c r="RI23" s="338"/>
      <c r="RJ23" s="338"/>
      <c r="RK23" s="338"/>
      <c r="RL23" s="338"/>
      <c r="RM23" s="338"/>
      <c r="RN23" s="338"/>
      <c r="RO23" s="338"/>
      <c r="RP23" s="338"/>
      <c r="RQ23" s="338"/>
      <c r="RR23" s="338"/>
      <c r="RS23" s="338"/>
      <c r="RT23" s="338"/>
      <c r="RU23" s="338"/>
      <c r="RV23" s="338"/>
      <c r="RW23" s="338"/>
      <c r="RX23" s="338"/>
      <c r="RY23" s="338"/>
      <c r="RZ23" s="338"/>
      <c r="SA23" s="338"/>
      <c r="SB23" s="338"/>
      <c r="SC23" s="338"/>
      <c r="SD23" s="338"/>
      <c r="SE23" s="338"/>
      <c r="SF23" s="338"/>
      <c r="SG23" s="338"/>
      <c r="SH23" s="338"/>
      <c r="SI23" s="338"/>
      <c r="SJ23" s="338"/>
      <c r="SK23" s="338"/>
      <c r="SL23" s="338"/>
      <c r="SM23" s="338"/>
      <c r="SN23" s="338"/>
      <c r="SO23" s="338"/>
      <c r="SP23" s="338"/>
      <c r="SQ23" s="338"/>
      <c r="SR23" s="338"/>
      <c r="SS23" s="338"/>
      <c r="ST23" s="338"/>
      <c r="SU23" s="338"/>
      <c r="SV23" s="338"/>
      <c r="SW23" s="338"/>
      <c r="SX23" s="338"/>
      <c r="SY23" s="338"/>
      <c r="SZ23" s="338"/>
      <c r="TA23" s="338"/>
      <c r="TB23" s="338"/>
      <c r="TC23" s="338"/>
      <c r="TD23" s="338"/>
      <c r="TE23" s="338"/>
      <c r="TF23" s="338"/>
      <c r="TG23" s="338"/>
      <c r="TH23" s="338"/>
      <c r="TI23" s="338"/>
      <c r="TJ23" s="338"/>
      <c r="TK23" s="338"/>
      <c r="TL23" s="338"/>
      <c r="TM23" s="338"/>
      <c r="TN23" s="338"/>
      <c r="TO23" s="338"/>
      <c r="TP23" s="338"/>
      <c r="TQ23" s="338"/>
      <c r="TR23" s="338"/>
      <c r="TS23" s="338"/>
      <c r="TT23" s="338"/>
      <c r="TU23" s="338"/>
      <c r="TV23" s="338"/>
      <c r="TW23" s="338"/>
      <c r="TX23" s="338"/>
      <c r="TY23" s="338"/>
      <c r="TZ23" s="338"/>
      <c r="UA23" s="338"/>
      <c r="UB23" s="338"/>
      <c r="UC23" s="338"/>
      <c r="UD23" s="338"/>
      <c r="UE23" s="338"/>
      <c r="UF23" s="338"/>
      <c r="UG23" s="338"/>
      <c r="UH23" s="338"/>
      <c r="UI23" s="338"/>
      <c r="UJ23" s="338"/>
      <c r="UK23" s="338"/>
      <c r="UL23" s="338"/>
      <c r="UM23" s="338"/>
      <c r="UN23" s="338"/>
      <c r="UO23" s="338"/>
      <c r="UP23" s="338"/>
      <c r="UQ23" s="338"/>
      <c r="UR23" s="338"/>
      <c r="US23" s="338"/>
      <c r="UT23" s="338"/>
      <c r="UU23" s="338"/>
      <c r="UV23" s="338"/>
      <c r="UW23" s="338"/>
      <c r="UX23" s="338"/>
      <c r="UY23" s="338"/>
      <c r="UZ23" s="338"/>
      <c r="VA23" s="338"/>
      <c r="VB23" s="338"/>
      <c r="VC23" s="338"/>
      <c r="VD23" s="338"/>
      <c r="VE23" s="338"/>
      <c r="VF23" s="338"/>
      <c r="VG23" s="338"/>
      <c r="VH23" s="338"/>
      <c r="VI23" s="338"/>
      <c r="VJ23" s="338"/>
      <c r="VK23" s="338"/>
      <c r="VL23" s="338"/>
      <c r="VM23" s="338"/>
      <c r="VN23" s="338"/>
      <c r="VO23" s="338"/>
      <c r="VP23" s="338"/>
      <c r="VQ23" s="338"/>
      <c r="VR23" s="338"/>
      <c r="VS23" s="338"/>
      <c r="VT23" s="338"/>
      <c r="VU23" s="338"/>
      <c r="VV23" s="338"/>
      <c r="VW23" s="338"/>
      <c r="VX23" s="338"/>
      <c r="VY23" s="338"/>
      <c r="VZ23" s="338"/>
      <c r="WA23" s="338"/>
      <c r="WB23" s="338"/>
      <c r="WC23" s="338"/>
      <c r="WD23" s="338"/>
      <c r="WE23" s="338"/>
      <c r="WF23" s="338"/>
      <c r="WG23" s="338"/>
      <c r="WH23" s="338"/>
      <c r="WI23" s="338"/>
      <c r="WJ23" s="338"/>
      <c r="WK23" s="338"/>
      <c r="WL23" s="338"/>
      <c r="WM23" s="338"/>
      <c r="WN23" s="338"/>
      <c r="WO23" s="338"/>
      <c r="WP23" s="338"/>
      <c r="WQ23" s="338"/>
      <c r="WR23" s="338"/>
      <c r="WS23" s="338"/>
      <c r="WT23" s="338"/>
      <c r="WU23" s="338"/>
      <c r="WV23" s="338"/>
      <c r="WW23" s="338"/>
      <c r="WX23" s="338"/>
      <c r="WY23" s="338"/>
      <c r="WZ23" s="338"/>
      <c r="XA23" s="338"/>
      <c r="XB23" s="338"/>
      <c r="XC23" s="338"/>
      <c r="XD23" s="338"/>
      <c r="XE23" s="338"/>
      <c r="XF23" s="338"/>
      <c r="XG23" s="338"/>
      <c r="XH23" s="338"/>
      <c r="XI23" s="338"/>
      <c r="XJ23" s="338"/>
      <c r="XK23" s="338"/>
      <c r="XL23" s="338"/>
      <c r="XM23" s="338"/>
      <c r="XN23" s="338"/>
      <c r="XO23" s="338"/>
      <c r="XP23" s="338"/>
      <c r="XQ23" s="338"/>
      <c r="XR23" s="338"/>
      <c r="XS23" s="338"/>
      <c r="XT23" s="338"/>
      <c r="XU23" s="338"/>
      <c r="XV23" s="338"/>
      <c r="XW23" s="338"/>
      <c r="XX23" s="338"/>
      <c r="XY23" s="338"/>
      <c r="XZ23" s="338"/>
      <c r="YA23" s="338"/>
      <c r="YB23" s="338"/>
      <c r="YC23" s="338"/>
      <c r="YD23" s="338"/>
      <c r="YE23" s="338"/>
      <c r="YF23" s="338"/>
      <c r="YG23" s="338"/>
      <c r="YH23" s="338"/>
      <c r="YI23" s="338"/>
      <c r="YJ23" s="338"/>
      <c r="YK23" s="338"/>
      <c r="YL23" s="338"/>
      <c r="YM23" s="338"/>
      <c r="YN23" s="338"/>
      <c r="YO23" s="338"/>
      <c r="YP23" s="338"/>
      <c r="YQ23" s="338"/>
      <c r="YR23" s="338"/>
      <c r="YS23" s="338"/>
      <c r="YT23" s="338"/>
      <c r="YU23" s="338"/>
      <c r="YV23" s="338"/>
      <c r="YW23" s="338"/>
      <c r="YX23" s="338"/>
      <c r="YY23" s="338"/>
      <c r="YZ23" s="338"/>
      <c r="ZA23" s="338"/>
      <c r="ZB23" s="338"/>
      <c r="ZC23" s="338"/>
      <c r="ZD23" s="338"/>
      <c r="ZE23" s="338"/>
      <c r="ZF23" s="338"/>
      <c r="ZG23" s="338"/>
      <c r="ZH23" s="338"/>
      <c r="ZI23" s="338"/>
      <c r="ZJ23" s="338"/>
      <c r="ZK23" s="338"/>
      <c r="ZL23" s="338"/>
      <c r="ZM23" s="338"/>
      <c r="ZN23" s="338"/>
      <c r="ZO23" s="338"/>
      <c r="ZP23" s="338"/>
      <c r="ZQ23" s="338"/>
      <c r="ZR23" s="338"/>
      <c r="ZS23" s="338"/>
      <c r="ZT23" s="338"/>
      <c r="ZU23" s="338"/>
      <c r="ZV23" s="338"/>
      <c r="ZW23" s="338"/>
      <c r="ZX23" s="338"/>
      <c r="ZY23" s="338"/>
      <c r="ZZ23" s="338"/>
      <c r="AAA23" s="338"/>
      <c r="AAB23" s="338"/>
      <c r="AAC23" s="338"/>
      <c r="AAD23" s="338"/>
      <c r="AAE23" s="338"/>
      <c r="AAF23" s="338"/>
      <c r="AAG23" s="338"/>
      <c r="AAH23" s="338"/>
      <c r="AAI23" s="338"/>
      <c r="AAJ23" s="338"/>
      <c r="AAK23" s="338"/>
      <c r="AAL23" s="338"/>
      <c r="AAM23" s="338"/>
      <c r="AAN23" s="338"/>
      <c r="AAO23" s="338"/>
      <c r="AAP23" s="338"/>
      <c r="AAQ23" s="338"/>
      <c r="AAR23" s="338"/>
      <c r="AAS23" s="338"/>
      <c r="AAT23" s="338"/>
      <c r="AAU23" s="338"/>
      <c r="AAV23" s="338"/>
      <c r="AAW23" s="338"/>
      <c r="AAX23" s="338"/>
      <c r="AAY23" s="338"/>
      <c r="AAZ23" s="338"/>
      <c r="ABA23" s="338"/>
      <c r="ABB23" s="338"/>
      <c r="ABC23" s="338"/>
      <c r="ABD23" s="338"/>
      <c r="ABE23" s="338"/>
      <c r="ABF23" s="338"/>
      <c r="ABG23" s="338"/>
      <c r="ABH23" s="338"/>
      <c r="ABI23" s="338"/>
      <c r="ABJ23" s="338"/>
      <c r="ABK23" s="338"/>
      <c r="ABL23" s="338"/>
      <c r="ABM23" s="338"/>
      <c r="ABN23" s="338"/>
      <c r="ABO23" s="338"/>
      <c r="ABP23" s="338"/>
      <c r="ABQ23" s="338"/>
      <c r="ABR23" s="338"/>
      <c r="ABS23" s="338"/>
      <c r="ABT23" s="338"/>
      <c r="ABU23" s="338"/>
      <c r="ABV23" s="338"/>
      <c r="ABW23" s="338"/>
      <c r="ABX23" s="338"/>
      <c r="ABY23" s="338"/>
      <c r="ABZ23" s="338"/>
      <c r="ACA23" s="338"/>
      <c r="ACB23" s="338"/>
      <c r="ACC23" s="338"/>
      <c r="ACD23" s="338"/>
      <c r="ACE23" s="338"/>
      <c r="ACF23" s="338"/>
      <c r="ACG23" s="338"/>
      <c r="ACH23" s="338"/>
      <c r="ACI23" s="338"/>
      <c r="ACJ23" s="338"/>
      <c r="ACK23" s="338"/>
      <c r="ACL23" s="338"/>
      <c r="ACM23" s="338"/>
      <c r="ACN23" s="338"/>
      <c r="ACO23" s="338"/>
      <c r="ACP23" s="338"/>
      <c r="ACQ23" s="338"/>
      <c r="ACR23" s="338"/>
      <c r="ACS23" s="338"/>
      <c r="ACT23" s="338"/>
      <c r="ACU23" s="338"/>
      <c r="ACV23" s="338"/>
      <c r="ACW23" s="338"/>
      <c r="ACX23" s="338"/>
      <c r="ACY23" s="338"/>
      <c r="ACZ23" s="338"/>
      <c r="ADA23" s="338"/>
      <c r="ADB23" s="338"/>
      <c r="ADC23" s="338"/>
      <c r="ADD23" s="338"/>
      <c r="ADE23" s="338"/>
      <c r="ADF23" s="338"/>
      <c r="ADG23" s="338"/>
      <c r="ADH23" s="338"/>
      <c r="ADI23" s="338"/>
      <c r="ADJ23" s="338"/>
      <c r="ADK23" s="338"/>
      <c r="ADL23" s="338"/>
      <c r="ADM23" s="338"/>
      <c r="ADN23" s="338"/>
      <c r="ADO23" s="338"/>
      <c r="ADP23" s="338"/>
      <c r="ADQ23" s="338"/>
      <c r="ADR23" s="338"/>
      <c r="ADS23" s="338"/>
      <c r="ADT23" s="338"/>
      <c r="ADU23" s="338"/>
      <c r="ADV23" s="338"/>
      <c r="ADW23" s="338"/>
      <c r="ADX23" s="338"/>
      <c r="ADY23" s="338"/>
      <c r="ADZ23" s="338"/>
      <c r="AEA23" s="338"/>
      <c r="AEB23" s="338"/>
      <c r="AEC23" s="338"/>
      <c r="AED23" s="338"/>
      <c r="AEE23" s="338"/>
      <c r="AEF23" s="338"/>
      <c r="AEG23" s="338"/>
      <c r="AEH23" s="338"/>
      <c r="AEI23" s="338"/>
      <c r="AEJ23" s="338"/>
      <c r="AEK23" s="338"/>
      <c r="AEL23" s="338"/>
      <c r="AEM23" s="338"/>
      <c r="AEN23" s="338"/>
      <c r="AEO23" s="338"/>
      <c r="AEP23" s="338"/>
      <c r="AEQ23" s="338"/>
      <c r="AER23" s="338"/>
      <c r="AES23" s="338"/>
      <c r="AET23" s="338"/>
      <c r="AEU23" s="338"/>
      <c r="AEV23" s="338"/>
      <c r="AEW23" s="338"/>
      <c r="AEX23" s="338"/>
      <c r="AEY23" s="338"/>
      <c r="AEZ23" s="338"/>
      <c r="AFA23" s="338"/>
      <c r="AFB23" s="338"/>
      <c r="AFC23" s="338"/>
      <c r="AFD23" s="338"/>
      <c r="AFE23" s="338"/>
      <c r="AFF23" s="338"/>
      <c r="AFG23" s="338"/>
      <c r="AFH23" s="338"/>
      <c r="AFI23" s="338"/>
      <c r="AFJ23" s="338"/>
      <c r="AFK23" s="338"/>
      <c r="AFL23" s="338"/>
      <c r="AFM23" s="338"/>
      <c r="AFN23" s="338"/>
      <c r="AFO23" s="338"/>
      <c r="AFP23" s="338"/>
      <c r="AFQ23" s="338"/>
      <c r="AFR23" s="338"/>
      <c r="AFS23" s="338"/>
      <c r="AFT23" s="338"/>
      <c r="AFU23" s="338"/>
      <c r="AFV23" s="338"/>
      <c r="AFW23" s="338"/>
      <c r="AFX23" s="338"/>
      <c r="AFY23" s="338"/>
      <c r="AFZ23" s="338"/>
      <c r="AGA23" s="338"/>
      <c r="AGB23" s="338"/>
      <c r="AGC23" s="338"/>
      <c r="AGD23" s="338"/>
      <c r="AGE23" s="338"/>
      <c r="AGF23" s="338"/>
      <c r="AGG23" s="338"/>
      <c r="AGH23" s="338"/>
      <c r="AGI23" s="338"/>
      <c r="AGJ23" s="338"/>
      <c r="AGK23" s="338"/>
      <c r="AGL23" s="338"/>
      <c r="AGM23" s="338"/>
      <c r="AGN23" s="338"/>
      <c r="AGO23" s="338"/>
      <c r="AGP23" s="338"/>
      <c r="AGQ23" s="338"/>
      <c r="AGR23" s="338"/>
      <c r="AGS23" s="338"/>
      <c r="AGT23" s="338"/>
      <c r="AGU23" s="338"/>
      <c r="AGV23" s="338"/>
      <c r="AGW23" s="338"/>
      <c r="AGX23" s="338"/>
      <c r="AGY23" s="338"/>
      <c r="AGZ23" s="338"/>
      <c r="AHA23" s="338"/>
      <c r="AHB23" s="338"/>
      <c r="AHC23" s="338"/>
      <c r="AHD23" s="338"/>
      <c r="AHE23" s="338"/>
      <c r="AHF23" s="338"/>
      <c r="AHG23" s="338"/>
      <c r="AHH23" s="338"/>
      <c r="AHI23" s="338"/>
      <c r="AHJ23" s="338"/>
      <c r="AHK23" s="338"/>
      <c r="AHL23" s="338"/>
      <c r="AHM23" s="338"/>
      <c r="AHN23" s="338"/>
      <c r="AHO23" s="338"/>
      <c r="AHP23" s="338"/>
      <c r="AHQ23" s="338"/>
      <c r="AHR23" s="338"/>
      <c r="AHS23" s="338"/>
      <c r="AHT23" s="338"/>
      <c r="AHU23" s="338"/>
      <c r="AHV23" s="338"/>
      <c r="AHW23" s="338"/>
      <c r="AHX23" s="338"/>
      <c r="AHY23" s="338"/>
      <c r="AHZ23" s="338"/>
      <c r="AIA23" s="338"/>
      <c r="AIB23" s="338"/>
      <c r="AIC23" s="338"/>
      <c r="AID23" s="338"/>
      <c r="AIE23" s="338"/>
      <c r="AIF23" s="338"/>
      <c r="AIG23" s="338"/>
      <c r="AIH23" s="338"/>
      <c r="AII23" s="338"/>
      <c r="AIJ23" s="338"/>
      <c r="AIK23" s="338"/>
      <c r="AIL23" s="338"/>
      <c r="AIM23" s="338"/>
      <c r="AIN23" s="338"/>
      <c r="AIO23" s="338"/>
      <c r="AIP23" s="338"/>
      <c r="AIQ23" s="338"/>
      <c r="AIR23" s="338"/>
      <c r="AIS23" s="338"/>
      <c r="AIT23" s="338"/>
      <c r="AIU23" s="338"/>
      <c r="AIV23" s="338"/>
      <c r="AIW23" s="338"/>
      <c r="AIX23" s="338"/>
      <c r="AIY23" s="338"/>
      <c r="AIZ23" s="338"/>
      <c r="AJA23" s="338"/>
      <c r="AJB23" s="338"/>
      <c r="AJC23" s="338"/>
      <c r="AJD23" s="338"/>
      <c r="AJE23" s="338"/>
      <c r="AJF23" s="338"/>
      <c r="AJG23" s="338"/>
      <c r="AJH23" s="338"/>
      <c r="AJI23" s="338"/>
      <c r="AJJ23" s="338"/>
      <c r="AJK23" s="338"/>
      <c r="AJL23" s="338"/>
      <c r="AJM23" s="338"/>
      <c r="AJN23" s="338"/>
      <c r="AJO23" s="338"/>
      <c r="AJP23" s="338"/>
      <c r="AJQ23" s="338"/>
      <c r="AJR23" s="338"/>
      <c r="AJS23" s="338"/>
      <c r="AJT23" s="338"/>
      <c r="AJU23" s="338"/>
      <c r="AJV23" s="338"/>
      <c r="AJW23" s="338"/>
      <c r="AJX23" s="338"/>
      <c r="AJY23" s="338"/>
      <c r="AJZ23" s="338"/>
      <c r="AKA23" s="338"/>
      <c r="AKB23" s="338"/>
      <c r="AKC23" s="338"/>
      <c r="AKD23" s="338"/>
      <c r="AKE23" s="338"/>
      <c r="AKF23" s="338"/>
      <c r="AKG23" s="338"/>
      <c r="AKH23" s="338"/>
      <c r="AKI23" s="338"/>
      <c r="AKJ23" s="338"/>
      <c r="AKK23" s="338"/>
      <c r="AKL23" s="338"/>
      <c r="AKM23" s="338"/>
      <c r="AKN23" s="338"/>
      <c r="AKO23" s="338"/>
      <c r="AKP23" s="338"/>
      <c r="AKQ23" s="338"/>
      <c r="AKR23" s="338"/>
      <c r="AKS23" s="338"/>
      <c r="AKT23" s="338"/>
      <c r="AKU23" s="338"/>
      <c r="AKV23" s="338"/>
      <c r="AKW23" s="338"/>
      <c r="AKX23" s="338"/>
      <c r="AKY23" s="338"/>
      <c r="AKZ23" s="338"/>
      <c r="ALA23" s="338"/>
      <c r="ALB23" s="338"/>
      <c r="ALC23" s="338"/>
      <c r="ALD23" s="338"/>
      <c r="ALE23" s="338"/>
      <c r="ALF23" s="338"/>
      <c r="ALG23" s="338"/>
      <c r="ALH23" s="338"/>
      <c r="ALI23" s="338"/>
      <c r="ALJ23" s="338"/>
      <c r="ALK23" s="338"/>
      <c r="ALL23" s="338"/>
      <c r="ALM23" s="338"/>
      <c r="ALN23" s="338"/>
      <c r="ALO23" s="338"/>
      <c r="ALP23" s="338"/>
      <c r="ALQ23" s="338"/>
      <c r="ALR23" s="338"/>
      <c r="ALS23" s="338"/>
      <c r="ALT23" s="338"/>
      <c r="ALU23" s="338"/>
      <c r="ALV23" s="338"/>
      <c r="ALW23" s="338"/>
      <c r="ALX23" s="338"/>
      <c r="ALY23" s="338"/>
      <c r="ALZ23" s="338"/>
      <c r="AMA23" s="338"/>
      <c r="AMB23" s="338"/>
      <c r="AMC23" s="338"/>
      <c r="AMD23" s="338"/>
      <c r="AME23" s="338"/>
      <c r="AMF23" s="338"/>
      <c r="AMG23" s="338"/>
      <c r="AMH23" s="338"/>
      <c r="AMI23" s="338"/>
      <c r="AMJ23" s="338"/>
      <c r="AMK23" s="338"/>
      <c r="AML23" s="338"/>
      <c r="AMM23" s="338"/>
      <c r="AMN23" s="338"/>
      <c r="AMO23" s="338"/>
      <c r="AMP23" s="338"/>
      <c r="AMQ23" s="338"/>
      <c r="AMR23" s="338"/>
      <c r="AMS23" s="338"/>
      <c r="AMT23" s="338"/>
      <c r="AMU23" s="338"/>
      <c r="AMV23" s="338"/>
      <c r="AMW23" s="338"/>
      <c r="AMX23" s="338"/>
      <c r="AMY23" s="338"/>
      <c r="AMZ23" s="338"/>
      <c r="ANA23" s="338"/>
      <c r="ANB23" s="338"/>
      <c r="ANC23" s="338"/>
      <c r="AND23" s="338"/>
      <c r="ANE23" s="338"/>
      <c r="ANF23" s="338"/>
      <c r="ANG23" s="338"/>
      <c r="ANH23" s="338"/>
      <c r="ANI23" s="338"/>
      <c r="ANJ23" s="338"/>
      <c r="ANK23" s="338"/>
      <c r="ANL23" s="338"/>
      <c r="ANM23" s="338"/>
      <c r="ANN23" s="338"/>
      <c r="ANO23" s="338"/>
      <c r="ANP23" s="338"/>
      <c r="ANQ23" s="338"/>
      <c r="ANR23" s="338"/>
      <c r="ANS23" s="338"/>
      <c r="ANT23" s="338"/>
      <c r="ANU23" s="338"/>
      <c r="ANV23" s="338"/>
      <c r="ANW23" s="338"/>
      <c r="ANX23" s="338"/>
      <c r="ANY23" s="338"/>
      <c r="ANZ23" s="338"/>
      <c r="AOA23" s="338"/>
      <c r="AOB23" s="338"/>
      <c r="AOC23" s="338"/>
      <c r="AOD23" s="338"/>
      <c r="AOE23" s="338"/>
      <c r="AOF23" s="338"/>
      <c r="AOG23" s="338"/>
      <c r="AOH23" s="338"/>
      <c r="AOI23" s="338"/>
      <c r="AOJ23" s="338"/>
      <c r="AOK23" s="338"/>
      <c r="AOL23" s="338"/>
      <c r="AOM23" s="338"/>
      <c r="AON23" s="338"/>
      <c r="AOO23" s="338"/>
      <c r="AOP23" s="338"/>
      <c r="AOQ23" s="338"/>
      <c r="AOR23" s="338"/>
      <c r="AOS23" s="338"/>
      <c r="AOT23" s="338"/>
      <c r="AOU23" s="338"/>
      <c r="AOV23" s="338"/>
      <c r="AOW23" s="338"/>
      <c r="AOX23" s="338"/>
      <c r="AOY23" s="338"/>
      <c r="AOZ23" s="338"/>
      <c r="APA23" s="338"/>
      <c r="APB23" s="338"/>
      <c r="APC23" s="338"/>
      <c r="APD23" s="338"/>
      <c r="APE23" s="338"/>
      <c r="APF23" s="338"/>
      <c r="APG23" s="338"/>
      <c r="APH23" s="338"/>
      <c r="API23" s="338"/>
      <c r="APJ23" s="338"/>
      <c r="APK23" s="338"/>
      <c r="APL23" s="338"/>
      <c r="APM23" s="338"/>
      <c r="APN23" s="338"/>
      <c r="APO23" s="338"/>
      <c r="APP23" s="338"/>
      <c r="APQ23" s="338"/>
      <c r="APR23" s="338"/>
      <c r="APS23" s="338"/>
      <c r="APT23" s="338"/>
      <c r="APU23" s="338"/>
      <c r="APV23" s="338"/>
      <c r="APW23" s="338"/>
      <c r="APX23" s="338"/>
      <c r="APY23" s="338"/>
      <c r="APZ23" s="338"/>
      <c r="AQA23" s="338"/>
      <c r="AQB23" s="338"/>
      <c r="AQC23" s="338"/>
      <c r="AQD23" s="338"/>
      <c r="AQE23" s="338"/>
      <c r="AQF23" s="338"/>
      <c r="AQG23" s="338"/>
      <c r="AQH23" s="338"/>
      <c r="AQI23" s="338"/>
      <c r="AQJ23" s="338"/>
      <c r="AQK23" s="338"/>
      <c r="AQL23" s="338"/>
      <c r="AQM23" s="338"/>
      <c r="AQN23" s="338"/>
      <c r="AQO23" s="338"/>
      <c r="AQP23" s="338"/>
      <c r="AQQ23" s="338"/>
      <c r="AQR23" s="338"/>
      <c r="AQS23" s="338"/>
      <c r="AQT23" s="338"/>
      <c r="AQU23" s="338"/>
      <c r="AQV23" s="338"/>
      <c r="AQW23" s="338"/>
      <c r="AQX23" s="338"/>
      <c r="AQY23" s="338"/>
      <c r="AQZ23" s="338"/>
      <c r="ARA23" s="338"/>
      <c r="ARB23" s="338"/>
      <c r="ARC23" s="338"/>
      <c r="ARD23" s="338"/>
      <c r="ARE23" s="338"/>
      <c r="ARF23" s="338"/>
      <c r="ARG23" s="338"/>
      <c r="ARH23" s="338"/>
      <c r="ARI23" s="338"/>
      <c r="ARJ23" s="338"/>
      <c r="ARK23" s="338"/>
      <c r="ARL23" s="338"/>
      <c r="ARM23" s="338"/>
      <c r="ARN23" s="338"/>
      <c r="ARO23" s="338"/>
      <c r="ARP23" s="338"/>
      <c r="ARQ23" s="338"/>
      <c r="ARR23" s="338"/>
      <c r="ARS23" s="338"/>
      <c r="ART23" s="338"/>
      <c r="ARU23" s="338"/>
      <c r="ARV23" s="338"/>
      <c r="ARW23" s="338"/>
      <c r="ARX23" s="338"/>
      <c r="ARY23" s="338"/>
      <c r="ARZ23" s="338"/>
      <c r="ASA23" s="338"/>
      <c r="ASB23" s="338"/>
      <c r="ASC23" s="338"/>
      <c r="ASD23" s="338"/>
      <c r="ASE23" s="338"/>
      <c r="ASF23" s="338"/>
      <c r="ASG23" s="338"/>
      <c r="ASH23" s="338"/>
      <c r="ASI23" s="338"/>
      <c r="ASJ23" s="338"/>
      <c r="ASK23" s="338"/>
      <c r="ASL23" s="338"/>
      <c r="ASM23" s="338"/>
      <c r="ASN23" s="338"/>
      <c r="ASO23" s="338"/>
      <c r="ASP23" s="338"/>
      <c r="ASQ23" s="338"/>
      <c r="ASR23" s="338"/>
      <c r="ASS23" s="338"/>
      <c r="AST23" s="338"/>
      <c r="ASU23" s="338"/>
      <c r="ASV23" s="338"/>
      <c r="ASW23" s="338"/>
      <c r="ASX23" s="338"/>
      <c r="ASY23" s="338"/>
      <c r="ASZ23" s="338"/>
      <c r="ATA23" s="338"/>
      <c r="ATB23" s="338"/>
      <c r="ATC23" s="338"/>
      <c r="ATD23" s="338"/>
      <c r="ATE23" s="338"/>
      <c r="ATF23" s="338"/>
      <c r="ATG23" s="338"/>
      <c r="ATH23" s="338"/>
      <c r="ATI23" s="338"/>
      <c r="ATJ23" s="338"/>
      <c r="ATK23" s="338"/>
      <c r="ATL23" s="338"/>
      <c r="ATM23" s="338"/>
      <c r="ATN23" s="338"/>
      <c r="ATO23" s="338"/>
      <c r="ATP23" s="338"/>
      <c r="ATQ23" s="338"/>
      <c r="ATR23" s="338"/>
      <c r="ATS23" s="338"/>
      <c r="ATT23" s="338"/>
      <c r="ATU23" s="338"/>
      <c r="ATV23" s="338"/>
      <c r="ATW23" s="338"/>
      <c r="ATX23" s="338"/>
      <c r="ATY23" s="338"/>
      <c r="ATZ23" s="338"/>
      <c r="AUA23" s="338"/>
      <c r="AUB23" s="338"/>
      <c r="AUC23" s="338"/>
      <c r="AUD23" s="338"/>
      <c r="AUE23" s="338"/>
      <c r="AUF23" s="338"/>
      <c r="AUG23" s="338"/>
      <c r="AUH23" s="338"/>
      <c r="AUI23" s="338"/>
      <c r="AUJ23" s="338"/>
      <c r="AUK23" s="338"/>
      <c r="AUL23" s="338"/>
      <c r="AUM23" s="338"/>
      <c r="AUN23" s="338"/>
      <c r="AUO23" s="338"/>
      <c r="AUP23" s="338"/>
      <c r="AUQ23" s="338"/>
      <c r="AUR23" s="338"/>
      <c r="AUS23" s="338"/>
      <c r="AUT23" s="338"/>
      <c r="AUU23" s="338"/>
      <c r="AUV23" s="338"/>
      <c r="AUW23" s="338"/>
      <c r="AUX23" s="338"/>
      <c r="AUY23" s="338"/>
      <c r="AUZ23" s="338"/>
      <c r="AVA23" s="338"/>
      <c r="AVB23" s="338"/>
      <c r="AVC23" s="338"/>
      <c r="AVD23" s="338"/>
      <c r="AVE23" s="338"/>
      <c r="AVF23" s="338"/>
      <c r="AVG23" s="338"/>
      <c r="AVH23" s="338"/>
      <c r="AVI23" s="338"/>
      <c r="AVJ23" s="338"/>
      <c r="AVK23" s="338"/>
      <c r="AVL23" s="338"/>
      <c r="AVM23" s="338"/>
      <c r="AVN23" s="338"/>
      <c r="AVO23" s="338"/>
      <c r="AVP23" s="338"/>
      <c r="AVQ23" s="338"/>
      <c r="AVR23" s="338"/>
      <c r="AVS23" s="338"/>
      <c r="AVT23" s="338"/>
      <c r="AVU23" s="338"/>
      <c r="AVV23" s="338"/>
      <c r="AVW23" s="338"/>
      <c r="AVX23" s="338"/>
      <c r="AVY23" s="338"/>
      <c r="AVZ23" s="338"/>
      <c r="AWA23" s="338"/>
      <c r="AWB23" s="338"/>
      <c r="AWC23" s="338"/>
      <c r="AWD23" s="338"/>
      <c r="AWE23" s="338"/>
      <c r="AWF23" s="338"/>
      <c r="AWG23" s="338"/>
      <c r="AWH23" s="338"/>
      <c r="AWI23" s="338"/>
      <c r="AWJ23" s="338"/>
      <c r="AWK23" s="338"/>
      <c r="AWL23" s="338"/>
      <c r="AWM23" s="338"/>
      <c r="AWN23" s="338"/>
      <c r="AWO23" s="338"/>
      <c r="AWP23" s="338"/>
      <c r="AWQ23" s="338"/>
      <c r="AWR23" s="338"/>
      <c r="AWS23" s="338"/>
      <c r="AWT23" s="338"/>
      <c r="AWU23" s="338"/>
      <c r="AWV23" s="338"/>
      <c r="AWW23" s="338"/>
      <c r="AWX23" s="338"/>
      <c r="AWY23" s="338"/>
      <c r="AWZ23" s="338"/>
      <c r="AXA23" s="338"/>
      <c r="AXB23" s="338"/>
      <c r="AXC23" s="338"/>
      <c r="AXD23" s="338"/>
      <c r="AXE23" s="338"/>
      <c r="AXF23" s="338"/>
      <c r="AXG23" s="338"/>
      <c r="AXH23" s="338"/>
      <c r="AXI23" s="338"/>
      <c r="AXJ23" s="338"/>
      <c r="AXK23" s="338"/>
      <c r="AXL23" s="338"/>
      <c r="AXM23" s="338"/>
      <c r="AXN23" s="338"/>
      <c r="AXO23" s="338"/>
      <c r="AXP23" s="338"/>
      <c r="AXQ23" s="338"/>
      <c r="AXR23" s="338"/>
      <c r="AXS23" s="338"/>
      <c r="AXT23" s="338"/>
      <c r="AXU23" s="338"/>
      <c r="AXV23" s="338"/>
      <c r="AXW23" s="338"/>
      <c r="AXX23" s="338"/>
      <c r="AXY23" s="338"/>
      <c r="AXZ23" s="338"/>
      <c r="AYA23" s="338"/>
      <c r="AYB23" s="338"/>
      <c r="AYC23" s="338"/>
      <c r="AYD23" s="338"/>
      <c r="AYE23" s="338"/>
      <c r="AYF23" s="338"/>
      <c r="AYG23" s="338"/>
      <c r="AYH23" s="338"/>
      <c r="AYI23" s="338"/>
      <c r="AYJ23" s="338"/>
      <c r="AYK23" s="338"/>
      <c r="AYL23" s="338"/>
      <c r="AYM23" s="338"/>
      <c r="AYN23" s="338"/>
      <c r="AYO23" s="338"/>
      <c r="AYP23" s="338"/>
      <c r="AYQ23" s="338"/>
      <c r="AYR23" s="338"/>
      <c r="AYS23" s="338"/>
      <c r="AYT23" s="338"/>
      <c r="AYU23" s="338"/>
      <c r="AYV23" s="338"/>
      <c r="AYW23" s="338"/>
      <c r="AYX23" s="338"/>
      <c r="AYY23" s="338"/>
      <c r="AYZ23" s="338"/>
      <c r="AZA23" s="338"/>
      <c r="AZB23" s="338"/>
      <c r="AZC23" s="338"/>
      <c r="AZD23" s="338"/>
      <c r="AZE23" s="338"/>
      <c r="AZF23" s="338"/>
      <c r="AZG23" s="338"/>
      <c r="AZH23" s="338"/>
      <c r="AZI23" s="338"/>
      <c r="AZJ23" s="338"/>
      <c r="AZK23" s="338"/>
      <c r="AZL23" s="338"/>
      <c r="AZM23" s="338"/>
      <c r="AZN23" s="338"/>
      <c r="AZO23" s="338"/>
      <c r="AZP23" s="338"/>
      <c r="AZQ23" s="338"/>
      <c r="AZR23" s="338"/>
      <c r="AZS23" s="338"/>
      <c r="AZT23" s="338"/>
      <c r="AZU23" s="338"/>
      <c r="AZV23" s="338"/>
      <c r="AZW23" s="338"/>
      <c r="AZX23" s="338"/>
      <c r="AZY23" s="338"/>
      <c r="AZZ23" s="338"/>
      <c r="BAA23" s="338"/>
      <c r="BAB23" s="338"/>
      <c r="BAC23" s="338"/>
      <c r="BAD23" s="338"/>
      <c r="BAE23" s="338"/>
      <c r="BAF23" s="338"/>
      <c r="BAG23" s="338"/>
      <c r="BAH23" s="338"/>
      <c r="BAI23" s="338"/>
      <c r="BAJ23" s="338"/>
      <c r="BAK23" s="338"/>
      <c r="BAL23" s="338"/>
      <c r="BAM23" s="338"/>
      <c r="BAN23" s="338"/>
      <c r="BAO23" s="338"/>
      <c r="BAP23" s="338"/>
      <c r="BAQ23" s="338"/>
      <c r="BAR23" s="338"/>
      <c r="BAS23" s="338"/>
      <c r="BAT23" s="338"/>
      <c r="BAU23" s="338"/>
      <c r="BAV23" s="338"/>
      <c r="BAW23" s="338"/>
      <c r="BAX23" s="338"/>
      <c r="BAY23" s="338"/>
      <c r="BAZ23" s="338"/>
      <c r="BBA23" s="338"/>
      <c r="BBB23" s="338"/>
      <c r="BBC23" s="338"/>
      <c r="BBD23" s="338"/>
      <c r="BBE23" s="338"/>
      <c r="BBF23" s="338"/>
      <c r="BBG23" s="338"/>
      <c r="BBH23" s="338"/>
      <c r="BBI23" s="338"/>
      <c r="BBJ23" s="338"/>
      <c r="BBK23" s="338"/>
      <c r="BBL23" s="338"/>
      <c r="BBM23" s="338"/>
      <c r="BBN23" s="338"/>
      <c r="BBO23" s="338"/>
      <c r="BBP23" s="338"/>
      <c r="BBQ23" s="338"/>
      <c r="BBR23" s="338"/>
      <c r="BBS23" s="338"/>
      <c r="BBT23" s="338"/>
      <c r="BBU23" s="338"/>
      <c r="BBV23" s="338"/>
      <c r="BBW23" s="338"/>
      <c r="BBX23" s="338"/>
      <c r="BBY23" s="338"/>
      <c r="BBZ23" s="338"/>
      <c r="BCA23" s="338"/>
      <c r="BCB23" s="338"/>
      <c r="BCC23" s="338"/>
      <c r="BCD23" s="338"/>
      <c r="BCE23" s="338"/>
      <c r="BCF23" s="338"/>
      <c r="BCG23" s="338"/>
      <c r="BCH23" s="338"/>
      <c r="BCI23" s="338"/>
      <c r="BCJ23" s="338"/>
      <c r="BCK23" s="338"/>
      <c r="BCL23" s="338"/>
      <c r="BCM23" s="338"/>
      <c r="BCN23" s="338"/>
      <c r="BCO23" s="338"/>
      <c r="BCP23" s="338"/>
      <c r="BCQ23" s="338"/>
      <c r="BCR23" s="338"/>
      <c r="BCS23" s="338"/>
      <c r="BCT23" s="338"/>
      <c r="BCU23" s="338"/>
      <c r="BCV23" s="338"/>
      <c r="BCW23" s="338"/>
      <c r="BCX23" s="338"/>
      <c r="BCY23" s="338"/>
      <c r="BCZ23" s="338"/>
      <c r="BDA23" s="338"/>
      <c r="BDB23" s="338"/>
      <c r="BDC23" s="338"/>
      <c r="BDD23" s="338"/>
      <c r="BDE23" s="338"/>
      <c r="BDF23" s="338"/>
      <c r="BDG23" s="338"/>
      <c r="BDH23" s="338"/>
      <c r="BDI23" s="338"/>
      <c r="BDJ23" s="338"/>
      <c r="BDK23" s="338"/>
      <c r="BDL23" s="338"/>
      <c r="BDM23" s="338"/>
      <c r="BDN23" s="338"/>
      <c r="BDO23" s="338"/>
      <c r="BDP23" s="338"/>
      <c r="BDQ23" s="338"/>
      <c r="BDR23" s="338"/>
      <c r="BDS23" s="338"/>
      <c r="BDT23" s="338"/>
      <c r="BDU23" s="338"/>
      <c r="BDV23" s="338"/>
      <c r="BDW23" s="338"/>
      <c r="BDX23" s="338"/>
      <c r="BDY23" s="338"/>
      <c r="BDZ23" s="338"/>
      <c r="BEA23" s="338"/>
      <c r="BEB23" s="338"/>
      <c r="BEC23" s="338"/>
      <c r="BED23" s="338"/>
      <c r="BEE23" s="338"/>
      <c r="BEF23" s="338"/>
      <c r="BEG23" s="338"/>
      <c r="BEH23" s="338"/>
      <c r="BEI23" s="338"/>
      <c r="BEJ23" s="338"/>
      <c r="BEK23" s="338"/>
      <c r="BEL23" s="338"/>
      <c r="BEM23" s="338"/>
      <c r="BEN23" s="338"/>
      <c r="BEO23" s="338"/>
      <c r="BEP23" s="338"/>
      <c r="BEQ23" s="338"/>
      <c r="BER23" s="338"/>
      <c r="BES23" s="338"/>
      <c r="BET23" s="338"/>
      <c r="BEU23" s="338"/>
      <c r="BEV23" s="338"/>
      <c r="BEW23" s="338"/>
      <c r="BEX23" s="338"/>
      <c r="BEY23" s="338"/>
      <c r="BEZ23" s="338"/>
      <c r="BFA23" s="338"/>
      <c r="BFB23" s="338"/>
      <c r="BFC23" s="338"/>
      <c r="BFD23" s="338"/>
      <c r="BFE23" s="338"/>
      <c r="BFF23" s="338"/>
      <c r="BFG23" s="338"/>
      <c r="BFH23" s="338"/>
      <c r="BFI23" s="338"/>
      <c r="BFJ23" s="338"/>
      <c r="BFK23" s="338"/>
      <c r="BFL23" s="338"/>
      <c r="BFM23" s="338"/>
      <c r="BFN23" s="338"/>
      <c r="BFO23" s="338"/>
      <c r="BFP23" s="338"/>
      <c r="BFQ23" s="338"/>
      <c r="BFR23" s="338"/>
      <c r="BFS23" s="338"/>
      <c r="BFT23" s="338"/>
      <c r="BFU23" s="338"/>
      <c r="BFV23" s="338"/>
      <c r="BFW23" s="338"/>
      <c r="BFX23" s="338"/>
      <c r="BFY23" s="338"/>
      <c r="BFZ23" s="338"/>
      <c r="BGA23" s="338"/>
      <c r="BGB23" s="338"/>
      <c r="BGC23" s="338"/>
      <c r="BGD23" s="338"/>
      <c r="BGE23" s="338"/>
      <c r="BGF23" s="338"/>
      <c r="BGG23" s="338"/>
      <c r="BGH23" s="338"/>
      <c r="BGI23" s="338"/>
      <c r="BGJ23" s="338"/>
      <c r="BGK23" s="338"/>
      <c r="BGL23" s="338"/>
      <c r="BGM23" s="338"/>
      <c r="BGN23" s="338"/>
      <c r="BGO23" s="338"/>
      <c r="BGP23" s="338"/>
      <c r="BGQ23" s="338"/>
      <c r="BGR23" s="338"/>
      <c r="BGS23" s="338"/>
      <c r="BGT23" s="338"/>
      <c r="BGU23" s="338"/>
      <c r="BGV23" s="338"/>
      <c r="BGW23" s="338"/>
      <c r="BGX23" s="338"/>
      <c r="BGY23" s="338"/>
      <c r="BGZ23" s="338"/>
      <c r="BHA23" s="338"/>
      <c r="BHB23" s="338"/>
      <c r="BHC23" s="338"/>
      <c r="BHD23" s="338"/>
      <c r="BHE23" s="338"/>
      <c r="BHF23" s="338"/>
      <c r="BHG23" s="338"/>
      <c r="BHH23" s="338"/>
      <c r="BHI23" s="338"/>
      <c r="BHJ23" s="338"/>
      <c r="BHK23" s="338"/>
      <c r="BHL23" s="338"/>
      <c r="BHM23" s="338"/>
      <c r="BHN23" s="338"/>
      <c r="BHO23" s="338"/>
      <c r="BHP23" s="338"/>
      <c r="BHQ23" s="338"/>
      <c r="BHR23" s="338"/>
      <c r="BHS23" s="338"/>
      <c r="BHT23" s="338"/>
      <c r="BHU23" s="338"/>
      <c r="BHV23" s="338"/>
      <c r="BHW23" s="338"/>
      <c r="BHX23" s="338"/>
      <c r="BHY23" s="338"/>
      <c r="BHZ23" s="338"/>
      <c r="BIA23" s="338"/>
      <c r="BIB23" s="338"/>
      <c r="BIC23" s="338"/>
      <c r="BID23" s="338"/>
      <c r="BIE23" s="338"/>
      <c r="BIF23" s="338"/>
      <c r="BIG23" s="338"/>
      <c r="BIH23" s="338"/>
      <c r="BII23" s="338"/>
      <c r="BIJ23" s="338"/>
      <c r="BIK23" s="338"/>
      <c r="BIL23" s="338"/>
      <c r="BIM23" s="338"/>
      <c r="BIN23" s="338"/>
      <c r="BIO23" s="338"/>
      <c r="BIP23" s="338"/>
      <c r="BIQ23" s="338"/>
      <c r="BIR23" s="338"/>
      <c r="BIS23" s="338"/>
      <c r="BIT23" s="338"/>
      <c r="BIU23" s="338"/>
      <c r="BIV23" s="338"/>
      <c r="BIW23" s="338"/>
      <c r="BIX23" s="338"/>
      <c r="BIY23" s="338"/>
      <c r="BIZ23" s="338"/>
      <c r="BJA23" s="338"/>
      <c r="BJB23" s="338"/>
      <c r="BJC23" s="338"/>
      <c r="BJD23" s="338"/>
      <c r="BJE23" s="338"/>
      <c r="BJF23" s="338"/>
      <c r="BJG23" s="338"/>
      <c r="BJH23" s="338"/>
      <c r="BJI23" s="338"/>
      <c r="BJJ23" s="338"/>
      <c r="BJK23" s="338"/>
      <c r="BJL23" s="338"/>
      <c r="BJM23" s="338"/>
      <c r="BJN23" s="338"/>
      <c r="BJO23" s="338"/>
      <c r="BJP23" s="338"/>
      <c r="BJQ23" s="338"/>
      <c r="BJR23" s="338"/>
      <c r="BJS23" s="338"/>
      <c r="BJT23" s="338"/>
      <c r="BJU23" s="338"/>
      <c r="BJV23" s="338"/>
      <c r="BJW23" s="338"/>
      <c r="BJX23" s="338"/>
      <c r="BJY23" s="338"/>
      <c r="BJZ23" s="338"/>
      <c r="BKA23" s="338"/>
      <c r="BKB23" s="338"/>
      <c r="BKC23" s="338"/>
      <c r="BKD23" s="338"/>
      <c r="BKE23" s="338"/>
      <c r="BKF23" s="338"/>
      <c r="BKG23" s="338"/>
      <c r="BKH23" s="338"/>
      <c r="BKI23" s="338"/>
      <c r="BKJ23" s="338"/>
      <c r="BKK23" s="338"/>
      <c r="BKL23" s="338"/>
      <c r="BKM23" s="338"/>
      <c r="BKN23" s="338"/>
      <c r="BKO23" s="338"/>
      <c r="BKP23" s="338"/>
      <c r="BKQ23" s="338"/>
      <c r="BKR23" s="338"/>
      <c r="BKS23" s="338"/>
      <c r="BKT23" s="338"/>
      <c r="BKU23" s="338"/>
      <c r="BKV23" s="338"/>
      <c r="BKW23" s="338"/>
      <c r="BKX23" s="338"/>
      <c r="BKY23" s="338"/>
      <c r="BKZ23" s="338"/>
      <c r="BLA23" s="338"/>
      <c r="BLB23" s="338"/>
      <c r="BLC23" s="338"/>
      <c r="BLD23" s="338"/>
      <c r="BLE23" s="338"/>
      <c r="BLF23" s="338"/>
      <c r="BLG23" s="338"/>
      <c r="BLH23" s="338"/>
      <c r="BLI23" s="338"/>
      <c r="BLJ23" s="338"/>
      <c r="BLK23" s="338"/>
      <c r="BLL23" s="338"/>
      <c r="BLM23" s="338"/>
      <c r="BLN23" s="338"/>
      <c r="BLO23" s="338"/>
      <c r="BLP23" s="338"/>
      <c r="BLQ23" s="338"/>
      <c r="BLR23" s="338"/>
      <c r="BLS23" s="338"/>
      <c r="BLT23" s="338"/>
      <c r="BLU23" s="338"/>
      <c r="BLV23" s="338"/>
      <c r="BLW23" s="338"/>
      <c r="BLX23" s="338"/>
      <c r="BLY23" s="338"/>
      <c r="BLZ23" s="338"/>
      <c r="BMA23" s="338"/>
      <c r="BMB23" s="338"/>
      <c r="BMC23" s="338"/>
      <c r="BMD23" s="338"/>
      <c r="BME23" s="338"/>
      <c r="BMF23" s="338"/>
      <c r="BMG23" s="338"/>
      <c r="BMH23" s="338"/>
      <c r="BMI23" s="338"/>
      <c r="BMJ23" s="338"/>
      <c r="BMK23" s="338"/>
      <c r="BML23" s="338"/>
      <c r="BMM23" s="338"/>
      <c r="BMN23" s="338"/>
      <c r="BMO23" s="338"/>
      <c r="BMP23" s="338"/>
      <c r="BMQ23" s="338"/>
      <c r="BMR23" s="338"/>
      <c r="BMS23" s="338"/>
      <c r="BMT23" s="338"/>
      <c r="BMU23" s="338"/>
      <c r="BMV23" s="338"/>
      <c r="BMW23" s="338"/>
      <c r="BMX23" s="338"/>
      <c r="BMY23" s="338"/>
      <c r="BMZ23" s="338"/>
      <c r="BNA23" s="338"/>
      <c r="BNB23" s="338"/>
      <c r="BNC23" s="338"/>
      <c r="BND23" s="338"/>
      <c r="BNE23" s="338"/>
      <c r="BNF23" s="338"/>
      <c r="BNG23" s="338"/>
      <c r="BNH23" s="338"/>
      <c r="BNI23" s="338"/>
      <c r="BNJ23" s="338"/>
      <c r="BNK23" s="338"/>
      <c r="BNL23" s="338"/>
      <c r="BNM23" s="338"/>
      <c r="BNN23" s="338"/>
      <c r="BNO23" s="338"/>
      <c r="BNP23" s="338"/>
      <c r="BNQ23" s="338"/>
      <c r="BNR23" s="338"/>
      <c r="BNS23" s="338"/>
      <c r="BNT23" s="338"/>
      <c r="BNU23" s="338"/>
      <c r="BNV23" s="338"/>
      <c r="BNW23" s="338"/>
      <c r="BNX23" s="338"/>
      <c r="BNY23" s="338"/>
      <c r="BNZ23" s="338"/>
      <c r="BOA23" s="338"/>
      <c r="BOB23" s="338"/>
      <c r="BOC23" s="338"/>
      <c r="BOD23" s="338"/>
      <c r="BOE23" s="338"/>
      <c r="BOF23" s="338"/>
      <c r="BOG23" s="338"/>
      <c r="BOH23" s="338"/>
      <c r="BOI23" s="338"/>
      <c r="BOJ23" s="338"/>
      <c r="BOK23" s="338"/>
      <c r="BOL23" s="338"/>
      <c r="BOM23" s="338"/>
      <c r="BON23" s="338"/>
      <c r="BOO23" s="338"/>
      <c r="BOP23" s="338"/>
      <c r="BOQ23" s="338"/>
      <c r="BOR23" s="338"/>
      <c r="BOS23" s="338"/>
      <c r="BOT23" s="338"/>
      <c r="BOU23" s="338"/>
      <c r="BOV23" s="338"/>
      <c r="BOW23" s="338"/>
      <c r="BOX23" s="338"/>
      <c r="BOY23" s="338"/>
      <c r="BOZ23" s="338"/>
      <c r="BPA23" s="338"/>
      <c r="BPB23" s="338"/>
      <c r="BPC23" s="338"/>
      <c r="BPD23" s="338"/>
      <c r="BPE23" s="338"/>
      <c r="BPF23" s="338"/>
      <c r="BPG23" s="338"/>
      <c r="BPH23" s="338"/>
      <c r="BPI23" s="338"/>
      <c r="BPJ23" s="338"/>
      <c r="BPK23" s="338"/>
      <c r="BPL23" s="338"/>
      <c r="BPM23" s="338"/>
      <c r="BPN23" s="338"/>
      <c r="BPO23" s="338"/>
      <c r="BPP23" s="338"/>
      <c r="BPQ23" s="338"/>
      <c r="BPR23" s="338"/>
      <c r="BPS23" s="338"/>
      <c r="BPT23" s="338"/>
      <c r="BPU23" s="338"/>
      <c r="BPV23" s="338"/>
      <c r="BPW23" s="338"/>
      <c r="BPX23" s="338"/>
      <c r="BPY23" s="338"/>
      <c r="BPZ23" s="338"/>
      <c r="BQA23" s="338"/>
      <c r="BQB23" s="338"/>
      <c r="BQC23" s="338"/>
      <c r="BQD23" s="338"/>
      <c r="BQE23" s="338"/>
      <c r="BQF23" s="338"/>
      <c r="BQG23" s="338"/>
      <c r="BQH23" s="338"/>
      <c r="BQI23" s="338"/>
      <c r="BQJ23" s="338"/>
      <c r="BQK23" s="338"/>
      <c r="BQL23" s="338"/>
      <c r="BQM23" s="338"/>
      <c r="BQN23" s="338"/>
      <c r="BQO23" s="338"/>
      <c r="BQP23" s="338"/>
      <c r="BQQ23" s="338"/>
      <c r="BQR23" s="338"/>
      <c r="BQS23" s="338"/>
      <c r="BQT23" s="338"/>
      <c r="BQU23" s="338"/>
      <c r="BQV23" s="338"/>
      <c r="BQW23" s="338"/>
      <c r="BQX23" s="338"/>
      <c r="BQY23" s="338"/>
      <c r="BQZ23" s="338"/>
      <c r="BRA23" s="338"/>
      <c r="BRB23" s="338"/>
      <c r="BRC23" s="338"/>
      <c r="BRD23" s="338"/>
      <c r="BRE23" s="338"/>
      <c r="BRF23" s="338"/>
      <c r="BRG23" s="338"/>
      <c r="BRH23" s="338"/>
      <c r="BRI23" s="338"/>
      <c r="BRJ23" s="338"/>
      <c r="BRK23" s="338"/>
      <c r="BRL23" s="338"/>
      <c r="BRM23" s="338"/>
      <c r="BRN23" s="338"/>
      <c r="BRO23" s="338"/>
      <c r="BRP23" s="338"/>
      <c r="BRQ23" s="338"/>
      <c r="BRR23" s="338"/>
      <c r="BRS23" s="338"/>
      <c r="BRT23" s="338"/>
      <c r="BRU23" s="338"/>
      <c r="BRV23" s="338"/>
      <c r="BRW23" s="338"/>
      <c r="BRX23" s="338"/>
      <c r="BRY23" s="338"/>
      <c r="BRZ23" s="338"/>
      <c r="BSA23" s="338"/>
      <c r="BSB23" s="338"/>
      <c r="BSC23" s="338"/>
      <c r="BSD23" s="338"/>
      <c r="BSE23" s="338"/>
      <c r="BSF23" s="338"/>
      <c r="BSG23" s="338"/>
      <c r="BSH23" s="338"/>
      <c r="BSI23" s="338"/>
      <c r="BSJ23" s="338"/>
      <c r="BSK23" s="338"/>
      <c r="BSL23" s="338"/>
      <c r="BSM23" s="338"/>
      <c r="BSN23" s="338"/>
      <c r="BSO23" s="338"/>
      <c r="BSP23" s="338"/>
      <c r="BSQ23" s="338"/>
      <c r="BSR23" s="338"/>
      <c r="BSS23" s="338"/>
      <c r="BST23" s="338"/>
      <c r="BSU23" s="338"/>
      <c r="BSV23" s="338"/>
      <c r="BSW23" s="338"/>
      <c r="BSX23" s="338"/>
      <c r="BSY23" s="338"/>
      <c r="BSZ23" s="338"/>
      <c r="BTA23" s="338"/>
      <c r="BTB23" s="338"/>
      <c r="BTC23" s="338"/>
      <c r="BTD23" s="338"/>
      <c r="BTE23" s="338"/>
      <c r="BTF23" s="338"/>
      <c r="BTG23" s="338"/>
      <c r="BTH23" s="338"/>
      <c r="BTI23" s="338"/>
      <c r="BTJ23" s="338"/>
      <c r="BTK23" s="338"/>
      <c r="BTL23" s="338"/>
      <c r="BTM23" s="338"/>
      <c r="BTN23" s="338"/>
      <c r="BTO23" s="338"/>
      <c r="BTP23" s="338"/>
      <c r="BTQ23" s="338"/>
      <c r="BTR23" s="338"/>
      <c r="BTS23" s="338"/>
      <c r="BTT23" s="338"/>
      <c r="BTU23" s="338"/>
      <c r="BTV23" s="338"/>
      <c r="BTW23" s="338"/>
      <c r="BTX23" s="338"/>
      <c r="BTY23" s="338"/>
      <c r="BTZ23" s="338"/>
      <c r="BUA23" s="338"/>
      <c r="BUB23" s="338"/>
      <c r="BUC23" s="338"/>
      <c r="BUD23" s="338"/>
      <c r="BUE23" s="338"/>
      <c r="BUF23" s="338"/>
      <c r="BUG23" s="338"/>
      <c r="BUH23" s="338"/>
      <c r="BUI23" s="338"/>
      <c r="BUJ23" s="338"/>
      <c r="BUK23" s="338"/>
      <c r="BUL23" s="338"/>
      <c r="BUM23" s="338"/>
      <c r="BUN23" s="338"/>
      <c r="BUO23" s="338"/>
      <c r="BUP23" s="338"/>
      <c r="BUQ23" s="338"/>
      <c r="BUR23" s="338"/>
      <c r="BUS23" s="338"/>
      <c r="BUT23" s="338"/>
      <c r="BUU23" s="338"/>
      <c r="BUV23" s="338"/>
      <c r="BUW23" s="338"/>
      <c r="BUX23" s="338"/>
      <c r="BUY23" s="338"/>
      <c r="BUZ23" s="338"/>
      <c r="BVA23" s="338"/>
      <c r="BVB23" s="338"/>
      <c r="BVC23" s="338"/>
      <c r="BVD23" s="338"/>
      <c r="BVE23" s="338"/>
      <c r="BVF23" s="338"/>
      <c r="BVG23" s="338"/>
      <c r="BVH23" s="338"/>
      <c r="BVI23" s="338"/>
      <c r="BVJ23" s="338"/>
      <c r="BVK23" s="338"/>
      <c r="BVL23" s="338"/>
      <c r="BVM23" s="338"/>
      <c r="BVN23" s="338"/>
      <c r="BVO23" s="338"/>
      <c r="BVP23" s="338"/>
      <c r="BVQ23" s="338"/>
      <c r="BVR23" s="338"/>
      <c r="BVS23" s="338"/>
      <c r="BVT23" s="338"/>
      <c r="BVU23" s="338"/>
      <c r="BVV23" s="338"/>
      <c r="BVW23" s="338"/>
      <c r="BVX23" s="338"/>
      <c r="BVY23" s="338"/>
      <c r="BVZ23" s="338"/>
      <c r="BWA23" s="338"/>
      <c r="BWB23" s="338"/>
      <c r="BWC23" s="338"/>
      <c r="BWD23" s="338"/>
      <c r="BWE23" s="338"/>
      <c r="BWF23" s="338"/>
      <c r="BWG23" s="338"/>
      <c r="BWH23" s="338"/>
      <c r="BWI23" s="338"/>
      <c r="BWJ23" s="338"/>
      <c r="BWK23" s="338"/>
      <c r="BWL23" s="338"/>
      <c r="BWM23" s="338"/>
      <c r="BWN23" s="338"/>
      <c r="BWO23" s="338"/>
      <c r="BWP23" s="338"/>
      <c r="BWQ23" s="338"/>
      <c r="BWR23" s="338"/>
      <c r="BWS23" s="338"/>
      <c r="BWT23" s="338"/>
      <c r="BWU23" s="338"/>
      <c r="BWV23" s="338"/>
      <c r="BWW23" s="338"/>
      <c r="BWX23" s="338"/>
      <c r="BWY23" s="338"/>
      <c r="BWZ23" s="338"/>
      <c r="BXA23" s="338"/>
      <c r="BXB23" s="338"/>
      <c r="BXC23" s="338"/>
      <c r="BXD23" s="338"/>
      <c r="BXE23" s="338"/>
      <c r="BXF23" s="338"/>
      <c r="BXG23" s="338"/>
      <c r="BXH23" s="338"/>
      <c r="BXI23" s="338"/>
      <c r="BXJ23" s="338"/>
      <c r="BXK23" s="338"/>
      <c r="BXL23" s="338"/>
      <c r="BXM23" s="338"/>
      <c r="BXN23" s="338"/>
      <c r="BXO23" s="338"/>
      <c r="BXP23" s="338"/>
      <c r="BXQ23" s="338"/>
      <c r="BXR23" s="338"/>
      <c r="BXS23" s="338"/>
      <c r="BXT23" s="338"/>
      <c r="BXU23" s="338"/>
      <c r="BXV23" s="338"/>
      <c r="BXW23" s="338"/>
      <c r="BXX23" s="338"/>
      <c r="BXY23" s="338"/>
      <c r="BXZ23" s="338"/>
      <c r="BYA23" s="338"/>
      <c r="BYB23" s="338"/>
      <c r="BYC23" s="338"/>
      <c r="BYD23" s="338"/>
      <c r="BYE23" s="338"/>
      <c r="BYF23" s="338"/>
      <c r="BYG23" s="338"/>
      <c r="BYH23" s="338"/>
      <c r="BYI23" s="338"/>
      <c r="BYJ23" s="338"/>
      <c r="BYK23" s="338"/>
      <c r="BYL23" s="338"/>
      <c r="BYM23" s="338"/>
      <c r="BYN23" s="338"/>
      <c r="BYO23" s="338"/>
      <c r="BYP23" s="338"/>
      <c r="BYQ23" s="338"/>
      <c r="BYR23" s="338"/>
      <c r="BYS23" s="338"/>
      <c r="BYT23" s="338"/>
      <c r="BYU23" s="338"/>
      <c r="BYV23" s="338"/>
      <c r="BYW23" s="338"/>
      <c r="BYX23" s="338"/>
      <c r="BYY23" s="338"/>
      <c r="BYZ23" s="338"/>
      <c r="BZA23" s="338"/>
      <c r="BZB23" s="338"/>
      <c r="BZC23" s="338"/>
      <c r="BZD23" s="338"/>
      <c r="BZE23" s="338"/>
      <c r="BZF23" s="338"/>
      <c r="BZG23" s="338"/>
      <c r="BZH23" s="338"/>
      <c r="BZI23" s="338"/>
      <c r="BZJ23" s="338"/>
      <c r="BZK23" s="338"/>
      <c r="BZL23" s="338"/>
      <c r="BZM23" s="338"/>
      <c r="BZN23" s="338"/>
      <c r="BZO23" s="338"/>
      <c r="BZP23" s="338"/>
      <c r="BZQ23" s="338"/>
      <c r="BZR23" s="338"/>
      <c r="BZS23" s="338"/>
      <c r="BZT23" s="338"/>
      <c r="BZU23" s="338"/>
      <c r="BZV23" s="338"/>
      <c r="BZW23" s="338"/>
      <c r="BZX23" s="338"/>
      <c r="BZY23" s="338"/>
      <c r="BZZ23" s="338"/>
      <c r="CAA23" s="338"/>
      <c r="CAB23" s="338"/>
      <c r="CAC23" s="338"/>
      <c r="CAD23" s="338"/>
      <c r="CAE23" s="338"/>
      <c r="CAF23" s="338"/>
      <c r="CAG23" s="338"/>
      <c r="CAH23" s="338"/>
      <c r="CAI23" s="338"/>
      <c r="CAJ23" s="338"/>
      <c r="CAK23" s="338"/>
      <c r="CAL23" s="338"/>
      <c r="CAM23" s="338"/>
      <c r="CAN23" s="338"/>
      <c r="CAO23" s="338"/>
      <c r="CAP23" s="338"/>
      <c r="CAQ23" s="338"/>
      <c r="CAR23" s="338"/>
      <c r="CAS23" s="338"/>
      <c r="CAT23" s="338"/>
      <c r="CAU23" s="338"/>
      <c r="CAV23" s="338"/>
      <c r="CAW23" s="338"/>
      <c r="CAX23" s="338"/>
      <c r="CAY23" s="338"/>
      <c r="CAZ23" s="338"/>
      <c r="CBA23" s="338"/>
      <c r="CBB23" s="338"/>
      <c r="CBC23" s="338"/>
      <c r="CBD23" s="338"/>
      <c r="CBE23" s="338"/>
      <c r="CBF23" s="338"/>
      <c r="CBG23" s="338"/>
      <c r="CBH23" s="338"/>
      <c r="CBI23" s="338"/>
      <c r="CBJ23" s="338"/>
      <c r="CBK23" s="338"/>
      <c r="CBL23" s="338"/>
      <c r="CBM23" s="338"/>
      <c r="CBN23" s="338"/>
      <c r="CBO23" s="338"/>
      <c r="CBP23" s="338"/>
      <c r="CBQ23" s="338"/>
      <c r="CBR23" s="338"/>
      <c r="CBS23" s="338"/>
      <c r="CBT23" s="338"/>
      <c r="CBU23" s="338"/>
      <c r="CBV23" s="338"/>
      <c r="CBW23" s="338"/>
      <c r="CBX23" s="338"/>
      <c r="CBY23" s="338"/>
      <c r="CBZ23" s="338"/>
      <c r="CCA23" s="338"/>
      <c r="CCB23" s="338"/>
      <c r="CCC23" s="338"/>
      <c r="CCD23" s="338"/>
      <c r="CCE23" s="338"/>
      <c r="CCF23" s="338"/>
      <c r="CCG23" s="338"/>
      <c r="CCH23" s="338"/>
      <c r="CCI23" s="338"/>
      <c r="CCJ23" s="338"/>
      <c r="CCK23" s="338"/>
      <c r="CCL23" s="338"/>
      <c r="CCM23" s="338"/>
      <c r="CCN23" s="338"/>
      <c r="CCO23" s="338"/>
      <c r="CCP23" s="338"/>
      <c r="CCQ23" s="338"/>
      <c r="CCR23" s="338"/>
      <c r="CCS23" s="338"/>
      <c r="CCT23" s="338"/>
      <c r="CCU23" s="338"/>
      <c r="CCV23" s="338"/>
      <c r="CCW23" s="338"/>
      <c r="CCX23" s="338"/>
      <c r="CCY23" s="338"/>
      <c r="CCZ23" s="338"/>
      <c r="CDA23" s="338"/>
      <c r="CDB23" s="338"/>
      <c r="CDC23" s="338"/>
      <c r="CDD23" s="338"/>
      <c r="CDE23" s="338"/>
      <c r="CDF23" s="338"/>
      <c r="CDG23" s="338"/>
      <c r="CDH23" s="338"/>
      <c r="CDI23" s="338"/>
      <c r="CDJ23" s="338"/>
      <c r="CDK23" s="338"/>
      <c r="CDL23" s="338"/>
      <c r="CDM23" s="338"/>
      <c r="CDN23" s="338"/>
      <c r="CDO23" s="338"/>
      <c r="CDP23" s="338"/>
      <c r="CDQ23" s="338"/>
      <c r="CDR23" s="338"/>
      <c r="CDS23" s="338"/>
      <c r="CDT23" s="338"/>
      <c r="CDU23" s="338"/>
      <c r="CDV23" s="338"/>
      <c r="CDW23" s="338"/>
      <c r="CDX23" s="338"/>
      <c r="CDY23" s="338"/>
      <c r="CDZ23" s="338"/>
      <c r="CEA23" s="338"/>
      <c r="CEB23" s="338"/>
      <c r="CEC23" s="338"/>
      <c r="CED23" s="338"/>
      <c r="CEE23" s="338"/>
      <c r="CEF23" s="338"/>
      <c r="CEG23" s="338"/>
      <c r="CEH23" s="338"/>
      <c r="CEI23" s="338"/>
      <c r="CEJ23" s="338"/>
      <c r="CEK23" s="338"/>
      <c r="CEL23" s="338"/>
      <c r="CEM23" s="338"/>
      <c r="CEN23" s="338"/>
      <c r="CEO23" s="338"/>
      <c r="CEP23" s="338"/>
      <c r="CEQ23" s="338"/>
      <c r="CER23" s="338"/>
      <c r="CES23" s="338"/>
      <c r="CET23" s="338"/>
      <c r="CEU23" s="338"/>
      <c r="CEV23" s="338"/>
      <c r="CEW23" s="338"/>
      <c r="CEX23" s="338"/>
      <c r="CEY23" s="338"/>
      <c r="CEZ23" s="338"/>
      <c r="CFA23" s="338"/>
      <c r="CFB23" s="338"/>
      <c r="CFC23" s="338"/>
      <c r="CFD23" s="338"/>
      <c r="CFE23" s="338"/>
      <c r="CFF23" s="338"/>
      <c r="CFG23" s="338"/>
      <c r="CFH23" s="338"/>
      <c r="CFI23" s="338"/>
      <c r="CFJ23" s="338"/>
      <c r="CFK23" s="338"/>
      <c r="CFL23" s="338"/>
      <c r="CFM23" s="338"/>
      <c r="CFN23" s="338"/>
      <c r="CFO23" s="338"/>
      <c r="CFP23" s="338"/>
      <c r="CFQ23" s="338"/>
      <c r="CFR23" s="338"/>
      <c r="CFS23" s="338"/>
      <c r="CFT23" s="338"/>
      <c r="CFU23" s="338"/>
      <c r="CFV23" s="338"/>
      <c r="CFW23" s="338"/>
      <c r="CFX23" s="338"/>
      <c r="CFY23" s="338"/>
      <c r="CFZ23" s="338"/>
      <c r="CGA23" s="338"/>
      <c r="CGB23" s="338"/>
      <c r="CGC23" s="338"/>
      <c r="CGD23" s="338"/>
      <c r="CGE23" s="338"/>
      <c r="CGF23" s="338"/>
      <c r="CGG23" s="338"/>
      <c r="CGH23" s="338"/>
      <c r="CGI23" s="338"/>
      <c r="CGJ23" s="338"/>
      <c r="CGK23" s="338"/>
      <c r="CGL23" s="338"/>
      <c r="CGM23" s="338"/>
      <c r="CGN23" s="338"/>
      <c r="CGO23" s="338"/>
      <c r="CGP23" s="338"/>
      <c r="CGQ23" s="338"/>
      <c r="CGR23" s="338"/>
      <c r="CGS23" s="338"/>
      <c r="CGT23" s="338"/>
      <c r="CGU23" s="338"/>
      <c r="CGV23" s="338"/>
      <c r="CGW23" s="338"/>
      <c r="CGX23" s="338"/>
      <c r="CGY23" s="338"/>
      <c r="CGZ23" s="338"/>
      <c r="CHA23" s="338"/>
      <c r="CHB23" s="338"/>
      <c r="CHC23" s="338"/>
      <c r="CHD23" s="338"/>
      <c r="CHE23" s="338"/>
      <c r="CHF23" s="338"/>
      <c r="CHG23" s="338"/>
      <c r="CHH23" s="338"/>
      <c r="CHI23" s="338"/>
      <c r="CHJ23" s="338"/>
      <c r="CHK23" s="338"/>
      <c r="CHL23" s="338"/>
      <c r="CHM23" s="338"/>
      <c r="CHN23" s="338"/>
      <c r="CHO23" s="338"/>
      <c r="CHP23" s="338"/>
      <c r="CHQ23" s="338"/>
      <c r="CHR23" s="338"/>
      <c r="CHS23" s="338"/>
      <c r="CHT23" s="338"/>
      <c r="CHU23" s="338"/>
      <c r="CHV23" s="338"/>
      <c r="CHW23" s="338"/>
      <c r="CHX23" s="338"/>
      <c r="CHY23" s="338"/>
      <c r="CHZ23" s="338"/>
      <c r="CIA23" s="338"/>
      <c r="CIB23" s="338"/>
      <c r="CIC23" s="338"/>
      <c r="CID23" s="338"/>
      <c r="CIE23" s="338"/>
      <c r="CIF23" s="338"/>
      <c r="CIG23" s="338"/>
      <c r="CIH23" s="338"/>
      <c r="CII23" s="338"/>
      <c r="CIJ23" s="338"/>
      <c r="CIK23" s="338"/>
      <c r="CIL23" s="338"/>
      <c r="CIM23" s="338"/>
      <c r="CIN23" s="338"/>
      <c r="CIO23" s="338"/>
      <c r="CIP23" s="338"/>
      <c r="CIQ23" s="338"/>
      <c r="CIR23" s="338"/>
      <c r="CIS23" s="338"/>
      <c r="CIT23" s="338"/>
      <c r="CIU23" s="338"/>
      <c r="CIV23" s="338"/>
      <c r="CIW23" s="338"/>
      <c r="CIX23" s="338"/>
      <c r="CIY23" s="338"/>
      <c r="CIZ23" s="338"/>
      <c r="CJA23" s="338"/>
      <c r="CJB23" s="338"/>
      <c r="CJC23" s="338"/>
      <c r="CJD23" s="338"/>
      <c r="CJE23" s="338"/>
      <c r="CJF23" s="338"/>
      <c r="CJG23" s="338"/>
      <c r="CJH23" s="338"/>
      <c r="CJI23" s="338"/>
      <c r="CJJ23" s="338"/>
      <c r="CJK23" s="338"/>
      <c r="CJL23" s="338"/>
      <c r="CJM23" s="338"/>
      <c r="CJN23" s="338"/>
      <c r="CJO23" s="338"/>
      <c r="CJP23" s="338"/>
      <c r="CJQ23" s="338"/>
      <c r="CJR23" s="338"/>
      <c r="CJS23" s="338"/>
      <c r="CJT23" s="338"/>
      <c r="CJU23" s="338"/>
      <c r="CJV23" s="338"/>
      <c r="CJW23" s="338"/>
      <c r="CJX23" s="338"/>
      <c r="CJY23" s="338"/>
      <c r="CJZ23" s="338"/>
      <c r="CKA23" s="338"/>
      <c r="CKB23" s="338"/>
      <c r="CKC23" s="338"/>
      <c r="CKD23" s="338"/>
      <c r="CKE23" s="338"/>
      <c r="CKF23" s="338"/>
      <c r="CKG23" s="338"/>
      <c r="CKH23" s="338"/>
      <c r="CKI23" s="338"/>
      <c r="CKJ23" s="338"/>
      <c r="CKK23" s="338"/>
      <c r="CKL23" s="338"/>
      <c r="CKM23" s="338"/>
      <c r="CKN23" s="338"/>
      <c r="CKO23" s="338"/>
      <c r="CKP23" s="338"/>
      <c r="CKQ23" s="338"/>
      <c r="CKR23" s="338"/>
      <c r="CKS23" s="338"/>
      <c r="CKT23" s="338"/>
      <c r="CKU23" s="338"/>
      <c r="CKV23" s="338"/>
      <c r="CKW23" s="338"/>
      <c r="CKX23" s="338"/>
      <c r="CKY23" s="338"/>
      <c r="CKZ23" s="338"/>
      <c r="CLA23" s="338"/>
      <c r="CLB23" s="338"/>
      <c r="CLC23" s="338"/>
      <c r="CLD23" s="338"/>
      <c r="CLE23" s="338"/>
      <c r="CLF23" s="338"/>
      <c r="CLG23" s="338"/>
      <c r="CLH23" s="338"/>
      <c r="CLI23" s="338"/>
      <c r="CLJ23" s="338"/>
      <c r="CLK23" s="338"/>
      <c r="CLL23" s="338"/>
      <c r="CLM23" s="338"/>
      <c r="CLN23" s="338"/>
      <c r="CLO23" s="338"/>
      <c r="CLP23" s="338"/>
      <c r="CLQ23" s="338"/>
      <c r="CLR23" s="338"/>
      <c r="CLS23" s="338"/>
      <c r="CLT23" s="338"/>
      <c r="CLU23" s="338"/>
      <c r="CLV23" s="338"/>
      <c r="CLW23" s="338"/>
      <c r="CLX23" s="338"/>
      <c r="CLY23" s="338"/>
      <c r="CLZ23" s="338"/>
      <c r="CMA23" s="338"/>
      <c r="CMB23" s="338"/>
      <c r="CMC23" s="338"/>
      <c r="CMD23" s="338"/>
      <c r="CME23" s="338"/>
      <c r="CMF23" s="338"/>
      <c r="CMG23" s="338"/>
      <c r="CMH23" s="338"/>
      <c r="CMI23" s="338"/>
      <c r="CMJ23" s="338"/>
      <c r="CMK23" s="338"/>
      <c r="CML23" s="338"/>
      <c r="CMM23" s="338"/>
      <c r="CMN23" s="338"/>
      <c r="CMO23" s="338"/>
      <c r="CMP23" s="338"/>
      <c r="CMQ23" s="338"/>
      <c r="CMR23" s="338"/>
      <c r="CMS23" s="338"/>
      <c r="CMT23" s="338"/>
      <c r="CMU23" s="338"/>
      <c r="CMV23" s="338"/>
      <c r="CMW23" s="338"/>
      <c r="CMX23" s="338"/>
      <c r="CMY23" s="338"/>
      <c r="CMZ23" s="338"/>
      <c r="CNA23" s="338"/>
      <c r="CNB23" s="338"/>
      <c r="CNC23" s="338"/>
      <c r="CND23" s="338"/>
      <c r="CNE23" s="338"/>
      <c r="CNF23" s="338"/>
      <c r="CNG23" s="338"/>
      <c r="CNH23" s="338"/>
      <c r="CNI23" s="338"/>
      <c r="CNJ23" s="338"/>
      <c r="CNK23" s="338"/>
      <c r="CNL23" s="338"/>
      <c r="CNM23" s="338"/>
      <c r="CNN23" s="338"/>
      <c r="CNO23" s="338"/>
      <c r="CNP23" s="338"/>
      <c r="CNQ23" s="338"/>
      <c r="CNR23" s="338"/>
      <c r="CNS23" s="338"/>
      <c r="CNT23" s="338"/>
      <c r="CNU23" s="338"/>
      <c r="CNV23" s="338"/>
      <c r="CNW23" s="338"/>
      <c r="CNX23" s="338"/>
      <c r="CNY23" s="338"/>
      <c r="CNZ23" s="338"/>
      <c r="COA23" s="338"/>
      <c r="COB23" s="338"/>
      <c r="COC23" s="338"/>
      <c r="COD23" s="338"/>
      <c r="COE23" s="338"/>
      <c r="COF23" s="338"/>
      <c r="COG23" s="338"/>
      <c r="COH23" s="338"/>
      <c r="COI23" s="338"/>
      <c r="COJ23" s="338"/>
      <c r="COK23" s="338"/>
      <c r="COL23" s="338"/>
      <c r="COM23" s="338"/>
      <c r="CON23" s="338"/>
      <c r="COO23" s="338"/>
      <c r="COP23" s="338"/>
      <c r="COQ23" s="338"/>
      <c r="COR23" s="338"/>
      <c r="COS23" s="338"/>
      <c r="COT23" s="338"/>
      <c r="COU23" s="338"/>
      <c r="COV23" s="338"/>
      <c r="COW23" s="338"/>
      <c r="COX23" s="338"/>
      <c r="COY23" s="338"/>
      <c r="COZ23" s="338"/>
      <c r="CPA23" s="338"/>
      <c r="CPB23" s="338"/>
      <c r="CPC23" s="338"/>
      <c r="CPD23" s="338"/>
      <c r="CPE23" s="338"/>
      <c r="CPF23" s="338"/>
      <c r="CPG23" s="338"/>
      <c r="CPH23" s="338"/>
      <c r="CPI23" s="338"/>
      <c r="CPJ23" s="338"/>
      <c r="CPK23" s="338"/>
      <c r="CPL23" s="338"/>
      <c r="CPM23" s="338"/>
      <c r="CPN23" s="338"/>
      <c r="CPO23" s="338"/>
      <c r="CPP23" s="338"/>
      <c r="CPQ23" s="338"/>
      <c r="CPR23" s="338"/>
      <c r="CPS23" s="338"/>
      <c r="CPT23" s="338"/>
      <c r="CPU23" s="338"/>
      <c r="CPV23" s="338"/>
      <c r="CPW23" s="338"/>
      <c r="CPX23" s="338"/>
      <c r="CPY23" s="338"/>
      <c r="CPZ23" s="338"/>
      <c r="CQA23" s="338"/>
      <c r="CQB23" s="338"/>
      <c r="CQC23" s="338"/>
      <c r="CQD23" s="338"/>
      <c r="CQE23" s="338"/>
      <c r="CQF23" s="338"/>
      <c r="CQG23" s="338"/>
      <c r="CQH23" s="338"/>
      <c r="CQI23" s="338"/>
      <c r="CQJ23" s="338"/>
      <c r="CQK23" s="338"/>
      <c r="CQL23" s="338"/>
      <c r="CQM23" s="338"/>
      <c r="CQN23" s="338"/>
      <c r="CQO23" s="338"/>
      <c r="CQP23" s="338"/>
      <c r="CQQ23" s="338"/>
      <c r="CQR23" s="338"/>
      <c r="CQS23" s="338"/>
      <c r="CQT23" s="338"/>
      <c r="CQU23" s="338"/>
      <c r="CQV23" s="338"/>
      <c r="CQW23" s="338"/>
      <c r="CQX23" s="338"/>
      <c r="CQY23" s="338"/>
      <c r="CQZ23" s="338"/>
      <c r="CRA23" s="338"/>
      <c r="CRB23" s="338"/>
      <c r="CRC23" s="338"/>
      <c r="CRD23" s="338"/>
      <c r="CRE23" s="338"/>
      <c r="CRF23" s="338"/>
      <c r="CRG23" s="338"/>
      <c r="CRH23" s="338"/>
      <c r="CRI23" s="338"/>
      <c r="CRJ23" s="338"/>
      <c r="CRK23" s="338"/>
      <c r="CRL23" s="338"/>
      <c r="CRM23" s="338"/>
      <c r="CRN23" s="338"/>
      <c r="CRO23" s="338"/>
      <c r="CRP23" s="338"/>
      <c r="CRQ23" s="338"/>
      <c r="CRR23" s="338"/>
      <c r="CRS23" s="338"/>
      <c r="CRT23" s="338"/>
      <c r="CRU23" s="338"/>
      <c r="CRV23" s="338"/>
      <c r="CRW23" s="338"/>
      <c r="CRX23" s="338"/>
      <c r="CRY23" s="338"/>
      <c r="CRZ23" s="338"/>
      <c r="CSA23" s="338"/>
      <c r="CSB23" s="338"/>
      <c r="CSC23" s="338"/>
      <c r="CSD23" s="338"/>
      <c r="CSE23" s="338"/>
      <c r="CSF23" s="338"/>
      <c r="CSG23" s="338"/>
      <c r="CSH23" s="338"/>
      <c r="CSI23" s="338"/>
      <c r="CSJ23" s="338"/>
      <c r="CSK23" s="338"/>
      <c r="CSL23" s="338"/>
      <c r="CSM23" s="338"/>
      <c r="CSN23" s="338"/>
      <c r="CSO23" s="338"/>
      <c r="CSP23" s="338"/>
      <c r="CSQ23" s="338"/>
      <c r="CSR23" s="338"/>
      <c r="CSS23" s="338"/>
      <c r="CST23" s="338"/>
      <c r="CSU23" s="338"/>
      <c r="CSV23" s="338"/>
      <c r="CSW23" s="338"/>
      <c r="CSX23" s="338"/>
      <c r="CSY23" s="338"/>
      <c r="CSZ23" s="338"/>
      <c r="CTA23" s="338"/>
      <c r="CTB23" s="338"/>
      <c r="CTC23" s="338"/>
      <c r="CTD23" s="338"/>
      <c r="CTE23" s="338"/>
      <c r="CTF23" s="338"/>
      <c r="CTG23" s="338"/>
      <c r="CTH23" s="338"/>
      <c r="CTI23" s="338"/>
      <c r="CTJ23" s="338"/>
      <c r="CTK23" s="338"/>
      <c r="CTL23" s="338"/>
      <c r="CTM23" s="338"/>
      <c r="CTN23" s="338"/>
      <c r="CTO23" s="338"/>
      <c r="CTP23" s="338"/>
      <c r="CTQ23" s="338"/>
      <c r="CTR23" s="338"/>
      <c r="CTS23" s="338"/>
      <c r="CTT23" s="338"/>
      <c r="CTU23" s="338"/>
      <c r="CTV23" s="338"/>
      <c r="CTW23" s="338"/>
      <c r="CTX23" s="338"/>
      <c r="CTY23" s="338"/>
      <c r="CTZ23" s="338"/>
      <c r="CUA23" s="338"/>
      <c r="CUB23" s="338"/>
      <c r="CUC23" s="338"/>
      <c r="CUD23" s="338"/>
      <c r="CUE23" s="338"/>
      <c r="CUF23" s="338"/>
      <c r="CUG23" s="338"/>
      <c r="CUH23" s="338"/>
      <c r="CUI23" s="338"/>
      <c r="CUJ23" s="338"/>
      <c r="CUK23" s="338"/>
      <c r="CUL23" s="338"/>
      <c r="CUM23" s="338"/>
      <c r="CUN23" s="338"/>
      <c r="CUO23" s="338"/>
      <c r="CUP23" s="338"/>
      <c r="CUQ23" s="338"/>
      <c r="CUR23" s="338"/>
      <c r="CUS23" s="338"/>
      <c r="CUT23" s="338"/>
      <c r="CUU23" s="338"/>
      <c r="CUV23" s="338"/>
      <c r="CUW23" s="338"/>
      <c r="CUX23" s="338"/>
      <c r="CUY23" s="338"/>
      <c r="CUZ23" s="338"/>
      <c r="CVA23" s="338"/>
      <c r="CVB23" s="338"/>
      <c r="CVC23" s="338"/>
      <c r="CVD23" s="338"/>
      <c r="CVE23" s="338"/>
      <c r="CVF23" s="338"/>
      <c r="CVG23" s="338"/>
      <c r="CVH23" s="338"/>
      <c r="CVI23" s="338"/>
      <c r="CVJ23" s="338"/>
      <c r="CVK23" s="338"/>
      <c r="CVL23" s="338"/>
      <c r="CVM23" s="338"/>
      <c r="CVN23" s="338"/>
      <c r="CVO23" s="338"/>
      <c r="CVP23" s="338"/>
      <c r="CVQ23" s="338"/>
      <c r="CVR23" s="338"/>
      <c r="CVS23" s="338"/>
      <c r="CVT23" s="338"/>
      <c r="CVU23" s="338"/>
      <c r="CVV23" s="338"/>
      <c r="CVW23" s="338"/>
      <c r="CVX23" s="338"/>
      <c r="CVY23" s="338"/>
      <c r="CVZ23" s="338"/>
      <c r="CWA23" s="338"/>
      <c r="CWB23" s="338"/>
      <c r="CWC23" s="338"/>
      <c r="CWD23" s="338"/>
      <c r="CWE23" s="338"/>
      <c r="CWF23" s="338"/>
      <c r="CWG23" s="338"/>
      <c r="CWH23" s="338"/>
      <c r="CWI23" s="338"/>
      <c r="CWJ23" s="338"/>
      <c r="CWK23" s="338"/>
      <c r="CWL23" s="338"/>
      <c r="CWM23" s="338"/>
      <c r="CWN23" s="338"/>
      <c r="CWO23" s="338"/>
      <c r="CWP23" s="338"/>
      <c r="CWQ23" s="338"/>
      <c r="CWR23" s="338"/>
      <c r="CWS23" s="338"/>
      <c r="CWT23" s="338"/>
      <c r="CWU23" s="338"/>
      <c r="CWV23" s="338"/>
      <c r="CWW23" s="338"/>
      <c r="CWX23" s="338"/>
      <c r="CWY23" s="338"/>
      <c r="CWZ23" s="338"/>
      <c r="CXA23" s="338"/>
      <c r="CXB23" s="338"/>
      <c r="CXC23" s="338"/>
      <c r="CXD23" s="338"/>
      <c r="CXE23" s="338"/>
      <c r="CXF23" s="338"/>
      <c r="CXG23" s="338"/>
      <c r="CXH23" s="338"/>
      <c r="CXI23" s="338"/>
      <c r="CXJ23" s="338"/>
      <c r="CXK23" s="338"/>
      <c r="CXL23" s="338"/>
      <c r="CXM23" s="338"/>
      <c r="CXN23" s="338"/>
      <c r="CXO23" s="338"/>
      <c r="CXP23" s="338"/>
      <c r="CXQ23" s="338"/>
      <c r="CXR23" s="338"/>
      <c r="CXS23" s="338"/>
      <c r="CXT23" s="338"/>
      <c r="CXU23" s="338"/>
      <c r="CXV23" s="338"/>
      <c r="CXW23" s="338"/>
      <c r="CXX23" s="338"/>
      <c r="CXY23" s="338"/>
      <c r="CXZ23" s="338"/>
      <c r="CYA23" s="338"/>
      <c r="CYB23" s="338"/>
      <c r="CYC23" s="338"/>
      <c r="CYD23" s="338"/>
      <c r="CYE23" s="338"/>
      <c r="CYF23" s="338"/>
      <c r="CYG23" s="338"/>
      <c r="CYH23" s="338"/>
      <c r="CYI23" s="338"/>
      <c r="CYJ23" s="338"/>
      <c r="CYK23" s="338"/>
      <c r="CYL23" s="338"/>
      <c r="CYM23" s="338"/>
      <c r="CYN23" s="338"/>
      <c r="CYO23" s="338"/>
      <c r="CYP23" s="338"/>
      <c r="CYQ23" s="338"/>
      <c r="CYR23" s="338"/>
      <c r="CYS23" s="338"/>
      <c r="CYT23" s="338"/>
      <c r="CYU23" s="338"/>
      <c r="CYV23" s="338"/>
      <c r="CYW23" s="338"/>
      <c r="CYX23" s="338"/>
      <c r="CYY23" s="338"/>
      <c r="CYZ23" s="338"/>
      <c r="CZA23" s="338"/>
      <c r="CZB23" s="338"/>
      <c r="CZC23" s="338"/>
      <c r="CZD23" s="338"/>
      <c r="CZE23" s="338"/>
      <c r="CZF23" s="338"/>
      <c r="CZG23" s="338"/>
      <c r="CZH23" s="338"/>
      <c r="CZI23" s="338"/>
      <c r="CZJ23" s="338"/>
      <c r="CZK23" s="338"/>
      <c r="CZL23" s="338"/>
      <c r="CZM23" s="338"/>
      <c r="CZN23" s="338"/>
      <c r="CZO23" s="338"/>
      <c r="CZP23" s="338"/>
      <c r="CZQ23" s="338"/>
      <c r="CZR23" s="338"/>
      <c r="CZS23" s="338"/>
      <c r="CZT23" s="338"/>
      <c r="CZU23" s="338"/>
      <c r="CZV23" s="338"/>
      <c r="CZW23" s="338"/>
      <c r="CZX23" s="338"/>
      <c r="CZY23" s="338"/>
      <c r="CZZ23" s="338"/>
      <c r="DAA23" s="338"/>
      <c r="DAB23" s="338"/>
      <c r="DAC23" s="338"/>
      <c r="DAD23" s="338"/>
      <c r="DAE23" s="338"/>
      <c r="DAF23" s="338"/>
      <c r="DAG23" s="338"/>
      <c r="DAH23" s="338"/>
      <c r="DAI23" s="338"/>
      <c r="DAJ23" s="338"/>
      <c r="DAK23" s="338"/>
      <c r="DAL23" s="338"/>
      <c r="DAM23" s="338"/>
      <c r="DAN23" s="338"/>
      <c r="DAO23" s="338"/>
      <c r="DAP23" s="338"/>
      <c r="DAQ23" s="338"/>
      <c r="DAR23" s="338"/>
      <c r="DAS23" s="338"/>
      <c r="DAT23" s="338"/>
      <c r="DAU23" s="338"/>
      <c r="DAV23" s="338"/>
      <c r="DAW23" s="338"/>
      <c r="DAX23" s="338"/>
      <c r="DAY23" s="338"/>
      <c r="DAZ23" s="338"/>
      <c r="DBA23" s="338"/>
      <c r="DBB23" s="338"/>
      <c r="DBC23" s="338"/>
      <c r="DBD23" s="338"/>
      <c r="DBE23" s="338"/>
      <c r="DBF23" s="338"/>
      <c r="DBG23" s="338"/>
      <c r="DBH23" s="338"/>
      <c r="DBI23" s="338"/>
      <c r="DBJ23" s="338"/>
      <c r="DBK23" s="338"/>
      <c r="DBL23" s="338"/>
      <c r="DBM23" s="338"/>
      <c r="DBN23" s="338"/>
      <c r="DBO23" s="338"/>
      <c r="DBP23" s="338"/>
      <c r="DBQ23" s="338"/>
      <c r="DBR23" s="338"/>
      <c r="DBS23" s="338"/>
      <c r="DBT23" s="338"/>
      <c r="DBU23" s="338"/>
      <c r="DBV23" s="338"/>
      <c r="DBW23" s="338"/>
      <c r="DBX23" s="338"/>
      <c r="DBY23" s="338"/>
      <c r="DBZ23" s="338"/>
      <c r="DCA23" s="338"/>
      <c r="DCB23" s="338"/>
      <c r="DCC23" s="338"/>
      <c r="DCD23" s="338"/>
      <c r="DCE23" s="338"/>
      <c r="DCF23" s="338"/>
      <c r="DCG23" s="338"/>
      <c r="DCH23" s="338"/>
      <c r="DCI23" s="338"/>
      <c r="DCJ23" s="338"/>
      <c r="DCK23" s="338"/>
      <c r="DCL23" s="338"/>
      <c r="DCM23" s="338"/>
      <c r="DCN23" s="338"/>
      <c r="DCO23" s="338"/>
      <c r="DCP23" s="338"/>
      <c r="DCQ23" s="338"/>
      <c r="DCR23" s="338"/>
      <c r="DCS23" s="338"/>
      <c r="DCT23" s="338"/>
      <c r="DCU23" s="338"/>
      <c r="DCV23" s="338"/>
      <c r="DCW23" s="338"/>
      <c r="DCX23" s="338"/>
      <c r="DCY23" s="338"/>
      <c r="DCZ23" s="338"/>
      <c r="DDA23" s="338"/>
      <c r="DDB23" s="338"/>
      <c r="DDC23" s="338"/>
      <c r="DDD23" s="338"/>
      <c r="DDE23" s="338"/>
      <c r="DDF23" s="338"/>
      <c r="DDG23" s="338"/>
      <c r="DDH23" s="338"/>
      <c r="DDI23" s="338"/>
      <c r="DDJ23" s="338"/>
      <c r="DDK23" s="338"/>
      <c r="DDL23" s="338"/>
      <c r="DDM23" s="338"/>
      <c r="DDN23" s="338"/>
      <c r="DDO23" s="338"/>
      <c r="DDP23" s="338"/>
      <c r="DDQ23" s="338"/>
      <c r="DDR23" s="338"/>
      <c r="DDS23" s="338"/>
      <c r="DDT23" s="338"/>
      <c r="DDU23" s="338"/>
      <c r="DDV23" s="338"/>
      <c r="DDW23" s="338"/>
      <c r="DDX23" s="338"/>
      <c r="DDY23" s="338"/>
      <c r="DDZ23" s="338"/>
      <c r="DEA23" s="338"/>
      <c r="DEB23" s="338"/>
      <c r="DEC23" s="338"/>
      <c r="DED23" s="338"/>
      <c r="DEE23" s="338"/>
      <c r="DEF23" s="338"/>
      <c r="DEG23" s="338"/>
      <c r="DEH23" s="338"/>
      <c r="DEI23" s="338"/>
      <c r="DEJ23" s="338"/>
      <c r="DEK23" s="338"/>
      <c r="DEL23" s="338"/>
      <c r="DEM23" s="338"/>
      <c r="DEN23" s="338"/>
      <c r="DEO23" s="338"/>
      <c r="DEP23" s="338"/>
      <c r="DEQ23" s="338"/>
      <c r="DER23" s="338"/>
      <c r="DES23" s="338"/>
      <c r="DET23" s="338"/>
      <c r="DEU23" s="338"/>
      <c r="DEV23" s="338"/>
      <c r="DEW23" s="338"/>
      <c r="DEX23" s="338"/>
      <c r="DEY23" s="338"/>
      <c r="DEZ23" s="338"/>
      <c r="DFA23" s="338"/>
      <c r="DFB23" s="338"/>
      <c r="DFC23" s="338"/>
      <c r="DFD23" s="338"/>
      <c r="DFE23" s="338"/>
      <c r="DFF23" s="338"/>
      <c r="DFG23" s="338"/>
      <c r="DFH23" s="338"/>
      <c r="DFI23" s="338"/>
      <c r="DFJ23" s="338"/>
      <c r="DFK23" s="338"/>
      <c r="DFL23" s="338"/>
      <c r="DFM23" s="338"/>
      <c r="DFN23" s="338"/>
      <c r="DFO23" s="338"/>
      <c r="DFP23" s="338"/>
      <c r="DFQ23" s="338"/>
      <c r="DFR23" s="338"/>
      <c r="DFS23" s="338"/>
      <c r="DFT23" s="338"/>
      <c r="DFU23" s="338"/>
      <c r="DFV23" s="338"/>
      <c r="DFW23" s="338"/>
      <c r="DFX23" s="338"/>
      <c r="DFY23" s="338"/>
      <c r="DFZ23" s="338"/>
      <c r="DGA23" s="338"/>
      <c r="DGB23" s="338"/>
      <c r="DGC23" s="338"/>
      <c r="DGD23" s="338"/>
      <c r="DGE23" s="338"/>
      <c r="DGF23" s="338"/>
      <c r="DGG23" s="338"/>
      <c r="DGH23" s="338"/>
      <c r="DGI23" s="338"/>
      <c r="DGJ23" s="338"/>
      <c r="DGK23" s="338"/>
      <c r="DGL23" s="338"/>
      <c r="DGM23" s="338"/>
      <c r="DGN23" s="338"/>
      <c r="DGO23" s="338"/>
      <c r="DGP23" s="338"/>
      <c r="DGQ23" s="338"/>
      <c r="DGR23" s="338"/>
      <c r="DGS23" s="338"/>
      <c r="DGT23" s="338"/>
      <c r="DGU23" s="338"/>
      <c r="DGV23" s="338"/>
      <c r="DGW23" s="338"/>
      <c r="DGX23" s="338"/>
      <c r="DGY23" s="338"/>
      <c r="DGZ23" s="338"/>
      <c r="DHA23" s="338"/>
      <c r="DHB23" s="338"/>
      <c r="DHC23" s="338"/>
      <c r="DHD23" s="338"/>
      <c r="DHE23" s="338"/>
      <c r="DHF23" s="338"/>
      <c r="DHG23" s="338"/>
      <c r="DHH23" s="338"/>
      <c r="DHI23" s="338"/>
      <c r="DHJ23" s="338"/>
      <c r="DHK23" s="338"/>
      <c r="DHL23" s="338"/>
      <c r="DHM23" s="338"/>
      <c r="DHN23" s="338"/>
      <c r="DHO23" s="338"/>
      <c r="DHP23" s="338"/>
      <c r="DHQ23" s="338"/>
      <c r="DHR23" s="338"/>
      <c r="DHS23" s="338"/>
      <c r="DHT23" s="338"/>
      <c r="DHU23" s="338"/>
      <c r="DHV23" s="338"/>
      <c r="DHW23" s="338"/>
      <c r="DHX23" s="338"/>
      <c r="DHY23" s="338"/>
      <c r="DHZ23" s="338"/>
      <c r="DIA23" s="338"/>
      <c r="DIB23" s="338"/>
      <c r="DIC23" s="338"/>
      <c r="DID23" s="338"/>
      <c r="DIE23" s="338"/>
      <c r="DIF23" s="338"/>
      <c r="DIG23" s="338"/>
      <c r="DIH23" s="338"/>
      <c r="DII23" s="338"/>
      <c r="DIJ23" s="338"/>
      <c r="DIK23" s="338"/>
      <c r="DIL23" s="338"/>
      <c r="DIM23" s="338"/>
      <c r="DIN23" s="338"/>
      <c r="DIO23" s="338"/>
      <c r="DIP23" s="338"/>
      <c r="DIQ23" s="338"/>
      <c r="DIR23" s="338"/>
      <c r="DIS23" s="338"/>
      <c r="DIT23" s="338"/>
      <c r="DIU23" s="338"/>
      <c r="DIV23" s="338"/>
      <c r="DIW23" s="338"/>
      <c r="DIX23" s="338"/>
      <c r="DIY23" s="338"/>
      <c r="DIZ23" s="338"/>
      <c r="DJA23" s="338"/>
      <c r="DJB23" s="338"/>
      <c r="DJC23" s="338"/>
      <c r="DJD23" s="338"/>
      <c r="DJE23" s="338"/>
      <c r="DJF23" s="338"/>
      <c r="DJG23" s="338"/>
      <c r="DJH23" s="338"/>
      <c r="DJI23" s="338"/>
      <c r="DJJ23" s="338"/>
      <c r="DJK23" s="338"/>
      <c r="DJL23" s="338"/>
      <c r="DJM23" s="338"/>
      <c r="DJN23" s="338"/>
      <c r="DJO23" s="338"/>
      <c r="DJP23" s="338"/>
      <c r="DJQ23" s="338"/>
      <c r="DJR23" s="338"/>
      <c r="DJS23" s="338"/>
      <c r="DJT23" s="338"/>
      <c r="DJU23" s="338"/>
      <c r="DJV23" s="338"/>
      <c r="DJW23" s="338"/>
      <c r="DJX23" s="338"/>
      <c r="DJY23" s="338"/>
      <c r="DJZ23" s="338"/>
      <c r="DKA23" s="338"/>
      <c r="DKB23" s="338"/>
      <c r="DKC23" s="338"/>
      <c r="DKD23" s="338"/>
      <c r="DKE23" s="338"/>
      <c r="DKF23" s="338"/>
      <c r="DKG23" s="338"/>
      <c r="DKH23" s="338"/>
      <c r="DKI23" s="338"/>
      <c r="DKJ23" s="338"/>
      <c r="DKK23" s="338"/>
      <c r="DKL23" s="338"/>
      <c r="DKM23" s="338"/>
      <c r="DKN23" s="338"/>
      <c r="DKO23" s="338"/>
      <c r="DKP23" s="338"/>
      <c r="DKQ23" s="338"/>
      <c r="DKR23" s="338"/>
      <c r="DKS23" s="338"/>
      <c r="DKT23" s="338"/>
      <c r="DKU23" s="338"/>
      <c r="DKV23" s="338"/>
      <c r="DKW23" s="338"/>
      <c r="DKX23" s="338"/>
      <c r="DKY23" s="338"/>
      <c r="DKZ23" s="338"/>
      <c r="DLA23" s="338"/>
      <c r="DLB23" s="338"/>
      <c r="DLC23" s="338"/>
      <c r="DLD23" s="338"/>
      <c r="DLE23" s="338"/>
      <c r="DLF23" s="338"/>
      <c r="DLG23" s="338"/>
      <c r="DLH23" s="338"/>
      <c r="DLI23" s="338"/>
      <c r="DLJ23" s="338"/>
      <c r="DLK23" s="338"/>
      <c r="DLL23" s="338"/>
      <c r="DLM23" s="338"/>
      <c r="DLN23" s="338"/>
      <c r="DLO23" s="338"/>
      <c r="DLP23" s="338"/>
      <c r="DLQ23" s="338"/>
      <c r="DLR23" s="338"/>
      <c r="DLS23" s="338"/>
      <c r="DLT23" s="338"/>
      <c r="DLU23" s="338"/>
      <c r="DLV23" s="338"/>
      <c r="DLW23" s="338"/>
      <c r="DLX23" s="338"/>
      <c r="DLY23" s="338"/>
      <c r="DLZ23" s="338"/>
      <c r="DMA23" s="338"/>
      <c r="DMB23" s="338"/>
      <c r="DMC23" s="338"/>
      <c r="DMD23" s="338"/>
      <c r="DME23" s="338"/>
      <c r="DMF23" s="338"/>
      <c r="DMG23" s="338"/>
      <c r="DMH23" s="338"/>
      <c r="DMI23" s="338"/>
      <c r="DMJ23" s="338"/>
      <c r="DMK23" s="338"/>
      <c r="DML23" s="338"/>
      <c r="DMM23" s="338"/>
      <c r="DMN23" s="338"/>
      <c r="DMO23" s="338"/>
      <c r="DMP23" s="338"/>
      <c r="DMQ23" s="338"/>
      <c r="DMR23" s="338"/>
      <c r="DMS23" s="338"/>
      <c r="DMT23" s="338"/>
      <c r="DMU23" s="338"/>
      <c r="DMV23" s="338"/>
      <c r="DMW23" s="338"/>
      <c r="DMX23" s="338"/>
      <c r="DMY23" s="338"/>
      <c r="DMZ23" s="338"/>
      <c r="DNA23" s="338"/>
      <c r="DNB23" s="338"/>
      <c r="DNC23" s="338"/>
      <c r="DND23" s="338"/>
      <c r="DNE23" s="338"/>
      <c r="DNF23" s="338"/>
      <c r="DNG23" s="338"/>
      <c r="DNH23" s="338"/>
      <c r="DNI23" s="338"/>
      <c r="DNJ23" s="338"/>
      <c r="DNK23" s="338"/>
      <c r="DNL23" s="338"/>
      <c r="DNM23" s="338"/>
      <c r="DNN23" s="338"/>
      <c r="DNO23" s="338"/>
      <c r="DNP23" s="338"/>
      <c r="DNQ23" s="338"/>
      <c r="DNR23" s="338"/>
      <c r="DNS23" s="338"/>
      <c r="DNT23" s="338"/>
      <c r="DNU23" s="338"/>
      <c r="DNV23" s="338"/>
      <c r="DNW23" s="338"/>
      <c r="DNX23" s="338"/>
      <c r="DNY23" s="338"/>
      <c r="DNZ23" s="338"/>
      <c r="DOA23" s="338"/>
      <c r="DOB23" s="338"/>
      <c r="DOC23" s="338"/>
      <c r="DOD23" s="338"/>
      <c r="DOE23" s="338"/>
      <c r="DOF23" s="338"/>
      <c r="DOG23" s="338"/>
      <c r="DOH23" s="338"/>
      <c r="DOI23" s="338"/>
      <c r="DOJ23" s="338"/>
      <c r="DOK23" s="338"/>
      <c r="DOL23" s="338"/>
      <c r="DOM23" s="338"/>
      <c r="DON23" s="338"/>
      <c r="DOO23" s="338"/>
      <c r="DOP23" s="338"/>
      <c r="DOQ23" s="338"/>
      <c r="DOR23" s="338"/>
      <c r="DOS23" s="338"/>
      <c r="DOT23" s="338"/>
      <c r="DOU23" s="338"/>
      <c r="DOV23" s="338"/>
      <c r="DOW23" s="338"/>
      <c r="DOX23" s="338"/>
      <c r="DOY23" s="338"/>
      <c r="DOZ23" s="338"/>
      <c r="DPA23" s="338"/>
      <c r="DPB23" s="338"/>
      <c r="DPC23" s="338"/>
      <c r="DPD23" s="338"/>
      <c r="DPE23" s="338"/>
      <c r="DPF23" s="338"/>
      <c r="DPG23" s="338"/>
      <c r="DPH23" s="338"/>
      <c r="DPI23" s="338"/>
      <c r="DPJ23" s="338"/>
      <c r="DPK23" s="338"/>
      <c r="DPL23" s="338"/>
      <c r="DPM23" s="338"/>
      <c r="DPN23" s="338"/>
      <c r="DPO23" s="338"/>
      <c r="DPP23" s="338"/>
      <c r="DPQ23" s="338"/>
      <c r="DPR23" s="338"/>
      <c r="DPS23" s="338"/>
      <c r="DPT23" s="338"/>
      <c r="DPU23" s="338"/>
      <c r="DPV23" s="338"/>
      <c r="DPW23" s="338"/>
      <c r="DPX23" s="338"/>
      <c r="DPY23" s="338"/>
      <c r="DPZ23" s="338"/>
      <c r="DQA23" s="338"/>
      <c r="DQB23" s="338"/>
      <c r="DQC23" s="338"/>
      <c r="DQD23" s="338"/>
      <c r="DQE23" s="338"/>
      <c r="DQF23" s="338"/>
      <c r="DQG23" s="338"/>
      <c r="DQH23" s="338"/>
      <c r="DQI23" s="338"/>
      <c r="DQJ23" s="338"/>
      <c r="DQK23" s="338"/>
      <c r="DQL23" s="338"/>
      <c r="DQM23" s="338"/>
      <c r="DQN23" s="338"/>
      <c r="DQO23" s="338"/>
      <c r="DQP23" s="338"/>
      <c r="DQQ23" s="338"/>
      <c r="DQR23" s="338"/>
      <c r="DQS23" s="338"/>
      <c r="DQT23" s="338"/>
      <c r="DQU23" s="338"/>
      <c r="DQV23" s="338"/>
      <c r="DQW23" s="338"/>
      <c r="DQX23" s="338"/>
      <c r="DQY23" s="338"/>
      <c r="DQZ23" s="338"/>
      <c r="DRA23" s="338"/>
      <c r="DRB23" s="338"/>
      <c r="DRC23" s="338"/>
      <c r="DRD23" s="338"/>
      <c r="DRE23" s="338"/>
      <c r="DRF23" s="338"/>
      <c r="DRG23" s="338"/>
      <c r="DRH23" s="338"/>
      <c r="DRI23" s="338"/>
      <c r="DRJ23" s="338"/>
      <c r="DRK23" s="338"/>
      <c r="DRL23" s="338"/>
      <c r="DRM23" s="338"/>
      <c r="DRN23" s="338"/>
      <c r="DRO23" s="338"/>
      <c r="DRP23" s="338"/>
      <c r="DRQ23" s="338"/>
      <c r="DRR23" s="338"/>
      <c r="DRS23" s="338"/>
      <c r="DRT23" s="338"/>
      <c r="DRU23" s="338"/>
      <c r="DRV23" s="338"/>
      <c r="DRW23" s="338"/>
      <c r="DRX23" s="338"/>
      <c r="DRY23" s="338"/>
      <c r="DRZ23" s="338"/>
      <c r="DSA23" s="338"/>
      <c r="DSB23" s="338"/>
      <c r="DSC23" s="338"/>
      <c r="DSD23" s="338"/>
      <c r="DSE23" s="338"/>
      <c r="DSF23" s="338"/>
      <c r="DSG23" s="338"/>
      <c r="DSH23" s="338"/>
      <c r="DSI23" s="338"/>
      <c r="DSJ23" s="338"/>
      <c r="DSK23" s="338"/>
      <c r="DSL23" s="338"/>
      <c r="DSM23" s="338"/>
      <c r="DSN23" s="338"/>
      <c r="DSO23" s="338"/>
      <c r="DSP23" s="338"/>
      <c r="DSQ23" s="338"/>
      <c r="DSR23" s="338"/>
      <c r="DSS23" s="338"/>
      <c r="DST23" s="338"/>
      <c r="DSU23" s="338"/>
      <c r="DSV23" s="338"/>
      <c r="DSW23" s="338"/>
      <c r="DSX23" s="338"/>
      <c r="DSY23" s="338"/>
      <c r="DSZ23" s="338"/>
      <c r="DTA23" s="338"/>
      <c r="DTB23" s="338"/>
      <c r="DTC23" s="338"/>
      <c r="DTD23" s="338"/>
      <c r="DTE23" s="338"/>
      <c r="DTF23" s="338"/>
      <c r="DTG23" s="338"/>
      <c r="DTH23" s="338"/>
      <c r="DTI23" s="338"/>
      <c r="DTJ23" s="338"/>
      <c r="DTK23" s="338"/>
      <c r="DTL23" s="338"/>
      <c r="DTM23" s="338"/>
      <c r="DTN23" s="338"/>
      <c r="DTO23" s="338"/>
      <c r="DTP23" s="338"/>
      <c r="DTQ23" s="338"/>
      <c r="DTR23" s="338"/>
      <c r="DTS23" s="338"/>
      <c r="DTT23" s="338"/>
      <c r="DTU23" s="338"/>
      <c r="DTV23" s="338"/>
      <c r="DTW23" s="338"/>
      <c r="DTX23" s="338"/>
      <c r="DTY23" s="338"/>
      <c r="DTZ23" s="338"/>
      <c r="DUA23" s="338"/>
      <c r="DUB23" s="338"/>
      <c r="DUC23" s="338"/>
      <c r="DUD23" s="338"/>
      <c r="DUE23" s="338"/>
      <c r="DUF23" s="338"/>
      <c r="DUG23" s="338"/>
      <c r="DUH23" s="338"/>
      <c r="DUI23" s="338"/>
      <c r="DUJ23" s="338"/>
      <c r="DUK23" s="338"/>
      <c r="DUL23" s="338"/>
      <c r="DUM23" s="338"/>
      <c r="DUN23" s="338"/>
      <c r="DUO23" s="338"/>
      <c r="DUP23" s="338"/>
      <c r="DUQ23" s="338"/>
      <c r="DUR23" s="338"/>
      <c r="DUS23" s="338"/>
      <c r="DUT23" s="338"/>
      <c r="DUU23" s="338"/>
      <c r="DUV23" s="338"/>
      <c r="DUW23" s="338"/>
      <c r="DUX23" s="338"/>
      <c r="DUY23" s="338"/>
      <c r="DUZ23" s="338"/>
      <c r="DVA23" s="338"/>
      <c r="DVB23" s="338"/>
      <c r="DVC23" s="338"/>
      <c r="DVD23" s="338"/>
      <c r="DVE23" s="338"/>
      <c r="DVF23" s="338"/>
      <c r="DVG23" s="338"/>
      <c r="DVH23" s="338"/>
      <c r="DVI23" s="338"/>
      <c r="DVJ23" s="338"/>
      <c r="DVK23" s="338"/>
      <c r="DVL23" s="338"/>
      <c r="DVM23" s="338"/>
      <c r="DVN23" s="338"/>
      <c r="DVO23" s="338"/>
      <c r="DVP23" s="338"/>
      <c r="DVQ23" s="338"/>
      <c r="DVR23" s="338"/>
      <c r="DVS23" s="338"/>
      <c r="DVT23" s="338"/>
      <c r="DVU23" s="338"/>
      <c r="DVV23" s="338"/>
      <c r="DVW23" s="338"/>
      <c r="DVX23" s="338"/>
      <c r="DVY23" s="338"/>
      <c r="DVZ23" s="338"/>
      <c r="DWA23" s="338"/>
      <c r="DWB23" s="338"/>
      <c r="DWC23" s="338"/>
      <c r="DWD23" s="338"/>
      <c r="DWE23" s="338"/>
      <c r="DWF23" s="338"/>
      <c r="DWG23" s="338"/>
      <c r="DWH23" s="338"/>
      <c r="DWI23" s="338"/>
      <c r="DWJ23" s="338"/>
      <c r="DWK23" s="338"/>
      <c r="DWL23" s="338"/>
      <c r="DWM23" s="338"/>
      <c r="DWN23" s="338"/>
      <c r="DWO23" s="338"/>
      <c r="DWP23" s="338"/>
      <c r="DWQ23" s="338"/>
      <c r="DWR23" s="338"/>
      <c r="DWS23" s="338"/>
      <c r="DWT23" s="338"/>
      <c r="DWU23" s="338"/>
      <c r="DWV23" s="338"/>
      <c r="DWW23" s="338"/>
      <c r="DWX23" s="338"/>
      <c r="DWY23" s="338"/>
      <c r="DWZ23" s="338"/>
      <c r="DXA23" s="338"/>
      <c r="DXB23" s="338"/>
      <c r="DXC23" s="338"/>
      <c r="DXD23" s="338"/>
      <c r="DXE23" s="338"/>
      <c r="DXF23" s="338"/>
      <c r="DXG23" s="338"/>
      <c r="DXH23" s="338"/>
      <c r="DXI23" s="338"/>
      <c r="DXJ23" s="338"/>
      <c r="DXK23" s="338"/>
      <c r="DXL23" s="338"/>
      <c r="DXM23" s="338"/>
      <c r="DXN23" s="338"/>
      <c r="DXO23" s="338"/>
      <c r="DXP23" s="338"/>
      <c r="DXQ23" s="338"/>
      <c r="DXR23" s="338"/>
      <c r="DXS23" s="338"/>
      <c r="DXT23" s="338"/>
      <c r="DXU23" s="338"/>
      <c r="DXV23" s="338"/>
      <c r="DXW23" s="338"/>
      <c r="DXX23" s="338"/>
      <c r="DXY23" s="338"/>
      <c r="DXZ23" s="338"/>
      <c r="DYA23" s="338"/>
      <c r="DYB23" s="338"/>
      <c r="DYC23" s="338"/>
      <c r="DYD23" s="338"/>
      <c r="DYE23" s="338"/>
      <c r="DYF23" s="338"/>
      <c r="DYG23" s="338"/>
      <c r="DYH23" s="338"/>
      <c r="DYI23" s="338"/>
      <c r="DYJ23" s="338"/>
      <c r="DYK23" s="338"/>
      <c r="DYL23" s="338"/>
      <c r="DYM23" s="338"/>
      <c r="DYN23" s="338"/>
      <c r="DYO23" s="338"/>
      <c r="DYP23" s="338"/>
      <c r="DYQ23" s="338"/>
      <c r="DYR23" s="338"/>
      <c r="DYS23" s="338"/>
      <c r="DYT23" s="338"/>
      <c r="DYU23" s="338"/>
      <c r="DYV23" s="338"/>
      <c r="DYW23" s="338"/>
      <c r="DYX23" s="338"/>
      <c r="DYY23" s="338"/>
      <c r="DYZ23" s="338"/>
      <c r="DZA23" s="338"/>
      <c r="DZB23" s="338"/>
      <c r="DZC23" s="338"/>
      <c r="DZD23" s="338"/>
      <c r="DZE23" s="338"/>
      <c r="DZF23" s="338"/>
      <c r="DZG23" s="338"/>
      <c r="DZH23" s="338"/>
      <c r="DZI23" s="338"/>
      <c r="DZJ23" s="338"/>
      <c r="DZK23" s="338"/>
      <c r="DZL23" s="338"/>
      <c r="DZM23" s="338"/>
      <c r="DZN23" s="338"/>
      <c r="DZO23" s="338"/>
      <c r="DZP23" s="338"/>
      <c r="DZQ23" s="338"/>
      <c r="DZR23" s="338"/>
      <c r="DZS23" s="338"/>
      <c r="DZT23" s="338"/>
      <c r="DZU23" s="338"/>
      <c r="DZV23" s="338"/>
      <c r="DZW23" s="338"/>
      <c r="DZX23" s="338"/>
      <c r="DZY23" s="338"/>
      <c r="DZZ23" s="338"/>
      <c r="EAA23" s="338"/>
      <c r="EAB23" s="338"/>
      <c r="EAC23" s="338"/>
      <c r="EAD23" s="338"/>
      <c r="EAE23" s="338"/>
      <c r="EAF23" s="338"/>
      <c r="EAG23" s="338"/>
      <c r="EAH23" s="338"/>
      <c r="EAI23" s="338"/>
      <c r="EAJ23" s="338"/>
      <c r="EAK23" s="338"/>
      <c r="EAL23" s="338"/>
      <c r="EAM23" s="338"/>
      <c r="EAN23" s="338"/>
      <c r="EAO23" s="338"/>
      <c r="EAP23" s="338"/>
      <c r="EAQ23" s="338"/>
      <c r="EAR23" s="338"/>
      <c r="EAS23" s="338"/>
      <c r="EAT23" s="338"/>
      <c r="EAU23" s="338"/>
      <c r="EAV23" s="338"/>
      <c r="EAW23" s="338"/>
      <c r="EAX23" s="338"/>
      <c r="EAY23" s="338"/>
      <c r="EAZ23" s="338"/>
      <c r="EBA23" s="338"/>
      <c r="EBB23" s="338"/>
      <c r="EBC23" s="338"/>
      <c r="EBD23" s="338"/>
      <c r="EBE23" s="338"/>
      <c r="EBF23" s="338"/>
      <c r="EBG23" s="338"/>
      <c r="EBH23" s="338"/>
      <c r="EBI23" s="338"/>
      <c r="EBJ23" s="338"/>
      <c r="EBK23" s="338"/>
      <c r="EBL23" s="338"/>
      <c r="EBM23" s="338"/>
      <c r="EBN23" s="338"/>
      <c r="EBO23" s="338"/>
      <c r="EBP23" s="338"/>
      <c r="EBQ23" s="338"/>
      <c r="EBR23" s="338"/>
      <c r="EBS23" s="338"/>
      <c r="EBT23" s="338"/>
      <c r="EBU23" s="338"/>
      <c r="EBV23" s="338"/>
      <c r="EBW23" s="338"/>
      <c r="EBX23" s="338"/>
      <c r="EBY23" s="338"/>
      <c r="EBZ23" s="338"/>
      <c r="ECA23" s="338"/>
      <c r="ECB23" s="338"/>
      <c r="ECC23" s="338"/>
      <c r="ECD23" s="338"/>
      <c r="ECE23" s="338"/>
      <c r="ECF23" s="338"/>
      <c r="ECG23" s="338"/>
      <c r="ECH23" s="338"/>
      <c r="ECI23" s="338"/>
      <c r="ECJ23" s="338"/>
      <c r="ECK23" s="338"/>
      <c r="ECL23" s="338"/>
      <c r="ECM23" s="338"/>
      <c r="ECN23" s="338"/>
      <c r="ECO23" s="338"/>
      <c r="ECP23" s="338"/>
      <c r="ECQ23" s="338"/>
      <c r="ECR23" s="338"/>
      <c r="ECS23" s="338"/>
      <c r="ECT23" s="338"/>
      <c r="ECU23" s="338"/>
      <c r="ECV23" s="338"/>
      <c r="ECW23" s="338"/>
      <c r="ECX23" s="338"/>
      <c r="ECY23" s="338"/>
      <c r="ECZ23" s="338"/>
      <c r="EDA23" s="338"/>
      <c r="EDB23" s="338"/>
      <c r="EDC23" s="338"/>
      <c r="EDD23" s="338"/>
      <c r="EDE23" s="338"/>
      <c r="EDF23" s="338"/>
      <c r="EDG23" s="338"/>
      <c r="EDH23" s="338"/>
      <c r="EDI23" s="338"/>
      <c r="EDJ23" s="338"/>
      <c r="EDK23" s="338"/>
      <c r="EDL23" s="338"/>
      <c r="EDM23" s="338"/>
      <c r="EDN23" s="338"/>
      <c r="EDO23" s="338"/>
      <c r="EDP23" s="338"/>
      <c r="EDQ23" s="338"/>
      <c r="EDR23" s="338"/>
      <c r="EDS23" s="338"/>
      <c r="EDT23" s="338"/>
      <c r="EDU23" s="338"/>
      <c r="EDV23" s="338"/>
      <c r="EDW23" s="338"/>
      <c r="EDX23" s="338"/>
      <c r="EDY23" s="338"/>
      <c r="EDZ23" s="338"/>
      <c r="EEA23" s="338"/>
      <c r="EEB23" s="338"/>
      <c r="EEC23" s="338"/>
      <c r="EED23" s="338"/>
      <c r="EEE23" s="338"/>
      <c r="EEF23" s="338"/>
      <c r="EEG23" s="338"/>
      <c r="EEH23" s="338"/>
      <c r="EEI23" s="338"/>
      <c r="EEJ23" s="338"/>
      <c r="EEK23" s="338"/>
      <c r="EEL23" s="338"/>
      <c r="EEM23" s="338"/>
      <c r="EEN23" s="338"/>
      <c r="EEO23" s="338"/>
      <c r="EEP23" s="338"/>
      <c r="EEQ23" s="338"/>
      <c r="EER23" s="338"/>
      <c r="EES23" s="338"/>
      <c r="EET23" s="338"/>
      <c r="EEU23" s="338"/>
      <c r="EEV23" s="338"/>
      <c r="EEW23" s="338"/>
      <c r="EEX23" s="338"/>
      <c r="EEY23" s="338"/>
      <c r="EEZ23" s="338"/>
      <c r="EFA23" s="338"/>
      <c r="EFB23" s="338"/>
      <c r="EFC23" s="338"/>
      <c r="EFD23" s="338"/>
      <c r="EFE23" s="338"/>
      <c r="EFF23" s="338"/>
      <c r="EFG23" s="338"/>
      <c r="EFH23" s="338"/>
      <c r="EFI23" s="338"/>
      <c r="EFJ23" s="338"/>
      <c r="EFK23" s="338"/>
      <c r="EFL23" s="338"/>
      <c r="EFM23" s="338"/>
      <c r="EFN23" s="338"/>
      <c r="EFO23" s="338"/>
      <c r="EFP23" s="338"/>
      <c r="EFQ23" s="338"/>
      <c r="EFR23" s="338"/>
      <c r="EFS23" s="338"/>
      <c r="EFT23" s="338"/>
      <c r="EFU23" s="338"/>
      <c r="EFV23" s="338"/>
      <c r="EFW23" s="338"/>
      <c r="EFX23" s="338"/>
      <c r="EFY23" s="338"/>
      <c r="EFZ23" s="338"/>
      <c r="EGA23" s="338"/>
      <c r="EGB23" s="338"/>
      <c r="EGC23" s="338"/>
      <c r="EGD23" s="338"/>
      <c r="EGE23" s="338"/>
      <c r="EGF23" s="338"/>
      <c r="EGG23" s="338"/>
      <c r="EGH23" s="338"/>
      <c r="EGI23" s="338"/>
      <c r="EGJ23" s="338"/>
      <c r="EGK23" s="338"/>
      <c r="EGL23" s="338"/>
      <c r="EGM23" s="338"/>
      <c r="EGN23" s="338"/>
      <c r="EGO23" s="338"/>
      <c r="EGP23" s="338"/>
      <c r="EGQ23" s="338"/>
      <c r="EGR23" s="338"/>
      <c r="EGS23" s="338"/>
      <c r="EGT23" s="338"/>
      <c r="EGU23" s="338"/>
      <c r="EGV23" s="338"/>
      <c r="EGW23" s="338"/>
      <c r="EGX23" s="338"/>
      <c r="EGY23" s="338"/>
      <c r="EGZ23" s="338"/>
      <c r="EHA23" s="338"/>
      <c r="EHB23" s="338"/>
      <c r="EHC23" s="338"/>
      <c r="EHD23" s="338"/>
      <c r="EHE23" s="338"/>
      <c r="EHF23" s="338"/>
      <c r="EHG23" s="338"/>
      <c r="EHH23" s="338"/>
      <c r="EHI23" s="338"/>
      <c r="EHJ23" s="338"/>
      <c r="EHK23" s="338"/>
      <c r="EHL23" s="338"/>
      <c r="EHM23" s="338"/>
      <c r="EHN23" s="338"/>
      <c r="EHO23" s="338"/>
      <c r="EHP23" s="338"/>
      <c r="EHQ23" s="338"/>
      <c r="EHR23" s="338"/>
      <c r="EHS23" s="338"/>
      <c r="EHT23" s="338"/>
      <c r="EHU23" s="338"/>
      <c r="EHV23" s="338"/>
      <c r="EHW23" s="338"/>
      <c r="EHX23" s="338"/>
      <c r="EHY23" s="338"/>
      <c r="EHZ23" s="338"/>
      <c r="EIA23" s="338"/>
      <c r="EIB23" s="338"/>
      <c r="EIC23" s="338"/>
      <c r="EID23" s="338"/>
      <c r="EIE23" s="338"/>
      <c r="EIF23" s="338"/>
      <c r="EIG23" s="338"/>
      <c r="EIH23" s="338"/>
      <c r="EII23" s="338"/>
      <c r="EIJ23" s="338"/>
      <c r="EIK23" s="338"/>
      <c r="EIL23" s="338"/>
      <c r="EIM23" s="338"/>
      <c r="EIN23" s="338"/>
      <c r="EIO23" s="338"/>
      <c r="EIP23" s="338"/>
      <c r="EIQ23" s="338"/>
      <c r="EIR23" s="338"/>
      <c r="EIS23" s="338"/>
      <c r="EIT23" s="338"/>
      <c r="EIU23" s="338"/>
      <c r="EIV23" s="338"/>
      <c r="EIW23" s="338"/>
      <c r="EIX23" s="338"/>
      <c r="EIY23" s="338"/>
      <c r="EIZ23" s="338"/>
      <c r="EJA23" s="338"/>
      <c r="EJB23" s="338"/>
      <c r="EJC23" s="338"/>
      <c r="EJD23" s="338"/>
      <c r="EJE23" s="338"/>
      <c r="EJF23" s="338"/>
      <c r="EJG23" s="338"/>
      <c r="EJH23" s="338"/>
      <c r="EJI23" s="338"/>
      <c r="EJJ23" s="338"/>
      <c r="EJK23" s="338"/>
      <c r="EJL23" s="338"/>
      <c r="EJM23" s="338"/>
      <c r="EJN23" s="338"/>
      <c r="EJO23" s="338"/>
      <c r="EJP23" s="338"/>
      <c r="EJQ23" s="338"/>
      <c r="EJR23" s="338"/>
      <c r="EJS23" s="338"/>
      <c r="EJT23" s="338"/>
      <c r="EJU23" s="338"/>
      <c r="EJV23" s="338"/>
      <c r="EJW23" s="338"/>
      <c r="EJX23" s="338"/>
      <c r="EJY23" s="338"/>
      <c r="EJZ23" s="338"/>
      <c r="EKA23" s="338"/>
      <c r="EKB23" s="338"/>
      <c r="EKC23" s="338"/>
      <c r="EKD23" s="338"/>
      <c r="EKE23" s="338"/>
      <c r="EKF23" s="338"/>
      <c r="EKG23" s="338"/>
      <c r="EKH23" s="338"/>
      <c r="EKI23" s="338"/>
      <c r="EKJ23" s="338"/>
      <c r="EKK23" s="338"/>
      <c r="EKL23" s="338"/>
      <c r="EKM23" s="338"/>
      <c r="EKN23" s="338"/>
      <c r="EKO23" s="338"/>
      <c r="EKP23" s="338"/>
      <c r="EKQ23" s="338"/>
      <c r="EKR23" s="338"/>
      <c r="EKS23" s="338"/>
      <c r="EKT23" s="338"/>
      <c r="EKU23" s="338"/>
      <c r="EKV23" s="338"/>
      <c r="EKW23" s="338"/>
      <c r="EKX23" s="338"/>
      <c r="EKY23" s="338"/>
      <c r="EKZ23" s="338"/>
      <c r="ELA23" s="338"/>
      <c r="ELB23" s="338"/>
      <c r="ELC23" s="338"/>
      <c r="ELD23" s="338"/>
      <c r="ELE23" s="338"/>
      <c r="ELF23" s="338"/>
      <c r="ELG23" s="338"/>
      <c r="ELH23" s="338"/>
      <c r="ELI23" s="338"/>
      <c r="ELJ23" s="338"/>
      <c r="ELK23" s="338"/>
      <c r="ELL23" s="338"/>
      <c r="ELM23" s="338"/>
      <c r="ELN23" s="338"/>
      <c r="ELO23" s="338"/>
      <c r="ELP23" s="338"/>
      <c r="ELQ23" s="338"/>
      <c r="ELR23" s="338"/>
      <c r="ELS23" s="338"/>
      <c r="ELT23" s="338"/>
      <c r="ELU23" s="338"/>
      <c r="ELV23" s="338"/>
      <c r="ELW23" s="338"/>
      <c r="ELX23" s="338"/>
      <c r="ELY23" s="338"/>
      <c r="ELZ23" s="338"/>
      <c r="EMA23" s="338"/>
      <c r="EMB23" s="338"/>
      <c r="EMC23" s="338"/>
      <c r="EMD23" s="338"/>
      <c r="EME23" s="338"/>
      <c r="EMF23" s="338"/>
      <c r="EMG23" s="338"/>
      <c r="EMH23" s="338"/>
      <c r="EMI23" s="338"/>
      <c r="EMJ23" s="338"/>
      <c r="EMK23" s="338"/>
      <c r="EML23" s="338"/>
      <c r="EMM23" s="338"/>
      <c r="EMN23" s="338"/>
      <c r="EMO23" s="338"/>
      <c r="EMP23" s="338"/>
      <c r="EMQ23" s="338"/>
      <c r="EMR23" s="338"/>
      <c r="EMS23" s="338"/>
      <c r="EMT23" s="338"/>
      <c r="EMU23" s="338"/>
      <c r="EMV23" s="338"/>
      <c r="EMW23" s="338"/>
      <c r="EMX23" s="338"/>
      <c r="EMY23" s="338"/>
      <c r="EMZ23" s="338"/>
      <c r="ENA23" s="338"/>
      <c r="ENB23" s="338"/>
      <c r="ENC23" s="338"/>
      <c r="END23" s="338"/>
      <c r="ENE23" s="338"/>
      <c r="ENF23" s="338"/>
      <c r="ENG23" s="338"/>
      <c r="ENH23" s="338"/>
      <c r="ENI23" s="338"/>
      <c r="ENJ23" s="338"/>
      <c r="ENK23" s="338"/>
      <c r="ENL23" s="338"/>
      <c r="ENM23" s="338"/>
      <c r="ENN23" s="338"/>
      <c r="ENO23" s="338"/>
      <c r="ENP23" s="338"/>
      <c r="ENQ23" s="338"/>
      <c r="ENR23" s="338"/>
      <c r="ENS23" s="338"/>
      <c r="ENT23" s="338"/>
      <c r="ENU23" s="338"/>
      <c r="ENV23" s="338"/>
      <c r="ENW23" s="338"/>
      <c r="ENX23" s="338"/>
      <c r="ENY23" s="338"/>
      <c r="ENZ23" s="338"/>
      <c r="EOA23" s="338"/>
      <c r="EOB23" s="338"/>
      <c r="EOC23" s="338"/>
      <c r="EOD23" s="338"/>
      <c r="EOE23" s="338"/>
      <c r="EOF23" s="338"/>
      <c r="EOG23" s="338"/>
      <c r="EOH23" s="338"/>
      <c r="EOI23" s="338"/>
      <c r="EOJ23" s="338"/>
      <c r="EOK23" s="338"/>
      <c r="EOL23" s="338"/>
      <c r="EOM23" s="338"/>
      <c r="EON23" s="338"/>
      <c r="EOO23" s="338"/>
      <c r="EOP23" s="338"/>
      <c r="EOQ23" s="338"/>
      <c r="EOR23" s="338"/>
      <c r="EOS23" s="338"/>
      <c r="EOT23" s="338"/>
      <c r="EOU23" s="338"/>
      <c r="EOV23" s="338"/>
      <c r="EOW23" s="338"/>
      <c r="EOX23" s="338"/>
      <c r="EOY23" s="338"/>
      <c r="EOZ23" s="338"/>
      <c r="EPA23" s="338"/>
      <c r="EPB23" s="338"/>
      <c r="EPC23" s="338"/>
      <c r="EPD23" s="338"/>
      <c r="EPE23" s="338"/>
      <c r="EPF23" s="338"/>
      <c r="EPG23" s="338"/>
      <c r="EPH23" s="338"/>
      <c r="EPI23" s="338"/>
      <c r="EPJ23" s="338"/>
      <c r="EPK23" s="338"/>
      <c r="EPL23" s="338"/>
      <c r="EPM23" s="338"/>
      <c r="EPN23" s="338"/>
      <c r="EPO23" s="338"/>
      <c r="EPP23" s="338"/>
      <c r="EPQ23" s="338"/>
      <c r="EPR23" s="338"/>
      <c r="EPS23" s="338"/>
      <c r="EPT23" s="338"/>
      <c r="EPU23" s="338"/>
      <c r="EPV23" s="338"/>
      <c r="EPW23" s="338"/>
      <c r="EPX23" s="338"/>
      <c r="EPY23" s="338"/>
      <c r="EPZ23" s="338"/>
      <c r="EQA23" s="338"/>
      <c r="EQB23" s="338"/>
      <c r="EQC23" s="338"/>
      <c r="EQD23" s="338"/>
      <c r="EQE23" s="338"/>
      <c r="EQF23" s="338"/>
      <c r="EQG23" s="338"/>
      <c r="EQH23" s="338"/>
      <c r="EQI23" s="338"/>
      <c r="EQJ23" s="338"/>
      <c r="EQK23" s="338"/>
      <c r="EQL23" s="338"/>
      <c r="EQM23" s="338"/>
      <c r="EQN23" s="338"/>
      <c r="EQO23" s="338"/>
      <c r="EQP23" s="338"/>
      <c r="EQQ23" s="338"/>
      <c r="EQR23" s="338"/>
      <c r="EQS23" s="338"/>
      <c r="EQT23" s="338"/>
      <c r="EQU23" s="338"/>
      <c r="EQV23" s="338"/>
      <c r="EQW23" s="338"/>
      <c r="EQX23" s="338"/>
      <c r="EQY23" s="338"/>
      <c r="EQZ23" s="338"/>
      <c r="ERA23" s="338"/>
      <c r="ERB23" s="338"/>
      <c r="ERC23" s="338"/>
      <c r="ERD23" s="338"/>
      <c r="ERE23" s="338"/>
      <c r="ERF23" s="338"/>
      <c r="ERG23" s="338"/>
      <c r="ERH23" s="338"/>
      <c r="ERI23" s="338"/>
      <c r="ERJ23" s="338"/>
      <c r="ERK23" s="338"/>
      <c r="ERL23" s="338"/>
      <c r="ERM23" s="338"/>
      <c r="ERN23" s="338"/>
      <c r="ERO23" s="338"/>
      <c r="ERP23" s="338"/>
      <c r="ERQ23" s="338"/>
      <c r="ERR23" s="338"/>
      <c r="ERS23" s="338"/>
      <c r="ERT23" s="338"/>
      <c r="ERU23" s="338"/>
      <c r="ERV23" s="338"/>
      <c r="ERW23" s="338"/>
      <c r="ERX23" s="338"/>
      <c r="ERY23" s="338"/>
      <c r="ERZ23" s="338"/>
      <c r="ESA23" s="338"/>
      <c r="ESB23" s="338"/>
      <c r="ESC23" s="338"/>
      <c r="ESD23" s="338"/>
      <c r="ESE23" s="338"/>
      <c r="ESF23" s="338"/>
      <c r="ESG23" s="338"/>
      <c r="ESH23" s="338"/>
      <c r="ESI23" s="338"/>
      <c r="ESJ23" s="338"/>
      <c r="ESK23" s="338"/>
      <c r="ESL23" s="338"/>
      <c r="ESM23" s="338"/>
      <c r="ESN23" s="338"/>
      <c r="ESO23" s="338"/>
      <c r="ESP23" s="338"/>
      <c r="ESQ23" s="338"/>
      <c r="ESR23" s="338"/>
      <c r="ESS23" s="338"/>
      <c r="EST23" s="338"/>
      <c r="ESU23" s="338"/>
      <c r="ESV23" s="338"/>
      <c r="ESW23" s="338"/>
      <c r="ESX23" s="338"/>
      <c r="ESY23" s="338"/>
      <c r="ESZ23" s="338"/>
      <c r="ETA23" s="338"/>
      <c r="ETB23" s="338"/>
      <c r="ETC23" s="338"/>
      <c r="ETD23" s="338"/>
      <c r="ETE23" s="338"/>
      <c r="ETF23" s="338"/>
      <c r="ETG23" s="338"/>
      <c r="ETH23" s="338"/>
      <c r="ETI23" s="338"/>
      <c r="ETJ23" s="338"/>
      <c r="ETK23" s="338"/>
      <c r="ETL23" s="338"/>
      <c r="ETM23" s="338"/>
      <c r="ETN23" s="338"/>
      <c r="ETO23" s="338"/>
      <c r="ETP23" s="338"/>
      <c r="ETQ23" s="338"/>
      <c r="ETR23" s="338"/>
      <c r="ETS23" s="338"/>
      <c r="ETT23" s="338"/>
      <c r="ETU23" s="338"/>
      <c r="ETV23" s="338"/>
      <c r="ETW23" s="338"/>
      <c r="ETX23" s="338"/>
      <c r="ETY23" s="338"/>
      <c r="ETZ23" s="338"/>
      <c r="EUA23" s="338"/>
      <c r="EUB23" s="338"/>
      <c r="EUC23" s="338"/>
      <c r="EUD23" s="338"/>
      <c r="EUE23" s="338"/>
      <c r="EUF23" s="338"/>
      <c r="EUG23" s="338"/>
      <c r="EUH23" s="338"/>
      <c r="EUI23" s="338"/>
      <c r="EUJ23" s="338"/>
      <c r="EUK23" s="338"/>
      <c r="EUL23" s="338"/>
      <c r="EUM23" s="338"/>
      <c r="EUN23" s="338"/>
      <c r="EUO23" s="338"/>
      <c r="EUP23" s="338"/>
      <c r="EUQ23" s="338"/>
      <c r="EUR23" s="338"/>
      <c r="EUS23" s="338"/>
      <c r="EUT23" s="338"/>
      <c r="EUU23" s="338"/>
      <c r="EUV23" s="338"/>
      <c r="EUW23" s="338"/>
      <c r="EUX23" s="338"/>
      <c r="EUY23" s="338"/>
      <c r="EUZ23" s="338"/>
      <c r="EVA23" s="338"/>
      <c r="EVB23" s="338"/>
      <c r="EVC23" s="338"/>
      <c r="EVD23" s="338"/>
      <c r="EVE23" s="338"/>
      <c r="EVF23" s="338"/>
      <c r="EVG23" s="338"/>
      <c r="EVH23" s="338"/>
      <c r="EVI23" s="338"/>
      <c r="EVJ23" s="338"/>
      <c r="EVK23" s="338"/>
      <c r="EVL23" s="338"/>
      <c r="EVM23" s="338"/>
      <c r="EVN23" s="338"/>
      <c r="EVO23" s="338"/>
      <c r="EVP23" s="338"/>
      <c r="EVQ23" s="338"/>
      <c r="EVR23" s="338"/>
      <c r="EVS23" s="338"/>
      <c r="EVT23" s="338"/>
      <c r="EVU23" s="338"/>
      <c r="EVV23" s="338"/>
      <c r="EVW23" s="338"/>
      <c r="EVX23" s="338"/>
      <c r="EVY23" s="338"/>
      <c r="EVZ23" s="338"/>
      <c r="EWA23" s="338"/>
      <c r="EWB23" s="338"/>
      <c r="EWC23" s="338"/>
      <c r="EWD23" s="338"/>
      <c r="EWE23" s="338"/>
      <c r="EWF23" s="338"/>
      <c r="EWG23" s="338"/>
      <c r="EWH23" s="338"/>
      <c r="EWI23" s="338"/>
      <c r="EWJ23" s="338"/>
      <c r="EWK23" s="338"/>
      <c r="EWL23" s="338"/>
      <c r="EWM23" s="338"/>
      <c r="EWN23" s="338"/>
      <c r="EWO23" s="338"/>
      <c r="EWP23" s="338"/>
      <c r="EWQ23" s="338"/>
      <c r="EWR23" s="338"/>
      <c r="EWS23" s="338"/>
      <c r="EWT23" s="338"/>
      <c r="EWU23" s="338"/>
      <c r="EWV23" s="338"/>
      <c r="EWW23" s="338"/>
      <c r="EWX23" s="338"/>
      <c r="EWY23" s="338"/>
      <c r="EWZ23" s="338"/>
      <c r="EXA23" s="338"/>
      <c r="EXB23" s="338"/>
      <c r="EXC23" s="338"/>
      <c r="EXD23" s="338"/>
      <c r="EXE23" s="338"/>
      <c r="EXF23" s="338"/>
      <c r="EXG23" s="338"/>
      <c r="EXH23" s="338"/>
      <c r="EXI23" s="338"/>
      <c r="EXJ23" s="338"/>
      <c r="EXK23" s="338"/>
      <c r="EXL23" s="338"/>
      <c r="EXM23" s="338"/>
      <c r="EXN23" s="338"/>
      <c r="EXO23" s="338"/>
      <c r="EXP23" s="338"/>
      <c r="EXQ23" s="338"/>
      <c r="EXR23" s="338"/>
      <c r="EXS23" s="338"/>
      <c r="EXT23" s="338"/>
      <c r="EXU23" s="338"/>
      <c r="EXV23" s="338"/>
      <c r="EXW23" s="338"/>
      <c r="EXX23" s="338"/>
      <c r="EXY23" s="338"/>
      <c r="EXZ23" s="338"/>
      <c r="EYA23" s="338"/>
      <c r="EYB23" s="338"/>
      <c r="EYC23" s="338"/>
      <c r="EYD23" s="338"/>
      <c r="EYE23" s="338"/>
      <c r="EYF23" s="338"/>
      <c r="EYG23" s="338"/>
      <c r="EYH23" s="338"/>
      <c r="EYI23" s="338"/>
      <c r="EYJ23" s="338"/>
      <c r="EYK23" s="338"/>
      <c r="EYL23" s="338"/>
      <c r="EYM23" s="338"/>
      <c r="EYN23" s="338"/>
      <c r="EYO23" s="338"/>
      <c r="EYP23" s="338"/>
      <c r="EYQ23" s="338"/>
      <c r="EYR23" s="338"/>
      <c r="EYS23" s="338"/>
      <c r="EYT23" s="338"/>
      <c r="EYU23" s="338"/>
      <c r="EYV23" s="338"/>
      <c r="EYW23" s="338"/>
      <c r="EYX23" s="338"/>
      <c r="EYY23" s="338"/>
      <c r="EYZ23" s="338"/>
      <c r="EZA23" s="338"/>
      <c r="EZB23" s="338"/>
      <c r="EZC23" s="338"/>
      <c r="EZD23" s="338"/>
      <c r="EZE23" s="338"/>
      <c r="EZF23" s="338"/>
      <c r="EZG23" s="338"/>
      <c r="EZH23" s="338"/>
      <c r="EZI23" s="338"/>
      <c r="EZJ23" s="338"/>
      <c r="EZK23" s="338"/>
      <c r="EZL23" s="338"/>
      <c r="EZM23" s="338"/>
      <c r="EZN23" s="338"/>
      <c r="EZO23" s="338"/>
      <c r="EZP23" s="338"/>
      <c r="EZQ23" s="338"/>
      <c r="EZR23" s="338"/>
      <c r="EZS23" s="338"/>
      <c r="EZT23" s="338"/>
      <c r="EZU23" s="338"/>
      <c r="EZV23" s="338"/>
      <c r="EZW23" s="338"/>
      <c r="EZX23" s="338"/>
      <c r="EZY23" s="338"/>
      <c r="EZZ23" s="338"/>
      <c r="FAA23" s="338"/>
      <c r="FAB23" s="338"/>
      <c r="FAC23" s="338"/>
      <c r="FAD23" s="338"/>
      <c r="FAE23" s="338"/>
      <c r="FAF23" s="338"/>
      <c r="FAG23" s="338"/>
      <c r="FAH23" s="338"/>
      <c r="FAI23" s="338"/>
      <c r="FAJ23" s="338"/>
      <c r="FAK23" s="338"/>
      <c r="FAL23" s="338"/>
      <c r="FAM23" s="338"/>
      <c r="FAN23" s="338"/>
      <c r="FAO23" s="338"/>
      <c r="FAP23" s="338"/>
      <c r="FAQ23" s="338"/>
      <c r="FAR23" s="338"/>
      <c r="FAS23" s="338"/>
      <c r="FAT23" s="338"/>
      <c r="FAU23" s="338"/>
      <c r="FAV23" s="338"/>
      <c r="FAW23" s="338"/>
      <c r="FAX23" s="338"/>
      <c r="FAY23" s="338"/>
      <c r="FAZ23" s="338"/>
      <c r="FBA23" s="338"/>
      <c r="FBB23" s="338"/>
      <c r="FBC23" s="338"/>
      <c r="FBD23" s="338"/>
      <c r="FBE23" s="338"/>
      <c r="FBF23" s="338"/>
      <c r="FBG23" s="338"/>
      <c r="FBH23" s="338"/>
      <c r="FBI23" s="338"/>
      <c r="FBJ23" s="338"/>
      <c r="FBK23" s="338"/>
      <c r="FBL23" s="338"/>
      <c r="FBM23" s="338"/>
      <c r="FBN23" s="338"/>
      <c r="FBO23" s="338"/>
      <c r="FBP23" s="338"/>
      <c r="FBQ23" s="338"/>
      <c r="FBR23" s="338"/>
      <c r="FBS23" s="338"/>
      <c r="FBT23" s="338"/>
      <c r="FBU23" s="338"/>
      <c r="FBV23" s="338"/>
      <c r="FBW23" s="338"/>
      <c r="FBX23" s="338"/>
      <c r="FBY23" s="338"/>
      <c r="FBZ23" s="338"/>
      <c r="FCA23" s="338"/>
      <c r="FCB23" s="338"/>
      <c r="FCC23" s="338"/>
      <c r="FCD23" s="338"/>
      <c r="FCE23" s="338"/>
      <c r="FCF23" s="338"/>
      <c r="FCG23" s="338"/>
      <c r="FCH23" s="338"/>
      <c r="FCI23" s="338"/>
      <c r="FCJ23" s="338"/>
      <c r="FCK23" s="338"/>
      <c r="FCL23" s="338"/>
      <c r="FCM23" s="338"/>
      <c r="FCN23" s="338"/>
      <c r="FCO23" s="338"/>
      <c r="FCP23" s="338"/>
      <c r="FCQ23" s="338"/>
      <c r="FCR23" s="338"/>
      <c r="FCS23" s="338"/>
      <c r="FCT23" s="338"/>
      <c r="FCU23" s="338"/>
      <c r="FCV23" s="338"/>
      <c r="FCW23" s="338"/>
      <c r="FCX23" s="338"/>
      <c r="FCY23" s="338"/>
      <c r="FCZ23" s="338"/>
      <c r="FDA23" s="338"/>
      <c r="FDB23" s="338"/>
      <c r="FDC23" s="338"/>
      <c r="FDD23" s="338"/>
      <c r="FDE23" s="338"/>
      <c r="FDF23" s="338"/>
      <c r="FDG23" s="338"/>
      <c r="FDH23" s="338"/>
      <c r="FDI23" s="338"/>
      <c r="FDJ23" s="338"/>
      <c r="FDK23" s="338"/>
      <c r="FDL23" s="338"/>
      <c r="FDM23" s="338"/>
      <c r="FDN23" s="338"/>
      <c r="FDO23" s="338"/>
      <c r="FDP23" s="338"/>
      <c r="FDQ23" s="338"/>
      <c r="FDR23" s="338"/>
      <c r="FDS23" s="338"/>
      <c r="FDT23" s="338"/>
      <c r="FDU23" s="338"/>
      <c r="FDV23" s="338"/>
      <c r="FDW23" s="338"/>
      <c r="FDX23" s="338"/>
      <c r="FDY23" s="338"/>
      <c r="FDZ23" s="338"/>
      <c r="FEA23" s="338"/>
      <c r="FEB23" s="338"/>
      <c r="FEC23" s="338"/>
      <c r="FED23" s="338"/>
      <c r="FEE23" s="338"/>
      <c r="FEF23" s="338"/>
      <c r="FEG23" s="338"/>
      <c r="FEH23" s="338"/>
      <c r="FEI23" s="338"/>
      <c r="FEJ23" s="338"/>
      <c r="FEK23" s="338"/>
      <c r="FEL23" s="338"/>
      <c r="FEM23" s="338"/>
      <c r="FEN23" s="338"/>
      <c r="FEO23" s="338"/>
      <c r="FEP23" s="338"/>
      <c r="FEQ23" s="338"/>
      <c r="FER23" s="338"/>
      <c r="FES23" s="338"/>
      <c r="FET23" s="338"/>
      <c r="FEU23" s="338"/>
      <c r="FEV23" s="338"/>
      <c r="FEW23" s="338"/>
      <c r="FEX23" s="338"/>
      <c r="FEY23" s="338"/>
      <c r="FEZ23" s="338"/>
      <c r="FFA23" s="338"/>
      <c r="FFB23" s="338"/>
      <c r="FFC23" s="338"/>
      <c r="FFD23" s="338"/>
      <c r="FFE23" s="338"/>
      <c r="FFF23" s="338"/>
      <c r="FFG23" s="338"/>
      <c r="FFH23" s="338"/>
      <c r="FFI23" s="338"/>
      <c r="FFJ23" s="338"/>
      <c r="FFK23" s="338"/>
      <c r="FFL23" s="338"/>
      <c r="FFM23" s="338"/>
      <c r="FFN23" s="338"/>
      <c r="FFO23" s="338"/>
      <c r="FFP23" s="338"/>
      <c r="FFQ23" s="338"/>
      <c r="FFR23" s="338"/>
      <c r="FFS23" s="338"/>
      <c r="FFT23" s="338"/>
      <c r="FFU23" s="338"/>
      <c r="FFV23" s="338"/>
      <c r="FFW23" s="338"/>
      <c r="FFX23" s="338"/>
      <c r="FFY23" s="338"/>
      <c r="FFZ23" s="338"/>
      <c r="FGA23" s="338"/>
      <c r="FGB23" s="338"/>
      <c r="FGC23" s="338"/>
      <c r="FGD23" s="338"/>
      <c r="FGE23" s="338"/>
      <c r="FGF23" s="338"/>
      <c r="FGG23" s="338"/>
      <c r="FGH23" s="338"/>
      <c r="FGI23" s="338"/>
      <c r="FGJ23" s="338"/>
      <c r="FGK23" s="338"/>
      <c r="FGL23" s="338"/>
      <c r="FGM23" s="338"/>
      <c r="FGN23" s="338"/>
      <c r="FGO23" s="338"/>
      <c r="FGP23" s="338"/>
      <c r="FGQ23" s="338"/>
      <c r="FGR23" s="338"/>
      <c r="FGS23" s="338"/>
      <c r="FGT23" s="338"/>
      <c r="FGU23" s="338"/>
      <c r="FGV23" s="338"/>
      <c r="FGW23" s="338"/>
      <c r="FGX23" s="338"/>
      <c r="FGY23" s="338"/>
      <c r="FGZ23" s="338"/>
      <c r="FHA23" s="338"/>
      <c r="FHB23" s="338"/>
      <c r="FHC23" s="338"/>
      <c r="FHD23" s="338"/>
      <c r="FHE23" s="338"/>
      <c r="FHF23" s="338"/>
      <c r="FHG23" s="338"/>
      <c r="FHH23" s="338"/>
      <c r="FHI23" s="338"/>
      <c r="FHJ23" s="338"/>
      <c r="FHK23" s="338"/>
      <c r="FHL23" s="338"/>
      <c r="FHM23" s="338"/>
      <c r="FHN23" s="338"/>
      <c r="FHO23" s="338"/>
      <c r="FHP23" s="338"/>
      <c r="FHQ23" s="338"/>
      <c r="FHR23" s="338"/>
      <c r="FHS23" s="338"/>
      <c r="FHT23" s="338"/>
      <c r="FHU23" s="338"/>
      <c r="FHV23" s="338"/>
      <c r="FHW23" s="338"/>
      <c r="FHX23" s="338"/>
      <c r="FHY23" s="338"/>
      <c r="FHZ23" s="338"/>
      <c r="FIA23" s="338"/>
      <c r="FIB23" s="338"/>
      <c r="FIC23" s="338"/>
      <c r="FID23" s="338"/>
      <c r="FIE23" s="338"/>
      <c r="FIF23" s="338"/>
      <c r="FIG23" s="338"/>
      <c r="FIH23" s="338"/>
      <c r="FII23" s="338"/>
      <c r="FIJ23" s="338"/>
      <c r="FIK23" s="338"/>
      <c r="FIL23" s="338"/>
      <c r="FIM23" s="338"/>
      <c r="FIN23" s="338"/>
      <c r="FIO23" s="338"/>
      <c r="FIP23" s="338"/>
      <c r="FIQ23" s="338"/>
      <c r="FIR23" s="338"/>
      <c r="FIS23" s="338"/>
      <c r="FIT23" s="338"/>
      <c r="FIU23" s="338"/>
      <c r="FIV23" s="338"/>
      <c r="FIW23" s="338"/>
      <c r="FIX23" s="338"/>
      <c r="FIY23" s="338"/>
      <c r="FIZ23" s="338"/>
      <c r="FJA23" s="338"/>
      <c r="FJB23" s="338"/>
      <c r="FJC23" s="338"/>
      <c r="FJD23" s="338"/>
      <c r="FJE23" s="338"/>
      <c r="FJF23" s="338"/>
      <c r="FJG23" s="338"/>
      <c r="FJH23" s="338"/>
      <c r="FJI23" s="338"/>
      <c r="FJJ23" s="338"/>
      <c r="FJK23" s="338"/>
      <c r="FJL23" s="338"/>
      <c r="FJM23" s="338"/>
      <c r="FJN23" s="338"/>
      <c r="FJO23" s="338"/>
      <c r="FJP23" s="338"/>
      <c r="FJQ23" s="338"/>
      <c r="FJR23" s="338"/>
      <c r="FJS23" s="338"/>
      <c r="FJT23" s="338"/>
      <c r="FJU23" s="338"/>
      <c r="FJV23" s="338"/>
      <c r="FJW23" s="338"/>
      <c r="FJX23" s="338"/>
      <c r="FJY23" s="338"/>
      <c r="FJZ23" s="338"/>
      <c r="FKA23" s="338"/>
      <c r="FKB23" s="338"/>
      <c r="FKC23" s="338"/>
      <c r="FKD23" s="338"/>
      <c r="FKE23" s="338"/>
      <c r="FKF23" s="338"/>
      <c r="FKG23" s="338"/>
      <c r="FKH23" s="338"/>
      <c r="FKI23" s="338"/>
      <c r="FKJ23" s="338"/>
      <c r="FKK23" s="338"/>
      <c r="FKL23" s="338"/>
      <c r="FKM23" s="338"/>
      <c r="FKN23" s="338"/>
      <c r="FKO23" s="338"/>
      <c r="FKP23" s="338"/>
      <c r="FKQ23" s="338"/>
      <c r="FKR23" s="338"/>
      <c r="FKS23" s="338"/>
      <c r="FKT23" s="338"/>
      <c r="FKU23" s="338"/>
      <c r="FKV23" s="338"/>
      <c r="FKW23" s="338"/>
      <c r="FKX23" s="338"/>
      <c r="FKY23" s="338"/>
      <c r="FKZ23" s="338"/>
      <c r="FLA23" s="338"/>
      <c r="FLB23" s="338"/>
      <c r="FLC23" s="338"/>
      <c r="FLD23" s="338"/>
      <c r="FLE23" s="338"/>
      <c r="FLF23" s="338"/>
      <c r="FLG23" s="338"/>
      <c r="FLH23" s="338"/>
      <c r="FLI23" s="338"/>
      <c r="FLJ23" s="338"/>
      <c r="FLK23" s="338"/>
      <c r="FLL23" s="338"/>
      <c r="FLM23" s="338"/>
      <c r="FLN23" s="338"/>
      <c r="FLO23" s="338"/>
      <c r="FLP23" s="338"/>
      <c r="FLQ23" s="338"/>
      <c r="FLR23" s="338"/>
      <c r="FLS23" s="338"/>
      <c r="FLT23" s="338"/>
      <c r="FLU23" s="338"/>
      <c r="FLV23" s="338"/>
      <c r="FLW23" s="338"/>
      <c r="FLX23" s="338"/>
      <c r="FLY23" s="338"/>
      <c r="FLZ23" s="338"/>
      <c r="FMA23" s="338"/>
      <c r="FMB23" s="338"/>
      <c r="FMC23" s="338"/>
      <c r="FMD23" s="338"/>
      <c r="FME23" s="338"/>
      <c r="FMF23" s="338"/>
      <c r="FMG23" s="338"/>
      <c r="FMH23" s="338"/>
      <c r="FMI23" s="338"/>
      <c r="FMJ23" s="338"/>
      <c r="FMK23" s="338"/>
      <c r="FML23" s="338"/>
      <c r="FMM23" s="338"/>
      <c r="FMN23" s="338"/>
      <c r="FMO23" s="338"/>
      <c r="FMP23" s="338"/>
      <c r="FMQ23" s="338"/>
      <c r="FMR23" s="338"/>
      <c r="FMS23" s="338"/>
      <c r="FMT23" s="338"/>
      <c r="FMU23" s="338"/>
      <c r="FMV23" s="338"/>
      <c r="FMW23" s="338"/>
      <c r="FMX23" s="338"/>
      <c r="FMY23" s="338"/>
      <c r="FMZ23" s="338"/>
      <c r="FNA23" s="338"/>
      <c r="FNB23" s="338"/>
      <c r="FNC23" s="338"/>
      <c r="FND23" s="338"/>
      <c r="FNE23" s="338"/>
      <c r="FNF23" s="338"/>
      <c r="FNG23" s="338"/>
      <c r="FNH23" s="338"/>
      <c r="FNI23" s="338"/>
      <c r="FNJ23" s="338"/>
      <c r="FNK23" s="338"/>
      <c r="FNL23" s="338"/>
      <c r="FNM23" s="338"/>
      <c r="FNN23" s="338"/>
      <c r="FNO23" s="338"/>
      <c r="FNP23" s="338"/>
      <c r="FNQ23" s="338"/>
      <c r="FNR23" s="338"/>
      <c r="FNS23" s="338"/>
      <c r="FNT23" s="338"/>
      <c r="FNU23" s="338"/>
      <c r="FNV23" s="338"/>
      <c r="FNW23" s="338"/>
      <c r="FNX23" s="338"/>
      <c r="FNY23" s="338"/>
      <c r="FNZ23" s="338"/>
      <c r="FOA23" s="338"/>
      <c r="FOB23" s="338"/>
      <c r="FOC23" s="338"/>
      <c r="FOD23" s="338"/>
      <c r="FOE23" s="338"/>
      <c r="FOF23" s="338"/>
      <c r="FOG23" s="338"/>
      <c r="FOH23" s="338"/>
      <c r="FOI23" s="338"/>
      <c r="FOJ23" s="338"/>
      <c r="FOK23" s="338"/>
      <c r="FOL23" s="338"/>
      <c r="FOM23" s="338"/>
      <c r="FON23" s="338"/>
      <c r="FOO23" s="338"/>
      <c r="FOP23" s="338"/>
      <c r="FOQ23" s="338"/>
      <c r="FOR23" s="338"/>
      <c r="FOS23" s="338"/>
      <c r="FOT23" s="338"/>
      <c r="FOU23" s="338"/>
      <c r="FOV23" s="338"/>
      <c r="FOW23" s="338"/>
      <c r="FOX23" s="338"/>
      <c r="FOY23" s="338"/>
      <c r="FOZ23" s="338"/>
      <c r="FPA23" s="338"/>
      <c r="FPB23" s="338"/>
      <c r="FPC23" s="338"/>
      <c r="FPD23" s="338"/>
      <c r="FPE23" s="338"/>
      <c r="FPF23" s="338"/>
      <c r="FPG23" s="338"/>
      <c r="FPH23" s="338"/>
      <c r="FPI23" s="338"/>
      <c r="FPJ23" s="338"/>
      <c r="FPK23" s="338"/>
      <c r="FPL23" s="338"/>
      <c r="FPM23" s="338"/>
      <c r="FPN23" s="338"/>
      <c r="FPO23" s="338"/>
      <c r="FPP23" s="338"/>
      <c r="FPQ23" s="338"/>
      <c r="FPR23" s="338"/>
      <c r="FPS23" s="338"/>
      <c r="FPT23" s="338"/>
      <c r="FPU23" s="338"/>
      <c r="FPV23" s="338"/>
      <c r="FPW23" s="338"/>
      <c r="FPX23" s="338"/>
      <c r="FPY23" s="338"/>
      <c r="FPZ23" s="338"/>
      <c r="FQA23" s="338"/>
      <c r="FQB23" s="338"/>
      <c r="FQC23" s="338"/>
      <c r="FQD23" s="338"/>
      <c r="FQE23" s="338"/>
      <c r="FQF23" s="338"/>
      <c r="FQG23" s="338"/>
      <c r="FQH23" s="338"/>
      <c r="FQI23" s="338"/>
      <c r="FQJ23" s="338"/>
      <c r="FQK23" s="338"/>
      <c r="FQL23" s="338"/>
      <c r="FQM23" s="338"/>
      <c r="FQN23" s="338"/>
      <c r="FQO23" s="338"/>
      <c r="FQP23" s="338"/>
      <c r="FQQ23" s="338"/>
      <c r="FQR23" s="338"/>
      <c r="FQS23" s="338"/>
      <c r="FQT23" s="338"/>
      <c r="FQU23" s="338"/>
      <c r="FQV23" s="338"/>
      <c r="FQW23" s="338"/>
      <c r="FQX23" s="338"/>
      <c r="FQY23" s="338"/>
      <c r="FQZ23" s="338"/>
      <c r="FRA23" s="338"/>
      <c r="FRB23" s="338"/>
      <c r="FRC23" s="338"/>
      <c r="FRD23" s="338"/>
      <c r="FRE23" s="338"/>
      <c r="FRF23" s="338"/>
      <c r="FRG23" s="338"/>
      <c r="FRH23" s="338"/>
      <c r="FRI23" s="338"/>
      <c r="FRJ23" s="338"/>
      <c r="FRK23" s="338"/>
      <c r="FRL23" s="338"/>
      <c r="FRM23" s="338"/>
      <c r="FRN23" s="338"/>
      <c r="FRO23" s="338"/>
      <c r="FRP23" s="338"/>
      <c r="FRQ23" s="338"/>
      <c r="FRR23" s="338"/>
      <c r="FRS23" s="338"/>
      <c r="FRT23" s="338"/>
      <c r="FRU23" s="338"/>
      <c r="FRV23" s="338"/>
      <c r="FRW23" s="338"/>
      <c r="FRX23" s="338"/>
      <c r="FRY23" s="338"/>
      <c r="FRZ23" s="338"/>
      <c r="FSA23" s="338"/>
      <c r="FSB23" s="338"/>
      <c r="FSC23" s="338"/>
      <c r="FSD23" s="338"/>
      <c r="FSE23" s="338"/>
      <c r="FSF23" s="338"/>
      <c r="FSG23" s="338"/>
      <c r="FSH23" s="338"/>
      <c r="FSI23" s="338"/>
      <c r="FSJ23" s="338"/>
      <c r="FSK23" s="338"/>
      <c r="FSL23" s="338"/>
      <c r="FSM23" s="338"/>
      <c r="FSN23" s="338"/>
      <c r="FSO23" s="338"/>
      <c r="FSP23" s="338"/>
      <c r="FSQ23" s="338"/>
      <c r="FSR23" s="338"/>
      <c r="FSS23" s="338"/>
      <c r="FST23" s="338"/>
      <c r="FSU23" s="338"/>
      <c r="FSV23" s="338"/>
      <c r="FSW23" s="338"/>
      <c r="FSX23" s="338"/>
      <c r="FSY23" s="338"/>
      <c r="FSZ23" s="338"/>
      <c r="FTA23" s="338"/>
      <c r="FTB23" s="338"/>
      <c r="FTC23" s="338"/>
      <c r="FTD23" s="338"/>
      <c r="FTE23" s="338"/>
      <c r="FTF23" s="338"/>
      <c r="FTG23" s="338"/>
      <c r="FTH23" s="338"/>
      <c r="FTI23" s="338"/>
      <c r="FTJ23" s="338"/>
      <c r="FTK23" s="338"/>
      <c r="FTL23" s="338"/>
      <c r="FTM23" s="338"/>
      <c r="FTN23" s="338"/>
      <c r="FTO23" s="338"/>
      <c r="FTP23" s="338"/>
      <c r="FTQ23" s="338"/>
      <c r="FTR23" s="338"/>
      <c r="FTS23" s="338"/>
      <c r="FTT23" s="338"/>
      <c r="FTU23" s="338"/>
      <c r="FTV23" s="338"/>
      <c r="FTW23" s="338"/>
      <c r="FTX23" s="338"/>
      <c r="FTY23" s="338"/>
      <c r="FTZ23" s="338"/>
      <c r="FUA23" s="338"/>
      <c r="FUB23" s="338"/>
      <c r="FUC23" s="338"/>
      <c r="FUD23" s="338"/>
      <c r="FUE23" s="338"/>
      <c r="FUF23" s="338"/>
      <c r="FUG23" s="338"/>
      <c r="FUH23" s="338"/>
      <c r="FUI23" s="338"/>
      <c r="FUJ23" s="338"/>
      <c r="FUK23" s="338"/>
      <c r="FUL23" s="338"/>
      <c r="FUM23" s="338"/>
      <c r="FUN23" s="338"/>
      <c r="FUO23" s="338"/>
      <c r="FUP23" s="338"/>
      <c r="FUQ23" s="338"/>
      <c r="FUR23" s="338"/>
      <c r="FUS23" s="338"/>
      <c r="FUT23" s="338"/>
      <c r="FUU23" s="338"/>
      <c r="FUV23" s="338"/>
      <c r="FUW23" s="338"/>
      <c r="FUX23" s="338"/>
      <c r="FUY23" s="338"/>
      <c r="FUZ23" s="338"/>
      <c r="FVA23" s="338"/>
      <c r="FVB23" s="338"/>
      <c r="FVC23" s="338"/>
      <c r="FVD23" s="338"/>
      <c r="FVE23" s="338"/>
      <c r="FVF23" s="338"/>
      <c r="FVG23" s="338"/>
      <c r="FVH23" s="338"/>
      <c r="FVI23" s="338"/>
      <c r="FVJ23" s="338"/>
      <c r="FVK23" s="338"/>
      <c r="FVL23" s="338"/>
      <c r="FVM23" s="338"/>
      <c r="FVN23" s="338"/>
      <c r="FVO23" s="338"/>
      <c r="FVP23" s="338"/>
      <c r="FVQ23" s="338"/>
      <c r="FVR23" s="338"/>
      <c r="FVS23" s="338"/>
      <c r="FVT23" s="338"/>
      <c r="FVU23" s="338"/>
      <c r="FVV23" s="338"/>
      <c r="FVW23" s="338"/>
      <c r="FVX23" s="338"/>
      <c r="FVY23" s="338"/>
      <c r="FVZ23" s="338"/>
      <c r="FWA23" s="338"/>
      <c r="FWB23" s="338"/>
      <c r="FWC23" s="338"/>
      <c r="FWD23" s="338"/>
      <c r="FWE23" s="338"/>
      <c r="FWF23" s="338"/>
      <c r="FWG23" s="338"/>
      <c r="FWH23" s="338"/>
      <c r="FWI23" s="338"/>
      <c r="FWJ23" s="338"/>
      <c r="FWK23" s="338"/>
      <c r="FWL23" s="338"/>
      <c r="FWM23" s="338"/>
      <c r="FWN23" s="338"/>
      <c r="FWO23" s="338"/>
      <c r="FWP23" s="338"/>
      <c r="FWQ23" s="338"/>
      <c r="FWR23" s="338"/>
      <c r="FWS23" s="338"/>
      <c r="FWT23" s="338"/>
      <c r="FWU23" s="338"/>
      <c r="FWV23" s="338"/>
      <c r="FWW23" s="338"/>
      <c r="FWX23" s="338"/>
      <c r="FWY23" s="338"/>
      <c r="FWZ23" s="338"/>
      <c r="FXA23" s="338"/>
      <c r="FXB23" s="338"/>
      <c r="FXC23" s="338"/>
      <c r="FXD23" s="338"/>
      <c r="FXE23" s="338"/>
      <c r="FXF23" s="338"/>
      <c r="FXG23" s="338"/>
      <c r="FXH23" s="338"/>
      <c r="FXI23" s="338"/>
      <c r="FXJ23" s="338"/>
      <c r="FXK23" s="338"/>
      <c r="FXL23" s="338"/>
      <c r="FXM23" s="338"/>
      <c r="FXN23" s="338"/>
      <c r="FXO23" s="338"/>
      <c r="FXP23" s="338"/>
      <c r="FXQ23" s="338"/>
      <c r="FXR23" s="338"/>
      <c r="FXS23" s="338"/>
      <c r="FXT23" s="338"/>
      <c r="FXU23" s="338"/>
      <c r="FXV23" s="338"/>
      <c r="FXW23" s="338"/>
      <c r="FXX23" s="338"/>
      <c r="FXY23" s="338"/>
      <c r="FXZ23" s="338"/>
      <c r="FYA23" s="338"/>
      <c r="FYB23" s="338"/>
      <c r="FYC23" s="338"/>
      <c r="FYD23" s="338"/>
      <c r="FYE23" s="338"/>
      <c r="FYF23" s="338"/>
      <c r="FYG23" s="338"/>
      <c r="FYH23" s="338"/>
      <c r="FYI23" s="338"/>
      <c r="FYJ23" s="338"/>
      <c r="FYK23" s="338"/>
      <c r="FYL23" s="338"/>
      <c r="FYM23" s="338"/>
      <c r="FYN23" s="338"/>
      <c r="FYO23" s="338"/>
      <c r="FYP23" s="338"/>
      <c r="FYQ23" s="338"/>
      <c r="FYR23" s="338"/>
      <c r="FYS23" s="338"/>
      <c r="FYT23" s="338"/>
      <c r="FYU23" s="338"/>
      <c r="FYV23" s="338"/>
      <c r="FYW23" s="338"/>
      <c r="FYX23" s="338"/>
      <c r="FYY23" s="338"/>
      <c r="FYZ23" s="338"/>
      <c r="FZA23" s="338"/>
      <c r="FZB23" s="338"/>
      <c r="FZC23" s="338"/>
      <c r="FZD23" s="338"/>
      <c r="FZE23" s="338"/>
      <c r="FZF23" s="338"/>
      <c r="FZG23" s="338"/>
      <c r="FZH23" s="338"/>
      <c r="FZI23" s="338"/>
      <c r="FZJ23" s="338"/>
      <c r="FZK23" s="338"/>
      <c r="FZL23" s="338"/>
      <c r="FZM23" s="338"/>
      <c r="FZN23" s="338"/>
      <c r="FZO23" s="338"/>
      <c r="FZP23" s="338"/>
      <c r="FZQ23" s="338"/>
      <c r="FZR23" s="338"/>
      <c r="FZS23" s="338"/>
      <c r="FZT23" s="338"/>
      <c r="FZU23" s="338"/>
      <c r="FZV23" s="338"/>
      <c r="FZW23" s="338"/>
      <c r="FZX23" s="338"/>
      <c r="FZY23" s="338"/>
      <c r="FZZ23" s="338"/>
      <c r="GAA23" s="338"/>
      <c r="GAB23" s="338"/>
      <c r="GAC23" s="338"/>
      <c r="GAD23" s="338"/>
      <c r="GAE23" s="338"/>
      <c r="GAF23" s="338"/>
      <c r="GAG23" s="338"/>
      <c r="GAH23" s="338"/>
      <c r="GAI23" s="338"/>
      <c r="GAJ23" s="338"/>
      <c r="GAK23" s="338"/>
      <c r="GAL23" s="338"/>
      <c r="GAM23" s="338"/>
      <c r="GAN23" s="338"/>
      <c r="GAO23" s="338"/>
      <c r="GAP23" s="338"/>
      <c r="GAQ23" s="338"/>
      <c r="GAR23" s="338"/>
      <c r="GAS23" s="338"/>
      <c r="GAT23" s="338"/>
      <c r="GAU23" s="338"/>
      <c r="GAV23" s="338"/>
      <c r="GAW23" s="338"/>
      <c r="GAX23" s="338"/>
      <c r="GAY23" s="338"/>
      <c r="GAZ23" s="338"/>
      <c r="GBA23" s="338"/>
      <c r="GBB23" s="338"/>
      <c r="GBC23" s="338"/>
      <c r="GBD23" s="338"/>
      <c r="GBE23" s="338"/>
      <c r="GBF23" s="338"/>
      <c r="GBG23" s="338"/>
      <c r="GBH23" s="338"/>
      <c r="GBI23" s="338"/>
      <c r="GBJ23" s="338"/>
      <c r="GBK23" s="338"/>
      <c r="GBL23" s="338"/>
      <c r="GBM23" s="338"/>
      <c r="GBN23" s="338"/>
      <c r="GBO23" s="338"/>
      <c r="GBP23" s="338"/>
      <c r="GBQ23" s="338"/>
      <c r="GBR23" s="338"/>
      <c r="GBS23" s="338"/>
      <c r="GBT23" s="338"/>
      <c r="GBU23" s="338"/>
      <c r="GBV23" s="338"/>
      <c r="GBW23" s="338"/>
      <c r="GBX23" s="338"/>
      <c r="GBY23" s="338"/>
      <c r="GBZ23" s="338"/>
      <c r="GCA23" s="338"/>
      <c r="GCB23" s="338"/>
      <c r="GCC23" s="338"/>
      <c r="GCD23" s="338"/>
      <c r="GCE23" s="338"/>
      <c r="GCF23" s="338"/>
      <c r="GCG23" s="338"/>
      <c r="GCH23" s="338"/>
      <c r="GCI23" s="338"/>
      <c r="GCJ23" s="338"/>
      <c r="GCK23" s="338"/>
      <c r="GCL23" s="338"/>
      <c r="GCM23" s="338"/>
      <c r="GCN23" s="338"/>
      <c r="GCO23" s="338"/>
      <c r="GCP23" s="338"/>
      <c r="GCQ23" s="338"/>
      <c r="GCR23" s="338"/>
      <c r="GCS23" s="338"/>
      <c r="GCT23" s="338"/>
      <c r="GCU23" s="338"/>
      <c r="GCV23" s="338"/>
      <c r="GCW23" s="338"/>
      <c r="GCX23" s="338"/>
      <c r="GCY23" s="338"/>
      <c r="GCZ23" s="338"/>
      <c r="GDA23" s="338"/>
      <c r="GDB23" s="338"/>
      <c r="GDC23" s="338"/>
      <c r="GDD23" s="338"/>
      <c r="GDE23" s="338"/>
      <c r="GDF23" s="338"/>
      <c r="GDG23" s="338"/>
      <c r="GDH23" s="338"/>
      <c r="GDI23" s="338"/>
      <c r="GDJ23" s="338"/>
      <c r="GDK23" s="338"/>
      <c r="GDL23" s="338"/>
      <c r="GDM23" s="338"/>
      <c r="GDN23" s="338"/>
      <c r="GDO23" s="338"/>
      <c r="GDP23" s="338"/>
      <c r="GDQ23" s="338"/>
      <c r="GDR23" s="338"/>
      <c r="GDS23" s="338"/>
      <c r="GDT23" s="338"/>
      <c r="GDU23" s="338"/>
      <c r="GDV23" s="338"/>
      <c r="GDW23" s="338"/>
      <c r="GDX23" s="338"/>
      <c r="GDY23" s="338"/>
      <c r="GDZ23" s="338"/>
      <c r="GEA23" s="338"/>
      <c r="GEB23" s="338"/>
      <c r="GEC23" s="338"/>
      <c r="GED23" s="338"/>
      <c r="GEE23" s="338"/>
      <c r="GEF23" s="338"/>
      <c r="GEG23" s="338"/>
      <c r="GEH23" s="338"/>
      <c r="GEI23" s="338"/>
      <c r="GEJ23" s="338"/>
      <c r="GEK23" s="338"/>
      <c r="GEL23" s="338"/>
      <c r="GEM23" s="338"/>
      <c r="GEN23" s="338"/>
      <c r="GEO23" s="338"/>
      <c r="GEP23" s="338"/>
      <c r="GEQ23" s="338"/>
      <c r="GER23" s="338"/>
      <c r="GES23" s="338"/>
      <c r="GET23" s="338"/>
      <c r="GEU23" s="338"/>
      <c r="GEV23" s="338"/>
      <c r="GEW23" s="338"/>
      <c r="GEX23" s="338"/>
      <c r="GEY23" s="338"/>
      <c r="GEZ23" s="338"/>
      <c r="GFA23" s="338"/>
      <c r="GFB23" s="338"/>
      <c r="GFC23" s="338"/>
      <c r="GFD23" s="338"/>
      <c r="GFE23" s="338"/>
      <c r="GFF23" s="338"/>
      <c r="GFG23" s="338"/>
      <c r="GFH23" s="338"/>
      <c r="GFI23" s="338"/>
      <c r="GFJ23" s="338"/>
      <c r="GFK23" s="338"/>
      <c r="GFL23" s="338"/>
      <c r="GFM23" s="338"/>
      <c r="GFN23" s="338"/>
      <c r="GFO23" s="338"/>
      <c r="GFP23" s="338"/>
      <c r="GFQ23" s="338"/>
      <c r="GFR23" s="338"/>
      <c r="GFS23" s="338"/>
      <c r="GFT23" s="338"/>
      <c r="GFU23" s="338"/>
      <c r="GFV23" s="338"/>
      <c r="GFW23" s="338"/>
      <c r="GFX23" s="338"/>
      <c r="GFY23" s="338"/>
      <c r="GFZ23" s="338"/>
      <c r="GGA23" s="338"/>
      <c r="GGB23" s="338"/>
      <c r="GGC23" s="338"/>
      <c r="GGD23" s="338"/>
      <c r="GGE23" s="338"/>
      <c r="GGF23" s="338"/>
      <c r="GGG23" s="338"/>
      <c r="GGH23" s="338"/>
      <c r="GGI23" s="338"/>
      <c r="GGJ23" s="338"/>
      <c r="GGK23" s="338"/>
      <c r="GGL23" s="338"/>
      <c r="GGM23" s="338"/>
      <c r="GGN23" s="338"/>
      <c r="GGO23" s="338"/>
      <c r="GGP23" s="338"/>
      <c r="GGQ23" s="338"/>
      <c r="GGR23" s="338"/>
      <c r="GGS23" s="338"/>
      <c r="GGT23" s="338"/>
      <c r="GGU23" s="338"/>
      <c r="GGV23" s="338"/>
      <c r="GGW23" s="338"/>
      <c r="GGX23" s="338"/>
      <c r="GGY23" s="338"/>
      <c r="GGZ23" s="338"/>
      <c r="GHA23" s="338"/>
      <c r="GHB23" s="338"/>
      <c r="GHC23" s="338"/>
      <c r="GHD23" s="338"/>
      <c r="GHE23" s="338"/>
      <c r="GHF23" s="338"/>
      <c r="GHG23" s="338"/>
      <c r="GHH23" s="338"/>
      <c r="GHI23" s="338"/>
      <c r="GHJ23" s="338"/>
      <c r="GHK23" s="338"/>
      <c r="GHL23" s="338"/>
      <c r="GHM23" s="338"/>
      <c r="GHN23" s="338"/>
      <c r="GHO23" s="338"/>
      <c r="GHP23" s="338"/>
      <c r="GHQ23" s="338"/>
      <c r="GHR23" s="338"/>
      <c r="GHS23" s="338"/>
      <c r="GHT23" s="338"/>
      <c r="GHU23" s="338"/>
      <c r="GHV23" s="338"/>
      <c r="GHW23" s="338"/>
      <c r="GHX23" s="338"/>
      <c r="GHY23" s="338"/>
      <c r="GHZ23" s="338"/>
      <c r="GIA23" s="338"/>
      <c r="GIB23" s="338"/>
      <c r="GIC23" s="338"/>
      <c r="GID23" s="338"/>
      <c r="GIE23" s="338"/>
      <c r="GIF23" s="338"/>
      <c r="GIG23" s="338"/>
      <c r="GIH23" s="338"/>
      <c r="GII23" s="338"/>
      <c r="GIJ23" s="338"/>
      <c r="GIK23" s="338"/>
      <c r="GIL23" s="338"/>
      <c r="GIM23" s="338"/>
      <c r="GIN23" s="338"/>
      <c r="GIO23" s="338"/>
      <c r="GIP23" s="338"/>
      <c r="GIQ23" s="338"/>
      <c r="GIR23" s="338"/>
      <c r="GIS23" s="338"/>
      <c r="GIT23" s="338"/>
      <c r="GIU23" s="338"/>
      <c r="GIV23" s="338"/>
      <c r="GIW23" s="338"/>
      <c r="GIX23" s="338"/>
      <c r="GIY23" s="338"/>
      <c r="GIZ23" s="338"/>
      <c r="GJA23" s="338"/>
      <c r="GJB23" s="338"/>
      <c r="GJC23" s="338"/>
      <c r="GJD23" s="338"/>
      <c r="GJE23" s="338"/>
      <c r="GJF23" s="338"/>
      <c r="GJG23" s="338"/>
      <c r="GJH23" s="338"/>
      <c r="GJI23" s="338"/>
      <c r="GJJ23" s="338"/>
      <c r="GJK23" s="338"/>
      <c r="GJL23" s="338"/>
      <c r="GJM23" s="338"/>
      <c r="GJN23" s="338"/>
      <c r="GJO23" s="338"/>
      <c r="GJP23" s="338"/>
      <c r="GJQ23" s="338"/>
      <c r="GJR23" s="338"/>
      <c r="GJS23" s="338"/>
      <c r="GJT23" s="338"/>
      <c r="GJU23" s="338"/>
      <c r="GJV23" s="338"/>
      <c r="GJW23" s="338"/>
      <c r="GJX23" s="338"/>
      <c r="GJY23" s="338"/>
      <c r="GJZ23" s="338"/>
      <c r="GKA23" s="338"/>
      <c r="GKB23" s="338"/>
      <c r="GKC23" s="338"/>
      <c r="GKD23" s="338"/>
      <c r="GKE23" s="338"/>
      <c r="GKF23" s="338"/>
      <c r="GKG23" s="338"/>
      <c r="GKH23" s="338"/>
      <c r="GKI23" s="338"/>
      <c r="GKJ23" s="338"/>
      <c r="GKK23" s="338"/>
      <c r="GKL23" s="338"/>
      <c r="GKM23" s="338"/>
      <c r="GKN23" s="338"/>
      <c r="GKO23" s="338"/>
      <c r="GKP23" s="338"/>
      <c r="GKQ23" s="338"/>
      <c r="GKR23" s="338"/>
      <c r="GKS23" s="338"/>
      <c r="GKT23" s="338"/>
      <c r="GKU23" s="338"/>
      <c r="GKV23" s="338"/>
      <c r="GKW23" s="338"/>
      <c r="GKX23" s="338"/>
      <c r="GKY23" s="338"/>
      <c r="GKZ23" s="338"/>
      <c r="GLA23" s="338"/>
      <c r="GLB23" s="338"/>
      <c r="GLC23" s="338"/>
      <c r="GLD23" s="338"/>
      <c r="GLE23" s="338"/>
      <c r="GLF23" s="338"/>
      <c r="GLG23" s="338"/>
      <c r="GLH23" s="338"/>
      <c r="GLI23" s="338"/>
      <c r="GLJ23" s="338"/>
      <c r="GLK23" s="338"/>
      <c r="GLL23" s="338"/>
      <c r="GLM23" s="338"/>
      <c r="GLN23" s="338"/>
      <c r="GLO23" s="338"/>
      <c r="GLP23" s="338"/>
      <c r="GLQ23" s="338"/>
      <c r="GLR23" s="338"/>
      <c r="GLS23" s="338"/>
      <c r="GLT23" s="338"/>
      <c r="GLU23" s="338"/>
      <c r="GLV23" s="338"/>
      <c r="GLW23" s="338"/>
      <c r="GLX23" s="338"/>
      <c r="GLY23" s="338"/>
      <c r="GLZ23" s="338"/>
      <c r="GMA23" s="338"/>
      <c r="GMB23" s="338"/>
      <c r="GMC23" s="338"/>
      <c r="GMD23" s="338"/>
      <c r="GME23" s="338"/>
      <c r="GMF23" s="338"/>
      <c r="GMG23" s="338"/>
      <c r="GMH23" s="338"/>
      <c r="GMI23" s="338"/>
      <c r="GMJ23" s="338"/>
      <c r="GMK23" s="338"/>
      <c r="GML23" s="338"/>
      <c r="GMM23" s="338"/>
      <c r="GMN23" s="338"/>
      <c r="GMO23" s="338"/>
      <c r="GMP23" s="338"/>
      <c r="GMQ23" s="338"/>
      <c r="GMR23" s="338"/>
      <c r="GMS23" s="338"/>
      <c r="GMT23" s="338"/>
      <c r="GMU23" s="338"/>
      <c r="GMV23" s="338"/>
      <c r="GMW23" s="338"/>
      <c r="GMX23" s="338"/>
      <c r="GMY23" s="338"/>
      <c r="GMZ23" s="338"/>
      <c r="GNA23" s="338"/>
      <c r="GNB23" s="338"/>
      <c r="GNC23" s="338"/>
      <c r="GND23" s="338"/>
      <c r="GNE23" s="338"/>
      <c r="GNF23" s="338"/>
      <c r="GNG23" s="338"/>
      <c r="GNH23" s="338"/>
      <c r="GNI23" s="338"/>
      <c r="GNJ23" s="338"/>
      <c r="GNK23" s="338"/>
      <c r="GNL23" s="338"/>
      <c r="GNM23" s="338"/>
      <c r="GNN23" s="338"/>
      <c r="GNO23" s="338"/>
      <c r="GNP23" s="338"/>
      <c r="GNQ23" s="338"/>
      <c r="GNR23" s="338"/>
      <c r="GNS23" s="338"/>
      <c r="GNT23" s="338"/>
      <c r="GNU23" s="338"/>
      <c r="GNV23" s="338"/>
      <c r="GNW23" s="338"/>
      <c r="GNX23" s="338"/>
      <c r="GNY23" s="338"/>
      <c r="GNZ23" s="338"/>
      <c r="GOA23" s="338"/>
      <c r="GOB23" s="338"/>
      <c r="GOC23" s="338"/>
      <c r="GOD23" s="338"/>
      <c r="GOE23" s="338"/>
      <c r="GOF23" s="338"/>
      <c r="GOG23" s="338"/>
      <c r="GOH23" s="338"/>
      <c r="GOI23" s="338"/>
      <c r="GOJ23" s="338"/>
      <c r="GOK23" s="338"/>
      <c r="GOL23" s="338"/>
      <c r="GOM23" s="338"/>
      <c r="GON23" s="338"/>
      <c r="GOO23" s="338"/>
      <c r="GOP23" s="338"/>
      <c r="GOQ23" s="338"/>
      <c r="GOR23" s="338"/>
      <c r="GOS23" s="338"/>
      <c r="GOT23" s="338"/>
      <c r="GOU23" s="338"/>
      <c r="GOV23" s="338"/>
      <c r="GOW23" s="338"/>
      <c r="GOX23" s="338"/>
      <c r="GOY23" s="338"/>
      <c r="GOZ23" s="338"/>
      <c r="GPA23" s="338"/>
      <c r="GPB23" s="338"/>
      <c r="GPC23" s="338"/>
      <c r="GPD23" s="338"/>
      <c r="GPE23" s="338"/>
      <c r="GPF23" s="338"/>
      <c r="GPG23" s="338"/>
      <c r="GPH23" s="338"/>
      <c r="GPI23" s="338"/>
      <c r="GPJ23" s="338"/>
      <c r="GPK23" s="338"/>
      <c r="GPL23" s="338"/>
      <c r="GPM23" s="338"/>
      <c r="GPN23" s="338"/>
      <c r="GPO23" s="338"/>
      <c r="GPP23" s="338"/>
      <c r="GPQ23" s="338"/>
      <c r="GPR23" s="338"/>
      <c r="GPS23" s="338"/>
      <c r="GPT23" s="338"/>
      <c r="GPU23" s="338"/>
      <c r="GPV23" s="338"/>
      <c r="GPW23" s="338"/>
      <c r="GPX23" s="338"/>
      <c r="GPY23" s="338"/>
      <c r="GPZ23" s="338"/>
      <c r="GQA23" s="338"/>
      <c r="GQB23" s="338"/>
      <c r="GQC23" s="338"/>
      <c r="GQD23" s="338"/>
      <c r="GQE23" s="338"/>
      <c r="GQF23" s="338"/>
      <c r="GQG23" s="338"/>
      <c r="GQH23" s="338"/>
      <c r="GQI23" s="338"/>
      <c r="GQJ23" s="338"/>
      <c r="GQK23" s="338"/>
      <c r="GQL23" s="338"/>
      <c r="GQM23" s="338"/>
      <c r="GQN23" s="338"/>
      <c r="GQO23" s="338"/>
      <c r="GQP23" s="338"/>
      <c r="GQQ23" s="338"/>
      <c r="GQR23" s="338"/>
      <c r="GQS23" s="338"/>
      <c r="GQT23" s="338"/>
      <c r="GQU23" s="338"/>
      <c r="GQV23" s="338"/>
      <c r="GQW23" s="338"/>
      <c r="GQX23" s="338"/>
      <c r="GQY23" s="338"/>
      <c r="GQZ23" s="338"/>
      <c r="GRA23" s="338"/>
      <c r="GRB23" s="338"/>
      <c r="GRC23" s="338"/>
      <c r="GRD23" s="338"/>
      <c r="GRE23" s="338"/>
      <c r="GRF23" s="338"/>
      <c r="GRG23" s="338"/>
      <c r="GRH23" s="338"/>
      <c r="GRI23" s="338"/>
      <c r="GRJ23" s="338"/>
      <c r="GRK23" s="338"/>
      <c r="GRL23" s="338"/>
      <c r="GRM23" s="338"/>
      <c r="GRN23" s="338"/>
      <c r="GRO23" s="338"/>
      <c r="GRP23" s="338"/>
      <c r="GRQ23" s="338"/>
      <c r="GRR23" s="338"/>
      <c r="GRS23" s="338"/>
      <c r="GRT23" s="338"/>
      <c r="GRU23" s="338"/>
      <c r="GRV23" s="338"/>
      <c r="GRW23" s="338"/>
      <c r="GRX23" s="338"/>
      <c r="GRY23" s="338"/>
      <c r="GRZ23" s="338"/>
      <c r="GSA23" s="338"/>
      <c r="GSB23" s="338"/>
      <c r="GSC23" s="338"/>
      <c r="GSD23" s="338"/>
      <c r="GSE23" s="338"/>
      <c r="GSF23" s="338"/>
      <c r="GSG23" s="338"/>
      <c r="GSH23" s="338"/>
      <c r="GSI23" s="338"/>
      <c r="GSJ23" s="338"/>
      <c r="GSK23" s="338"/>
      <c r="GSL23" s="338"/>
      <c r="GSM23" s="338"/>
      <c r="GSN23" s="338"/>
      <c r="GSO23" s="338"/>
      <c r="GSP23" s="338"/>
      <c r="GSQ23" s="338"/>
      <c r="GSR23" s="338"/>
      <c r="GSS23" s="338"/>
      <c r="GST23" s="338"/>
      <c r="GSU23" s="338"/>
      <c r="GSV23" s="338"/>
      <c r="GSW23" s="338"/>
      <c r="GSX23" s="338"/>
      <c r="GSY23" s="338"/>
      <c r="GSZ23" s="338"/>
      <c r="GTA23" s="338"/>
      <c r="GTB23" s="338"/>
      <c r="GTC23" s="338"/>
      <c r="GTD23" s="338"/>
      <c r="GTE23" s="338"/>
      <c r="GTF23" s="338"/>
      <c r="GTG23" s="338"/>
      <c r="GTH23" s="338"/>
      <c r="GTI23" s="338"/>
      <c r="GTJ23" s="338"/>
      <c r="GTK23" s="338"/>
      <c r="GTL23" s="338"/>
      <c r="GTM23" s="338"/>
      <c r="GTN23" s="338"/>
      <c r="GTO23" s="338"/>
      <c r="GTP23" s="338"/>
      <c r="GTQ23" s="338"/>
      <c r="GTR23" s="338"/>
      <c r="GTS23" s="338"/>
      <c r="GTT23" s="338"/>
      <c r="GTU23" s="338"/>
      <c r="GTV23" s="338"/>
      <c r="GTW23" s="338"/>
      <c r="GTX23" s="338"/>
      <c r="GTY23" s="338"/>
      <c r="GTZ23" s="338"/>
      <c r="GUA23" s="338"/>
      <c r="GUB23" s="338"/>
      <c r="GUC23" s="338"/>
      <c r="GUD23" s="338"/>
      <c r="GUE23" s="338"/>
      <c r="GUF23" s="338"/>
      <c r="GUG23" s="338"/>
      <c r="GUH23" s="338"/>
      <c r="GUI23" s="338"/>
      <c r="GUJ23" s="338"/>
      <c r="GUK23" s="338"/>
      <c r="GUL23" s="338"/>
      <c r="GUM23" s="338"/>
      <c r="GUN23" s="338"/>
      <c r="GUO23" s="338"/>
      <c r="GUP23" s="338"/>
      <c r="GUQ23" s="338"/>
      <c r="GUR23" s="338"/>
      <c r="GUS23" s="338"/>
      <c r="GUT23" s="338"/>
      <c r="GUU23" s="338"/>
      <c r="GUV23" s="338"/>
      <c r="GUW23" s="338"/>
      <c r="GUX23" s="338"/>
      <c r="GUY23" s="338"/>
      <c r="GUZ23" s="338"/>
      <c r="GVA23" s="338"/>
      <c r="GVB23" s="338"/>
      <c r="GVC23" s="338"/>
      <c r="GVD23" s="338"/>
      <c r="GVE23" s="338"/>
      <c r="GVF23" s="338"/>
      <c r="GVG23" s="338"/>
      <c r="GVH23" s="338"/>
      <c r="GVI23" s="338"/>
      <c r="GVJ23" s="338"/>
      <c r="GVK23" s="338"/>
      <c r="GVL23" s="338"/>
      <c r="GVM23" s="338"/>
      <c r="GVN23" s="338"/>
      <c r="GVO23" s="338"/>
      <c r="GVP23" s="338"/>
      <c r="GVQ23" s="338"/>
      <c r="GVR23" s="338"/>
      <c r="GVS23" s="338"/>
      <c r="GVT23" s="338"/>
      <c r="GVU23" s="338"/>
      <c r="GVV23" s="338"/>
      <c r="GVW23" s="338"/>
      <c r="GVX23" s="338"/>
      <c r="GVY23" s="338"/>
      <c r="GVZ23" s="338"/>
      <c r="GWA23" s="338"/>
      <c r="GWB23" s="338"/>
      <c r="GWC23" s="338"/>
      <c r="GWD23" s="338"/>
      <c r="GWE23" s="338"/>
      <c r="GWF23" s="338"/>
      <c r="GWG23" s="338"/>
      <c r="GWH23" s="338"/>
      <c r="GWI23" s="338"/>
      <c r="GWJ23" s="338"/>
      <c r="GWK23" s="338"/>
      <c r="GWL23" s="338"/>
      <c r="GWM23" s="338"/>
      <c r="GWN23" s="338"/>
      <c r="GWO23" s="338"/>
      <c r="GWP23" s="338"/>
      <c r="GWQ23" s="338"/>
      <c r="GWR23" s="338"/>
      <c r="GWS23" s="338"/>
      <c r="GWT23" s="338"/>
      <c r="GWU23" s="338"/>
      <c r="GWV23" s="338"/>
      <c r="GWW23" s="338"/>
      <c r="GWX23" s="338"/>
      <c r="GWY23" s="338"/>
      <c r="GWZ23" s="338"/>
      <c r="GXA23" s="338"/>
      <c r="GXB23" s="338"/>
      <c r="GXC23" s="338"/>
      <c r="GXD23" s="338"/>
      <c r="GXE23" s="338"/>
      <c r="GXF23" s="338"/>
      <c r="GXG23" s="338"/>
      <c r="GXH23" s="338"/>
      <c r="GXI23" s="338"/>
      <c r="GXJ23" s="338"/>
      <c r="GXK23" s="338"/>
      <c r="GXL23" s="338"/>
      <c r="GXM23" s="338"/>
      <c r="GXN23" s="338"/>
      <c r="GXO23" s="338"/>
      <c r="GXP23" s="338"/>
      <c r="GXQ23" s="338"/>
      <c r="GXR23" s="338"/>
      <c r="GXS23" s="338"/>
      <c r="GXT23" s="338"/>
      <c r="GXU23" s="338"/>
      <c r="GXV23" s="338"/>
      <c r="GXW23" s="338"/>
      <c r="GXX23" s="338"/>
      <c r="GXY23" s="338"/>
      <c r="GXZ23" s="338"/>
      <c r="GYA23" s="338"/>
      <c r="GYB23" s="338"/>
      <c r="GYC23" s="338"/>
      <c r="GYD23" s="338"/>
      <c r="GYE23" s="338"/>
      <c r="GYF23" s="338"/>
      <c r="GYG23" s="338"/>
      <c r="GYH23" s="338"/>
      <c r="GYI23" s="338"/>
      <c r="GYJ23" s="338"/>
      <c r="GYK23" s="338"/>
      <c r="GYL23" s="338"/>
      <c r="GYM23" s="338"/>
      <c r="GYN23" s="338"/>
      <c r="GYO23" s="338"/>
      <c r="GYP23" s="338"/>
      <c r="GYQ23" s="338"/>
      <c r="GYR23" s="338"/>
      <c r="GYS23" s="338"/>
      <c r="GYT23" s="338"/>
      <c r="GYU23" s="338"/>
      <c r="GYV23" s="338"/>
      <c r="GYW23" s="338"/>
      <c r="GYX23" s="338"/>
      <c r="GYY23" s="338"/>
      <c r="GYZ23" s="338"/>
      <c r="GZA23" s="338"/>
      <c r="GZB23" s="338"/>
      <c r="GZC23" s="338"/>
      <c r="GZD23" s="338"/>
      <c r="GZE23" s="338"/>
      <c r="GZF23" s="338"/>
      <c r="GZG23" s="338"/>
      <c r="GZH23" s="338"/>
      <c r="GZI23" s="338"/>
      <c r="GZJ23" s="338"/>
      <c r="GZK23" s="338"/>
      <c r="GZL23" s="338"/>
      <c r="GZM23" s="338"/>
      <c r="GZN23" s="338"/>
      <c r="GZO23" s="338"/>
      <c r="GZP23" s="338"/>
      <c r="GZQ23" s="338"/>
      <c r="GZR23" s="338"/>
      <c r="GZS23" s="338"/>
      <c r="GZT23" s="338"/>
      <c r="GZU23" s="338"/>
      <c r="GZV23" s="338"/>
      <c r="GZW23" s="338"/>
      <c r="GZX23" s="338"/>
      <c r="GZY23" s="338"/>
      <c r="GZZ23" s="338"/>
      <c r="HAA23" s="338"/>
      <c r="HAB23" s="338"/>
      <c r="HAC23" s="338"/>
      <c r="HAD23" s="338"/>
      <c r="HAE23" s="338"/>
      <c r="HAF23" s="338"/>
      <c r="HAG23" s="338"/>
      <c r="HAH23" s="338"/>
      <c r="HAI23" s="338"/>
      <c r="HAJ23" s="338"/>
      <c r="HAK23" s="338"/>
      <c r="HAL23" s="338"/>
      <c r="HAM23" s="338"/>
      <c r="HAN23" s="338"/>
      <c r="HAO23" s="338"/>
      <c r="HAP23" s="338"/>
      <c r="HAQ23" s="338"/>
      <c r="HAR23" s="338"/>
      <c r="HAS23" s="338"/>
      <c r="HAT23" s="338"/>
      <c r="HAU23" s="338"/>
      <c r="HAV23" s="338"/>
      <c r="HAW23" s="338"/>
      <c r="HAX23" s="338"/>
      <c r="HAY23" s="338"/>
      <c r="HAZ23" s="338"/>
      <c r="HBA23" s="338"/>
      <c r="HBB23" s="338"/>
      <c r="HBC23" s="338"/>
      <c r="HBD23" s="338"/>
      <c r="HBE23" s="338"/>
      <c r="HBF23" s="338"/>
      <c r="HBG23" s="338"/>
      <c r="HBH23" s="338"/>
      <c r="HBI23" s="338"/>
      <c r="HBJ23" s="338"/>
      <c r="HBK23" s="338"/>
      <c r="HBL23" s="338"/>
      <c r="HBM23" s="338"/>
      <c r="HBN23" s="338"/>
      <c r="HBO23" s="338"/>
      <c r="HBP23" s="338"/>
      <c r="HBQ23" s="338"/>
      <c r="HBR23" s="338"/>
      <c r="HBS23" s="338"/>
      <c r="HBT23" s="338"/>
      <c r="HBU23" s="338"/>
      <c r="HBV23" s="338"/>
      <c r="HBW23" s="338"/>
      <c r="HBX23" s="338"/>
      <c r="HBY23" s="338"/>
      <c r="HBZ23" s="338"/>
      <c r="HCA23" s="338"/>
      <c r="HCB23" s="338"/>
      <c r="HCC23" s="338"/>
      <c r="HCD23" s="338"/>
      <c r="HCE23" s="338"/>
      <c r="HCF23" s="338"/>
      <c r="HCG23" s="338"/>
      <c r="HCH23" s="338"/>
      <c r="HCI23" s="338"/>
      <c r="HCJ23" s="338"/>
      <c r="HCK23" s="338"/>
      <c r="HCL23" s="338"/>
      <c r="HCM23" s="338"/>
      <c r="HCN23" s="338"/>
      <c r="HCO23" s="338"/>
      <c r="HCP23" s="338"/>
      <c r="HCQ23" s="338"/>
      <c r="HCR23" s="338"/>
      <c r="HCS23" s="338"/>
      <c r="HCT23" s="338"/>
      <c r="HCU23" s="338"/>
      <c r="HCV23" s="338"/>
      <c r="HCW23" s="338"/>
      <c r="HCX23" s="338"/>
      <c r="HCY23" s="338"/>
      <c r="HCZ23" s="338"/>
      <c r="HDA23" s="338"/>
      <c r="HDB23" s="338"/>
      <c r="HDC23" s="338"/>
      <c r="HDD23" s="338"/>
      <c r="HDE23" s="338"/>
      <c r="HDF23" s="338"/>
      <c r="HDG23" s="338"/>
      <c r="HDH23" s="338"/>
      <c r="HDI23" s="338"/>
      <c r="HDJ23" s="338"/>
      <c r="HDK23" s="338"/>
      <c r="HDL23" s="338"/>
      <c r="HDM23" s="338"/>
      <c r="HDN23" s="338"/>
      <c r="HDO23" s="338"/>
      <c r="HDP23" s="338"/>
      <c r="HDQ23" s="338"/>
      <c r="HDR23" s="338"/>
      <c r="HDS23" s="338"/>
      <c r="HDT23" s="338"/>
      <c r="HDU23" s="338"/>
      <c r="HDV23" s="338"/>
      <c r="HDW23" s="338"/>
      <c r="HDX23" s="338"/>
      <c r="HDY23" s="338"/>
      <c r="HDZ23" s="338"/>
      <c r="HEA23" s="338"/>
      <c r="HEB23" s="338"/>
      <c r="HEC23" s="338"/>
      <c r="HED23" s="338"/>
      <c r="HEE23" s="338"/>
      <c r="HEF23" s="338"/>
      <c r="HEG23" s="338"/>
      <c r="HEH23" s="338"/>
      <c r="HEI23" s="338"/>
      <c r="HEJ23" s="338"/>
      <c r="HEK23" s="338"/>
      <c r="HEL23" s="338"/>
      <c r="HEM23" s="338"/>
      <c r="HEN23" s="338"/>
      <c r="HEO23" s="338"/>
      <c r="HEP23" s="338"/>
      <c r="HEQ23" s="338"/>
      <c r="HER23" s="338"/>
      <c r="HES23" s="338"/>
      <c r="HET23" s="338"/>
      <c r="HEU23" s="338"/>
      <c r="HEV23" s="338"/>
      <c r="HEW23" s="338"/>
      <c r="HEX23" s="338"/>
      <c r="HEY23" s="338"/>
      <c r="HEZ23" s="338"/>
      <c r="HFA23" s="338"/>
      <c r="HFB23" s="338"/>
      <c r="HFC23" s="338"/>
      <c r="HFD23" s="338"/>
      <c r="HFE23" s="338"/>
      <c r="HFF23" s="338"/>
      <c r="HFG23" s="338"/>
      <c r="HFH23" s="338"/>
      <c r="HFI23" s="338"/>
      <c r="HFJ23" s="338"/>
      <c r="HFK23" s="338"/>
      <c r="HFL23" s="338"/>
      <c r="HFM23" s="338"/>
      <c r="HFN23" s="338"/>
      <c r="HFO23" s="338"/>
      <c r="HFP23" s="338"/>
      <c r="HFQ23" s="338"/>
      <c r="HFR23" s="338"/>
      <c r="HFS23" s="338"/>
      <c r="HFT23" s="338"/>
      <c r="HFU23" s="338"/>
      <c r="HFV23" s="338"/>
      <c r="HFW23" s="338"/>
      <c r="HFX23" s="338"/>
      <c r="HFY23" s="338"/>
      <c r="HFZ23" s="338"/>
      <c r="HGA23" s="338"/>
      <c r="HGB23" s="338"/>
      <c r="HGC23" s="338"/>
      <c r="HGD23" s="338"/>
      <c r="HGE23" s="338"/>
      <c r="HGF23" s="338"/>
      <c r="HGG23" s="338"/>
      <c r="HGH23" s="338"/>
      <c r="HGI23" s="338"/>
      <c r="HGJ23" s="338"/>
      <c r="HGK23" s="338"/>
      <c r="HGL23" s="338"/>
      <c r="HGM23" s="338"/>
      <c r="HGN23" s="338"/>
      <c r="HGO23" s="338"/>
      <c r="HGP23" s="338"/>
      <c r="HGQ23" s="338"/>
      <c r="HGR23" s="338"/>
      <c r="HGS23" s="338"/>
      <c r="HGT23" s="338"/>
      <c r="HGU23" s="338"/>
      <c r="HGV23" s="338"/>
      <c r="HGW23" s="338"/>
      <c r="HGX23" s="338"/>
      <c r="HGY23" s="338"/>
      <c r="HGZ23" s="338"/>
      <c r="HHA23" s="338"/>
      <c r="HHB23" s="338"/>
      <c r="HHC23" s="338"/>
      <c r="HHD23" s="338"/>
      <c r="HHE23" s="338"/>
      <c r="HHF23" s="338"/>
      <c r="HHG23" s="338"/>
      <c r="HHH23" s="338"/>
      <c r="HHI23" s="338"/>
      <c r="HHJ23" s="338"/>
      <c r="HHK23" s="338"/>
      <c r="HHL23" s="338"/>
      <c r="HHM23" s="338"/>
      <c r="HHN23" s="338"/>
      <c r="HHO23" s="338"/>
      <c r="HHP23" s="338"/>
      <c r="HHQ23" s="338"/>
      <c r="HHR23" s="338"/>
      <c r="HHS23" s="338"/>
      <c r="HHT23" s="338"/>
      <c r="HHU23" s="338"/>
      <c r="HHV23" s="338"/>
      <c r="HHW23" s="338"/>
      <c r="HHX23" s="338"/>
      <c r="HHY23" s="338"/>
      <c r="HHZ23" s="338"/>
      <c r="HIA23" s="338"/>
      <c r="HIB23" s="338"/>
      <c r="HIC23" s="338"/>
      <c r="HID23" s="338"/>
      <c r="HIE23" s="338"/>
      <c r="HIF23" s="338"/>
      <c r="HIG23" s="338"/>
      <c r="HIH23" s="338"/>
      <c r="HII23" s="338"/>
      <c r="HIJ23" s="338"/>
      <c r="HIK23" s="338"/>
      <c r="HIL23" s="338"/>
      <c r="HIM23" s="338"/>
      <c r="HIN23" s="338"/>
      <c r="HIO23" s="338"/>
      <c r="HIP23" s="338"/>
      <c r="HIQ23" s="338"/>
      <c r="HIR23" s="338"/>
      <c r="HIS23" s="338"/>
      <c r="HIT23" s="338"/>
      <c r="HIU23" s="338"/>
      <c r="HIV23" s="338"/>
      <c r="HIW23" s="338"/>
      <c r="HIX23" s="338"/>
      <c r="HIY23" s="338"/>
      <c r="HIZ23" s="338"/>
      <c r="HJA23" s="338"/>
      <c r="HJB23" s="338"/>
      <c r="HJC23" s="338"/>
      <c r="HJD23" s="338"/>
      <c r="HJE23" s="338"/>
      <c r="HJF23" s="338"/>
      <c r="HJG23" s="338"/>
      <c r="HJH23" s="338"/>
      <c r="HJI23" s="338"/>
      <c r="HJJ23" s="338"/>
      <c r="HJK23" s="338"/>
      <c r="HJL23" s="338"/>
      <c r="HJM23" s="338"/>
      <c r="HJN23" s="338"/>
      <c r="HJO23" s="338"/>
      <c r="HJP23" s="338"/>
      <c r="HJQ23" s="338"/>
      <c r="HJR23" s="338"/>
      <c r="HJS23" s="338"/>
      <c r="HJT23" s="338"/>
      <c r="HJU23" s="338"/>
      <c r="HJV23" s="338"/>
      <c r="HJW23" s="338"/>
      <c r="HJX23" s="338"/>
      <c r="HJY23" s="338"/>
      <c r="HJZ23" s="338"/>
      <c r="HKA23" s="338"/>
      <c r="HKB23" s="338"/>
      <c r="HKC23" s="338"/>
      <c r="HKD23" s="338"/>
      <c r="HKE23" s="338"/>
      <c r="HKF23" s="338"/>
      <c r="HKG23" s="338"/>
      <c r="HKH23" s="338"/>
      <c r="HKI23" s="338"/>
      <c r="HKJ23" s="338"/>
      <c r="HKK23" s="338"/>
      <c r="HKL23" s="338"/>
      <c r="HKM23" s="338"/>
      <c r="HKN23" s="338"/>
      <c r="HKO23" s="338"/>
      <c r="HKP23" s="338"/>
      <c r="HKQ23" s="338"/>
      <c r="HKR23" s="338"/>
      <c r="HKS23" s="338"/>
      <c r="HKT23" s="338"/>
      <c r="HKU23" s="338"/>
      <c r="HKV23" s="338"/>
      <c r="HKW23" s="338"/>
      <c r="HKX23" s="338"/>
      <c r="HKY23" s="338"/>
      <c r="HKZ23" s="338"/>
      <c r="HLA23" s="338"/>
      <c r="HLB23" s="338"/>
      <c r="HLC23" s="338"/>
      <c r="HLD23" s="338"/>
      <c r="HLE23" s="338"/>
      <c r="HLF23" s="338"/>
      <c r="HLG23" s="338"/>
      <c r="HLH23" s="338"/>
      <c r="HLI23" s="338"/>
      <c r="HLJ23" s="338"/>
      <c r="HLK23" s="338"/>
      <c r="HLL23" s="338"/>
      <c r="HLM23" s="338"/>
      <c r="HLN23" s="338"/>
      <c r="HLO23" s="338"/>
      <c r="HLP23" s="338"/>
      <c r="HLQ23" s="338"/>
      <c r="HLR23" s="338"/>
      <c r="HLS23" s="338"/>
      <c r="HLT23" s="338"/>
      <c r="HLU23" s="338"/>
      <c r="HLV23" s="338"/>
      <c r="HLW23" s="338"/>
      <c r="HLX23" s="338"/>
      <c r="HLY23" s="338"/>
      <c r="HLZ23" s="338"/>
      <c r="HMA23" s="338"/>
      <c r="HMB23" s="338"/>
      <c r="HMC23" s="338"/>
      <c r="HMD23" s="338"/>
      <c r="HME23" s="338"/>
      <c r="HMF23" s="338"/>
      <c r="HMG23" s="338"/>
      <c r="HMH23" s="338"/>
      <c r="HMI23" s="338"/>
      <c r="HMJ23" s="338"/>
      <c r="HMK23" s="338"/>
      <c r="HML23" s="338"/>
      <c r="HMM23" s="338"/>
      <c r="HMN23" s="338"/>
      <c r="HMO23" s="338"/>
      <c r="HMP23" s="338"/>
      <c r="HMQ23" s="338"/>
      <c r="HMR23" s="338"/>
      <c r="HMS23" s="338"/>
      <c r="HMT23" s="338"/>
      <c r="HMU23" s="338"/>
      <c r="HMV23" s="338"/>
      <c r="HMW23" s="338"/>
      <c r="HMX23" s="338"/>
      <c r="HMY23" s="338"/>
      <c r="HMZ23" s="338"/>
      <c r="HNA23" s="338"/>
      <c r="HNB23" s="338"/>
      <c r="HNC23" s="338"/>
      <c r="HND23" s="338"/>
      <c r="HNE23" s="338"/>
      <c r="HNF23" s="338"/>
      <c r="HNG23" s="338"/>
      <c r="HNH23" s="338"/>
      <c r="HNI23" s="338"/>
      <c r="HNJ23" s="338"/>
      <c r="HNK23" s="338"/>
      <c r="HNL23" s="338"/>
      <c r="HNM23" s="338"/>
      <c r="HNN23" s="338"/>
      <c r="HNO23" s="338"/>
      <c r="HNP23" s="338"/>
      <c r="HNQ23" s="338"/>
      <c r="HNR23" s="338"/>
      <c r="HNS23" s="338"/>
      <c r="HNT23" s="338"/>
      <c r="HNU23" s="338"/>
      <c r="HNV23" s="338"/>
      <c r="HNW23" s="338"/>
      <c r="HNX23" s="338"/>
      <c r="HNY23" s="338"/>
      <c r="HNZ23" s="338"/>
      <c r="HOA23" s="338"/>
      <c r="HOB23" s="338"/>
      <c r="HOC23" s="338"/>
      <c r="HOD23" s="338"/>
      <c r="HOE23" s="338"/>
      <c r="HOF23" s="338"/>
      <c r="HOG23" s="338"/>
      <c r="HOH23" s="338"/>
      <c r="HOI23" s="338"/>
      <c r="HOJ23" s="338"/>
      <c r="HOK23" s="338"/>
      <c r="HOL23" s="338"/>
      <c r="HOM23" s="338"/>
      <c r="HON23" s="338"/>
      <c r="HOO23" s="338"/>
      <c r="HOP23" s="338"/>
      <c r="HOQ23" s="338"/>
      <c r="HOR23" s="338"/>
      <c r="HOS23" s="338"/>
      <c r="HOT23" s="338"/>
      <c r="HOU23" s="338"/>
      <c r="HOV23" s="338"/>
      <c r="HOW23" s="338"/>
      <c r="HOX23" s="338"/>
      <c r="HOY23" s="338"/>
      <c r="HOZ23" s="338"/>
      <c r="HPA23" s="338"/>
      <c r="HPB23" s="338"/>
      <c r="HPC23" s="338"/>
      <c r="HPD23" s="338"/>
      <c r="HPE23" s="338"/>
      <c r="HPF23" s="338"/>
      <c r="HPG23" s="338"/>
      <c r="HPH23" s="338"/>
      <c r="HPI23" s="338"/>
      <c r="HPJ23" s="338"/>
      <c r="HPK23" s="338"/>
      <c r="HPL23" s="338"/>
      <c r="HPM23" s="338"/>
      <c r="HPN23" s="338"/>
      <c r="HPO23" s="338"/>
      <c r="HPP23" s="338"/>
      <c r="HPQ23" s="338"/>
      <c r="HPR23" s="338"/>
      <c r="HPS23" s="338"/>
      <c r="HPT23" s="338"/>
      <c r="HPU23" s="338"/>
      <c r="HPV23" s="338"/>
      <c r="HPW23" s="338"/>
      <c r="HPX23" s="338"/>
      <c r="HPY23" s="338"/>
      <c r="HPZ23" s="338"/>
      <c r="HQA23" s="338"/>
      <c r="HQB23" s="338"/>
      <c r="HQC23" s="338"/>
      <c r="HQD23" s="338"/>
      <c r="HQE23" s="338"/>
      <c r="HQF23" s="338"/>
      <c r="HQG23" s="338"/>
      <c r="HQH23" s="338"/>
      <c r="HQI23" s="338"/>
      <c r="HQJ23" s="338"/>
      <c r="HQK23" s="338"/>
      <c r="HQL23" s="338"/>
      <c r="HQM23" s="338"/>
      <c r="HQN23" s="338"/>
      <c r="HQO23" s="338"/>
      <c r="HQP23" s="338"/>
      <c r="HQQ23" s="338"/>
      <c r="HQR23" s="338"/>
      <c r="HQS23" s="338"/>
      <c r="HQT23" s="338"/>
      <c r="HQU23" s="338"/>
      <c r="HQV23" s="338"/>
      <c r="HQW23" s="338"/>
      <c r="HQX23" s="338"/>
      <c r="HQY23" s="338"/>
      <c r="HQZ23" s="338"/>
      <c r="HRA23" s="338"/>
      <c r="HRB23" s="338"/>
      <c r="HRC23" s="338"/>
      <c r="HRD23" s="338"/>
      <c r="HRE23" s="338"/>
      <c r="HRF23" s="338"/>
      <c r="HRG23" s="338"/>
      <c r="HRH23" s="338"/>
      <c r="HRI23" s="338"/>
      <c r="HRJ23" s="338"/>
      <c r="HRK23" s="338"/>
      <c r="HRL23" s="338"/>
      <c r="HRM23" s="338"/>
      <c r="HRN23" s="338"/>
      <c r="HRO23" s="338"/>
      <c r="HRP23" s="338"/>
      <c r="HRQ23" s="338"/>
      <c r="HRR23" s="338"/>
      <c r="HRS23" s="338"/>
      <c r="HRT23" s="338"/>
      <c r="HRU23" s="338"/>
      <c r="HRV23" s="338"/>
      <c r="HRW23" s="338"/>
      <c r="HRX23" s="338"/>
      <c r="HRY23" s="338"/>
      <c r="HRZ23" s="338"/>
      <c r="HSA23" s="338"/>
      <c r="HSB23" s="338"/>
      <c r="HSC23" s="338"/>
      <c r="HSD23" s="338"/>
      <c r="HSE23" s="338"/>
      <c r="HSF23" s="338"/>
      <c r="HSG23" s="338"/>
      <c r="HSH23" s="338"/>
      <c r="HSI23" s="338"/>
      <c r="HSJ23" s="338"/>
      <c r="HSK23" s="338"/>
      <c r="HSL23" s="338"/>
      <c r="HSM23" s="338"/>
      <c r="HSN23" s="338"/>
      <c r="HSO23" s="338"/>
      <c r="HSP23" s="338"/>
      <c r="HSQ23" s="338"/>
      <c r="HSR23" s="338"/>
      <c r="HSS23" s="338"/>
      <c r="HST23" s="338"/>
      <c r="HSU23" s="338"/>
      <c r="HSV23" s="338"/>
      <c r="HSW23" s="338"/>
      <c r="HSX23" s="338"/>
      <c r="HSY23" s="338"/>
      <c r="HSZ23" s="338"/>
      <c r="HTA23" s="338"/>
      <c r="HTB23" s="338"/>
      <c r="HTC23" s="338"/>
      <c r="HTD23" s="338"/>
      <c r="HTE23" s="338"/>
      <c r="HTF23" s="338"/>
      <c r="HTG23" s="338"/>
      <c r="HTH23" s="338"/>
      <c r="HTI23" s="338"/>
      <c r="HTJ23" s="338"/>
      <c r="HTK23" s="338"/>
      <c r="HTL23" s="338"/>
      <c r="HTM23" s="338"/>
      <c r="HTN23" s="338"/>
      <c r="HTO23" s="338"/>
      <c r="HTP23" s="338"/>
      <c r="HTQ23" s="338"/>
      <c r="HTR23" s="338"/>
      <c r="HTS23" s="338"/>
      <c r="HTT23" s="338"/>
      <c r="HTU23" s="338"/>
      <c r="HTV23" s="338"/>
      <c r="HTW23" s="338"/>
      <c r="HTX23" s="338"/>
      <c r="HTY23" s="338"/>
      <c r="HTZ23" s="338"/>
      <c r="HUA23" s="338"/>
      <c r="HUB23" s="338"/>
      <c r="HUC23" s="338"/>
      <c r="HUD23" s="338"/>
      <c r="HUE23" s="338"/>
      <c r="HUF23" s="338"/>
      <c r="HUG23" s="338"/>
      <c r="HUH23" s="338"/>
      <c r="HUI23" s="338"/>
      <c r="HUJ23" s="338"/>
      <c r="HUK23" s="338"/>
      <c r="HUL23" s="338"/>
      <c r="HUM23" s="338"/>
      <c r="HUN23" s="338"/>
      <c r="HUO23" s="338"/>
      <c r="HUP23" s="338"/>
      <c r="HUQ23" s="338"/>
      <c r="HUR23" s="338"/>
      <c r="HUS23" s="338"/>
      <c r="HUT23" s="338"/>
      <c r="HUU23" s="338"/>
      <c r="HUV23" s="338"/>
      <c r="HUW23" s="338"/>
      <c r="HUX23" s="338"/>
      <c r="HUY23" s="338"/>
      <c r="HUZ23" s="338"/>
      <c r="HVA23" s="338"/>
      <c r="HVB23" s="338"/>
      <c r="HVC23" s="338"/>
      <c r="HVD23" s="338"/>
      <c r="HVE23" s="338"/>
      <c r="HVF23" s="338"/>
      <c r="HVG23" s="338"/>
      <c r="HVH23" s="338"/>
      <c r="HVI23" s="338"/>
      <c r="HVJ23" s="338"/>
      <c r="HVK23" s="338"/>
      <c r="HVL23" s="338"/>
      <c r="HVM23" s="338"/>
      <c r="HVN23" s="338"/>
      <c r="HVO23" s="338"/>
      <c r="HVP23" s="338"/>
      <c r="HVQ23" s="338"/>
      <c r="HVR23" s="338"/>
      <c r="HVS23" s="338"/>
      <c r="HVT23" s="338"/>
      <c r="HVU23" s="338"/>
      <c r="HVV23" s="338"/>
      <c r="HVW23" s="338"/>
      <c r="HVX23" s="338"/>
      <c r="HVY23" s="338"/>
      <c r="HVZ23" s="338"/>
      <c r="HWA23" s="338"/>
      <c r="HWB23" s="338"/>
      <c r="HWC23" s="338"/>
      <c r="HWD23" s="338"/>
      <c r="HWE23" s="338"/>
      <c r="HWF23" s="338"/>
      <c r="HWG23" s="338"/>
      <c r="HWH23" s="338"/>
      <c r="HWI23" s="338"/>
      <c r="HWJ23" s="338"/>
      <c r="HWK23" s="338"/>
      <c r="HWL23" s="338"/>
      <c r="HWM23" s="338"/>
      <c r="HWN23" s="338"/>
      <c r="HWO23" s="338"/>
      <c r="HWP23" s="338"/>
      <c r="HWQ23" s="338"/>
      <c r="HWR23" s="338"/>
      <c r="HWS23" s="338"/>
      <c r="HWT23" s="338"/>
      <c r="HWU23" s="338"/>
      <c r="HWV23" s="338"/>
      <c r="HWW23" s="338"/>
      <c r="HWX23" s="338"/>
      <c r="HWY23" s="338"/>
      <c r="HWZ23" s="338"/>
      <c r="HXA23" s="338"/>
      <c r="HXB23" s="338"/>
      <c r="HXC23" s="338"/>
      <c r="HXD23" s="338"/>
      <c r="HXE23" s="338"/>
      <c r="HXF23" s="338"/>
      <c r="HXG23" s="338"/>
      <c r="HXH23" s="338"/>
      <c r="HXI23" s="338"/>
      <c r="HXJ23" s="338"/>
      <c r="HXK23" s="338"/>
      <c r="HXL23" s="338"/>
      <c r="HXM23" s="338"/>
      <c r="HXN23" s="338"/>
      <c r="HXO23" s="338"/>
      <c r="HXP23" s="338"/>
      <c r="HXQ23" s="338"/>
      <c r="HXR23" s="338"/>
      <c r="HXS23" s="338"/>
      <c r="HXT23" s="338"/>
      <c r="HXU23" s="338"/>
      <c r="HXV23" s="338"/>
      <c r="HXW23" s="338"/>
      <c r="HXX23" s="338"/>
      <c r="HXY23" s="338"/>
      <c r="HXZ23" s="338"/>
      <c r="HYA23" s="338"/>
      <c r="HYB23" s="338"/>
      <c r="HYC23" s="338"/>
      <c r="HYD23" s="338"/>
      <c r="HYE23" s="338"/>
      <c r="HYF23" s="338"/>
      <c r="HYG23" s="338"/>
      <c r="HYH23" s="338"/>
      <c r="HYI23" s="338"/>
      <c r="HYJ23" s="338"/>
      <c r="HYK23" s="338"/>
      <c r="HYL23" s="338"/>
      <c r="HYM23" s="338"/>
      <c r="HYN23" s="338"/>
      <c r="HYO23" s="338"/>
      <c r="HYP23" s="338"/>
      <c r="HYQ23" s="338"/>
      <c r="HYR23" s="338"/>
      <c r="HYS23" s="338"/>
      <c r="HYT23" s="338"/>
      <c r="HYU23" s="338"/>
      <c r="HYV23" s="338"/>
      <c r="HYW23" s="338"/>
      <c r="HYX23" s="338"/>
      <c r="HYY23" s="338"/>
      <c r="HYZ23" s="338"/>
      <c r="HZA23" s="338"/>
      <c r="HZB23" s="338"/>
      <c r="HZC23" s="338"/>
      <c r="HZD23" s="338"/>
      <c r="HZE23" s="338"/>
      <c r="HZF23" s="338"/>
      <c r="HZG23" s="338"/>
      <c r="HZH23" s="338"/>
      <c r="HZI23" s="338"/>
      <c r="HZJ23" s="338"/>
      <c r="HZK23" s="338"/>
      <c r="HZL23" s="338"/>
      <c r="HZM23" s="338"/>
      <c r="HZN23" s="338"/>
      <c r="HZO23" s="338"/>
      <c r="HZP23" s="338"/>
      <c r="HZQ23" s="338"/>
      <c r="HZR23" s="338"/>
      <c r="HZS23" s="338"/>
      <c r="HZT23" s="338"/>
      <c r="HZU23" s="338"/>
      <c r="HZV23" s="338"/>
      <c r="HZW23" s="338"/>
      <c r="HZX23" s="338"/>
      <c r="HZY23" s="338"/>
      <c r="HZZ23" s="338"/>
      <c r="IAA23" s="338"/>
      <c r="IAB23" s="338"/>
      <c r="IAC23" s="338"/>
      <c r="IAD23" s="338"/>
      <c r="IAE23" s="338"/>
      <c r="IAF23" s="338"/>
      <c r="IAG23" s="338"/>
      <c r="IAH23" s="338"/>
      <c r="IAI23" s="338"/>
      <c r="IAJ23" s="338"/>
      <c r="IAK23" s="338"/>
      <c r="IAL23" s="338"/>
      <c r="IAM23" s="338"/>
      <c r="IAN23" s="338"/>
      <c r="IAO23" s="338"/>
      <c r="IAP23" s="338"/>
      <c r="IAQ23" s="338"/>
      <c r="IAR23" s="338"/>
      <c r="IAS23" s="338"/>
      <c r="IAT23" s="338"/>
      <c r="IAU23" s="338"/>
      <c r="IAV23" s="338"/>
      <c r="IAW23" s="338"/>
      <c r="IAX23" s="338"/>
      <c r="IAY23" s="338"/>
      <c r="IAZ23" s="338"/>
      <c r="IBA23" s="338"/>
      <c r="IBB23" s="338"/>
      <c r="IBC23" s="338"/>
      <c r="IBD23" s="338"/>
      <c r="IBE23" s="338"/>
      <c r="IBF23" s="338"/>
      <c r="IBG23" s="338"/>
      <c r="IBH23" s="338"/>
      <c r="IBI23" s="338"/>
      <c r="IBJ23" s="338"/>
      <c r="IBK23" s="338"/>
      <c r="IBL23" s="338"/>
      <c r="IBM23" s="338"/>
      <c r="IBN23" s="338"/>
      <c r="IBO23" s="338"/>
      <c r="IBP23" s="338"/>
      <c r="IBQ23" s="338"/>
      <c r="IBR23" s="338"/>
      <c r="IBS23" s="338"/>
      <c r="IBT23" s="338"/>
      <c r="IBU23" s="338"/>
      <c r="IBV23" s="338"/>
      <c r="IBW23" s="338"/>
      <c r="IBX23" s="338"/>
      <c r="IBY23" s="338"/>
      <c r="IBZ23" s="338"/>
      <c r="ICA23" s="338"/>
      <c r="ICB23" s="338"/>
      <c r="ICC23" s="338"/>
      <c r="ICD23" s="338"/>
      <c r="ICE23" s="338"/>
      <c r="ICF23" s="338"/>
      <c r="ICG23" s="338"/>
      <c r="ICH23" s="338"/>
      <c r="ICI23" s="338"/>
      <c r="ICJ23" s="338"/>
      <c r="ICK23" s="338"/>
      <c r="ICL23" s="338"/>
      <c r="ICM23" s="338"/>
      <c r="ICN23" s="338"/>
      <c r="ICO23" s="338"/>
      <c r="ICP23" s="338"/>
      <c r="ICQ23" s="338"/>
      <c r="ICR23" s="338"/>
      <c r="ICS23" s="338"/>
      <c r="ICT23" s="338"/>
      <c r="ICU23" s="338"/>
      <c r="ICV23" s="338"/>
      <c r="ICW23" s="338"/>
      <c r="ICX23" s="338"/>
      <c r="ICY23" s="338"/>
      <c r="ICZ23" s="338"/>
      <c r="IDA23" s="338"/>
      <c r="IDB23" s="338"/>
      <c r="IDC23" s="338"/>
      <c r="IDD23" s="338"/>
      <c r="IDE23" s="338"/>
      <c r="IDF23" s="338"/>
      <c r="IDG23" s="338"/>
      <c r="IDH23" s="338"/>
      <c r="IDI23" s="338"/>
      <c r="IDJ23" s="338"/>
      <c r="IDK23" s="338"/>
      <c r="IDL23" s="338"/>
      <c r="IDM23" s="338"/>
      <c r="IDN23" s="338"/>
      <c r="IDO23" s="338"/>
      <c r="IDP23" s="338"/>
      <c r="IDQ23" s="338"/>
      <c r="IDR23" s="338"/>
      <c r="IDS23" s="338"/>
      <c r="IDT23" s="338"/>
      <c r="IDU23" s="338"/>
      <c r="IDV23" s="338"/>
      <c r="IDW23" s="338"/>
      <c r="IDX23" s="338"/>
      <c r="IDY23" s="338"/>
      <c r="IDZ23" s="338"/>
      <c r="IEA23" s="338"/>
      <c r="IEB23" s="338"/>
      <c r="IEC23" s="338"/>
      <c r="IED23" s="338"/>
      <c r="IEE23" s="338"/>
      <c r="IEF23" s="338"/>
      <c r="IEG23" s="338"/>
      <c r="IEH23" s="338"/>
      <c r="IEI23" s="338"/>
      <c r="IEJ23" s="338"/>
      <c r="IEK23" s="338"/>
      <c r="IEL23" s="338"/>
      <c r="IEM23" s="338"/>
      <c r="IEN23" s="338"/>
      <c r="IEO23" s="338"/>
      <c r="IEP23" s="338"/>
      <c r="IEQ23" s="338"/>
      <c r="IER23" s="338"/>
      <c r="IES23" s="338"/>
      <c r="IET23" s="338"/>
      <c r="IEU23" s="338"/>
      <c r="IEV23" s="338"/>
      <c r="IEW23" s="338"/>
      <c r="IEX23" s="338"/>
      <c r="IEY23" s="338"/>
      <c r="IEZ23" s="338"/>
      <c r="IFA23" s="338"/>
      <c r="IFB23" s="338"/>
      <c r="IFC23" s="338"/>
      <c r="IFD23" s="338"/>
      <c r="IFE23" s="338"/>
      <c r="IFF23" s="338"/>
      <c r="IFG23" s="338"/>
      <c r="IFH23" s="338"/>
      <c r="IFI23" s="338"/>
      <c r="IFJ23" s="338"/>
      <c r="IFK23" s="338"/>
      <c r="IFL23" s="338"/>
      <c r="IFM23" s="338"/>
      <c r="IFN23" s="338"/>
      <c r="IFO23" s="338"/>
      <c r="IFP23" s="338"/>
      <c r="IFQ23" s="338"/>
      <c r="IFR23" s="338"/>
      <c r="IFS23" s="338"/>
      <c r="IFT23" s="338"/>
      <c r="IFU23" s="338"/>
      <c r="IFV23" s="338"/>
      <c r="IFW23" s="338"/>
      <c r="IFX23" s="338"/>
      <c r="IFY23" s="338"/>
      <c r="IFZ23" s="338"/>
      <c r="IGA23" s="338"/>
      <c r="IGB23" s="338"/>
      <c r="IGC23" s="338"/>
      <c r="IGD23" s="338"/>
      <c r="IGE23" s="338"/>
      <c r="IGF23" s="338"/>
      <c r="IGG23" s="338"/>
      <c r="IGH23" s="338"/>
      <c r="IGI23" s="338"/>
      <c r="IGJ23" s="338"/>
      <c r="IGK23" s="338"/>
      <c r="IGL23" s="338"/>
      <c r="IGM23" s="338"/>
      <c r="IGN23" s="338"/>
      <c r="IGO23" s="338"/>
      <c r="IGP23" s="338"/>
      <c r="IGQ23" s="338"/>
      <c r="IGR23" s="338"/>
      <c r="IGS23" s="338"/>
      <c r="IGT23" s="338"/>
      <c r="IGU23" s="338"/>
      <c r="IGV23" s="338"/>
      <c r="IGW23" s="338"/>
      <c r="IGX23" s="338"/>
      <c r="IGY23" s="338"/>
      <c r="IGZ23" s="338"/>
      <c r="IHA23" s="338"/>
      <c r="IHB23" s="338"/>
      <c r="IHC23" s="338"/>
      <c r="IHD23" s="338"/>
      <c r="IHE23" s="338"/>
      <c r="IHF23" s="338"/>
      <c r="IHG23" s="338"/>
      <c r="IHH23" s="338"/>
      <c r="IHI23" s="338"/>
      <c r="IHJ23" s="338"/>
      <c r="IHK23" s="338"/>
      <c r="IHL23" s="338"/>
      <c r="IHM23" s="338"/>
      <c r="IHN23" s="338"/>
      <c r="IHO23" s="338"/>
      <c r="IHP23" s="338"/>
      <c r="IHQ23" s="338"/>
      <c r="IHR23" s="338"/>
      <c r="IHS23" s="338"/>
      <c r="IHT23" s="338"/>
      <c r="IHU23" s="338"/>
      <c r="IHV23" s="338"/>
      <c r="IHW23" s="338"/>
      <c r="IHX23" s="338"/>
      <c r="IHY23" s="338"/>
      <c r="IHZ23" s="338"/>
      <c r="IIA23" s="338"/>
      <c r="IIB23" s="338"/>
      <c r="IIC23" s="338"/>
      <c r="IID23" s="338"/>
      <c r="IIE23" s="338"/>
      <c r="IIF23" s="338"/>
      <c r="IIG23" s="338"/>
      <c r="IIH23" s="338"/>
      <c r="III23" s="338"/>
      <c r="IIJ23" s="338"/>
      <c r="IIK23" s="338"/>
      <c r="IIL23" s="338"/>
      <c r="IIM23" s="338"/>
      <c r="IIN23" s="338"/>
      <c r="IIO23" s="338"/>
      <c r="IIP23" s="338"/>
      <c r="IIQ23" s="338"/>
      <c r="IIR23" s="338"/>
      <c r="IIS23" s="338"/>
      <c r="IIT23" s="338"/>
      <c r="IIU23" s="338"/>
      <c r="IIV23" s="338"/>
      <c r="IIW23" s="338"/>
      <c r="IIX23" s="338"/>
      <c r="IIY23" s="338"/>
      <c r="IIZ23" s="338"/>
      <c r="IJA23" s="338"/>
      <c r="IJB23" s="338"/>
      <c r="IJC23" s="338"/>
      <c r="IJD23" s="338"/>
      <c r="IJE23" s="338"/>
      <c r="IJF23" s="338"/>
      <c r="IJG23" s="338"/>
      <c r="IJH23" s="338"/>
      <c r="IJI23" s="338"/>
      <c r="IJJ23" s="338"/>
      <c r="IJK23" s="338"/>
      <c r="IJL23" s="338"/>
      <c r="IJM23" s="338"/>
      <c r="IJN23" s="338"/>
      <c r="IJO23" s="338"/>
      <c r="IJP23" s="338"/>
      <c r="IJQ23" s="338"/>
      <c r="IJR23" s="338"/>
      <c r="IJS23" s="338"/>
      <c r="IJT23" s="338"/>
      <c r="IJU23" s="338"/>
      <c r="IJV23" s="338"/>
      <c r="IJW23" s="338"/>
      <c r="IJX23" s="338"/>
      <c r="IJY23" s="338"/>
      <c r="IJZ23" s="338"/>
      <c r="IKA23" s="338"/>
      <c r="IKB23" s="338"/>
      <c r="IKC23" s="338"/>
      <c r="IKD23" s="338"/>
      <c r="IKE23" s="338"/>
      <c r="IKF23" s="338"/>
      <c r="IKG23" s="338"/>
      <c r="IKH23" s="338"/>
      <c r="IKI23" s="338"/>
      <c r="IKJ23" s="338"/>
      <c r="IKK23" s="338"/>
      <c r="IKL23" s="338"/>
      <c r="IKM23" s="338"/>
      <c r="IKN23" s="338"/>
      <c r="IKO23" s="338"/>
      <c r="IKP23" s="338"/>
      <c r="IKQ23" s="338"/>
      <c r="IKR23" s="338"/>
      <c r="IKS23" s="338"/>
      <c r="IKT23" s="338"/>
      <c r="IKU23" s="338"/>
      <c r="IKV23" s="338"/>
      <c r="IKW23" s="338"/>
      <c r="IKX23" s="338"/>
      <c r="IKY23" s="338"/>
      <c r="IKZ23" s="338"/>
      <c r="ILA23" s="338"/>
      <c r="ILB23" s="338"/>
      <c r="ILC23" s="338"/>
      <c r="ILD23" s="338"/>
      <c r="ILE23" s="338"/>
      <c r="ILF23" s="338"/>
      <c r="ILG23" s="338"/>
      <c r="ILH23" s="338"/>
      <c r="ILI23" s="338"/>
      <c r="ILJ23" s="338"/>
      <c r="ILK23" s="338"/>
      <c r="ILL23" s="338"/>
      <c r="ILM23" s="338"/>
      <c r="ILN23" s="338"/>
      <c r="ILO23" s="338"/>
      <c r="ILP23" s="338"/>
      <c r="ILQ23" s="338"/>
      <c r="ILR23" s="338"/>
      <c r="ILS23" s="338"/>
      <c r="ILT23" s="338"/>
      <c r="ILU23" s="338"/>
      <c r="ILV23" s="338"/>
      <c r="ILW23" s="338"/>
      <c r="ILX23" s="338"/>
      <c r="ILY23" s="338"/>
      <c r="ILZ23" s="338"/>
      <c r="IMA23" s="338"/>
      <c r="IMB23" s="338"/>
      <c r="IMC23" s="338"/>
      <c r="IMD23" s="338"/>
      <c r="IME23" s="338"/>
      <c r="IMF23" s="338"/>
      <c r="IMG23" s="338"/>
      <c r="IMH23" s="338"/>
      <c r="IMI23" s="338"/>
      <c r="IMJ23" s="338"/>
      <c r="IMK23" s="338"/>
      <c r="IML23" s="338"/>
      <c r="IMM23" s="338"/>
      <c r="IMN23" s="338"/>
      <c r="IMO23" s="338"/>
      <c r="IMP23" s="338"/>
      <c r="IMQ23" s="338"/>
      <c r="IMR23" s="338"/>
      <c r="IMS23" s="338"/>
      <c r="IMT23" s="338"/>
      <c r="IMU23" s="338"/>
      <c r="IMV23" s="338"/>
      <c r="IMW23" s="338"/>
      <c r="IMX23" s="338"/>
      <c r="IMY23" s="338"/>
      <c r="IMZ23" s="338"/>
      <c r="INA23" s="338"/>
      <c r="INB23" s="338"/>
      <c r="INC23" s="338"/>
      <c r="IND23" s="338"/>
      <c r="INE23" s="338"/>
      <c r="INF23" s="338"/>
      <c r="ING23" s="338"/>
      <c r="INH23" s="338"/>
      <c r="INI23" s="338"/>
      <c r="INJ23" s="338"/>
      <c r="INK23" s="338"/>
      <c r="INL23" s="338"/>
      <c r="INM23" s="338"/>
      <c r="INN23" s="338"/>
      <c r="INO23" s="338"/>
      <c r="INP23" s="338"/>
      <c r="INQ23" s="338"/>
      <c r="INR23" s="338"/>
      <c r="INS23" s="338"/>
      <c r="INT23" s="338"/>
      <c r="INU23" s="338"/>
      <c r="INV23" s="338"/>
      <c r="INW23" s="338"/>
      <c r="INX23" s="338"/>
      <c r="INY23" s="338"/>
      <c r="INZ23" s="338"/>
      <c r="IOA23" s="338"/>
      <c r="IOB23" s="338"/>
      <c r="IOC23" s="338"/>
      <c r="IOD23" s="338"/>
      <c r="IOE23" s="338"/>
      <c r="IOF23" s="338"/>
      <c r="IOG23" s="338"/>
      <c r="IOH23" s="338"/>
      <c r="IOI23" s="338"/>
      <c r="IOJ23" s="338"/>
      <c r="IOK23" s="338"/>
      <c r="IOL23" s="338"/>
      <c r="IOM23" s="338"/>
      <c r="ION23" s="338"/>
      <c r="IOO23" s="338"/>
      <c r="IOP23" s="338"/>
      <c r="IOQ23" s="338"/>
      <c r="IOR23" s="338"/>
      <c r="IOS23" s="338"/>
      <c r="IOT23" s="338"/>
      <c r="IOU23" s="338"/>
      <c r="IOV23" s="338"/>
      <c r="IOW23" s="338"/>
      <c r="IOX23" s="338"/>
      <c r="IOY23" s="338"/>
      <c r="IOZ23" s="338"/>
      <c r="IPA23" s="338"/>
      <c r="IPB23" s="338"/>
      <c r="IPC23" s="338"/>
      <c r="IPD23" s="338"/>
      <c r="IPE23" s="338"/>
      <c r="IPF23" s="338"/>
      <c r="IPG23" s="338"/>
      <c r="IPH23" s="338"/>
      <c r="IPI23" s="338"/>
      <c r="IPJ23" s="338"/>
      <c r="IPK23" s="338"/>
      <c r="IPL23" s="338"/>
      <c r="IPM23" s="338"/>
      <c r="IPN23" s="338"/>
      <c r="IPO23" s="338"/>
      <c r="IPP23" s="338"/>
      <c r="IPQ23" s="338"/>
      <c r="IPR23" s="338"/>
      <c r="IPS23" s="338"/>
      <c r="IPT23" s="338"/>
      <c r="IPU23" s="338"/>
      <c r="IPV23" s="338"/>
      <c r="IPW23" s="338"/>
      <c r="IPX23" s="338"/>
      <c r="IPY23" s="338"/>
      <c r="IPZ23" s="338"/>
      <c r="IQA23" s="338"/>
      <c r="IQB23" s="338"/>
      <c r="IQC23" s="338"/>
      <c r="IQD23" s="338"/>
      <c r="IQE23" s="338"/>
      <c r="IQF23" s="338"/>
      <c r="IQG23" s="338"/>
      <c r="IQH23" s="338"/>
      <c r="IQI23" s="338"/>
      <c r="IQJ23" s="338"/>
      <c r="IQK23" s="338"/>
      <c r="IQL23" s="338"/>
      <c r="IQM23" s="338"/>
      <c r="IQN23" s="338"/>
      <c r="IQO23" s="338"/>
      <c r="IQP23" s="338"/>
      <c r="IQQ23" s="338"/>
      <c r="IQR23" s="338"/>
      <c r="IQS23" s="338"/>
      <c r="IQT23" s="338"/>
      <c r="IQU23" s="338"/>
      <c r="IQV23" s="338"/>
      <c r="IQW23" s="338"/>
      <c r="IQX23" s="338"/>
      <c r="IQY23" s="338"/>
      <c r="IQZ23" s="338"/>
      <c r="IRA23" s="338"/>
      <c r="IRB23" s="338"/>
      <c r="IRC23" s="338"/>
      <c r="IRD23" s="338"/>
      <c r="IRE23" s="338"/>
      <c r="IRF23" s="338"/>
      <c r="IRG23" s="338"/>
      <c r="IRH23" s="338"/>
      <c r="IRI23" s="338"/>
      <c r="IRJ23" s="338"/>
      <c r="IRK23" s="338"/>
      <c r="IRL23" s="338"/>
      <c r="IRM23" s="338"/>
      <c r="IRN23" s="338"/>
      <c r="IRO23" s="338"/>
      <c r="IRP23" s="338"/>
      <c r="IRQ23" s="338"/>
      <c r="IRR23" s="338"/>
      <c r="IRS23" s="338"/>
      <c r="IRT23" s="338"/>
      <c r="IRU23" s="338"/>
      <c r="IRV23" s="338"/>
      <c r="IRW23" s="338"/>
      <c r="IRX23" s="338"/>
      <c r="IRY23" s="338"/>
      <c r="IRZ23" s="338"/>
      <c r="ISA23" s="338"/>
      <c r="ISB23" s="338"/>
      <c r="ISC23" s="338"/>
      <c r="ISD23" s="338"/>
      <c r="ISE23" s="338"/>
      <c r="ISF23" s="338"/>
      <c r="ISG23" s="338"/>
      <c r="ISH23" s="338"/>
      <c r="ISI23" s="338"/>
      <c r="ISJ23" s="338"/>
      <c r="ISK23" s="338"/>
      <c r="ISL23" s="338"/>
      <c r="ISM23" s="338"/>
      <c r="ISN23" s="338"/>
      <c r="ISO23" s="338"/>
      <c r="ISP23" s="338"/>
      <c r="ISQ23" s="338"/>
      <c r="ISR23" s="338"/>
      <c r="ISS23" s="338"/>
      <c r="IST23" s="338"/>
      <c r="ISU23" s="338"/>
      <c r="ISV23" s="338"/>
      <c r="ISW23" s="338"/>
      <c r="ISX23" s="338"/>
      <c r="ISY23" s="338"/>
      <c r="ISZ23" s="338"/>
      <c r="ITA23" s="338"/>
      <c r="ITB23" s="338"/>
      <c r="ITC23" s="338"/>
      <c r="ITD23" s="338"/>
      <c r="ITE23" s="338"/>
      <c r="ITF23" s="338"/>
      <c r="ITG23" s="338"/>
      <c r="ITH23" s="338"/>
      <c r="ITI23" s="338"/>
      <c r="ITJ23" s="338"/>
      <c r="ITK23" s="338"/>
      <c r="ITL23" s="338"/>
      <c r="ITM23" s="338"/>
      <c r="ITN23" s="338"/>
      <c r="ITO23" s="338"/>
      <c r="ITP23" s="338"/>
      <c r="ITQ23" s="338"/>
      <c r="ITR23" s="338"/>
      <c r="ITS23" s="338"/>
      <c r="ITT23" s="338"/>
      <c r="ITU23" s="338"/>
      <c r="ITV23" s="338"/>
      <c r="ITW23" s="338"/>
      <c r="ITX23" s="338"/>
      <c r="ITY23" s="338"/>
      <c r="ITZ23" s="338"/>
      <c r="IUA23" s="338"/>
      <c r="IUB23" s="338"/>
      <c r="IUC23" s="338"/>
      <c r="IUD23" s="338"/>
      <c r="IUE23" s="338"/>
      <c r="IUF23" s="338"/>
      <c r="IUG23" s="338"/>
      <c r="IUH23" s="338"/>
      <c r="IUI23" s="338"/>
      <c r="IUJ23" s="338"/>
      <c r="IUK23" s="338"/>
      <c r="IUL23" s="338"/>
      <c r="IUM23" s="338"/>
      <c r="IUN23" s="338"/>
      <c r="IUO23" s="338"/>
      <c r="IUP23" s="338"/>
      <c r="IUQ23" s="338"/>
      <c r="IUR23" s="338"/>
      <c r="IUS23" s="338"/>
      <c r="IUT23" s="338"/>
      <c r="IUU23" s="338"/>
      <c r="IUV23" s="338"/>
      <c r="IUW23" s="338"/>
      <c r="IUX23" s="338"/>
      <c r="IUY23" s="338"/>
      <c r="IUZ23" s="338"/>
      <c r="IVA23" s="338"/>
      <c r="IVB23" s="338"/>
      <c r="IVC23" s="338"/>
      <c r="IVD23" s="338"/>
      <c r="IVE23" s="338"/>
      <c r="IVF23" s="338"/>
      <c r="IVG23" s="338"/>
      <c r="IVH23" s="338"/>
      <c r="IVI23" s="338"/>
      <c r="IVJ23" s="338"/>
      <c r="IVK23" s="338"/>
      <c r="IVL23" s="338"/>
      <c r="IVM23" s="338"/>
      <c r="IVN23" s="338"/>
      <c r="IVO23" s="338"/>
      <c r="IVP23" s="338"/>
      <c r="IVQ23" s="338"/>
      <c r="IVR23" s="338"/>
      <c r="IVS23" s="338"/>
      <c r="IVT23" s="338"/>
      <c r="IVU23" s="338"/>
      <c r="IVV23" s="338"/>
      <c r="IVW23" s="338"/>
      <c r="IVX23" s="338"/>
      <c r="IVY23" s="338"/>
      <c r="IVZ23" s="338"/>
      <c r="IWA23" s="338"/>
      <c r="IWB23" s="338"/>
      <c r="IWC23" s="338"/>
      <c r="IWD23" s="338"/>
      <c r="IWE23" s="338"/>
      <c r="IWF23" s="338"/>
      <c r="IWG23" s="338"/>
      <c r="IWH23" s="338"/>
      <c r="IWI23" s="338"/>
      <c r="IWJ23" s="338"/>
      <c r="IWK23" s="338"/>
      <c r="IWL23" s="338"/>
      <c r="IWM23" s="338"/>
      <c r="IWN23" s="338"/>
      <c r="IWO23" s="338"/>
      <c r="IWP23" s="338"/>
      <c r="IWQ23" s="338"/>
      <c r="IWR23" s="338"/>
      <c r="IWS23" s="338"/>
      <c r="IWT23" s="338"/>
      <c r="IWU23" s="338"/>
      <c r="IWV23" s="338"/>
      <c r="IWW23" s="338"/>
      <c r="IWX23" s="338"/>
      <c r="IWY23" s="338"/>
      <c r="IWZ23" s="338"/>
      <c r="IXA23" s="338"/>
      <c r="IXB23" s="338"/>
      <c r="IXC23" s="338"/>
      <c r="IXD23" s="338"/>
      <c r="IXE23" s="338"/>
      <c r="IXF23" s="338"/>
      <c r="IXG23" s="338"/>
      <c r="IXH23" s="338"/>
      <c r="IXI23" s="338"/>
      <c r="IXJ23" s="338"/>
      <c r="IXK23" s="338"/>
      <c r="IXL23" s="338"/>
      <c r="IXM23" s="338"/>
      <c r="IXN23" s="338"/>
      <c r="IXO23" s="338"/>
      <c r="IXP23" s="338"/>
      <c r="IXQ23" s="338"/>
      <c r="IXR23" s="338"/>
      <c r="IXS23" s="338"/>
      <c r="IXT23" s="338"/>
      <c r="IXU23" s="338"/>
      <c r="IXV23" s="338"/>
      <c r="IXW23" s="338"/>
      <c r="IXX23" s="338"/>
      <c r="IXY23" s="338"/>
      <c r="IXZ23" s="338"/>
      <c r="IYA23" s="338"/>
      <c r="IYB23" s="338"/>
      <c r="IYC23" s="338"/>
      <c r="IYD23" s="338"/>
      <c r="IYE23" s="338"/>
      <c r="IYF23" s="338"/>
      <c r="IYG23" s="338"/>
      <c r="IYH23" s="338"/>
      <c r="IYI23" s="338"/>
      <c r="IYJ23" s="338"/>
      <c r="IYK23" s="338"/>
      <c r="IYL23" s="338"/>
      <c r="IYM23" s="338"/>
      <c r="IYN23" s="338"/>
      <c r="IYO23" s="338"/>
      <c r="IYP23" s="338"/>
      <c r="IYQ23" s="338"/>
      <c r="IYR23" s="338"/>
      <c r="IYS23" s="338"/>
      <c r="IYT23" s="338"/>
      <c r="IYU23" s="338"/>
      <c r="IYV23" s="338"/>
      <c r="IYW23" s="338"/>
      <c r="IYX23" s="338"/>
      <c r="IYY23" s="338"/>
      <c r="IYZ23" s="338"/>
      <c r="IZA23" s="338"/>
      <c r="IZB23" s="338"/>
      <c r="IZC23" s="338"/>
      <c r="IZD23" s="338"/>
      <c r="IZE23" s="338"/>
      <c r="IZF23" s="338"/>
      <c r="IZG23" s="338"/>
      <c r="IZH23" s="338"/>
      <c r="IZI23" s="338"/>
      <c r="IZJ23" s="338"/>
      <c r="IZK23" s="338"/>
      <c r="IZL23" s="338"/>
      <c r="IZM23" s="338"/>
      <c r="IZN23" s="338"/>
      <c r="IZO23" s="338"/>
      <c r="IZP23" s="338"/>
      <c r="IZQ23" s="338"/>
      <c r="IZR23" s="338"/>
      <c r="IZS23" s="338"/>
      <c r="IZT23" s="338"/>
      <c r="IZU23" s="338"/>
      <c r="IZV23" s="338"/>
      <c r="IZW23" s="338"/>
      <c r="IZX23" s="338"/>
      <c r="IZY23" s="338"/>
      <c r="IZZ23" s="338"/>
      <c r="JAA23" s="338"/>
      <c r="JAB23" s="338"/>
      <c r="JAC23" s="338"/>
      <c r="JAD23" s="338"/>
      <c r="JAE23" s="338"/>
      <c r="JAF23" s="338"/>
      <c r="JAG23" s="338"/>
      <c r="JAH23" s="338"/>
      <c r="JAI23" s="338"/>
      <c r="JAJ23" s="338"/>
      <c r="JAK23" s="338"/>
      <c r="JAL23" s="338"/>
      <c r="JAM23" s="338"/>
      <c r="JAN23" s="338"/>
      <c r="JAO23" s="338"/>
      <c r="JAP23" s="338"/>
      <c r="JAQ23" s="338"/>
      <c r="JAR23" s="338"/>
      <c r="JAS23" s="338"/>
      <c r="JAT23" s="338"/>
      <c r="JAU23" s="338"/>
      <c r="JAV23" s="338"/>
      <c r="JAW23" s="338"/>
      <c r="JAX23" s="338"/>
      <c r="JAY23" s="338"/>
      <c r="JAZ23" s="338"/>
      <c r="JBA23" s="338"/>
      <c r="JBB23" s="338"/>
      <c r="JBC23" s="338"/>
      <c r="JBD23" s="338"/>
      <c r="JBE23" s="338"/>
      <c r="JBF23" s="338"/>
      <c r="JBG23" s="338"/>
      <c r="JBH23" s="338"/>
      <c r="JBI23" s="338"/>
      <c r="JBJ23" s="338"/>
      <c r="JBK23" s="338"/>
      <c r="JBL23" s="338"/>
      <c r="JBM23" s="338"/>
      <c r="JBN23" s="338"/>
      <c r="JBO23" s="338"/>
      <c r="JBP23" s="338"/>
      <c r="JBQ23" s="338"/>
      <c r="JBR23" s="338"/>
      <c r="JBS23" s="338"/>
      <c r="JBT23" s="338"/>
      <c r="JBU23" s="338"/>
      <c r="JBV23" s="338"/>
      <c r="JBW23" s="338"/>
      <c r="JBX23" s="338"/>
      <c r="JBY23" s="338"/>
      <c r="JBZ23" s="338"/>
      <c r="JCA23" s="338"/>
      <c r="JCB23" s="338"/>
      <c r="JCC23" s="338"/>
      <c r="JCD23" s="338"/>
      <c r="JCE23" s="338"/>
      <c r="JCF23" s="338"/>
      <c r="JCG23" s="338"/>
      <c r="JCH23" s="338"/>
      <c r="JCI23" s="338"/>
      <c r="JCJ23" s="338"/>
      <c r="JCK23" s="338"/>
      <c r="JCL23" s="338"/>
      <c r="JCM23" s="338"/>
      <c r="JCN23" s="338"/>
      <c r="JCO23" s="338"/>
      <c r="JCP23" s="338"/>
      <c r="JCQ23" s="338"/>
      <c r="JCR23" s="338"/>
      <c r="JCS23" s="338"/>
      <c r="JCT23" s="338"/>
      <c r="JCU23" s="338"/>
      <c r="JCV23" s="338"/>
      <c r="JCW23" s="338"/>
      <c r="JCX23" s="338"/>
      <c r="JCY23" s="338"/>
      <c r="JCZ23" s="338"/>
      <c r="JDA23" s="338"/>
      <c r="JDB23" s="338"/>
      <c r="JDC23" s="338"/>
      <c r="JDD23" s="338"/>
      <c r="JDE23" s="338"/>
      <c r="JDF23" s="338"/>
      <c r="JDG23" s="338"/>
      <c r="JDH23" s="338"/>
      <c r="JDI23" s="338"/>
      <c r="JDJ23" s="338"/>
      <c r="JDK23" s="338"/>
      <c r="JDL23" s="338"/>
      <c r="JDM23" s="338"/>
      <c r="JDN23" s="338"/>
      <c r="JDO23" s="338"/>
      <c r="JDP23" s="338"/>
      <c r="JDQ23" s="338"/>
      <c r="JDR23" s="338"/>
      <c r="JDS23" s="338"/>
      <c r="JDT23" s="338"/>
      <c r="JDU23" s="338"/>
      <c r="JDV23" s="338"/>
      <c r="JDW23" s="338"/>
      <c r="JDX23" s="338"/>
      <c r="JDY23" s="338"/>
      <c r="JDZ23" s="338"/>
      <c r="JEA23" s="338"/>
      <c r="JEB23" s="338"/>
      <c r="JEC23" s="338"/>
      <c r="JED23" s="338"/>
      <c r="JEE23" s="338"/>
      <c r="JEF23" s="338"/>
      <c r="JEG23" s="338"/>
      <c r="JEH23" s="338"/>
      <c r="JEI23" s="338"/>
      <c r="JEJ23" s="338"/>
      <c r="JEK23" s="338"/>
      <c r="JEL23" s="338"/>
      <c r="JEM23" s="338"/>
      <c r="JEN23" s="338"/>
      <c r="JEO23" s="338"/>
      <c r="JEP23" s="338"/>
      <c r="JEQ23" s="338"/>
      <c r="JER23" s="338"/>
      <c r="JES23" s="338"/>
      <c r="JET23" s="338"/>
      <c r="JEU23" s="338"/>
      <c r="JEV23" s="338"/>
      <c r="JEW23" s="338"/>
      <c r="JEX23" s="338"/>
      <c r="JEY23" s="338"/>
      <c r="JEZ23" s="338"/>
      <c r="JFA23" s="338"/>
      <c r="JFB23" s="338"/>
      <c r="JFC23" s="338"/>
      <c r="JFD23" s="338"/>
      <c r="JFE23" s="338"/>
      <c r="JFF23" s="338"/>
      <c r="JFG23" s="338"/>
      <c r="JFH23" s="338"/>
      <c r="JFI23" s="338"/>
      <c r="JFJ23" s="338"/>
      <c r="JFK23" s="338"/>
      <c r="JFL23" s="338"/>
      <c r="JFM23" s="338"/>
      <c r="JFN23" s="338"/>
      <c r="JFO23" s="338"/>
      <c r="JFP23" s="338"/>
      <c r="JFQ23" s="338"/>
      <c r="JFR23" s="338"/>
      <c r="JFS23" s="338"/>
      <c r="JFT23" s="338"/>
      <c r="JFU23" s="338"/>
      <c r="JFV23" s="338"/>
      <c r="JFW23" s="338"/>
      <c r="JFX23" s="338"/>
      <c r="JFY23" s="338"/>
      <c r="JFZ23" s="338"/>
      <c r="JGA23" s="338"/>
      <c r="JGB23" s="338"/>
      <c r="JGC23" s="338"/>
      <c r="JGD23" s="338"/>
      <c r="JGE23" s="338"/>
      <c r="JGF23" s="338"/>
      <c r="JGG23" s="338"/>
      <c r="JGH23" s="338"/>
      <c r="JGI23" s="338"/>
      <c r="JGJ23" s="338"/>
      <c r="JGK23" s="338"/>
      <c r="JGL23" s="338"/>
      <c r="JGM23" s="338"/>
      <c r="JGN23" s="338"/>
      <c r="JGO23" s="338"/>
      <c r="JGP23" s="338"/>
      <c r="JGQ23" s="338"/>
      <c r="JGR23" s="338"/>
      <c r="JGS23" s="338"/>
      <c r="JGT23" s="338"/>
      <c r="JGU23" s="338"/>
      <c r="JGV23" s="338"/>
      <c r="JGW23" s="338"/>
      <c r="JGX23" s="338"/>
      <c r="JGY23" s="338"/>
      <c r="JGZ23" s="338"/>
      <c r="JHA23" s="338"/>
      <c r="JHB23" s="338"/>
      <c r="JHC23" s="338"/>
      <c r="JHD23" s="338"/>
      <c r="JHE23" s="338"/>
      <c r="JHF23" s="338"/>
      <c r="JHG23" s="338"/>
      <c r="JHH23" s="338"/>
      <c r="JHI23" s="338"/>
      <c r="JHJ23" s="338"/>
      <c r="JHK23" s="338"/>
      <c r="JHL23" s="338"/>
      <c r="JHM23" s="338"/>
      <c r="JHN23" s="338"/>
      <c r="JHO23" s="338"/>
      <c r="JHP23" s="338"/>
      <c r="JHQ23" s="338"/>
      <c r="JHR23" s="338"/>
      <c r="JHS23" s="338"/>
      <c r="JHT23" s="338"/>
      <c r="JHU23" s="338"/>
      <c r="JHV23" s="338"/>
      <c r="JHW23" s="338"/>
      <c r="JHX23" s="338"/>
      <c r="JHY23" s="338"/>
      <c r="JHZ23" s="338"/>
      <c r="JIA23" s="338"/>
      <c r="JIB23" s="338"/>
      <c r="JIC23" s="338"/>
      <c r="JID23" s="338"/>
      <c r="JIE23" s="338"/>
      <c r="JIF23" s="338"/>
      <c r="JIG23" s="338"/>
      <c r="JIH23" s="338"/>
      <c r="JII23" s="338"/>
      <c r="JIJ23" s="338"/>
      <c r="JIK23" s="338"/>
      <c r="JIL23" s="338"/>
      <c r="JIM23" s="338"/>
      <c r="JIN23" s="338"/>
      <c r="JIO23" s="338"/>
      <c r="JIP23" s="338"/>
      <c r="JIQ23" s="338"/>
      <c r="JIR23" s="338"/>
      <c r="JIS23" s="338"/>
      <c r="JIT23" s="338"/>
      <c r="JIU23" s="338"/>
      <c r="JIV23" s="338"/>
      <c r="JIW23" s="338"/>
      <c r="JIX23" s="338"/>
      <c r="JIY23" s="338"/>
      <c r="JIZ23" s="338"/>
      <c r="JJA23" s="338"/>
      <c r="JJB23" s="338"/>
      <c r="JJC23" s="338"/>
      <c r="JJD23" s="338"/>
      <c r="JJE23" s="338"/>
      <c r="JJF23" s="338"/>
      <c r="JJG23" s="338"/>
      <c r="JJH23" s="338"/>
      <c r="JJI23" s="338"/>
      <c r="JJJ23" s="338"/>
      <c r="JJK23" s="338"/>
      <c r="JJL23" s="338"/>
      <c r="JJM23" s="338"/>
      <c r="JJN23" s="338"/>
      <c r="JJO23" s="338"/>
      <c r="JJP23" s="338"/>
      <c r="JJQ23" s="338"/>
      <c r="JJR23" s="338"/>
      <c r="JJS23" s="338"/>
      <c r="JJT23" s="338"/>
      <c r="JJU23" s="338"/>
      <c r="JJV23" s="338"/>
      <c r="JJW23" s="338"/>
      <c r="JJX23" s="338"/>
      <c r="JJY23" s="338"/>
      <c r="JJZ23" s="338"/>
      <c r="JKA23" s="338"/>
      <c r="JKB23" s="338"/>
      <c r="JKC23" s="338"/>
      <c r="JKD23" s="338"/>
      <c r="JKE23" s="338"/>
      <c r="JKF23" s="338"/>
      <c r="JKG23" s="338"/>
      <c r="JKH23" s="338"/>
      <c r="JKI23" s="338"/>
      <c r="JKJ23" s="338"/>
      <c r="JKK23" s="338"/>
      <c r="JKL23" s="338"/>
      <c r="JKM23" s="338"/>
      <c r="JKN23" s="338"/>
      <c r="JKO23" s="338"/>
      <c r="JKP23" s="338"/>
      <c r="JKQ23" s="338"/>
      <c r="JKR23" s="338"/>
      <c r="JKS23" s="338"/>
      <c r="JKT23" s="338"/>
      <c r="JKU23" s="338"/>
      <c r="JKV23" s="338"/>
      <c r="JKW23" s="338"/>
      <c r="JKX23" s="338"/>
      <c r="JKY23" s="338"/>
      <c r="JKZ23" s="338"/>
      <c r="JLA23" s="338"/>
      <c r="JLB23" s="338"/>
      <c r="JLC23" s="338"/>
      <c r="JLD23" s="338"/>
      <c r="JLE23" s="338"/>
      <c r="JLF23" s="338"/>
      <c r="JLG23" s="338"/>
      <c r="JLH23" s="338"/>
      <c r="JLI23" s="338"/>
      <c r="JLJ23" s="338"/>
      <c r="JLK23" s="338"/>
      <c r="JLL23" s="338"/>
      <c r="JLM23" s="338"/>
      <c r="JLN23" s="338"/>
      <c r="JLO23" s="338"/>
      <c r="JLP23" s="338"/>
      <c r="JLQ23" s="338"/>
      <c r="JLR23" s="338"/>
      <c r="JLS23" s="338"/>
      <c r="JLT23" s="338"/>
      <c r="JLU23" s="338"/>
      <c r="JLV23" s="338"/>
      <c r="JLW23" s="338"/>
      <c r="JLX23" s="338"/>
      <c r="JLY23" s="338"/>
      <c r="JLZ23" s="338"/>
      <c r="JMA23" s="338"/>
      <c r="JMB23" s="338"/>
      <c r="JMC23" s="338"/>
      <c r="JMD23" s="338"/>
      <c r="JME23" s="338"/>
      <c r="JMF23" s="338"/>
      <c r="JMG23" s="338"/>
      <c r="JMH23" s="338"/>
      <c r="JMI23" s="338"/>
      <c r="JMJ23" s="338"/>
      <c r="JMK23" s="338"/>
      <c r="JML23" s="338"/>
      <c r="JMM23" s="338"/>
      <c r="JMN23" s="338"/>
      <c r="JMO23" s="338"/>
      <c r="JMP23" s="338"/>
      <c r="JMQ23" s="338"/>
      <c r="JMR23" s="338"/>
      <c r="JMS23" s="338"/>
      <c r="JMT23" s="338"/>
      <c r="JMU23" s="338"/>
      <c r="JMV23" s="338"/>
      <c r="JMW23" s="338"/>
      <c r="JMX23" s="338"/>
      <c r="JMY23" s="338"/>
      <c r="JMZ23" s="338"/>
      <c r="JNA23" s="338"/>
      <c r="JNB23" s="338"/>
      <c r="JNC23" s="338"/>
      <c r="JND23" s="338"/>
      <c r="JNE23" s="338"/>
      <c r="JNF23" s="338"/>
      <c r="JNG23" s="338"/>
      <c r="JNH23" s="338"/>
      <c r="JNI23" s="338"/>
      <c r="JNJ23" s="338"/>
      <c r="JNK23" s="338"/>
      <c r="JNL23" s="338"/>
      <c r="JNM23" s="338"/>
      <c r="JNN23" s="338"/>
      <c r="JNO23" s="338"/>
      <c r="JNP23" s="338"/>
      <c r="JNQ23" s="338"/>
      <c r="JNR23" s="338"/>
      <c r="JNS23" s="338"/>
      <c r="JNT23" s="338"/>
      <c r="JNU23" s="338"/>
      <c r="JNV23" s="338"/>
      <c r="JNW23" s="338"/>
      <c r="JNX23" s="338"/>
      <c r="JNY23" s="338"/>
      <c r="JNZ23" s="338"/>
      <c r="JOA23" s="338"/>
      <c r="JOB23" s="338"/>
      <c r="JOC23" s="338"/>
      <c r="JOD23" s="338"/>
      <c r="JOE23" s="338"/>
      <c r="JOF23" s="338"/>
      <c r="JOG23" s="338"/>
      <c r="JOH23" s="338"/>
      <c r="JOI23" s="338"/>
      <c r="JOJ23" s="338"/>
      <c r="JOK23" s="338"/>
      <c r="JOL23" s="338"/>
      <c r="JOM23" s="338"/>
      <c r="JON23" s="338"/>
      <c r="JOO23" s="338"/>
      <c r="JOP23" s="338"/>
      <c r="JOQ23" s="338"/>
      <c r="JOR23" s="338"/>
      <c r="JOS23" s="338"/>
      <c r="JOT23" s="338"/>
      <c r="JOU23" s="338"/>
      <c r="JOV23" s="338"/>
      <c r="JOW23" s="338"/>
      <c r="JOX23" s="338"/>
      <c r="JOY23" s="338"/>
      <c r="JOZ23" s="338"/>
      <c r="JPA23" s="338"/>
      <c r="JPB23" s="338"/>
      <c r="JPC23" s="338"/>
      <c r="JPD23" s="338"/>
      <c r="JPE23" s="338"/>
      <c r="JPF23" s="338"/>
      <c r="JPG23" s="338"/>
      <c r="JPH23" s="338"/>
      <c r="JPI23" s="338"/>
      <c r="JPJ23" s="338"/>
      <c r="JPK23" s="338"/>
      <c r="JPL23" s="338"/>
      <c r="JPM23" s="338"/>
      <c r="JPN23" s="338"/>
      <c r="JPO23" s="338"/>
      <c r="JPP23" s="338"/>
      <c r="JPQ23" s="338"/>
      <c r="JPR23" s="338"/>
      <c r="JPS23" s="338"/>
      <c r="JPT23" s="338"/>
      <c r="JPU23" s="338"/>
      <c r="JPV23" s="338"/>
      <c r="JPW23" s="338"/>
      <c r="JPX23" s="338"/>
      <c r="JPY23" s="338"/>
      <c r="JPZ23" s="338"/>
      <c r="JQA23" s="338"/>
      <c r="JQB23" s="338"/>
      <c r="JQC23" s="338"/>
      <c r="JQD23" s="338"/>
      <c r="JQE23" s="338"/>
      <c r="JQF23" s="338"/>
      <c r="JQG23" s="338"/>
      <c r="JQH23" s="338"/>
      <c r="JQI23" s="338"/>
      <c r="JQJ23" s="338"/>
      <c r="JQK23" s="338"/>
      <c r="JQL23" s="338"/>
      <c r="JQM23" s="338"/>
      <c r="JQN23" s="338"/>
      <c r="JQO23" s="338"/>
      <c r="JQP23" s="338"/>
      <c r="JQQ23" s="338"/>
      <c r="JQR23" s="338"/>
      <c r="JQS23" s="338"/>
      <c r="JQT23" s="338"/>
      <c r="JQU23" s="338"/>
      <c r="JQV23" s="338"/>
      <c r="JQW23" s="338"/>
      <c r="JQX23" s="338"/>
      <c r="JQY23" s="338"/>
      <c r="JQZ23" s="338"/>
      <c r="JRA23" s="338"/>
      <c r="JRB23" s="338"/>
      <c r="JRC23" s="338"/>
      <c r="JRD23" s="338"/>
      <c r="JRE23" s="338"/>
      <c r="JRF23" s="338"/>
      <c r="JRG23" s="338"/>
      <c r="JRH23" s="338"/>
      <c r="JRI23" s="338"/>
      <c r="JRJ23" s="338"/>
      <c r="JRK23" s="338"/>
      <c r="JRL23" s="338"/>
      <c r="JRM23" s="338"/>
      <c r="JRN23" s="338"/>
      <c r="JRO23" s="338"/>
      <c r="JRP23" s="338"/>
      <c r="JRQ23" s="338"/>
      <c r="JRR23" s="338"/>
      <c r="JRS23" s="338"/>
      <c r="JRT23" s="338"/>
      <c r="JRU23" s="338"/>
      <c r="JRV23" s="338"/>
      <c r="JRW23" s="338"/>
      <c r="JRX23" s="338"/>
      <c r="JRY23" s="338"/>
      <c r="JRZ23" s="338"/>
      <c r="JSA23" s="338"/>
      <c r="JSB23" s="338"/>
      <c r="JSC23" s="338"/>
      <c r="JSD23" s="338"/>
      <c r="JSE23" s="338"/>
      <c r="JSF23" s="338"/>
      <c r="JSG23" s="338"/>
      <c r="JSH23" s="338"/>
      <c r="JSI23" s="338"/>
      <c r="JSJ23" s="338"/>
      <c r="JSK23" s="338"/>
      <c r="JSL23" s="338"/>
      <c r="JSM23" s="338"/>
      <c r="JSN23" s="338"/>
      <c r="JSO23" s="338"/>
      <c r="JSP23" s="338"/>
      <c r="JSQ23" s="338"/>
      <c r="JSR23" s="338"/>
      <c r="JSS23" s="338"/>
      <c r="JST23" s="338"/>
      <c r="JSU23" s="338"/>
      <c r="JSV23" s="338"/>
      <c r="JSW23" s="338"/>
      <c r="JSX23" s="338"/>
      <c r="JSY23" s="338"/>
      <c r="JSZ23" s="338"/>
      <c r="JTA23" s="338"/>
      <c r="JTB23" s="338"/>
      <c r="JTC23" s="338"/>
      <c r="JTD23" s="338"/>
      <c r="JTE23" s="338"/>
      <c r="JTF23" s="338"/>
      <c r="JTG23" s="338"/>
      <c r="JTH23" s="338"/>
      <c r="JTI23" s="338"/>
      <c r="JTJ23" s="338"/>
      <c r="JTK23" s="338"/>
      <c r="JTL23" s="338"/>
      <c r="JTM23" s="338"/>
      <c r="JTN23" s="338"/>
      <c r="JTO23" s="338"/>
      <c r="JTP23" s="338"/>
      <c r="JTQ23" s="338"/>
      <c r="JTR23" s="338"/>
      <c r="JTS23" s="338"/>
      <c r="JTT23" s="338"/>
      <c r="JTU23" s="338"/>
      <c r="JTV23" s="338"/>
      <c r="JTW23" s="338"/>
      <c r="JTX23" s="338"/>
      <c r="JTY23" s="338"/>
      <c r="JTZ23" s="338"/>
      <c r="JUA23" s="338"/>
      <c r="JUB23" s="338"/>
      <c r="JUC23" s="338"/>
      <c r="JUD23" s="338"/>
      <c r="JUE23" s="338"/>
      <c r="JUF23" s="338"/>
      <c r="JUG23" s="338"/>
      <c r="JUH23" s="338"/>
      <c r="JUI23" s="338"/>
      <c r="JUJ23" s="338"/>
      <c r="JUK23" s="338"/>
      <c r="JUL23" s="338"/>
      <c r="JUM23" s="338"/>
      <c r="JUN23" s="338"/>
      <c r="JUO23" s="338"/>
      <c r="JUP23" s="338"/>
      <c r="JUQ23" s="338"/>
      <c r="JUR23" s="338"/>
      <c r="JUS23" s="338"/>
      <c r="JUT23" s="338"/>
      <c r="JUU23" s="338"/>
      <c r="JUV23" s="338"/>
      <c r="JUW23" s="338"/>
      <c r="JUX23" s="338"/>
      <c r="JUY23" s="338"/>
      <c r="JUZ23" s="338"/>
      <c r="JVA23" s="338"/>
      <c r="JVB23" s="338"/>
      <c r="JVC23" s="338"/>
      <c r="JVD23" s="338"/>
      <c r="JVE23" s="338"/>
      <c r="JVF23" s="338"/>
      <c r="JVG23" s="338"/>
      <c r="JVH23" s="338"/>
      <c r="JVI23" s="338"/>
      <c r="JVJ23" s="338"/>
      <c r="JVK23" s="338"/>
      <c r="JVL23" s="338"/>
      <c r="JVM23" s="338"/>
      <c r="JVN23" s="338"/>
      <c r="JVO23" s="338"/>
      <c r="JVP23" s="338"/>
      <c r="JVQ23" s="338"/>
      <c r="JVR23" s="338"/>
      <c r="JVS23" s="338"/>
      <c r="JVT23" s="338"/>
      <c r="JVU23" s="338"/>
      <c r="JVV23" s="338"/>
      <c r="JVW23" s="338"/>
      <c r="JVX23" s="338"/>
      <c r="JVY23" s="338"/>
      <c r="JVZ23" s="338"/>
      <c r="JWA23" s="338"/>
      <c r="JWB23" s="338"/>
      <c r="JWC23" s="338"/>
      <c r="JWD23" s="338"/>
      <c r="JWE23" s="338"/>
      <c r="JWF23" s="338"/>
      <c r="JWG23" s="338"/>
      <c r="JWH23" s="338"/>
      <c r="JWI23" s="338"/>
      <c r="JWJ23" s="338"/>
      <c r="JWK23" s="338"/>
      <c r="JWL23" s="338"/>
      <c r="JWM23" s="338"/>
      <c r="JWN23" s="338"/>
      <c r="JWO23" s="338"/>
      <c r="JWP23" s="338"/>
      <c r="JWQ23" s="338"/>
      <c r="JWR23" s="338"/>
      <c r="JWS23" s="338"/>
      <c r="JWT23" s="338"/>
      <c r="JWU23" s="338"/>
      <c r="JWV23" s="338"/>
      <c r="JWW23" s="338"/>
      <c r="JWX23" s="338"/>
      <c r="JWY23" s="338"/>
      <c r="JWZ23" s="338"/>
      <c r="JXA23" s="338"/>
      <c r="JXB23" s="338"/>
      <c r="JXC23" s="338"/>
      <c r="JXD23" s="338"/>
      <c r="JXE23" s="338"/>
      <c r="JXF23" s="338"/>
      <c r="JXG23" s="338"/>
      <c r="JXH23" s="338"/>
      <c r="JXI23" s="338"/>
      <c r="JXJ23" s="338"/>
      <c r="JXK23" s="338"/>
      <c r="JXL23" s="338"/>
      <c r="JXM23" s="338"/>
      <c r="JXN23" s="338"/>
      <c r="JXO23" s="338"/>
      <c r="JXP23" s="338"/>
      <c r="JXQ23" s="338"/>
      <c r="JXR23" s="338"/>
      <c r="JXS23" s="338"/>
      <c r="JXT23" s="338"/>
      <c r="JXU23" s="338"/>
      <c r="JXV23" s="338"/>
      <c r="JXW23" s="338"/>
      <c r="JXX23" s="338"/>
      <c r="JXY23" s="338"/>
      <c r="JXZ23" s="338"/>
      <c r="JYA23" s="338"/>
      <c r="JYB23" s="338"/>
      <c r="JYC23" s="338"/>
      <c r="JYD23" s="338"/>
      <c r="JYE23" s="338"/>
      <c r="JYF23" s="338"/>
      <c r="JYG23" s="338"/>
      <c r="JYH23" s="338"/>
      <c r="JYI23" s="338"/>
      <c r="JYJ23" s="338"/>
      <c r="JYK23" s="338"/>
      <c r="JYL23" s="338"/>
      <c r="JYM23" s="338"/>
      <c r="JYN23" s="338"/>
      <c r="JYO23" s="338"/>
      <c r="JYP23" s="338"/>
      <c r="JYQ23" s="338"/>
      <c r="JYR23" s="338"/>
      <c r="JYS23" s="338"/>
      <c r="JYT23" s="338"/>
      <c r="JYU23" s="338"/>
      <c r="JYV23" s="338"/>
      <c r="JYW23" s="338"/>
      <c r="JYX23" s="338"/>
      <c r="JYY23" s="338"/>
      <c r="JYZ23" s="338"/>
      <c r="JZA23" s="338"/>
      <c r="JZB23" s="338"/>
      <c r="JZC23" s="338"/>
      <c r="JZD23" s="338"/>
      <c r="JZE23" s="338"/>
      <c r="JZF23" s="338"/>
      <c r="JZG23" s="338"/>
      <c r="JZH23" s="338"/>
      <c r="JZI23" s="338"/>
      <c r="JZJ23" s="338"/>
      <c r="JZK23" s="338"/>
      <c r="JZL23" s="338"/>
      <c r="JZM23" s="338"/>
      <c r="JZN23" s="338"/>
      <c r="JZO23" s="338"/>
      <c r="JZP23" s="338"/>
      <c r="JZQ23" s="338"/>
      <c r="JZR23" s="338"/>
      <c r="JZS23" s="338"/>
      <c r="JZT23" s="338"/>
      <c r="JZU23" s="338"/>
      <c r="JZV23" s="338"/>
      <c r="JZW23" s="338"/>
      <c r="JZX23" s="338"/>
      <c r="JZY23" s="338"/>
      <c r="JZZ23" s="338"/>
      <c r="KAA23" s="338"/>
      <c r="KAB23" s="338"/>
      <c r="KAC23" s="338"/>
      <c r="KAD23" s="338"/>
      <c r="KAE23" s="338"/>
      <c r="KAF23" s="338"/>
      <c r="KAG23" s="338"/>
      <c r="KAH23" s="338"/>
      <c r="KAI23" s="338"/>
      <c r="KAJ23" s="338"/>
      <c r="KAK23" s="338"/>
      <c r="KAL23" s="338"/>
      <c r="KAM23" s="338"/>
      <c r="KAN23" s="338"/>
      <c r="KAO23" s="338"/>
      <c r="KAP23" s="338"/>
      <c r="KAQ23" s="338"/>
      <c r="KAR23" s="338"/>
      <c r="KAS23" s="338"/>
      <c r="KAT23" s="338"/>
      <c r="KAU23" s="338"/>
      <c r="KAV23" s="338"/>
      <c r="KAW23" s="338"/>
      <c r="KAX23" s="338"/>
      <c r="KAY23" s="338"/>
      <c r="KAZ23" s="338"/>
      <c r="KBA23" s="338"/>
      <c r="KBB23" s="338"/>
      <c r="KBC23" s="338"/>
      <c r="KBD23" s="338"/>
      <c r="KBE23" s="338"/>
      <c r="KBF23" s="338"/>
      <c r="KBG23" s="338"/>
      <c r="KBH23" s="338"/>
      <c r="KBI23" s="338"/>
      <c r="KBJ23" s="338"/>
      <c r="KBK23" s="338"/>
      <c r="KBL23" s="338"/>
      <c r="KBM23" s="338"/>
      <c r="KBN23" s="338"/>
      <c r="KBO23" s="338"/>
      <c r="KBP23" s="338"/>
      <c r="KBQ23" s="338"/>
      <c r="KBR23" s="338"/>
      <c r="KBS23" s="338"/>
      <c r="KBT23" s="338"/>
      <c r="KBU23" s="338"/>
      <c r="KBV23" s="338"/>
      <c r="KBW23" s="338"/>
      <c r="KBX23" s="338"/>
      <c r="KBY23" s="338"/>
      <c r="KBZ23" s="338"/>
      <c r="KCA23" s="338"/>
      <c r="KCB23" s="338"/>
      <c r="KCC23" s="338"/>
      <c r="KCD23" s="338"/>
      <c r="KCE23" s="338"/>
      <c r="KCF23" s="338"/>
      <c r="KCG23" s="338"/>
      <c r="KCH23" s="338"/>
      <c r="KCI23" s="338"/>
      <c r="KCJ23" s="338"/>
      <c r="KCK23" s="338"/>
      <c r="KCL23" s="338"/>
      <c r="KCM23" s="338"/>
      <c r="KCN23" s="338"/>
      <c r="KCO23" s="338"/>
      <c r="KCP23" s="338"/>
      <c r="KCQ23" s="338"/>
      <c r="KCR23" s="338"/>
      <c r="KCS23" s="338"/>
      <c r="KCT23" s="338"/>
      <c r="KCU23" s="338"/>
      <c r="KCV23" s="338"/>
      <c r="KCW23" s="338"/>
      <c r="KCX23" s="338"/>
      <c r="KCY23" s="338"/>
      <c r="KCZ23" s="338"/>
      <c r="KDA23" s="338"/>
      <c r="KDB23" s="338"/>
      <c r="KDC23" s="338"/>
      <c r="KDD23" s="338"/>
      <c r="KDE23" s="338"/>
      <c r="KDF23" s="338"/>
      <c r="KDG23" s="338"/>
      <c r="KDH23" s="338"/>
      <c r="KDI23" s="338"/>
      <c r="KDJ23" s="338"/>
      <c r="KDK23" s="338"/>
      <c r="KDL23" s="338"/>
      <c r="KDM23" s="338"/>
      <c r="KDN23" s="338"/>
      <c r="KDO23" s="338"/>
      <c r="KDP23" s="338"/>
      <c r="KDQ23" s="338"/>
      <c r="KDR23" s="338"/>
      <c r="KDS23" s="338"/>
      <c r="KDT23" s="338"/>
      <c r="KDU23" s="338"/>
      <c r="KDV23" s="338"/>
      <c r="KDW23" s="338"/>
      <c r="KDX23" s="338"/>
      <c r="KDY23" s="338"/>
      <c r="KDZ23" s="338"/>
      <c r="KEA23" s="338"/>
      <c r="KEB23" s="338"/>
      <c r="KEC23" s="338"/>
      <c r="KED23" s="338"/>
      <c r="KEE23" s="338"/>
      <c r="KEF23" s="338"/>
      <c r="KEG23" s="338"/>
      <c r="KEH23" s="338"/>
      <c r="KEI23" s="338"/>
      <c r="KEJ23" s="338"/>
      <c r="KEK23" s="338"/>
      <c r="KEL23" s="338"/>
      <c r="KEM23" s="338"/>
      <c r="KEN23" s="338"/>
      <c r="KEO23" s="338"/>
      <c r="KEP23" s="338"/>
      <c r="KEQ23" s="338"/>
      <c r="KER23" s="338"/>
      <c r="KES23" s="338"/>
      <c r="KET23" s="338"/>
      <c r="KEU23" s="338"/>
      <c r="KEV23" s="338"/>
      <c r="KEW23" s="338"/>
      <c r="KEX23" s="338"/>
      <c r="KEY23" s="338"/>
      <c r="KEZ23" s="338"/>
      <c r="KFA23" s="338"/>
      <c r="KFB23" s="338"/>
      <c r="KFC23" s="338"/>
      <c r="KFD23" s="338"/>
      <c r="KFE23" s="338"/>
      <c r="KFF23" s="338"/>
      <c r="KFG23" s="338"/>
      <c r="KFH23" s="338"/>
      <c r="KFI23" s="338"/>
      <c r="KFJ23" s="338"/>
      <c r="KFK23" s="338"/>
      <c r="KFL23" s="338"/>
      <c r="KFM23" s="338"/>
      <c r="KFN23" s="338"/>
      <c r="KFO23" s="338"/>
      <c r="KFP23" s="338"/>
      <c r="KFQ23" s="338"/>
      <c r="KFR23" s="338"/>
      <c r="KFS23" s="338"/>
      <c r="KFT23" s="338"/>
      <c r="KFU23" s="338"/>
      <c r="KFV23" s="338"/>
      <c r="KFW23" s="338"/>
      <c r="KFX23" s="338"/>
      <c r="KFY23" s="338"/>
      <c r="KFZ23" s="338"/>
      <c r="KGA23" s="338"/>
      <c r="KGB23" s="338"/>
      <c r="KGC23" s="338"/>
      <c r="KGD23" s="338"/>
      <c r="KGE23" s="338"/>
      <c r="KGF23" s="338"/>
      <c r="KGG23" s="338"/>
      <c r="KGH23" s="338"/>
      <c r="KGI23" s="338"/>
      <c r="KGJ23" s="338"/>
      <c r="KGK23" s="338"/>
      <c r="KGL23" s="338"/>
      <c r="KGM23" s="338"/>
      <c r="KGN23" s="338"/>
      <c r="KGO23" s="338"/>
      <c r="KGP23" s="338"/>
      <c r="KGQ23" s="338"/>
      <c r="KGR23" s="338"/>
      <c r="KGS23" s="338"/>
      <c r="KGT23" s="338"/>
      <c r="KGU23" s="338"/>
      <c r="KGV23" s="338"/>
      <c r="KGW23" s="338"/>
      <c r="KGX23" s="338"/>
      <c r="KGY23" s="338"/>
      <c r="KGZ23" s="338"/>
      <c r="KHA23" s="338"/>
      <c r="KHB23" s="338"/>
      <c r="KHC23" s="338"/>
      <c r="KHD23" s="338"/>
      <c r="KHE23" s="338"/>
      <c r="KHF23" s="338"/>
      <c r="KHG23" s="338"/>
      <c r="KHH23" s="338"/>
      <c r="KHI23" s="338"/>
      <c r="KHJ23" s="338"/>
      <c r="KHK23" s="338"/>
      <c r="KHL23" s="338"/>
      <c r="KHM23" s="338"/>
      <c r="KHN23" s="338"/>
      <c r="KHO23" s="338"/>
      <c r="KHP23" s="338"/>
      <c r="KHQ23" s="338"/>
      <c r="KHR23" s="338"/>
      <c r="KHS23" s="338"/>
      <c r="KHT23" s="338"/>
      <c r="KHU23" s="338"/>
      <c r="KHV23" s="338"/>
      <c r="KHW23" s="338"/>
      <c r="KHX23" s="338"/>
      <c r="KHY23" s="338"/>
      <c r="KHZ23" s="338"/>
      <c r="KIA23" s="338"/>
      <c r="KIB23" s="338"/>
      <c r="KIC23" s="338"/>
      <c r="KID23" s="338"/>
      <c r="KIE23" s="338"/>
      <c r="KIF23" s="338"/>
      <c r="KIG23" s="338"/>
      <c r="KIH23" s="338"/>
      <c r="KII23" s="338"/>
      <c r="KIJ23" s="338"/>
      <c r="KIK23" s="338"/>
      <c r="KIL23" s="338"/>
      <c r="KIM23" s="338"/>
      <c r="KIN23" s="338"/>
      <c r="KIO23" s="338"/>
      <c r="KIP23" s="338"/>
      <c r="KIQ23" s="338"/>
      <c r="KIR23" s="338"/>
      <c r="KIS23" s="338"/>
      <c r="KIT23" s="338"/>
      <c r="KIU23" s="338"/>
      <c r="KIV23" s="338"/>
      <c r="KIW23" s="338"/>
      <c r="KIX23" s="338"/>
      <c r="KIY23" s="338"/>
      <c r="KIZ23" s="338"/>
      <c r="KJA23" s="338"/>
      <c r="KJB23" s="338"/>
      <c r="KJC23" s="338"/>
      <c r="KJD23" s="338"/>
      <c r="KJE23" s="338"/>
      <c r="KJF23" s="338"/>
      <c r="KJG23" s="338"/>
      <c r="KJH23" s="338"/>
      <c r="KJI23" s="338"/>
      <c r="KJJ23" s="338"/>
      <c r="KJK23" s="338"/>
      <c r="KJL23" s="338"/>
      <c r="KJM23" s="338"/>
      <c r="KJN23" s="338"/>
      <c r="KJO23" s="338"/>
      <c r="KJP23" s="338"/>
      <c r="KJQ23" s="338"/>
      <c r="KJR23" s="338"/>
      <c r="KJS23" s="338"/>
      <c r="KJT23" s="338"/>
      <c r="KJU23" s="338"/>
      <c r="KJV23" s="338"/>
      <c r="KJW23" s="338"/>
      <c r="KJX23" s="338"/>
      <c r="KJY23" s="338"/>
      <c r="KJZ23" s="338"/>
      <c r="KKA23" s="338"/>
      <c r="KKB23" s="338"/>
      <c r="KKC23" s="338"/>
      <c r="KKD23" s="338"/>
      <c r="KKE23" s="338"/>
      <c r="KKF23" s="338"/>
      <c r="KKG23" s="338"/>
      <c r="KKH23" s="338"/>
      <c r="KKI23" s="338"/>
      <c r="KKJ23" s="338"/>
      <c r="KKK23" s="338"/>
      <c r="KKL23" s="338"/>
      <c r="KKM23" s="338"/>
      <c r="KKN23" s="338"/>
      <c r="KKO23" s="338"/>
      <c r="KKP23" s="338"/>
      <c r="KKQ23" s="338"/>
      <c r="KKR23" s="338"/>
      <c r="KKS23" s="338"/>
      <c r="KKT23" s="338"/>
      <c r="KKU23" s="338"/>
      <c r="KKV23" s="338"/>
      <c r="KKW23" s="338"/>
      <c r="KKX23" s="338"/>
      <c r="KKY23" s="338"/>
      <c r="KKZ23" s="338"/>
      <c r="KLA23" s="338"/>
      <c r="KLB23" s="338"/>
      <c r="KLC23" s="338"/>
      <c r="KLD23" s="338"/>
      <c r="KLE23" s="338"/>
      <c r="KLF23" s="338"/>
      <c r="KLG23" s="338"/>
      <c r="KLH23" s="338"/>
      <c r="KLI23" s="338"/>
      <c r="KLJ23" s="338"/>
      <c r="KLK23" s="338"/>
      <c r="KLL23" s="338"/>
      <c r="KLM23" s="338"/>
      <c r="KLN23" s="338"/>
      <c r="KLO23" s="338"/>
      <c r="KLP23" s="338"/>
      <c r="KLQ23" s="338"/>
      <c r="KLR23" s="338"/>
      <c r="KLS23" s="338"/>
      <c r="KLT23" s="338"/>
      <c r="KLU23" s="338"/>
      <c r="KLV23" s="338"/>
      <c r="KLW23" s="338"/>
      <c r="KLX23" s="338"/>
      <c r="KLY23" s="338"/>
      <c r="KLZ23" s="338"/>
      <c r="KMA23" s="338"/>
      <c r="KMB23" s="338"/>
      <c r="KMC23" s="338"/>
      <c r="KMD23" s="338"/>
      <c r="KME23" s="338"/>
      <c r="KMF23" s="338"/>
      <c r="KMG23" s="338"/>
      <c r="KMH23" s="338"/>
      <c r="KMI23" s="338"/>
      <c r="KMJ23" s="338"/>
      <c r="KMK23" s="338"/>
      <c r="KML23" s="338"/>
      <c r="KMM23" s="338"/>
      <c r="KMN23" s="338"/>
      <c r="KMO23" s="338"/>
      <c r="KMP23" s="338"/>
      <c r="KMQ23" s="338"/>
      <c r="KMR23" s="338"/>
      <c r="KMS23" s="338"/>
      <c r="KMT23" s="338"/>
      <c r="KMU23" s="338"/>
      <c r="KMV23" s="338"/>
      <c r="KMW23" s="338"/>
      <c r="KMX23" s="338"/>
      <c r="KMY23" s="338"/>
      <c r="KMZ23" s="338"/>
      <c r="KNA23" s="338"/>
      <c r="KNB23" s="338"/>
      <c r="KNC23" s="338"/>
      <c r="KND23" s="338"/>
      <c r="KNE23" s="338"/>
      <c r="KNF23" s="338"/>
      <c r="KNG23" s="338"/>
      <c r="KNH23" s="338"/>
      <c r="KNI23" s="338"/>
      <c r="KNJ23" s="338"/>
      <c r="KNK23" s="338"/>
      <c r="KNL23" s="338"/>
      <c r="KNM23" s="338"/>
      <c r="KNN23" s="338"/>
      <c r="KNO23" s="338"/>
      <c r="KNP23" s="338"/>
      <c r="KNQ23" s="338"/>
      <c r="KNR23" s="338"/>
      <c r="KNS23" s="338"/>
      <c r="KNT23" s="338"/>
      <c r="KNU23" s="338"/>
      <c r="KNV23" s="338"/>
      <c r="KNW23" s="338"/>
      <c r="KNX23" s="338"/>
      <c r="KNY23" s="338"/>
      <c r="KNZ23" s="338"/>
      <c r="KOA23" s="338"/>
      <c r="KOB23" s="338"/>
      <c r="KOC23" s="338"/>
      <c r="KOD23" s="338"/>
      <c r="KOE23" s="338"/>
      <c r="KOF23" s="338"/>
      <c r="KOG23" s="338"/>
      <c r="KOH23" s="338"/>
      <c r="KOI23" s="338"/>
      <c r="KOJ23" s="338"/>
      <c r="KOK23" s="338"/>
      <c r="KOL23" s="338"/>
      <c r="KOM23" s="338"/>
      <c r="KON23" s="338"/>
      <c r="KOO23" s="338"/>
      <c r="KOP23" s="338"/>
      <c r="KOQ23" s="338"/>
      <c r="KOR23" s="338"/>
      <c r="KOS23" s="338"/>
      <c r="KOT23" s="338"/>
      <c r="KOU23" s="338"/>
      <c r="KOV23" s="338"/>
      <c r="KOW23" s="338"/>
      <c r="KOX23" s="338"/>
      <c r="KOY23" s="338"/>
      <c r="KOZ23" s="338"/>
      <c r="KPA23" s="338"/>
      <c r="KPB23" s="338"/>
      <c r="KPC23" s="338"/>
      <c r="KPD23" s="338"/>
      <c r="KPE23" s="338"/>
      <c r="KPF23" s="338"/>
      <c r="KPG23" s="338"/>
      <c r="KPH23" s="338"/>
      <c r="KPI23" s="338"/>
      <c r="KPJ23" s="338"/>
      <c r="KPK23" s="338"/>
      <c r="KPL23" s="338"/>
      <c r="KPM23" s="338"/>
      <c r="KPN23" s="338"/>
      <c r="KPO23" s="338"/>
      <c r="KPP23" s="338"/>
      <c r="KPQ23" s="338"/>
      <c r="KPR23" s="338"/>
      <c r="KPS23" s="338"/>
      <c r="KPT23" s="338"/>
      <c r="KPU23" s="338"/>
      <c r="KPV23" s="338"/>
      <c r="KPW23" s="338"/>
      <c r="KPX23" s="338"/>
      <c r="KPY23" s="338"/>
      <c r="KPZ23" s="338"/>
      <c r="KQA23" s="338"/>
      <c r="KQB23" s="338"/>
      <c r="KQC23" s="338"/>
      <c r="KQD23" s="338"/>
      <c r="KQE23" s="338"/>
      <c r="KQF23" s="338"/>
      <c r="KQG23" s="338"/>
      <c r="KQH23" s="338"/>
      <c r="KQI23" s="338"/>
      <c r="KQJ23" s="338"/>
      <c r="KQK23" s="338"/>
      <c r="KQL23" s="338"/>
      <c r="KQM23" s="338"/>
      <c r="KQN23" s="338"/>
      <c r="KQO23" s="338"/>
      <c r="KQP23" s="338"/>
      <c r="KQQ23" s="338"/>
      <c r="KQR23" s="338"/>
      <c r="KQS23" s="338"/>
      <c r="KQT23" s="338"/>
      <c r="KQU23" s="338"/>
      <c r="KQV23" s="338"/>
      <c r="KQW23" s="338"/>
      <c r="KQX23" s="338"/>
      <c r="KQY23" s="338"/>
      <c r="KQZ23" s="338"/>
      <c r="KRA23" s="338"/>
      <c r="KRB23" s="338"/>
      <c r="KRC23" s="338"/>
      <c r="KRD23" s="338"/>
      <c r="KRE23" s="338"/>
      <c r="KRF23" s="338"/>
      <c r="KRG23" s="338"/>
      <c r="KRH23" s="338"/>
      <c r="KRI23" s="338"/>
      <c r="KRJ23" s="338"/>
      <c r="KRK23" s="338"/>
      <c r="KRL23" s="338"/>
      <c r="KRM23" s="338"/>
      <c r="KRN23" s="338"/>
      <c r="KRO23" s="338"/>
      <c r="KRP23" s="338"/>
      <c r="KRQ23" s="338"/>
      <c r="KRR23" s="338"/>
      <c r="KRS23" s="338"/>
      <c r="KRT23" s="338"/>
      <c r="KRU23" s="338"/>
      <c r="KRV23" s="338"/>
      <c r="KRW23" s="338"/>
      <c r="KRX23" s="338"/>
      <c r="KRY23" s="338"/>
      <c r="KRZ23" s="338"/>
      <c r="KSA23" s="338"/>
      <c r="KSB23" s="338"/>
      <c r="KSC23" s="338"/>
      <c r="KSD23" s="338"/>
      <c r="KSE23" s="338"/>
      <c r="KSF23" s="338"/>
      <c r="KSG23" s="338"/>
      <c r="KSH23" s="338"/>
      <c r="KSI23" s="338"/>
      <c r="KSJ23" s="338"/>
      <c r="KSK23" s="338"/>
      <c r="KSL23" s="338"/>
      <c r="KSM23" s="338"/>
      <c r="KSN23" s="338"/>
      <c r="KSO23" s="338"/>
      <c r="KSP23" s="338"/>
      <c r="KSQ23" s="338"/>
      <c r="KSR23" s="338"/>
      <c r="KSS23" s="338"/>
      <c r="KST23" s="338"/>
      <c r="KSU23" s="338"/>
      <c r="KSV23" s="338"/>
      <c r="KSW23" s="338"/>
      <c r="KSX23" s="338"/>
      <c r="KSY23" s="338"/>
      <c r="KSZ23" s="338"/>
      <c r="KTA23" s="338"/>
      <c r="KTB23" s="338"/>
      <c r="KTC23" s="338"/>
      <c r="KTD23" s="338"/>
      <c r="KTE23" s="338"/>
      <c r="KTF23" s="338"/>
      <c r="KTG23" s="338"/>
      <c r="KTH23" s="338"/>
      <c r="KTI23" s="338"/>
      <c r="KTJ23" s="338"/>
      <c r="KTK23" s="338"/>
      <c r="KTL23" s="338"/>
      <c r="KTM23" s="338"/>
      <c r="KTN23" s="338"/>
      <c r="KTO23" s="338"/>
      <c r="KTP23" s="338"/>
      <c r="KTQ23" s="338"/>
      <c r="KTR23" s="338"/>
      <c r="KTS23" s="338"/>
      <c r="KTT23" s="338"/>
      <c r="KTU23" s="338"/>
      <c r="KTV23" s="338"/>
      <c r="KTW23" s="338"/>
      <c r="KTX23" s="338"/>
      <c r="KTY23" s="338"/>
      <c r="KTZ23" s="338"/>
      <c r="KUA23" s="338"/>
      <c r="KUB23" s="338"/>
      <c r="KUC23" s="338"/>
      <c r="KUD23" s="338"/>
      <c r="KUE23" s="338"/>
      <c r="KUF23" s="338"/>
      <c r="KUG23" s="338"/>
      <c r="KUH23" s="338"/>
      <c r="KUI23" s="338"/>
      <c r="KUJ23" s="338"/>
      <c r="KUK23" s="338"/>
      <c r="KUL23" s="338"/>
      <c r="KUM23" s="338"/>
      <c r="KUN23" s="338"/>
      <c r="KUO23" s="338"/>
      <c r="KUP23" s="338"/>
      <c r="KUQ23" s="338"/>
      <c r="KUR23" s="338"/>
      <c r="KUS23" s="338"/>
      <c r="KUT23" s="338"/>
      <c r="KUU23" s="338"/>
      <c r="KUV23" s="338"/>
      <c r="KUW23" s="338"/>
      <c r="KUX23" s="338"/>
      <c r="KUY23" s="338"/>
      <c r="KUZ23" s="338"/>
      <c r="KVA23" s="338"/>
      <c r="KVB23" s="338"/>
      <c r="KVC23" s="338"/>
      <c r="KVD23" s="338"/>
      <c r="KVE23" s="338"/>
      <c r="KVF23" s="338"/>
      <c r="KVG23" s="338"/>
      <c r="KVH23" s="338"/>
      <c r="KVI23" s="338"/>
      <c r="KVJ23" s="338"/>
      <c r="KVK23" s="338"/>
      <c r="KVL23" s="338"/>
      <c r="KVM23" s="338"/>
      <c r="KVN23" s="338"/>
      <c r="KVO23" s="338"/>
      <c r="KVP23" s="338"/>
      <c r="KVQ23" s="338"/>
      <c r="KVR23" s="338"/>
      <c r="KVS23" s="338"/>
      <c r="KVT23" s="338"/>
      <c r="KVU23" s="338"/>
      <c r="KVV23" s="338"/>
      <c r="KVW23" s="338"/>
      <c r="KVX23" s="338"/>
      <c r="KVY23" s="338"/>
      <c r="KVZ23" s="338"/>
      <c r="KWA23" s="338"/>
      <c r="KWB23" s="338"/>
      <c r="KWC23" s="338"/>
      <c r="KWD23" s="338"/>
      <c r="KWE23" s="338"/>
      <c r="KWF23" s="338"/>
      <c r="KWG23" s="338"/>
      <c r="KWH23" s="338"/>
      <c r="KWI23" s="338"/>
      <c r="KWJ23" s="338"/>
      <c r="KWK23" s="338"/>
      <c r="KWL23" s="338"/>
      <c r="KWM23" s="338"/>
      <c r="KWN23" s="338"/>
      <c r="KWO23" s="338"/>
      <c r="KWP23" s="338"/>
      <c r="KWQ23" s="338"/>
      <c r="KWR23" s="338"/>
      <c r="KWS23" s="338"/>
      <c r="KWT23" s="338"/>
      <c r="KWU23" s="338"/>
      <c r="KWV23" s="338"/>
      <c r="KWW23" s="338"/>
      <c r="KWX23" s="338"/>
      <c r="KWY23" s="338"/>
      <c r="KWZ23" s="338"/>
      <c r="KXA23" s="338"/>
      <c r="KXB23" s="338"/>
      <c r="KXC23" s="338"/>
      <c r="KXD23" s="338"/>
      <c r="KXE23" s="338"/>
      <c r="KXF23" s="338"/>
      <c r="KXG23" s="338"/>
      <c r="KXH23" s="338"/>
      <c r="KXI23" s="338"/>
      <c r="KXJ23" s="338"/>
      <c r="KXK23" s="338"/>
      <c r="KXL23" s="338"/>
      <c r="KXM23" s="338"/>
      <c r="KXN23" s="338"/>
      <c r="KXO23" s="338"/>
      <c r="KXP23" s="338"/>
      <c r="KXQ23" s="338"/>
      <c r="KXR23" s="338"/>
      <c r="KXS23" s="338"/>
      <c r="KXT23" s="338"/>
      <c r="KXU23" s="338"/>
      <c r="KXV23" s="338"/>
      <c r="KXW23" s="338"/>
      <c r="KXX23" s="338"/>
      <c r="KXY23" s="338"/>
      <c r="KXZ23" s="338"/>
      <c r="KYA23" s="338"/>
      <c r="KYB23" s="338"/>
      <c r="KYC23" s="338"/>
      <c r="KYD23" s="338"/>
      <c r="KYE23" s="338"/>
      <c r="KYF23" s="338"/>
      <c r="KYG23" s="338"/>
      <c r="KYH23" s="338"/>
      <c r="KYI23" s="338"/>
      <c r="KYJ23" s="338"/>
      <c r="KYK23" s="338"/>
      <c r="KYL23" s="338"/>
      <c r="KYM23" s="338"/>
      <c r="KYN23" s="338"/>
      <c r="KYO23" s="338"/>
      <c r="KYP23" s="338"/>
      <c r="KYQ23" s="338"/>
      <c r="KYR23" s="338"/>
      <c r="KYS23" s="338"/>
      <c r="KYT23" s="338"/>
      <c r="KYU23" s="338"/>
      <c r="KYV23" s="338"/>
      <c r="KYW23" s="338"/>
      <c r="KYX23" s="338"/>
      <c r="KYY23" s="338"/>
      <c r="KYZ23" s="338"/>
      <c r="KZA23" s="338"/>
      <c r="KZB23" s="338"/>
      <c r="KZC23" s="338"/>
      <c r="KZD23" s="338"/>
      <c r="KZE23" s="338"/>
      <c r="KZF23" s="338"/>
      <c r="KZG23" s="338"/>
      <c r="KZH23" s="338"/>
      <c r="KZI23" s="338"/>
      <c r="KZJ23" s="338"/>
      <c r="KZK23" s="338"/>
      <c r="KZL23" s="338"/>
      <c r="KZM23" s="338"/>
      <c r="KZN23" s="338"/>
      <c r="KZO23" s="338"/>
      <c r="KZP23" s="338"/>
      <c r="KZQ23" s="338"/>
      <c r="KZR23" s="338"/>
      <c r="KZS23" s="338"/>
      <c r="KZT23" s="338"/>
      <c r="KZU23" s="338"/>
      <c r="KZV23" s="338"/>
      <c r="KZW23" s="338"/>
      <c r="KZX23" s="338"/>
      <c r="KZY23" s="338"/>
      <c r="KZZ23" s="338"/>
      <c r="LAA23" s="338"/>
      <c r="LAB23" s="338"/>
      <c r="LAC23" s="338"/>
      <c r="LAD23" s="338"/>
      <c r="LAE23" s="338"/>
      <c r="LAF23" s="338"/>
      <c r="LAG23" s="338"/>
      <c r="LAH23" s="338"/>
      <c r="LAI23" s="338"/>
      <c r="LAJ23" s="338"/>
      <c r="LAK23" s="338"/>
      <c r="LAL23" s="338"/>
      <c r="LAM23" s="338"/>
      <c r="LAN23" s="338"/>
      <c r="LAO23" s="338"/>
      <c r="LAP23" s="338"/>
      <c r="LAQ23" s="338"/>
      <c r="LAR23" s="338"/>
      <c r="LAS23" s="338"/>
      <c r="LAT23" s="338"/>
      <c r="LAU23" s="338"/>
      <c r="LAV23" s="338"/>
      <c r="LAW23" s="338"/>
      <c r="LAX23" s="338"/>
      <c r="LAY23" s="338"/>
      <c r="LAZ23" s="338"/>
      <c r="LBA23" s="338"/>
      <c r="LBB23" s="338"/>
      <c r="LBC23" s="338"/>
      <c r="LBD23" s="338"/>
      <c r="LBE23" s="338"/>
      <c r="LBF23" s="338"/>
      <c r="LBG23" s="338"/>
      <c r="LBH23" s="338"/>
      <c r="LBI23" s="338"/>
      <c r="LBJ23" s="338"/>
      <c r="LBK23" s="338"/>
      <c r="LBL23" s="338"/>
      <c r="LBM23" s="338"/>
      <c r="LBN23" s="338"/>
      <c r="LBO23" s="338"/>
      <c r="LBP23" s="338"/>
      <c r="LBQ23" s="338"/>
      <c r="LBR23" s="338"/>
      <c r="LBS23" s="338"/>
      <c r="LBT23" s="338"/>
      <c r="LBU23" s="338"/>
      <c r="LBV23" s="338"/>
      <c r="LBW23" s="338"/>
      <c r="LBX23" s="338"/>
      <c r="LBY23" s="338"/>
      <c r="LBZ23" s="338"/>
      <c r="LCA23" s="338"/>
      <c r="LCB23" s="338"/>
      <c r="LCC23" s="338"/>
      <c r="LCD23" s="338"/>
      <c r="LCE23" s="338"/>
      <c r="LCF23" s="338"/>
      <c r="LCG23" s="338"/>
      <c r="LCH23" s="338"/>
      <c r="LCI23" s="338"/>
      <c r="LCJ23" s="338"/>
      <c r="LCK23" s="338"/>
      <c r="LCL23" s="338"/>
      <c r="LCM23" s="338"/>
      <c r="LCN23" s="338"/>
      <c r="LCO23" s="338"/>
      <c r="LCP23" s="338"/>
      <c r="LCQ23" s="338"/>
      <c r="LCR23" s="338"/>
      <c r="LCS23" s="338"/>
      <c r="LCT23" s="338"/>
      <c r="LCU23" s="338"/>
      <c r="LCV23" s="338"/>
      <c r="LCW23" s="338"/>
      <c r="LCX23" s="338"/>
      <c r="LCY23" s="338"/>
      <c r="LCZ23" s="338"/>
      <c r="LDA23" s="338"/>
      <c r="LDB23" s="338"/>
      <c r="LDC23" s="338"/>
      <c r="LDD23" s="338"/>
      <c r="LDE23" s="338"/>
      <c r="LDF23" s="338"/>
      <c r="LDG23" s="338"/>
      <c r="LDH23" s="338"/>
      <c r="LDI23" s="338"/>
      <c r="LDJ23" s="338"/>
      <c r="LDK23" s="338"/>
      <c r="LDL23" s="338"/>
      <c r="LDM23" s="338"/>
      <c r="LDN23" s="338"/>
      <c r="LDO23" s="338"/>
      <c r="LDP23" s="338"/>
      <c r="LDQ23" s="338"/>
      <c r="LDR23" s="338"/>
      <c r="LDS23" s="338"/>
      <c r="LDT23" s="338"/>
      <c r="LDU23" s="338"/>
      <c r="LDV23" s="338"/>
      <c r="LDW23" s="338"/>
      <c r="LDX23" s="338"/>
      <c r="LDY23" s="338"/>
      <c r="LDZ23" s="338"/>
      <c r="LEA23" s="338"/>
      <c r="LEB23" s="338"/>
      <c r="LEC23" s="338"/>
      <c r="LED23" s="338"/>
      <c r="LEE23" s="338"/>
      <c r="LEF23" s="338"/>
      <c r="LEG23" s="338"/>
      <c r="LEH23" s="338"/>
      <c r="LEI23" s="338"/>
      <c r="LEJ23" s="338"/>
      <c r="LEK23" s="338"/>
      <c r="LEL23" s="338"/>
      <c r="LEM23" s="338"/>
      <c r="LEN23" s="338"/>
      <c r="LEO23" s="338"/>
      <c r="LEP23" s="338"/>
      <c r="LEQ23" s="338"/>
      <c r="LER23" s="338"/>
      <c r="LES23" s="338"/>
      <c r="LET23" s="338"/>
      <c r="LEU23" s="338"/>
      <c r="LEV23" s="338"/>
      <c r="LEW23" s="338"/>
      <c r="LEX23" s="338"/>
      <c r="LEY23" s="338"/>
      <c r="LEZ23" s="338"/>
      <c r="LFA23" s="338"/>
      <c r="LFB23" s="338"/>
      <c r="LFC23" s="338"/>
      <c r="LFD23" s="338"/>
      <c r="LFE23" s="338"/>
      <c r="LFF23" s="338"/>
      <c r="LFG23" s="338"/>
      <c r="LFH23" s="338"/>
      <c r="LFI23" s="338"/>
      <c r="LFJ23" s="338"/>
      <c r="LFK23" s="338"/>
      <c r="LFL23" s="338"/>
      <c r="LFM23" s="338"/>
      <c r="LFN23" s="338"/>
      <c r="LFO23" s="338"/>
      <c r="LFP23" s="338"/>
      <c r="LFQ23" s="338"/>
      <c r="LFR23" s="338"/>
      <c r="LFS23" s="338"/>
      <c r="LFT23" s="338"/>
      <c r="LFU23" s="338"/>
      <c r="LFV23" s="338"/>
      <c r="LFW23" s="338"/>
      <c r="LFX23" s="338"/>
      <c r="LFY23" s="338"/>
      <c r="LFZ23" s="338"/>
      <c r="LGA23" s="338"/>
      <c r="LGB23" s="338"/>
      <c r="LGC23" s="338"/>
      <c r="LGD23" s="338"/>
      <c r="LGE23" s="338"/>
      <c r="LGF23" s="338"/>
      <c r="LGG23" s="338"/>
      <c r="LGH23" s="338"/>
      <c r="LGI23" s="338"/>
      <c r="LGJ23" s="338"/>
      <c r="LGK23" s="338"/>
      <c r="LGL23" s="338"/>
      <c r="LGM23" s="338"/>
      <c r="LGN23" s="338"/>
      <c r="LGO23" s="338"/>
      <c r="LGP23" s="338"/>
      <c r="LGQ23" s="338"/>
      <c r="LGR23" s="338"/>
      <c r="LGS23" s="338"/>
      <c r="LGT23" s="338"/>
      <c r="LGU23" s="338"/>
      <c r="LGV23" s="338"/>
      <c r="LGW23" s="338"/>
      <c r="LGX23" s="338"/>
      <c r="LGY23" s="338"/>
      <c r="LGZ23" s="338"/>
      <c r="LHA23" s="338"/>
      <c r="LHB23" s="338"/>
      <c r="LHC23" s="338"/>
      <c r="LHD23" s="338"/>
      <c r="LHE23" s="338"/>
      <c r="LHF23" s="338"/>
      <c r="LHG23" s="338"/>
      <c r="LHH23" s="338"/>
      <c r="LHI23" s="338"/>
      <c r="LHJ23" s="338"/>
      <c r="LHK23" s="338"/>
      <c r="LHL23" s="338"/>
      <c r="LHM23" s="338"/>
      <c r="LHN23" s="338"/>
      <c r="LHO23" s="338"/>
      <c r="LHP23" s="338"/>
      <c r="LHQ23" s="338"/>
      <c r="LHR23" s="338"/>
      <c r="LHS23" s="338"/>
      <c r="LHT23" s="338"/>
      <c r="LHU23" s="338"/>
      <c r="LHV23" s="338"/>
      <c r="LHW23" s="338"/>
      <c r="LHX23" s="338"/>
      <c r="LHY23" s="338"/>
      <c r="LHZ23" s="338"/>
      <c r="LIA23" s="338"/>
      <c r="LIB23" s="338"/>
      <c r="LIC23" s="338"/>
      <c r="LID23" s="338"/>
      <c r="LIE23" s="338"/>
      <c r="LIF23" s="338"/>
      <c r="LIG23" s="338"/>
      <c r="LIH23" s="338"/>
      <c r="LII23" s="338"/>
      <c r="LIJ23" s="338"/>
      <c r="LIK23" s="338"/>
      <c r="LIL23" s="338"/>
      <c r="LIM23" s="338"/>
      <c r="LIN23" s="338"/>
      <c r="LIO23" s="338"/>
      <c r="LIP23" s="338"/>
      <c r="LIQ23" s="338"/>
      <c r="LIR23" s="338"/>
      <c r="LIS23" s="338"/>
      <c r="LIT23" s="338"/>
      <c r="LIU23" s="338"/>
      <c r="LIV23" s="338"/>
      <c r="LIW23" s="338"/>
      <c r="LIX23" s="338"/>
      <c r="LIY23" s="338"/>
      <c r="LIZ23" s="338"/>
      <c r="LJA23" s="338"/>
      <c r="LJB23" s="338"/>
      <c r="LJC23" s="338"/>
      <c r="LJD23" s="338"/>
      <c r="LJE23" s="338"/>
      <c r="LJF23" s="338"/>
      <c r="LJG23" s="338"/>
      <c r="LJH23" s="338"/>
      <c r="LJI23" s="338"/>
      <c r="LJJ23" s="338"/>
      <c r="LJK23" s="338"/>
      <c r="LJL23" s="338"/>
      <c r="LJM23" s="338"/>
      <c r="LJN23" s="338"/>
      <c r="LJO23" s="338"/>
      <c r="LJP23" s="338"/>
      <c r="LJQ23" s="338"/>
      <c r="LJR23" s="338"/>
      <c r="LJS23" s="338"/>
      <c r="LJT23" s="338"/>
      <c r="LJU23" s="338"/>
      <c r="LJV23" s="338"/>
      <c r="LJW23" s="338"/>
      <c r="LJX23" s="338"/>
      <c r="LJY23" s="338"/>
      <c r="LJZ23" s="338"/>
      <c r="LKA23" s="338"/>
      <c r="LKB23" s="338"/>
      <c r="LKC23" s="338"/>
      <c r="LKD23" s="338"/>
      <c r="LKE23" s="338"/>
      <c r="LKF23" s="338"/>
      <c r="LKG23" s="338"/>
      <c r="LKH23" s="338"/>
      <c r="LKI23" s="338"/>
      <c r="LKJ23" s="338"/>
      <c r="LKK23" s="338"/>
      <c r="LKL23" s="338"/>
      <c r="LKM23" s="338"/>
      <c r="LKN23" s="338"/>
      <c r="LKO23" s="338"/>
      <c r="LKP23" s="338"/>
      <c r="LKQ23" s="338"/>
      <c r="LKR23" s="338"/>
      <c r="LKS23" s="338"/>
      <c r="LKT23" s="338"/>
      <c r="LKU23" s="338"/>
      <c r="LKV23" s="338"/>
      <c r="LKW23" s="338"/>
      <c r="LKX23" s="338"/>
      <c r="LKY23" s="338"/>
      <c r="LKZ23" s="338"/>
      <c r="LLA23" s="338"/>
      <c r="LLB23" s="338"/>
      <c r="LLC23" s="338"/>
      <c r="LLD23" s="338"/>
      <c r="LLE23" s="338"/>
      <c r="LLF23" s="338"/>
      <c r="LLG23" s="338"/>
      <c r="LLH23" s="338"/>
      <c r="LLI23" s="338"/>
      <c r="LLJ23" s="338"/>
      <c r="LLK23" s="338"/>
      <c r="LLL23" s="338"/>
      <c r="LLM23" s="338"/>
      <c r="LLN23" s="338"/>
      <c r="LLO23" s="338"/>
      <c r="LLP23" s="338"/>
      <c r="LLQ23" s="338"/>
      <c r="LLR23" s="338"/>
      <c r="LLS23" s="338"/>
      <c r="LLT23" s="338"/>
      <c r="LLU23" s="338"/>
      <c r="LLV23" s="338"/>
      <c r="LLW23" s="338"/>
      <c r="LLX23" s="338"/>
      <c r="LLY23" s="338"/>
      <c r="LLZ23" s="338"/>
      <c r="LMA23" s="338"/>
      <c r="LMB23" s="338"/>
      <c r="LMC23" s="338"/>
      <c r="LMD23" s="338"/>
      <c r="LME23" s="338"/>
      <c r="LMF23" s="338"/>
      <c r="LMG23" s="338"/>
      <c r="LMH23" s="338"/>
      <c r="LMI23" s="338"/>
      <c r="LMJ23" s="338"/>
      <c r="LMK23" s="338"/>
      <c r="LML23" s="338"/>
      <c r="LMM23" s="338"/>
      <c r="LMN23" s="338"/>
      <c r="LMO23" s="338"/>
      <c r="LMP23" s="338"/>
      <c r="LMQ23" s="338"/>
      <c r="LMR23" s="338"/>
      <c r="LMS23" s="338"/>
      <c r="LMT23" s="338"/>
      <c r="LMU23" s="338"/>
      <c r="LMV23" s="338"/>
      <c r="LMW23" s="338"/>
      <c r="LMX23" s="338"/>
      <c r="LMY23" s="338"/>
      <c r="LMZ23" s="338"/>
      <c r="LNA23" s="338"/>
      <c r="LNB23" s="338"/>
      <c r="LNC23" s="338"/>
      <c r="LND23" s="338"/>
      <c r="LNE23" s="338"/>
      <c r="LNF23" s="338"/>
      <c r="LNG23" s="338"/>
      <c r="LNH23" s="338"/>
      <c r="LNI23" s="338"/>
      <c r="LNJ23" s="338"/>
      <c r="LNK23" s="338"/>
      <c r="LNL23" s="338"/>
      <c r="LNM23" s="338"/>
      <c r="LNN23" s="338"/>
      <c r="LNO23" s="338"/>
      <c r="LNP23" s="338"/>
      <c r="LNQ23" s="338"/>
      <c r="LNR23" s="338"/>
      <c r="LNS23" s="338"/>
      <c r="LNT23" s="338"/>
      <c r="LNU23" s="338"/>
      <c r="LNV23" s="338"/>
      <c r="LNW23" s="338"/>
      <c r="LNX23" s="338"/>
      <c r="LNY23" s="338"/>
      <c r="LNZ23" s="338"/>
      <c r="LOA23" s="338"/>
      <c r="LOB23" s="338"/>
      <c r="LOC23" s="338"/>
      <c r="LOD23" s="338"/>
      <c r="LOE23" s="338"/>
      <c r="LOF23" s="338"/>
      <c r="LOG23" s="338"/>
      <c r="LOH23" s="338"/>
      <c r="LOI23" s="338"/>
      <c r="LOJ23" s="338"/>
      <c r="LOK23" s="338"/>
      <c r="LOL23" s="338"/>
      <c r="LOM23" s="338"/>
      <c r="LON23" s="338"/>
      <c r="LOO23" s="338"/>
      <c r="LOP23" s="338"/>
      <c r="LOQ23" s="338"/>
      <c r="LOR23" s="338"/>
      <c r="LOS23" s="338"/>
      <c r="LOT23" s="338"/>
      <c r="LOU23" s="338"/>
      <c r="LOV23" s="338"/>
      <c r="LOW23" s="338"/>
      <c r="LOX23" s="338"/>
      <c r="LOY23" s="338"/>
      <c r="LOZ23" s="338"/>
      <c r="LPA23" s="338"/>
      <c r="LPB23" s="338"/>
      <c r="LPC23" s="338"/>
      <c r="LPD23" s="338"/>
      <c r="LPE23" s="338"/>
      <c r="LPF23" s="338"/>
      <c r="LPG23" s="338"/>
      <c r="LPH23" s="338"/>
      <c r="LPI23" s="338"/>
      <c r="LPJ23" s="338"/>
      <c r="LPK23" s="338"/>
      <c r="LPL23" s="338"/>
      <c r="LPM23" s="338"/>
      <c r="LPN23" s="338"/>
      <c r="LPO23" s="338"/>
      <c r="LPP23" s="338"/>
      <c r="LPQ23" s="338"/>
      <c r="LPR23" s="338"/>
      <c r="LPS23" s="338"/>
      <c r="LPT23" s="338"/>
      <c r="LPU23" s="338"/>
      <c r="LPV23" s="338"/>
      <c r="LPW23" s="338"/>
      <c r="LPX23" s="338"/>
      <c r="LPY23" s="338"/>
      <c r="LPZ23" s="338"/>
      <c r="LQA23" s="338"/>
      <c r="LQB23" s="338"/>
      <c r="LQC23" s="338"/>
      <c r="LQD23" s="338"/>
      <c r="LQE23" s="338"/>
      <c r="LQF23" s="338"/>
      <c r="LQG23" s="338"/>
      <c r="LQH23" s="338"/>
      <c r="LQI23" s="338"/>
      <c r="LQJ23" s="338"/>
      <c r="LQK23" s="338"/>
      <c r="LQL23" s="338"/>
      <c r="LQM23" s="338"/>
      <c r="LQN23" s="338"/>
      <c r="LQO23" s="338"/>
      <c r="LQP23" s="338"/>
      <c r="LQQ23" s="338"/>
      <c r="LQR23" s="338"/>
      <c r="LQS23" s="338"/>
      <c r="LQT23" s="338"/>
      <c r="LQU23" s="338"/>
      <c r="LQV23" s="338"/>
      <c r="LQW23" s="338"/>
      <c r="LQX23" s="338"/>
      <c r="LQY23" s="338"/>
      <c r="LQZ23" s="338"/>
      <c r="LRA23" s="338"/>
      <c r="LRB23" s="338"/>
      <c r="LRC23" s="338"/>
      <c r="LRD23" s="338"/>
      <c r="LRE23" s="338"/>
      <c r="LRF23" s="338"/>
      <c r="LRG23" s="338"/>
      <c r="LRH23" s="338"/>
      <c r="LRI23" s="338"/>
      <c r="LRJ23" s="338"/>
      <c r="LRK23" s="338"/>
      <c r="LRL23" s="338"/>
      <c r="LRM23" s="338"/>
      <c r="LRN23" s="338"/>
      <c r="LRO23" s="338"/>
      <c r="LRP23" s="338"/>
      <c r="LRQ23" s="338"/>
      <c r="LRR23" s="338"/>
      <c r="LRS23" s="338"/>
      <c r="LRT23" s="338"/>
      <c r="LRU23" s="338"/>
      <c r="LRV23" s="338"/>
      <c r="LRW23" s="338"/>
      <c r="LRX23" s="338"/>
      <c r="LRY23" s="338"/>
      <c r="LRZ23" s="338"/>
      <c r="LSA23" s="338"/>
      <c r="LSB23" s="338"/>
      <c r="LSC23" s="338"/>
      <c r="LSD23" s="338"/>
      <c r="LSE23" s="338"/>
      <c r="LSF23" s="338"/>
      <c r="LSG23" s="338"/>
      <c r="LSH23" s="338"/>
      <c r="LSI23" s="338"/>
      <c r="LSJ23" s="338"/>
      <c r="LSK23" s="338"/>
      <c r="LSL23" s="338"/>
      <c r="LSM23" s="338"/>
      <c r="LSN23" s="338"/>
      <c r="LSO23" s="338"/>
      <c r="LSP23" s="338"/>
      <c r="LSQ23" s="338"/>
      <c r="LSR23" s="338"/>
      <c r="LSS23" s="338"/>
      <c r="LST23" s="338"/>
      <c r="LSU23" s="338"/>
      <c r="LSV23" s="338"/>
      <c r="LSW23" s="338"/>
      <c r="LSX23" s="338"/>
      <c r="LSY23" s="338"/>
      <c r="LSZ23" s="338"/>
      <c r="LTA23" s="338"/>
      <c r="LTB23" s="338"/>
      <c r="LTC23" s="338"/>
      <c r="LTD23" s="338"/>
      <c r="LTE23" s="338"/>
      <c r="LTF23" s="338"/>
      <c r="LTG23" s="338"/>
      <c r="LTH23" s="338"/>
      <c r="LTI23" s="338"/>
      <c r="LTJ23" s="338"/>
      <c r="LTK23" s="338"/>
      <c r="LTL23" s="338"/>
      <c r="LTM23" s="338"/>
      <c r="LTN23" s="338"/>
      <c r="LTO23" s="338"/>
      <c r="LTP23" s="338"/>
      <c r="LTQ23" s="338"/>
      <c r="LTR23" s="338"/>
      <c r="LTS23" s="338"/>
      <c r="LTT23" s="338"/>
      <c r="LTU23" s="338"/>
      <c r="LTV23" s="338"/>
      <c r="LTW23" s="338"/>
      <c r="LTX23" s="338"/>
      <c r="LTY23" s="338"/>
      <c r="LTZ23" s="338"/>
      <c r="LUA23" s="338"/>
      <c r="LUB23" s="338"/>
      <c r="LUC23" s="338"/>
      <c r="LUD23" s="338"/>
      <c r="LUE23" s="338"/>
      <c r="LUF23" s="338"/>
      <c r="LUG23" s="338"/>
      <c r="LUH23" s="338"/>
      <c r="LUI23" s="338"/>
      <c r="LUJ23" s="338"/>
      <c r="LUK23" s="338"/>
      <c r="LUL23" s="338"/>
      <c r="LUM23" s="338"/>
      <c r="LUN23" s="338"/>
      <c r="LUO23" s="338"/>
      <c r="LUP23" s="338"/>
      <c r="LUQ23" s="338"/>
      <c r="LUR23" s="338"/>
      <c r="LUS23" s="338"/>
      <c r="LUT23" s="338"/>
      <c r="LUU23" s="338"/>
      <c r="LUV23" s="338"/>
      <c r="LUW23" s="338"/>
      <c r="LUX23" s="338"/>
      <c r="LUY23" s="338"/>
      <c r="LUZ23" s="338"/>
      <c r="LVA23" s="338"/>
      <c r="LVB23" s="338"/>
      <c r="LVC23" s="338"/>
      <c r="LVD23" s="338"/>
      <c r="LVE23" s="338"/>
      <c r="LVF23" s="338"/>
      <c r="LVG23" s="338"/>
      <c r="LVH23" s="338"/>
      <c r="LVI23" s="338"/>
      <c r="LVJ23" s="338"/>
      <c r="LVK23" s="338"/>
      <c r="LVL23" s="338"/>
      <c r="LVM23" s="338"/>
      <c r="LVN23" s="338"/>
      <c r="LVO23" s="338"/>
      <c r="LVP23" s="338"/>
      <c r="LVQ23" s="338"/>
      <c r="LVR23" s="338"/>
      <c r="LVS23" s="338"/>
      <c r="LVT23" s="338"/>
      <c r="LVU23" s="338"/>
      <c r="LVV23" s="338"/>
      <c r="LVW23" s="338"/>
      <c r="LVX23" s="338"/>
      <c r="LVY23" s="338"/>
      <c r="LVZ23" s="338"/>
      <c r="LWA23" s="338"/>
      <c r="LWB23" s="338"/>
      <c r="LWC23" s="338"/>
      <c r="LWD23" s="338"/>
      <c r="LWE23" s="338"/>
      <c r="LWF23" s="338"/>
      <c r="LWG23" s="338"/>
      <c r="LWH23" s="338"/>
      <c r="LWI23" s="338"/>
      <c r="LWJ23" s="338"/>
      <c r="LWK23" s="338"/>
      <c r="LWL23" s="338"/>
      <c r="LWM23" s="338"/>
      <c r="LWN23" s="338"/>
      <c r="LWO23" s="338"/>
      <c r="LWP23" s="338"/>
      <c r="LWQ23" s="338"/>
      <c r="LWR23" s="338"/>
      <c r="LWS23" s="338"/>
      <c r="LWT23" s="338"/>
      <c r="LWU23" s="338"/>
      <c r="LWV23" s="338"/>
      <c r="LWW23" s="338"/>
      <c r="LWX23" s="338"/>
      <c r="LWY23" s="338"/>
      <c r="LWZ23" s="338"/>
      <c r="LXA23" s="338"/>
      <c r="LXB23" s="338"/>
      <c r="LXC23" s="338"/>
      <c r="LXD23" s="338"/>
      <c r="LXE23" s="338"/>
      <c r="LXF23" s="338"/>
      <c r="LXG23" s="338"/>
      <c r="LXH23" s="338"/>
      <c r="LXI23" s="338"/>
      <c r="LXJ23" s="338"/>
      <c r="LXK23" s="338"/>
      <c r="LXL23" s="338"/>
      <c r="LXM23" s="338"/>
      <c r="LXN23" s="338"/>
      <c r="LXO23" s="338"/>
      <c r="LXP23" s="338"/>
      <c r="LXQ23" s="338"/>
      <c r="LXR23" s="338"/>
      <c r="LXS23" s="338"/>
      <c r="LXT23" s="338"/>
      <c r="LXU23" s="338"/>
      <c r="LXV23" s="338"/>
      <c r="LXW23" s="338"/>
      <c r="LXX23" s="338"/>
      <c r="LXY23" s="338"/>
      <c r="LXZ23" s="338"/>
      <c r="LYA23" s="338"/>
      <c r="LYB23" s="338"/>
      <c r="LYC23" s="338"/>
      <c r="LYD23" s="338"/>
      <c r="LYE23" s="338"/>
      <c r="LYF23" s="338"/>
      <c r="LYG23" s="338"/>
      <c r="LYH23" s="338"/>
      <c r="LYI23" s="338"/>
      <c r="LYJ23" s="338"/>
      <c r="LYK23" s="338"/>
      <c r="LYL23" s="338"/>
      <c r="LYM23" s="338"/>
      <c r="LYN23" s="338"/>
      <c r="LYO23" s="338"/>
      <c r="LYP23" s="338"/>
      <c r="LYQ23" s="338"/>
      <c r="LYR23" s="338"/>
      <c r="LYS23" s="338"/>
      <c r="LYT23" s="338"/>
      <c r="LYU23" s="338"/>
      <c r="LYV23" s="338"/>
      <c r="LYW23" s="338"/>
      <c r="LYX23" s="338"/>
      <c r="LYY23" s="338"/>
      <c r="LYZ23" s="338"/>
      <c r="LZA23" s="338"/>
      <c r="LZB23" s="338"/>
      <c r="LZC23" s="338"/>
      <c r="LZD23" s="338"/>
      <c r="LZE23" s="338"/>
      <c r="LZF23" s="338"/>
      <c r="LZG23" s="338"/>
      <c r="LZH23" s="338"/>
      <c r="LZI23" s="338"/>
      <c r="LZJ23" s="338"/>
      <c r="LZK23" s="338"/>
      <c r="LZL23" s="338"/>
      <c r="LZM23" s="338"/>
      <c r="LZN23" s="338"/>
      <c r="LZO23" s="338"/>
      <c r="LZP23" s="338"/>
      <c r="LZQ23" s="338"/>
      <c r="LZR23" s="338"/>
      <c r="LZS23" s="338"/>
      <c r="LZT23" s="338"/>
      <c r="LZU23" s="338"/>
      <c r="LZV23" s="338"/>
      <c r="LZW23" s="338"/>
      <c r="LZX23" s="338"/>
      <c r="LZY23" s="338"/>
      <c r="LZZ23" s="338"/>
      <c r="MAA23" s="338"/>
      <c r="MAB23" s="338"/>
      <c r="MAC23" s="338"/>
      <c r="MAD23" s="338"/>
      <c r="MAE23" s="338"/>
      <c r="MAF23" s="338"/>
      <c r="MAG23" s="338"/>
      <c r="MAH23" s="338"/>
      <c r="MAI23" s="338"/>
      <c r="MAJ23" s="338"/>
      <c r="MAK23" s="338"/>
      <c r="MAL23" s="338"/>
      <c r="MAM23" s="338"/>
      <c r="MAN23" s="338"/>
      <c r="MAO23" s="338"/>
      <c r="MAP23" s="338"/>
      <c r="MAQ23" s="338"/>
      <c r="MAR23" s="338"/>
      <c r="MAS23" s="338"/>
      <c r="MAT23" s="338"/>
      <c r="MAU23" s="338"/>
      <c r="MAV23" s="338"/>
      <c r="MAW23" s="338"/>
      <c r="MAX23" s="338"/>
      <c r="MAY23" s="338"/>
      <c r="MAZ23" s="338"/>
      <c r="MBA23" s="338"/>
      <c r="MBB23" s="338"/>
      <c r="MBC23" s="338"/>
      <c r="MBD23" s="338"/>
      <c r="MBE23" s="338"/>
      <c r="MBF23" s="338"/>
      <c r="MBG23" s="338"/>
      <c r="MBH23" s="338"/>
      <c r="MBI23" s="338"/>
      <c r="MBJ23" s="338"/>
      <c r="MBK23" s="338"/>
      <c r="MBL23" s="338"/>
      <c r="MBM23" s="338"/>
      <c r="MBN23" s="338"/>
      <c r="MBO23" s="338"/>
      <c r="MBP23" s="338"/>
      <c r="MBQ23" s="338"/>
      <c r="MBR23" s="338"/>
      <c r="MBS23" s="338"/>
      <c r="MBT23" s="338"/>
      <c r="MBU23" s="338"/>
      <c r="MBV23" s="338"/>
      <c r="MBW23" s="338"/>
      <c r="MBX23" s="338"/>
      <c r="MBY23" s="338"/>
      <c r="MBZ23" s="338"/>
      <c r="MCA23" s="338"/>
      <c r="MCB23" s="338"/>
      <c r="MCC23" s="338"/>
      <c r="MCD23" s="338"/>
      <c r="MCE23" s="338"/>
      <c r="MCF23" s="338"/>
      <c r="MCG23" s="338"/>
      <c r="MCH23" s="338"/>
      <c r="MCI23" s="338"/>
      <c r="MCJ23" s="338"/>
      <c r="MCK23" s="338"/>
      <c r="MCL23" s="338"/>
      <c r="MCM23" s="338"/>
      <c r="MCN23" s="338"/>
      <c r="MCO23" s="338"/>
      <c r="MCP23" s="338"/>
      <c r="MCQ23" s="338"/>
      <c r="MCR23" s="338"/>
      <c r="MCS23" s="338"/>
      <c r="MCT23" s="338"/>
      <c r="MCU23" s="338"/>
      <c r="MCV23" s="338"/>
      <c r="MCW23" s="338"/>
      <c r="MCX23" s="338"/>
      <c r="MCY23" s="338"/>
      <c r="MCZ23" s="338"/>
      <c r="MDA23" s="338"/>
      <c r="MDB23" s="338"/>
      <c r="MDC23" s="338"/>
      <c r="MDD23" s="338"/>
      <c r="MDE23" s="338"/>
      <c r="MDF23" s="338"/>
      <c r="MDG23" s="338"/>
      <c r="MDH23" s="338"/>
      <c r="MDI23" s="338"/>
      <c r="MDJ23" s="338"/>
      <c r="MDK23" s="338"/>
      <c r="MDL23" s="338"/>
      <c r="MDM23" s="338"/>
      <c r="MDN23" s="338"/>
      <c r="MDO23" s="338"/>
      <c r="MDP23" s="338"/>
      <c r="MDQ23" s="338"/>
      <c r="MDR23" s="338"/>
      <c r="MDS23" s="338"/>
      <c r="MDT23" s="338"/>
      <c r="MDU23" s="338"/>
      <c r="MDV23" s="338"/>
      <c r="MDW23" s="338"/>
      <c r="MDX23" s="338"/>
      <c r="MDY23" s="338"/>
      <c r="MDZ23" s="338"/>
      <c r="MEA23" s="338"/>
      <c r="MEB23" s="338"/>
      <c r="MEC23" s="338"/>
      <c r="MED23" s="338"/>
      <c r="MEE23" s="338"/>
      <c r="MEF23" s="338"/>
      <c r="MEG23" s="338"/>
      <c r="MEH23" s="338"/>
      <c r="MEI23" s="338"/>
      <c r="MEJ23" s="338"/>
      <c r="MEK23" s="338"/>
      <c r="MEL23" s="338"/>
      <c r="MEM23" s="338"/>
      <c r="MEN23" s="338"/>
      <c r="MEO23" s="338"/>
      <c r="MEP23" s="338"/>
      <c r="MEQ23" s="338"/>
      <c r="MER23" s="338"/>
      <c r="MES23" s="338"/>
      <c r="MET23" s="338"/>
      <c r="MEU23" s="338"/>
      <c r="MEV23" s="338"/>
      <c r="MEW23" s="338"/>
      <c r="MEX23" s="338"/>
      <c r="MEY23" s="338"/>
      <c r="MEZ23" s="338"/>
      <c r="MFA23" s="338"/>
      <c r="MFB23" s="338"/>
      <c r="MFC23" s="338"/>
      <c r="MFD23" s="338"/>
      <c r="MFE23" s="338"/>
      <c r="MFF23" s="338"/>
      <c r="MFG23" s="338"/>
      <c r="MFH23" s="338"/>
      <c r="MFI23" s="338"/>
      <c r="MFJ23" s="338"/>
      <c r="MFK23" s="338"/>
      <c r="MFL23" s="338"/>
      <c r="MFM23" s="338"/>
      <c r="MFN23" s="338"/>
      <c r="MFO23" s="338"/>
      <c r="MFP23" s="338"/>
      <c r="MFQ23" s="338"/>
      <c r="MFR23" s="338"/>
      <c r="MFS23" s="338"/>
      <c r="MFT23" s="338"/>
      <c r="MFU23" s="338"/>
      <c r="MFV23" s="338"/>
      <c r="MFW23" s="338"/>
      <c r="MFX23" s="338"/>
      <c r="MFY23" s="338"/>
      <c r="MFZ23" s="338"/>
      <c r="MGA23" s="338"/>
      <c r="MGB23" s="338"/>
      <c r="MGC23" s="338"/>
      <c r="MGD23" s="338"/>
      <c r="MGE23" s="338"/>
      <c r="MGF23" s="338"/>
      <c r="MGG23" s="338"/>
      <c r="MGH23" s="338"/>
      <c r="MGI23" s="338"/>
      <c r="MGJ23" s="338"/>
      <c r="MGK23" s="338"/>
      <c r="MGL23" s="338"/>
      <c r="MGM23" s="338"/>
      <c r="MGN23" s="338"/>
      <c r="MGO23" s="338"/>
      <c r="MGP23" s="338"/>
      <c r="MGQ23" s="338"/>
      <c r="MGR23" s="338"/>
      <c r="MGS23" s="338"/>
      <c r="MGT23" s="338"/>
      <c r="MGU23" s="338"/>
      <c r="MGV23" s="338"/>
      <c r="MGW23" s="338"/>
      <c r="MGX23" s="338"/>
      <c r="MGY23" s="338"/>
      <c r="MGZ23" s="338"/>
      <c r="MHA23" s="338"/>
      <c r="MHB23" s="338"/>
      <c r="MHC23" s="338"/>
      <c r="MHD23" s="338"/>
      <c r="MHE23" s="338"/>
      <c r="MHF23" s="338"/>
      <c r="MHG23" s="338"/>
      <c r="MHH23" s="338"/>
      <c r="MHI23" s="338"/>
      <c r="MHJ23" s="338"/>
      <c r="MHK23" s="338"/>
      <c r="MHL23" s="338"/>
      <c r="MHM23" s="338"/>
      <c r="MHN23" s="338"/>
      <c r="MHO23" s="338"/>
      <c r="MHP23" s="338"/>
      <c r="MHQ23" s="338"/>
      <c r="MHR23" s="338"/>
      <c r="MHS23" s="338"/>
      <c r="MHT23" s="338"/>
      <c r="MHU23" s="338"/>
      <c r="MHV23" s="338"/>
      <c r="MHW23" s="338"/>
      <c r="MHX23" s="338"/>
      <c r="MHY23" s="338"/>
      <c r="MHZ23" s="338"/>
      <c r="MIA23" s="338"/>
      <c r="MIB23" s="338"/>
      <c r="MIC23" s="338"/>
      <c r="MID23" s="338"/>
      <c r="MIE23" s="338"/>
      <c r="MIF23" s="338"/>
      <c r="MIG23" s="338"/>
      <c r="MIH23" s="338"/>
      <c r="MII23" s="338"/>
      <c r="MIJ23" s="338"/>
      <c r="MIK23" s="338"/>
      <c r="MIL23" s="338"/>
      <c r="MIM23" s="338"/>
      <c r="MIN23" s="338"/>
      <c r="MIO23" s="338"/>
      <c r="MIP23" s="338"/>
      <c r="MIQ23" s="338"/>
      <c r="MIR23" s="338"/>
      <c r="MIS23" s="338"/>
      <c r="MIT23" s="338"/>
      <c r="MIU23" s="338"/>
      <c r="MIV23" s="338"/>
      <c r="MIW23" s="338"/>
      <c r="MIX23" s="338"/>
      <c r="MIY23" s="338"/>
      <c r="MIZ23" s="338"/>
      <c r="MJA23" s="338"/>
      <c r="MJB23" s="338"/>
      <c r="MJC23" s="338"/>
      <c r="MJD23" s="338"/>
      <c r="MJE23" s="338"/>
      <c r="MJF23" s="338"/>
      <c r="MJG23" s="338"/>
      <c r="MJH23" s="338"/>
      <c r="MJI23" s="338"/>
      <c r="MJJ23" s="338"/>
      <c r="MJK23" s="338"/>
      <c r="MJL23" s="338"/>
      <c r="MJM23" s="338"/>
      <c r="MJN23" s="338"/>
      <c r="MJO23" s="338"/>
      <c r="MJP23" s="338"/>
      <c r="MJQ23" s="338"/>
      <c r="MJR23" s="338"/>
      <c r="MJS23" s="338"/>
      <c r="MJT23" s="338"/>
      <c r="MJU23" s="338"/>
      <c r="MJV23" s="338"/>
      <c r="MJW23" s="338"/>
      <c r="MJX23" s="338"/>
      <c r="MJY23" s="338"/>
      <c r="MJZ23" s="338"/>
      <c r="MKA23" s="338"/>
      <c r="MKB23" s="338"/>
      <c r="MKC23" s="338"/>
      <c r="MKD23" s="338"/>
      <c r="MKE23" s="338"/>
      <c r="MKF23" s="338"/>
      <c r="MKG23" s="338"/>
      <c r="MKH23" s="338"/>
      <c r="MKI23" s="338"/>
      <c r="MKJ23" s="338"/>
      <c r="MKK23" s="338"/>
      <c r="MKL23" s="338"/>
      <c r="MKM23" s="338"/>
      <c r="MKN23" s="338"/>
      <c r="MKO23" s="338"/>
      <c r="MKP23" s="338"/>
      <c r="MKQ23" s="338"/>
      <c r="MKR23" s="338"/>
      <c r="MKS23" s="338"/>
      <c r="MKT23" s="338"/>
      <c r="MKU23" s="338"/>
      <c r="MKV23" s="338"/>
      <c r="MKW23" s="338"/>
      <c r="MKX23" s="338"/>
      <c r="MKY23" s="338"/>
      <c r="MKZ23" s="338"/>
      <c r="MLA23" s="338"/>
      <c r="MLB23" s="338"/>
      <c r="MLC23" s="338"/>
      <c r="MLD23" s="338"/>
      <c r="MLE23" s="338"/>
      <c r="MLF23" s="338"/>
      <c r="MLG23" s="338"/>
      <c r="MLH23" s="338"/>
      <c r="MLI23" s="338"/>
      <c r="MLJ23" s="338"/>
      <c r="MLK23" s="338"/>
      <c r="MLL23" s="338"/>
      <c r="MLM23" s="338"/>
      <c r="MLN23" s="338"/>
      <c r="MLO23" s="338"/>
      <c r="MLP23" s="338"/>
      <c r="MLQ23" s="338"/>
      <c r="MLR23" s="338"/>
      <c r="MLS23" s="338"/>
      <c r="MLT23" s="338"/>
      <c r="MLU23" s="338"/>
      <c r="MLV23" s="338"/>
      <c r="MLW23" s="338"/>
      <c r="MLX23" s="338"/>
      <c r="MLY23" s="338"/>
      <c r="MLZ23" s="338"/>
      <c r="MMA23" s="338"/>
      <c r="MMB23" s="338"/>
      <c r="MMC23" s="338"/>
      <c r="MMD23" s="338"/>
      <c r="MME23" s="338"/>
      <c r="MMF23" s="338"/>
      <c r="MMG23" s="338"/>
      <c r="MMH23" s="338"/>
      <c r="MMI23" s="338"/>
      <c r="MMJ23" s="338"/>
      <c r="MMK23" s="338"/>
      <c r="MML23" s="338"/>
      <c r="MMM23" s="338"/>
      <c r="MMN23" s="338"/>
      <c r="MMO23" s="338"/>
      <c r="MMP23" s="338"/>
      <c r="MMQ23" s="338"/>
      <c r="MMR23" s="338"/>
      <c r="MMS23" s="338"/>
      <c r="MMT23" s="338"/>
      <c r="MMU23" s="338"/>
      <c r="MMV23" s="338"/>
      <c r="MMW23" s="338"/>
      <c r="MMX23" s="338"/>
      <c r="MMY23" s="338"/>
      <c r="MMZ23" s="338"/>
      <c r="MNA23" s="338"/>
      <c r="MNB23" s="338"/>
      <c r="MNC23" s="338"/>
      <c r="MND23" s="338"/>
      <c r="MNE23" s="338"/>
      <c r="MNF23" s="338"/>
      <c r="MNG23" s="338"/>
      <c r="MNH23" s="338"/>
      <c r="MNI23" s="338"/>
      <c r="MNJ23" s="338"/>
      <c r="MNK23" s="338"/>
      <c r="MNL23" s="338"/>
      <c r="MNM23" s="338"/>
      <c r="MNN23" s="338"/>
      <c r="MNO23" s="338"/>
      <c r="MNP23" s="338"/>
      <c r="MNQ23" s="338"/>
      <c r="MNR23" s="338"/>
      <c r="MNS23" s="338"/>
      <c r="MNT23" s="338"/>
      <c r="MNU23" s="338"/>
      <c r="MNV23" s="338"/>
      <c r="MNW23" s="338"/>
      <c r="MNX23" s="338"/>
      <c r="MNY23" s="338"/>
      <c r="MNZ23" s="338"/>
      <c r="MOA23" s="338"/>
      <c r="MOB23" s="338"/>
      <c r="MOC23" s="338"/>
      <c r="MOD23" s="338"/>
      <c r="MOE23" s="338"/>
      <c r="MOF23" s="338"/>
      <c r="MOG23" s="338"/>
      <c r="MOH23" s="338"/>
      <c r="MOI23" s="338"/>
      <c r="MOJ23" s="338"/>
      <c r="MOK23" s="338"/>
      <c r="MOL23" s="338"/>
      <c r="MOM23" s="338"/>
      <c r="MON23" s="338"/>
      <c r="MOO23" s="338"/>
      <c r="MOP23" s="338"/>
      <c r="MOQ23" s="338"/>
      <c r="MOR23" s="338"/>
      <c r="MOS23" s="338"/>
      <c r="MOT23" s="338"/>
      <c r="MOU23" s="338"/>
      <c r="MOV23" s="338"/>
      <c r="MOW23" s="338"/>
      <c r="MOX23" s="338"/>
      <c r="MOY23" s="338"/>
      <c r="MOZ23" s="338"/>
      <c r="MPA23" s="338"/>
      <c r="MPB23" s="338"/>
      <c r="MPC23" s="338"/>
      <c r="MPD23" s="338"/>
      <c r="MPE23" s="338"/>
      <c r="MPF23" s="338"/>
      <c r="MPG23" s="338"/>
      <c r="MPH23" s="338"/>
      <c r="MPI23" s="338"/>
      <c r="MPJ23" s="338"/>
      <c r="MPK23" s="338"/>
      <c r="MPL23" s="338"/>
      <c r="MPM23" s="338"/>
      <c r="MPN23" s="338"/>
      <c r="MPO23" s="338"/>
      <c r="MPP23" s="338"/>
      <c r="MPQ23" s="338"/>
      <c r="MPR23" s="338"/>
      <c r="MPS23" s="338"/>
      <c r="MPT23" s="338"/>
      <c r="MPU23" s="338"/>
      <c r="MPV23" s="338"/>
      <c r="MPW23" s="338"/>
      <c r="MPX23" s="338"/>
      <c r="MPY23" s="338"/>
      <c r="MPZ23" s="338"/>
      <c r="MQA23" s="338"/>
      <c r="MQB23" s="338"/>
      <c r="MQC23" s="338"/>
      <c r="MQD23" s="338"/>
      <c r="MQE23" s="338"/>
      <c r="MQF23" s="338"/>
      <c r="MQG23" s="338"/>
      <c r="MQH23" s="338"/>
      <c r="MQI23" s="338"/>
      <c r="MQJ23" s="338"/>
      <c r="MQK23" s="338"/>
      <c r="MQL23" s="338"/>
      <c r="MQM23" s="338"/>
      <c r="MQN23" s="338"/>
      <c r="MQO23" s="338"/>
      <c r="MQP23" s="338"/>
      <c r="MQQ23" s="338"/>
      <c r="MQR23" s="338"/>
      <c r="MQS23" s="338"/>
      <c r="MQT23" s="338"/>
      <c r="MQU23" s="338"/>
      <c r="MQV23" s="338"/>
      <c r="MQW23" s="338"/>
      <c r="MQX23" s="338"/>
      <c r="MQY23" s="338"/>
      <c r="MQZ23" s="338"/>
      <c r="MRA23" s="338"/>
      <c r="MRB23" s="338"/>
      <c r="MRC23" s="338"/>
      <c r="MRD23" s="338"/>
      <c r="MRE23" s="338"/>
      <c r="MRF23" s="338"/>
      <c r="MRG23" s="338"/>
      <c r="MRH23" s="338"/>
      <c r="MRI23" s="338"/>
      <c r="MRJ23" s="338"/>
      <c r="MRK23" s="338"/>
      <c r="MRL23" s="338"/>
      <c r="MRM23" s="338"/>
      <c r="MRN23" s="338"/>
      <c r="MRO23" s="338"/>
      <c r="MRP23" s="338"/>
      <c r="MRQ23" s="338"/>
      <c r="MRR23" s="338"/>
      <c r="MRS23" s="338"/>
      <c r="MRT23" s="338"/>
      <c r="MRU23" s="338"/>
      <c r="MRV23" s="338"/>
      <c r="MRW23" s="338"/>
      <c r="MRX23" s="338"/>
      <c r="MRY23" s="338"/>
      <c r="MRZ23" s="338"/>
      <c r="MSA23" s="338"/>
      <c r="MSB23" s="338"/>
      <c r="MSC23" s="338"/>
      <c r="MSD23" s="338"/>
      <c r="MSE23" s="338"/>
      <c r="MSF23" s="338"/>
      <c r="MSG23" s="338"/>
      <c r="MSH23" s="338"/>
      <c r="MSI23" s="338"/>
      <c r="MSJ23" s="338"/>
      <c r="MSK23" s="338"/>
      <c r="MSL23" s="338"/>
      <c r="MSM23" s="338"/>
      <c r="MSN23" s="338"/>
      <c r="MSO23" s="338"/>
      <c r="MSP23" s="338"/>
      <c r="MSQ23" s="338"/>
      <c r="MSR23" s="338"/>
      <c r="MSS23" s="338"/>
      <c r="MST23" s="338"/>
      <c r="MSU23" s="338"/>
      <c r="MSV23" s="338"/>
      <c r="MSW23" s="338"/>
      <c r="MSX23" s="338"/>
      <c r="MSY23" s="338"/>
      <c r="MSZ23" s="338"/>
      <c r="MTA23" s="338"/>
      <c r="MTB23" s="338"/>
      <c r="MTC23" s="338"/>
      <c r="MTD23" s="338"/>
      <c r="MTE23" s="338"/>
      <c r="MTF23" s="338"/>
      <c r="MTG23" s="338"/>
      <c r="MTH23" s="338"/>
      <c r="MTI23" s="338"/>
      <c r="MTJ23" s="338"/>
      <c r="MTK23" s="338"/>
      <c r="MTL23" s="338"/>
      <c r="MTM23" s="338"/>
      <c r="MTN23" s="338"/>
      <c r="MTO23" s="338"/>
      <c r="MTP23" s="338"/>
      <c r="MTQ23" s="338"/>
      <c r="MTR23" s="338"/>
      <c r="MTS23" s="338"/>
      <c r="MTT23" s="338"/>
      <c r="MTU23" s="338"/>
      <c r="MTV23" s="338"/>
      <c r="MTW23" s="338"/>
      <c r="MTX23" s="338"/>
      <c r="MTY23" s="338"/>
      <c r="MTZ23" s="338"/>
      <c r="MUA23" s="338"/>
      <c r="MUB23" s="338"/>
      <c r="MUC23" s="338"/>
      <c r="MUD23" s="338"/>
      <c r="MUE23" s="338"/>
      <c r="MUF23" s="338"/>
      <c r="MUG23" s="338"/>
      <c r="MUH23" s="338"/>
      <c r="MUI23" s="338"/>
      <c r="MUJ23" s="338"/>
      <c r="MUK23" s="338"/>
      <c r="MUL23" s="338"/>
      <c r="MUM23" s="338"/>
      <c r="MUN23" s="338"/>
      <c r="MUO23" s="338"/>
      <c r="MUP23" s="338"/>
      <c r="MUQ23" s="338"/>
      <c r="MUR23" s="338"/>
      <c r="MUS23" s="338"/>
      <c r="MUT23" s="338"/>
      <c r="MUU23" s="338"/>
      <c r="MUV23" s="338"/>
      <c r="MUW23" s="338"/>
      <c r="MUX23" s="338"/>
      <c r="MUY23" s="338"/>
      <c r="MUZ23" s="338"/>
      <c r="MVA23" s="338"/>
      <c r="MVB23" s="338"/>
      <c r="MVC23" s="338"/>
      <c r="MVD23" s="338"/>
      <c r="MVE23" s="338"/>
      <c r="MVF23" s="338"/>
      <c r="MVG23" s="338"/>
      <c r="MVH23" s="338"/>
      <c r="MVI23" s="338"/>
      <c r="MVJ23" s="338"/>
      <c r="MVK23" s="338"/>
      <c r="MVL23" s="338"/>
      <c r="MVM23" s="338"/>
      <c r="MVN23" s="338"/>
      <c r="MVO23" s="338"/>
      <c r="MVP23" s="338"/>
      <c r="MVQ23" s="338"/>
      <c r="MVR23" s="338"/>
      <c r="MVS23" s="338"/>
      <c r="MVT23" s="338"/>
      <c r="MVU23" s="338"/>
      <c r="MVV23" s="338"/>
      <c r="MVW23" s="338"/>
      <c r="MVX23" s="338"/>
      <c r="MVY23" s="338"/>
      <c r="MVZ23" s="338"/>
      <c r="MWA23" s="338"/>
      <c r="MWB23" s="338"/>
      <c r="MWC23" s="338"/>
      <c r="MWD23" s="338"/>
      <c r="MWE23" s="338"/>
      <c r="MWF23" s="338"/>
      <c r="MWG23" s="338"/>
      <c r="MWH23" s="338"/>
      <c r="MWI23" s="338"/>
      <c r="MWJ23" s="338"/>
      <c r="MWK23" s="338"/>
      <c r="MWL23" s="338"/>
      <c r="MWM23" s="338"/>
      <c r="MWN23" s="338"/>
      <c r="MWO23" s="338"/>
      <c r="MWP23" s="338"/>
      <c r="MWQ23" s="338"/>
      <c r="MWR23" s="338"/>
      <c r="MWS23" s="338"/>
      <c r="MWT23" s="338"/>
      <c r="MWU23" s="338"/>
      <c r="MWV23" s="338"/>
      <c r="MWW23" s="338"/>
      <c r="MWX23" s="338"/>
      <c r="MWY23" s="338"/>
      <c r="MWZ23" s="338"/>
      <c r="MXA23" s="338"/>
      <c r="MXB23" s="338"/>
      <c r="MXC23" s="338"/>
      <c r="MXD23" s="338"/>
      <c r="MXE23" s="338"/>
      <c r="MXF23" s="338"/>
      <c r="MXG23" s="338"/>
      <c r="MXH23" s="338"/>
      <c r="MXI23" s="338"/>
      <c r="MXJ23" s="338"/>
      <c r="MXK23" s="338"/>
      <c r="MXL23" s="338"/>
      <c r="MXM23" s="338"/>
      <c r="MXN23" s="338"/>
      <c r="MXO23" s="338"/>
      <c r="MXP23" s="338"/>
      <c r="MXQ23" s="338"/>
      <c r="MXR23" s="338"/>
      <c r="MXS23" s="338"/>
      <c r="MXT23" s="338"/>
      <c r="MXU23" s="338"/>
      <c r="MXV23" s="338"/>
      <c r="MXW23" s="338"/>
      <c r="MXX23" s="338"/>
      <c r="MXY23" s="338"/>
      <c r="MXZ23" s="338"/>
      <c r="MYA23" s="338"/>
      <c r="MYB23" s="338"/>
      <c r="MYC23" s="338"/>
      <c r="MYD23" s="338"/>
      <c r="MYE23" s="338"/>
      <c r="MYF23" s="338"/>
      <c r="MYG23" s="338"/>
      <c r="MYH23" s="338"/>
      <c r="MYI23" s="338"/>
      <c r="MYJ23" s="338"/>
      <c r="MYK23" s="338"/>
      <c r="MYL23" s="338"/>
      <c r="MYM23" s="338"/>
      <c r="MYN23" s="338"/>
      <c r="MYO23" s="338"/>
      <c r="MYP23" s="338"/>
      <c r="MYQ23" s="338"/>
      <c r="MYR23" s="338"/>
      <c r="MYS23" s="338"/>
      <c r="MYT23" s="338"/>
      <c r="MYU23" s="338"/>
      <c r="MYV23" s="338"/>
      <c r="MYW23" s="338"/>
      <c r="MYX23" s="338"/>
      <c r="MYY23" s="338"/>
      <c r="MYZ23" s="338"/>
      <c r="MZA23" s="338"/>
      <c r="MZB23" s="338"/>
      <c r="MZC23" s="338"/>
      <c r="MZD23" s="338"/>
      <c r="MZE23" s="338"/>
      <c r="MZF23" s="338"/>
      <c r="MZG23" s="338"/>
      <c r="MZH23" s="338"/>
      <c r="MZI23" s="338"/>
      <c r="MZJ23" s="338"/>
      <c r="MZK23" s="338"/>
      <c r="MZL23" s="338"/>
      <c r="MZM23" s="338"/>
      <c r="MZN23" s="338"/>
      <c r="MZO23" s="338"/>
      <c r="MZP23" s="338"/>
      <c r="MZQ23" s="338"/>
      <c r="MZR23" s="338"/>
      <c r="MZS23" s="338"/>
      <c r="MZT23" s="338"/>
      <c r="MZU23" s="338"/>
      <c r="MZV23" s="338"/>
      <c r="MZW23" s="338"/>
      <c r="MZX23" s="338"/>
      <c r="MZY23" s="338"/>
      <c r="MZZ23" s="338"/>
      <c r="NAA23" s="338"/>
      <c r="NAB23" s="338"/>
      <c r="NAC23" s="338"/>
      <c r="NAD23" s="338"/>
      <c r="NAE23" s="338"/>
      <c r="NAF23" s="338"/>
      <c r="NAG23" s="338"/>
      <c r="NAH23" s="338"/>
      <c r="NAI23" s="338"/>
      <c r="NAJ23" s="338"/>
      <c r="NAK23" s="338"/>
      <c r="NAL23" s="338"/>
      <c r="NAM23" s="338"/>
      <c r="NAN23" s="338"/>
      <c r="NAO23" s="338"/>
      <c r="NAP23" s="338"/>
      <c r="NAQ23" s="338"/>
      <c r="NAR23" s="338"/>
      <c r="NAS23" s="338"/>
      <c r="NAT23" s="338"/>
      <c r="NAU23" s="338"/>
      <c r="NAV23" s="338"/>
      <c r="NAW23" s="338"/>
      <c r="NAX23" s="338"/>
      <c r="NAY23" s="338"/>
      <c r="NAZ23" s="338"/>
      <c r="NBA23" s="338"/>
      <c r="NBB23" s="338"/>
      <c r="NBC23" s="338"/>
      <c r="NBD23" s="338"/>
      <c r="NBE23" s="338"/>
      <c r="NBF23" s="338"/>
      <c r="NBG23" s="338"/>
      <c r="NBH23" s="338"/>
      <c r="NBI23" s="338"/>
      <c r="NBJ23" s="338"/>
      <c r="NBK23" s="338"/>
      <c r="NBL23" s="338"/>
      <c r="NBM23" s="338"/>
      <c r="NBN23" s="338"/>
      <c r="NBO23" s="338"/>
      <c r="NBP23" s="338"/>
      <c r="NBQ23" s="338"/>
      <c r="NBR23" s="338"/>
      <c r="NBS23" s="338"/>
      <c r="NBT23" s="338"/>
      <c r="NBU23" s="338"/>
      <c r="NBV23" s="338"/>
      <c r="NBW23" s="338"/>
      <c r="NBX23" s="338"/>
      <c r="NBY23" s="338"/>
      <c r="NBZ23" s="338"/>
      <c r="NCA23" s="338"/>
      <c r="NCB23" s="338"/>
      <c r="NCC23" s="338"/>
      <c r="NCD23" s="338"/>
      <c r="NCE23" s="338"/>
      <c r="NCF23" s="338"/>
      <c r="NCG23" s="338"/>
      <c r="NCH23" s="338"/>
      <c r="NCI23" s="338"/>
      <c r="NCJ23" s="338"/>
      <c r="NCK23" s="338"/>
      <c r="NCL23" s="338"/>
      <c r="NCM23" s="338"/>
      <c r="NCN23" s="338"/>
      <c r="NCO23" s="338"/>
      <c r="NCP23" s="338"/>
      <c r="NCQ23" s="338"/>
      <c r="NCR23" s="338"/>
      <c r="NCS23" s="338"/>
      <c r="NCT23" s="338"/>
      <c r="NCU23" s="338"/>
      <c r="NCV23" s="338"/>
      <c r="NCW23" s="338"/>
      <c r="NCX23" s="338"/>
      <c r="NCY23" s="338"/>
      <c r="NCZ23" s="338"/>
      <c r="NDA23" s="338"/>
      <c r="NDB23" s="338"/>
      <c r="NDC23" s="338"/>
      <c r="NDD23" s="338"/>
      <c r="NDE23" s="338"/>
      <c r="NDF23" s="338"/>
      <c r="NDG23" s="338"/>
      <c r="NDH23" s="338"/>
      <c r="NDI23" s="338"/>
      <c r="NDJ23" s="338"/>
      <c r="NDK23" s="338"/>
      <c r="NDL23" s="338"/>
      <c r="NDM23" s="338"/>
      <c r="NDN23" s="338"/>
      <c r="NDO23" s="338"/>
      <c r="NDP23" s="338"/>
      <c r="NDQ23" s="338"/>
      <c r="NDR23" s="338"/>
      <c r="NDS23" s="338"/>
      <c r="NDT23" s="338"/>
      <c r="NDU23" s="338"/>
      <c r="NDV23" s="338"/>
      <c r="NDW23" s="338"/>
      <c r="NDX23" s="338"/>
      <c r="NDY23" s="338"/>
      <c r="NDZ23" s="338"/>
      <c r="NEA23" s="338"/>
      <c r="NEB23" s="338"/>
      <c r="NEC23" s="338"/>
      <c r="NED23" s="338"/>
      <c r="NEE23" s="338"/>
      <c r="NEF23" s="338"/>
      <c r="NEG23" s="338"/>
      <c r="NEH23" s="338"/>
      <c r="NEI23" s="338"/>
      <c r="NEJ23" s="338"/>
      <c r="NEK23" s="338"/>
      <c r="NEL23" s="338"/>
      <c r="NEM23" s="338"/>
      <c r="NEN23" s="338"/>
      <c r="NEO23" s="338"/>
      <c r="NEP23" s="338"/>
      <c r="NEQ23" s="338"/>
      <c r="NER23" s="338"/>
      <c r="NES23" s="338"/>
      <c r="NET23" s="338"/>
      <c r="NEU23" s="338"/>
      <c r="NEV23" s="338"/>
      <c r="NEW23" s="338"/>
      <c r="NEX23" s="338"/>
      <c r="NEY23" s="338"/>
      <c r="NEZ23" s="338"/>
      <c r="NFA23" s="338"/>
      <c r="NFB23" s="338"/>
      <c r="NFC23" s="338"/>
      <c r="NFD23" s="338"/>
      <c r="NFE23" s="338"/>
      <c r="NFF23" s="338"/>
      <c r="NFG23" s="338"/>
      <c r="NFH23" s="338"/>
      <c r="NFI23" s="338"/>
      <c r="NFJ23" s="338"/>
      <c r="NFK23" s="338"/>
      <c r="NFL23" s="338"/>
      <c r="NFM23" s="338"/>
      <c r="NFN23" s="338"/>
      <c r="NFO23" s="338"/>
      <c r="NFP23" s="338"/>
      <c r="NFQ23" s="338"/>
      <c r="NFR23" s="338"/>
      <c r="NFS23" s="338"/>
      <c r="NFT23" s="338"/>
      <c r="NFU23" s="338"/>
      <c r="NFV23" s="338"/>
      <c r="NFW23" s="338"/>
      <c r="NFX23" s="338"/>
      <c r="NFY23" s="338"/>
      <c r="NFZ23" s="338"/>
      <c r="NGA23" s="338"/>
      <c r="NGB23" s="338"/>
      <c r="NGC23" s="338"/>
      <c r="NGD23" s="338"/>
      <c r="NGE23" s="338"/>
      <c r="NGF23" s="338"/>
      <c r="NGG23" s="338"/>
      <c r="NGH23" s="338"/>
      <c r="NGI23" s="338"/>
      <c r="NGJ23" s="338"/>
      <c r="NGK23" s="338"/>
      <c r="NGL23" s="338"/>
      <c r="NGM23" s="338"/>
      <c r="NGN23" s="338"/>
      <c r="NGO23" s="338"/>
      <c r="NGP23" s="338"/>
      <c r="NGQ23" s="338"/>
      <c r="NGR23" s="338"/>
      <c r="NGS23" s="338"/>
      <c r="NGT23" s="338"/>
      <c r="NGU23" s="338"/>
      <c r="NGV23" s="338"/>
      <c r="NGW23" s="338"/>
      <c r="NGX23" s="338"/>
      <c r="NGY23" s="338"/>
      <c r="NGZ23" s="338"/>
      <c r="NHA23" s="338"/>
      <c r="NHB23" s="338"/>
      <c r="NHC23" s="338"/>
      <c r="NHD23" s="338"/>
      <c r="NHE23" s="338"/>
      <c r="NHF23" s="338"/>
      <c r="NHG23" s="338"/>
      <c r="NHH23" s="338"/>
      <c r="NHI23" s="338"/>
      <c r="NHJ23" s="338"/>
      <c r="NHK23" s="338"/>
      <c r="NHL23" s="338"/>
      <c r="NHM23" s="338"/>
      <c r="NHN23" s="338"/>
      <c r="NHO23" s="338"/>
      <c r="NHP23" s="338"/>
      <c r="NHQ23" s="338"/>
      <c r="NHR23" s="338"/>
      <c r="NHS23" s="338"/>
      <c r="NHT23" s="338"/>
      <c r="NHU23" s="338"/>
      <c r="NHV23" s="338"/>
      <c r="NHW23" s="338"/>
      <c r="NHX23" s="338"/>
      <c r="NHY23" s="338"/>
      <c r="NHZ23" s="338"/>
      <c r="NIA23" s="338"/>
      <c r="NIB23" s="338"/>
      <c r="NIC23" s="338"/>
      <c r="NID23" s="338"/>
      <c r="NIE23" s="338"/>
      <c r="NIF23" s="338"/>
      <c r="NIG23" s="338"/>
      <c r="NIH23" s="338"/>
      <c r="NII23" s="338"/>
      <c r="NIJ23" s="338"/>
      <c r="NIK23" s="338"/>
      <c r="NIL23" s="338"/>
      <c r="NIM23" s="338"/>
      <c r="NIN23" s="338"/>
      <c r="NIO23" s="338"/>
      <c r="NIP23" s="338"/>
      <c r="NIQ23" s="338"/>
      <c r="NIR23" s="338"/>
      <c r="NIS23" s="338"/>
      <c r="NIT23" s="338"/>
      <c r="NIU23" s="338"/>
      <c r="NIV23" s="338"/>
      <c r="NIW23" s="338"/>
      <c r="NIX23" s="338"/>
      <c r="NIY23" s="338"/>
      <c r="NIZ23" s="338"/>
      <c r="NJA23" s="338"/>
      <c r="NJB23" s="338"/>
      <c r="NJC23" s="338"/>
      <c r="NJD23" s="338"/>
      <c r="NJE23" s="338"/>
      <c r="NJF23" s="338"/>
      <c r="NJG23" s="338"/>
      <c r="NJH23" s="338"/>
      <c r="NJI23" s="338"/>
      <c r="NJJ23" s="338"/>
      <c r="NJK23" s="338"/>
      <c r="NJL23" s="338"/>
      <c r="NJM23" s="338"/>
      <c r="NJN23" s="338"/>
      <c r="NJO23" s="338"/>
      <c r="NJP23" s="338"/>
      <c r="NJQ23" s="338"/>
      <c r="NJR23" s="338"/>
      <c r="NJS23" s="338"/>
      <c r="NJT23" s="338"/>
      <c r="NJU23" s="338"/>
      <c r="NJV23" s="338"/>
      <c r="NJW23" s="338"/>
      <c r="NJX23" s="338"/>
      <c r="NJY23" s="338"/>
      <c r="NJZ23" s="338"/>
      <c r="NKA23" s="338"/>
      <c r="NKB23" s="338"/>
      <c r="NKC23" s="338"/>
      <c r="NKD23" s="338"/>
      <c r="NKE23" s="338"/>
      <c r="NKF23" s="338"/>
      <c r="NKG23" s="338"/>
      <c r="NKH23" s="338"/>
      <c r="NKI23" s="338"/>
      <c r="NKJ23" s="338"/>
      <c r="NKK23" s="338"/>
      <c r="NKL23" s="338"/>
      <c r="NKM23" s="338"/>
      <c r="NKN23" s="338"/>
      <c r="NKO23" s="338"/>
      <c r="NKP23" s="338"/>
      <c r="NKQ23" s="338"/>
      <c r="NKR23" s="338"/>
      <c r="NKS23" s="338"/>
      <c r="NKT23" s="338"/>
      <c r="NKU23" s="338"/>
      <c r="NKV23" s="338"/>
      <c r="NKW23" s="338"/>
      <c r="NKX23" s="338"/>
      <c r="NKY23" s="338"/>
      <c r="NKZ23" s="338"/>
      <c r="NLA23" s="338"/>
      <c r="NLB23" s="338"/>
      <c r="NLC23" s="338"/>
      <c r="NLD23" s="338"/>
      <c r="NLE23" s="338"/>
      <c r="NLF23" s="338"/>
      <c r="NLG23" s="338"/>
      <c r="NLH23" s="338"/>
      <c r="NLI23" s="338"/>
      <c r="NLJ23" s="338"/>
      <c r="NLK23" s="338"/>
      <c r="NLL23" s="338"/>
      <c r="NLM23" s="338"/>
      <c r="NLN23" s="338"/>
      <c r="NLO23" s="338"/>
      <c r="NLP23" s="338"/>
      <c r="NLQ23" s="338"/>
      <c r="NLR23" s="338"/>
      <c r="NLS23" s="338"/>
      <c r="NLT23" s="338"/>
      <c r="NLU23" s="338"/>
      <c r="NLV23" s="338"/>
      <c r="NLW23" s="338"/>
      <c r="NLX23" s="338"/>
      <c r="NLY23" s="338"/>
      <c r="NLZ23" s="338"/>
      <c r="NMA23" s="338"/>
      <c r="NMB23" s="338"/>
      <c r="NMC23" s="338"/>
      <c r="NMD23" s="338"/>
      <c r="NME23" s="338"/>
      <c r="NMF23" s="338"/>
      <c r="NMG23" s="338"/>
      <c r="NMH23" s="338"/>
      <c r="NMI23" s="338"/>
      <c r="NMJ23" s="338"/>
      <c r="NMK23" s="338"/>
      <c r="NML23" s="338"/>
      <c r="NMM23" s="338"/>
      <c r="NMN23" s="338"/>
      <c r="NMO23" s="338"/>
      <c r="NMP23" s="338"/>
      <c r="NMQ23" s="338"/>
      <c r="NMR23" s="338"/>
      <c r="NMS23" s="338"/>
      <c r="NMT23" s="338"/>
      <c r="NMU23" s="338"/>
      <c r="NMV23" s="338"/>
      <c r="NMW23" s="338"/>
      <c r="NMX23" s="338"/>
      <c r="NMY23" s="338"/>
      <c r="NMZ23" s="338"/>
      <c r="NNA23" s="338"/>
      <c r="NNB23" s="338"/>
      <c r="NNC23" s="338"/>
      <c r="NND23" s="338"/>
      <c r="NNE23" s="338"/>
      <c r="NNF23" s="338"/>
      <c r="NNG23" s="338"/>
      <c r="NNH23" s="338"/>
      <c r="NNI23" s="338"/>
      <c r="NNJ23" s="338"/>
      <c r="NNK23" s="338"/>
      <c r="NNL23" s="338"/>
      <c r="NNM23" s="338"/>
      <c r="NNN23" s="338"/>
      <c r="NNO23" s="338"/>
      <c r="NNP23" s="338"/>
      <c r="NNQ23" s="338"/>
      <c r="NNR23" s="338"/>
      <c r="NNS23" s="338"/>
      <c r="NNT23" s="338"/>
      <c r="NNU23" s="338"/>
      <c r="NNV23" s="338"/>
      <c r="NNW23" s="338"/>
      <c r="NNX23" s="338"/>
      <c r="NNY23" s="338"/>
      <c r="NNZ23" s="338"/>
      <c r="NOA23" s="338"/>
      <c r="NOB23" s="338"/>
      <c r="NOC23" s="338"/>
      <c r="NOD23" s="338"/>
      <c r="NOE23" s="338"/>
      <c r="NOF23" s="338"/>
      <c r="NOG23" s="338"/>
      <c r="NOH23" s="338"/>
      <c r="NOI23" s="338"/>
      <c r="NOJ23" s="338"/>
      <c r="NOK23" s="338"/>
      <c r="NOL23" s="338"/>
      <c r="NOM23" s="338"/>
      <c r="NON23" s="338"/>
      <c r="NOO23" s="338"/>
      <c r="NOP23" s="338"/>
      <c r="NOQ23" s="338"/>
      <c r="NOR23" s="338"/>
      <c r="NOS23" s="338"/>
      <c r="NOT23" s="338"/>
      <c r="NOU23" s="338"/>
      <c r="NOV23" s="338"/>
      <c r="NOW23" s="338"/>
      <c r="NOX23" s="338"/>
      <c r="NOY23" s="338"/>
      <c r="NOZ23" s="338"/>
      <c r="NPA23" s="338"/>
      <c r="NPB23" s="338"/>
      <c r="NPC23" s="338"/>
      <c r="NPD23" s="338"/>
      <c r="NPE23" s="338"/>
      <c r="NPF23" s="338"/>
      <c r="NPG23" s="338"/>
      <c r="NPH23" s="338"/>
      <c r="NPI23" s="338"/>
      <c r="NPJ23" s="338"/>
      <c r="NPK23" s="338"/>
      <c r="NPL23" s="338"/>
      <c r="NPM23" s="338"/>
      <c r="NPN23" s="338"/>
      <c r="NPO23" s="338"/>
      <c r="NPP23" s="338"/>
      <c r="NPQ23" s="338"/>
      <c r="NPR23" s="338"/>
      <c r="NPS23" s="338"/>
      <c r="NPT23" s="338"/>
      <c r="NPU23" s="338"/>
      <c r="NPV23" s="338"/>
      <c r="NPW23" s="338"/>
      <c r="NPX23" s="338"/>
      <c r="NPY23" s="338"/>
      <c r="NPZ23" s="338"/>
      <c r="NQA23" s="338"/>
      <c r="NQB23" s="338"/>
      <c r="NQC23" s="338"/>
      <c r="NQD23" s="338"/>
      <c r="NQE23" s="338"/>
      <c r="NQF23" s="338"/>
      <c r="NQG23" s="338"/>
      <c r="NQH23" s="338"/>
      <c r="NQI23" s="338"/>
      <c r="NQJ23" s="338"/>
      <c r="NQK23" s="338"/>
      <c r="NQL23" s="338"/>
      <c r="NQM23" s="338"/>
      <c r="NQN23" s="338"/>
      <c r="NQO23" s="338"/>
      <c r="NQP23" s="338"/>
      <c r="NQQ23" s="338"/>
      <c r="NQR23" s="338"/>
      <c r="NQS23" s="338"/>
      <c r="NQT23" s="338"/>
      <c r="NQU23" s="338"/>
      <c r="NQV23" s="338"/>
      <c r="NQW23" s="338"/>
      <c r="NQX23" s="338"/>
      <c r="NQY23" s="338"/>
      <c r="NQZ23" s="338"/>
      <c r="NRA23" s="338"/>
      <c r="NRB23" s="338"/>
      <c r="NRC23" s="338"/>
      <c r="NRD23" s="338"/>
      <c r="NRE23" s="338"/>
      <c r="NRF23" s="338"/>
      <c r="NRG23" s="338"/>
      <c r="NRH23" s="338"/>
      <c r="NRI23" s="338"/>
      <c r="NRJ23" s="338"/>
      <c r="NRK23" s="338"/>
      <c r="NRL23" s="338"/>
      <c r="NRM23" s="338"/>
      <c r="NRN23" s="338"/>
      <c r="NRO23" s="338"/>
      <c r="NRP23" s="338"/>
      <c r="NRQ23" s="338"/>
      <c r="NRR23" s="338"/>
      <c r="NRS23" s="338"/>
      <c r="NRT23" s="338"/>
      <c r="NRU23" s="338"/>
      <c r="NRV23" s="338"/>
      <c r="NRW23" s="338"/>
      <c r="NRX23" s="338"/>
      <c r="NRY23" s="338"/>
      <c r="NRZ23" s="338"/>
      <c r="NSA23" s="338"/>
      <c r="NSB23" s="338"/>
      <c r="NSC23" s="338"/>
      <c r="NSD23" s="338"/>
      <c r="NSE23" s="338"/>
      <c r="NSF23" s="338"/>
      <c r="NSG23" s="338"/>
      <c r="NSH23" s="338"/>
      <c r="NSI23" s="338"/>
      <c r="NSJ23" s="338"/>
      <c r="NSK23" s="338"/>
      <c r="NSL23" s="338"/>
      <c r="NSM23" s="338"/>
      <c r="NSN23" s="338"/>
      <c r="NSO23" s="338"/>
      <c r="NSP23" s="338"/>
      <c r="NSQ23" s="338"/>
      <c r="NSR23" s="338"/>
      <c r="NSS23" s="338"/>
      <c r="NST23" s="338"/>
      <c r="NSU23" s="338"/>
      <c r="NSV23" s="338"/>
      <c r="NSW23" s="338"/>
      <c r="NSX23" s="338"/>
      <c r="NSY23" s="338"/>
      <c r="NSZ23" s="338"/>
      <c r="NTA23" s="338"/>
      <c r="NTB23" s="338"/>
      <c r="NTC23" s="338"/>
      <c r="NTD23" s="338"/>
      <c r="NTE23" s="338"/>
      <c r="NTF23" s="338"/>
      <c r="NTG23" s="338"/>
      <c r="NTH23" s="338"/>
      <c r="NTI23" s="338"/>
      <c r="NTJ23" s="338"/>
      <c r="NTK23" s="338"/>
      <c r="NTL23" s="338"/>
      <c r="NTM23" s="338"/>
      <c r="NTN23" s="338"/>
      <c r="NTO23" s="338"/>
      <c r="NTP23" s="338"/>
      <c r="NTQ23" s="338"/>
      <c r="NTR23" s="338"/>
      <c r="NTS23" s="338"/>
      <c r="NTT23" s="338"/>
      <c r="NTU23" s="338"/>
      <c r="NTV23" s="338"/>
      <c r="NTW23" s="338"/>
      <c r="NTX23" s="338"/>
      <c r="NTY23" s="338"/>
      <c r="NTZ23" s="338"/>
      <c r="NUA23" s="338"/>
      <c r="NUB23" s="338"/>
      <c r="NUC23" s="338"/>
      <c r="NUD23" s="338"/>
      <c r="NUE23" s="338"/>
      <c r="NUF23" s="338"/>
      <c r="NUG23" s="338"/>
      <c r="NUH23" s="338"/>
      <c r="NUI23" s="338"/>
      <c r="NUJ23" s="338"/>
      <c r="NUK23" s="338"/>
      <c r="NUL23" s="338"/>
      <c r="NUM23" s="338"/>
      <c r="NUN23" s="338"/>
      <c r="NUO23" s="338"/>
      <c r="NUP23" s="338"/>
      <c r="NUQ23" s="338"/>
      <c r="NUR23" s="338"/>
      <c r="NUS23" s="338"/>
      <c r="NUT23" s="338"/>
      <c r="NUU23" s="338"/>
      <c r="NUV23" s="338"/>
      <c r="NUW23" s="338"/>
      <c r="NUX23" s="338"/>
      <c r="NUY23" s="338"/>
      <c r="NUZ23" s="338"/>
      <c r="NVA23" s="338"/>
      <c r="NVB23" s="338"/>
      <c r="NVC23" s="338"/>
      <c r="NVD23" s="338"/>
      <c r="NVE23" s="338"/>
      <c r="NVF23" s="338"/>
      <c r="NVG23" s="338"/>
      <c r="NVH23" s="338"/>
      <c r="NVI23" s="338"/>
      <c r="NVJ23" s="338"/>
      <c r="NVK23" s="338"/>
      <c r="NVL23" s="338"/>
      <c r="NVM23" s="338"/>
      <c r="NVN23" s="338"/>
      <c r="NVO23" s="338"/>
      <c r="NVP23" s="338"/>
      <c r="NVQ23" s="338"/>
      <c r="NVR23" s="338"/>
      <c r="NVS23" s="338"/>
      <c r="NVT23" s="338"/>
      <c r="NVU23" s="338"/>
      <c r="NVV23" s="338"/>
      <c r="NVW23" s="338"/>
      <c r="NVX23" s="338"/>
      <c r="NVY23" s="338"/>
      <c r="NVZ23" s="338"/>
      <c r="NWA23" s="338"/>
      <c r="NWB23" s="338"/>
      <c r="NWC23" s="338"/>
      <c r="NWD23" s="338"/>
      <c r="NWE23" s="338"/>
      <c r="NWF23" s="338"/>
      <c r="NWG23" s="338"/>
      <c r="NWH23" s="338"/>
      <c r="NWI23" s="338"/>
      <c r="NWJ23" s="338"/>
      <c r="NWK23" s="338"/>
      <c r="NWL23" s="338"/>
      <c r="NWM23" s="338"/>
      <c r="NWN23" s="338"/>
      <c r="NWO23" s="338"/>
      <c r="NWP23" s="338"/>
      <c r="NWQ23" s="338"/>
      <c r="NWR23" s="338"/>
      <c r="NWS23" s="338"/>
      <c r="NWT23" s="338"/>
      <c r="NWU23" s="338"/>
      <c r="NWV23" s="338"/>
      <c r="NWW23" s="338"/>
      <c r="NWX23" s="338"/>
      <c r="NWY23" s="338"/>
      <c r="NWZ23" s="338"/>
      <c r="NXA23" s="338"/>
      <c r="NXB23" s="338"/>
      <c r="NXC23" s="338"/>
      <c r="NXD23" s="338"/>
      <c r="NXE23" s="338"/>
      <c r="NXF23" s="338"/>
      <c r="NXG23" s="338"/>
      <c r="NXH23" s="338"/>
      <c r="NXI23" s="338"/>
      <c r="NXJ23" s="338"/>
      <c r="NXK23" s="338"/>
      <c r="NXL23" s="338"/>
      <c r="NXM23" s="338"/>
      <c r="NXN23" s="338"/>
      <c r="NXO23" s="338"/>
      <c r="NXP23" s="338"/>
      <c r="NXQ23" s="338"/>
      <c r="NXR23" s="338"/>
      <c r="NXS23" s="338"/>
      <c r="NXT23" s="338"/>
      <c r="NXU23" s="338"/>
      <c r="NXV23" s="338"/>
      <c r="NXW23" s="338"/>
      <c r="NXX23" s="338"/>
      <c r="NXY23" s="338"/>
      <c r="NXZ23" s="338"/>
      <c r="NYA23" s="338"/>
      <c r="NYB23" s="338"/>
      <c r="NYC23" s="338"/>
      <c r="NYD23" s="338"/>
      <c r="NYE23" s="338"/>
      <c r="NYF23" s="338"/>
      <c r="NYG23" s="338"/>
      <c r="NYH23" s="338"/>
      <c r="NYI23" s="338"/>
      <c r="NYJ23" s="338"/>
      <c r="NYK23" s="338"/>
      <c r="NYL23" s="338"/>
      <c r="NYM23" s="338"/>
      <c r="NYN23" s="338"/>
      <c r="NYO23" s="338"/>
      <c r="NYP23" s="338"/>
      <c r="NYQ23" s="338"/>
      <c r="NYR23" s="338"/>
      <c r="NYS23" s="338"/>
      <c r="NYT23" s="338"/>
      <c r="NYU23" s="338"/>
      <c r="NYV23" s="338"/>
      <c r="NYW23" s="338"/>
      <c r="NYX23" s="338"/>
      <c r="NYY23" s="338"/>
      <c r="NYZ23" s="338"/>
      <c r="NZA23" s="338"/>
      <c r="NZB23" s="338"/>
      <c r="NZC23" s="338"/>
      <c r="NZD23" s="338"/>
      <c r="NZE23" s="338"/>
      <c r="NZF23" s="338"/>
      <c r="NZG23" s="338"/>
      <c r="NZH23" s="338"/>
      <c r="NZI23" s="338"/>
      <c r="NZJ23" s="338"/>
      <c r="NZK23" s="338"/>
      <c r="NZL23" s="338"/>
      <c r="NZM23" s="338"/>
      <c r="NZN23" s="338"/>
      <c r="NZO23" s="338"/>
      <c r="NZP23" s="338"/>
      <c r="NZQ23" s="338"/>
      <c r="NZR23" s="338"/>
      <c r="NZS23" s="338"/>
      <c r="NZT23" s="338"/>
      <c r="NZU23" s="338"/>
      <c r="NZV23" s="338"/>
      <c r="NZW23" s="338"/>
      <c r="NZX23" s="338"/>
      <c r="NZY23" s="338"/>
      <c r="NZZ23" s="338"/>
      <c r="OAA23" s="338"/>
      <c r="OAB23" s="338"/>
      <c r="OAC23" s="338"/>
      <c r="OAD23" s="338"/>
      <c r="OAE23" s="338"/>
      <c r="OAF23" s="338"/>
      <c r="OAG23" s="338"/>
      <c r="OAH23" s="338"/>
      <c r="OAI23" s="338"/>
      <c r="OAJ23" s="338"/>
      <c r="OAK23" s="338"/>
      <c r="OAL23" s="338"/>
      <c r="OAM23" s="338"/>
      <c r="OAN23" s="338"/>
      <c r="OAO23" s="338"/>
      <c r="OAP23" s="338"/>
      <c r="OAQ23" s="338"/>
      <c r="OAR23" s="338"/>
      <c r="OAS23" s="338"/>
      <c r="OAT23" s="338"/>
      <c r="OAU23" s="338"/>
      <c r="OAV23" s="338"/>
      <c r="OAW23" s="338"/>
      <c r="OAX23" s="338"/>
      <c r="OAY23" s="338"/>
      <c r="OAZ23" s="338"/>
      <c r="OBA23" s="338"/>
      <c r="OBB23" s="338"/>
      <c r="OBC23" s="338"/>
      <c r="OBD23" s="338"/>
      <c r="OBE23" s="338"/>
      <c r="OBF23" s="338"/>
      <c r="OBG23" s="338"/>
      <c r="OBH23" s="338"/>
      <c r="OBI23" s="338"/>
      <c r="OBJ23" s="338"/>
      <c r="OBK23" s="338"/>
      <c r="OBL23" s="338"/>
      <c r="OBM23" s="338"/>
      <c r="OBN23" s="338"/>
      <c r="OBO23" s="338"/>
      <c r="OBP23" s="338"/>
      <c r="OBQ23" s="338"/>
      <c r="OBR23" s="338"/>
      <c r="OBS23" s="338"/>
      <c r="OBT23" s="338"/>
      <c r="OBU23" s="338"/>
      <c r="OBV23" s="338"/>
      <c r="OBW23" s="338"/>
      <c r="OBX23" s="338"/>
      <c r="OBY23" s="338"/>
      <c r="OBZ23" s="338"/>
      <c r="OCA23" s="338"/>
      <c r="OCB23" s="338"/>
      <c r="OCC23" s="338"/>
      <c r="OCD23" s="338"/>
      <c r="OCE23" s="338"/>
      <c r="OCF23" s="338"/>
      <c r="OCG23" s="338"/>
      <c r="OCH23" s="338"/>
      <c r="OCI23" s="338"/>
      <c r="OCJ23" s="338"/>
      <c r="OCK23" s="338"/>
      <c r="OCL23" s="338"/>
      <c r="OCM23" s="338"/>
      <c r="OCN23" s="338"/>
      <c r="OCO23" s="338"/>
      <c r="OCP23" s="338"/>
      <c r="OCQ23" s="338"/>
      <c r="OCR23" s="338"/>
      <c r="OCS23" s="338"/>
      <c r="OCT23" s="338"/>
      <c r="OCU23" s="338"/>
      <c r="OCV23" s="338"/>
      <c r="OCW23" s="338"/>
      <c r="OCX23" s="338"/>
      <c r="OCY23" s="338"/>
      <c r="OCZ23" s="338"/>
      <c r="ODA23" s="338"/>
      <c r="ODB23" s="338"/>
      <c r="ODC23" s="338"/>
      <c r="ODD23" s="338"/>
      <c r="ODE23" s="338"/>
      <c r="ODF23" s="338"/>
      <c r="ODG23" s="338"/>
      <c r="ODH23" s="338"/>
      <c r="ODI23" s="338"/>
      <c r="ODJ23" s="338"/>
      <c r="ODK23" s="338"/>
      <c r="ODL23" s="338"/>
      <c r="ODM23" s="338"/>
      <c r="ODN23" s="338"/>
      <c r="ODO23" s="338"/>
      <c r="ODP23" s="338"/>
      <c r="ODQ23" s="338"/>
      <c r="ODR23" s="338"/>
      <c r="ODS23" s="338"/>
      <c r="ODT23" s="338"/>
      <c r="ODU23" s="338"/>
      <c r="ODV23" s="338"/>
      <c r="ODW23" s="338"/>
      <c r="ODX23" s="338"/>
      <c r="ODY23" s="338"/>
      <c r="ODZ23" s="338"/>
      <c r="OEA23" s="338"/>
      <c r="OEB23" s="338"/>
      <c r="OEC23" s="338"/>
      <c r="OED23" s="338"/>
      <c r="OEE23" s="338"/>
      <c r="OEF23" s="338"/>
      <c r="OEG23" s="338"/>
      <c r="OEH23" s="338"/>
      <c r="OEI23" s="338"/>
      <c r="OEJ23" s="338"/>
      <c r="OEK23" s="338"/>
      <c r="OEL23" s="338"/>
      <c r="OEM23" s="338"/>
      <c r="OEN23" s="338"/>
      <c r="OEO23" s="338"/>
      <c r="OEP23" s="338"/>
      <c r="OEQ23" s="338"/>
      <c r="OER23" s="338"/>
      <c r="OES23" s="338"/>
      <c r="OET23" s="338"/>
      <c r="OEU23" s="338"/>
      <c r="OEV23" s="338"/>
      <c r="OEW23" s="338"/>
      <c r="OEX23" s="338"/>
      <c r="OEY23" s="338"/>
      <c r="OEZ23" s="338"/>
      <c r="OFA23" s="338"/>
      <c r="OFB23" s="338"/>
      <c r="OFC23" s="338"/>
      <c r="OFD23" s="338"/>
      <c r="OFE23" s="338"/>
      <c r="OFF23" s="338"/>
      <c r="OFG23" s="338"/>
      <c r="OFH23" s="338"/>
      <c r="OFI23" s="338"/>
      <c r="OFJ23" s="338"/>
      <c r="OFK23" s="338"/>
      <c r="OFL23" s="338"/>
      <c r="OFM23" s="338"/>
      <c r="OFN23" s="338"/>
      <c r="OFO23" s="338"/>
      <c r="OFP23" s="338"/>
      <c r="OFQ23" s="338"/>
      <c r="OFR23" s="338"/>
      <c r="OFS23" s="338"/>
      <c r="OFT23" s="338"/>
      <c r="OFU23" s="338"/>
      <c r="OFV23" s="338"/>
      <c r="OFW23" s="338"/>
      <c r="OFX23" s="338"/>
      <c r="OFY23" s="338"/>
      <c r="OFZ23" s="338"/>
      <c r="OGA23" s="338"/>
      <c r="OGB23" s="338"/>
      <c r="OGC23" s="338"/>
      <c r="OGD23" s="338"/>
      <c r="OGE23" s="338"/>
      <c r="OGF23" s="338"/>
      <c r="OGG23" s="338"/>
      <c r="OGH23" s="338"/>
      <c r="OGI23" s="338"/>
      <c r="OGJ23" s="338"/>
      <c r="OGK23" s="338"/>
      <c r="OGL23" s="338"/>
      <c r="OGM23" s="338"/>
      <c r="OGN23" s="338"/>
      <c r="OGO23" s="338"/>
      <c r="OGP23" s="338"/>
      <c r="OGQ23" s="338"/>
      <c r="OGR23" s="338"/>
      <c r="OGS23" s="338"/>
      <c r="OGT23" s="338"/>
      <c r="OGU23" s="338"/>
      <c r="OGV23" s="338"/>
      <c r="OGW23" s="338"/>
      <c r="OGX23" s="338"/>
      <c r="OGY23" s="338"/>
      <c r="OGZ23" s="338"/>
      <c r="OHA23" s="338"/>
      <c r="OHB23" s="338"/>
      <c r="OHC23" s="338"/>
      <c r="OHD23" s="338"/>
      <c r="OHE23" s="338"/>
      <c r="OHF23" s="338"/>
      <c r="OHG23" s="338"/>
      <c r="OHH23" s="338"/>
      <c r="OHI23" s="338"/>
      <c r="OHJ23" s="338"/>
      <c r="OHK23" s="338"/>
      <c r="OHL23" s="338"/>
      <c r="OHM23" s="338"/>
      <c r="OHN23" s="338"/>
      <c r="OHO23" s="338"/>
      <c r="OHP23" s="338"/>
      <c r="OHQ23" s="338"/>
      <c r="OHR23" s="338"/>
      <c r="OHS23" s="338"/>
      <c r="OHT23" s="338"/>
      <c r="OHU23" s="338"/>
      <c r="OHV23" s="338"/>
      <c r="OHW23" s="338"/>
      <c r="OHX23" s="338"/>
      <c r="OHY23" s="338"/>
      <c r="OHZ23" s="338"/>
      <c r="OIA23" s="338"/>
      <c r="OIB23" s="338"/>
      <c r="OIC23" s="338"/>
      <c r="OID23" s="338"/>
      <c r="OIE23" s="338"/>
      <c r="OIF23" s="338"/>
      <c r="OIG23" s="338"/>
      <c r="OIH23" s="338"/>
      <c r="OII23" s="338"/>
      <c r="OIJ23" s="338"/>
      <c r="OIK23" s="338"/>
      <c r="OIL23" s="338"/>
      <c r="OIM23" s="338"/>
      <c r="OIN23" s="338"/>
      <c r="OIO23" s="338"/>
      <c r="OIP23" s="338"/>
      <c r="OIQ23" s="338"/>
      <c r="OIR23" s="338"/>
      <c r="OIS23" s="338"/>
      <c r="OIT23" s="338"/>
      <c r="OIU23" s="338"/>
      <c r="OIV23" s="338"/>
      <c r="OIW23" s="338"/>
      <c r="OIX23" s="338"/>
      <c r="OIY23" s="338"/>
      <c r="OIZ23" s="338"/>
      <c r="OJA23" s="338"/>
      <c r="OJB23" s="338"/>
      <c r="OJC23" s="338"/>
      <c r="OJD23" s="338"/>
      <c r="OJE23" s="338"/>
      <c r="OJF23" s="338"/>
      <c r="OJG23" s="338"/>
      <c r="OJH23" s="338"/>
      <c r="OJI23" s="338"/>
      <c r="OJJ23" s="338"/>
      <c r="OJK23" s="338"/>
      <c r="OJL23" s="338"/>
      <c r="OJM23" s="338"/>
      <c r="OJN23" s="338"/>
      <c r="OJO23" s="338"/>
      <c r="OJP23" s="338"/>
      <c r="OJQ23" s="338"/>
      <c r="OJR23" s="338"/>
      <c r="OJS23" s="338"/>
      <c r="OJT23" s="338"/>
      <c r="OJU23" s="338"/>
      <c r="OJV23" s="338"/>
      <c r="OJW23" s="338"/>
      <c r="OJX23" s="338"/>
      <c r="OJY23" s="338"/>
      <c r="OJZ23" s="338"/>
      <c r="OKA23" s="338"/>
      <c r="OKB23" s="338"/>
      <c r="OKC23" s="338"/>
      <c r="OKD23" s="338"/>
      <c r="OKE23" s="338"/>
      <c r="OKF23" s="338"/>
      <c r="OKG23" s="338"/>
      <c r="OKH23" s="338"/>
      <c r="OKI23" s="338"/>
      <c r="OKJ23" s="338"/>
      <c r="OKK23" s="338"/>
      <c r="OKL23" s="338"/>
      <c r="OKM23" s="338"/>
      <c r="OKN23" s="338"/>
      <c r="OKO23" s="338"/>
      <c r="OKP23" s="338"/>
      <c r="OKQ23" s="338"/>
      <c r="OKR23" s="338"/>
      <c r="OKS23" s="338"/>
      <c r="OKT23" s="338"/>
      <c r="OKU23" s="338"/>
      <c r="OKV23" s="338"/>
      <c r="OKW23" s="338"/>
      <c r="OKX23" s="338"/>
      <c r="OKY23" s="338"/>
      <c r="OKZ23" s="338"/>
      <c r="OLA23" s="338"/>
      <c r="OLB23" s="338"/>
      <c r="OLC23" s="338"/>
      <c r="OLD23" s="338"/>
      <c r="OLE23" s="338"/>
      <c r="OLF23" s="338"/>
      <c r="OLG23" s="338"/>
      <c r="OLH23" s="338"/>
      <c r="OLI23" s="338"/>
      <c r="OLJ23" s="338"/>
      <c r="OLK23" s="338"/>
      <c r="OLL23" s="338"/>
      <c r="OLM23" s="338"/>
      <c r="OLN23" s="338"/>
      <c r="OLO23" s="338"/>
      <c r="OLP23" s="338"/>
      <c r="OLQ23" s="338"/>
      <c r="OLR23" s="338"/>
      <c r="OLS23" s="338"/>
      <c r="OLT23" s="338"/>
      <c r="OLU23" s="338"/>
      <c r="OLV23" s="338"/>
      <c r="OLW23" s="338"/>
      <c r="OLX23" s="338"/>
      <c r="OLY23" s="338"/>
      <c r="OLZ23" s="338"/>
      <c r="OMA23" s="338"/>
      <c r="OMB23" s="338"/>
      <c r="OMC23" s="338"/>
      <c r="OMD23" s="338"/>
      <c r="OME23" s="338"/>
      <c r="OMF23" s="338"/>
      <c r="OMG23" s="338"/>
      <c r="OMH23" s="338"/>
      <c r="OMI23" s="338"/>
      <c r="OMJ23" s="338"/>
      <c r="OMK23" s="338"/>
      <c r="OML23" s="338"/>
      <c r="OMM23" s="338"/>
      <c r="OMN23" s="338"/>
      <c r="OMO23" s="338"/>
      <c r="OMP23" s="338"/>
      <c r="OMQ23" s="338"/>
      <c r="OMR23" s="338"/>
      <c r="OMS23" s="338"/>
      <c r="OMT23" s="338"/>
      <c r="OMU23" s="338"/>
      <c r="OMV23" s="338"/>
      <c r="OMW23" s="338"/>
      <c r="OMX23" s="338"/>
      <c r="OMY23" s="338"/>
      <c r="OMZ23" s="338"/>
      <c r="ONA23" s="338"/>
      <c r="ONB23" s="338"/>
      <c r="ONC23" s="338"/>
      <c r="OND23" s="338"/>
      <c r="ONE23" s="338"/>
      <c r="ONF23" s="338"/>
      <c r="ONG23" s="338"/>
      <c r="ONH23" s="338"/>
      <c r="ONI23" s="338"/>
      <c r="ONJ23" s="338"/>
      <c r="ONK23" s="338"/>
      <c r="ONL23" s="338"/>
      <c r="ONM23" s="338"/>
      <c r="ONN23" s="338"/>
      <c r="ONO23" s="338"/>
      <c r="ONP23" s="338"/>
      <c r="ONQ23" s="338"/>
      <c r="ONR23" s="338"/>
      <c r="ONS23" s="338"/>
      <c r="ONT23" s="338"/>
      <c r="ONU23" s="338"/>
      <c r="ONV23" s="338"/>
      <c r="ONW23" s="338"/>
      <c r="ONX23" s="338"/>
      <c r="ONY23" s="338"/>
      <c r="ONZ23" s="338"/>
      <c r="OOA23" s="338"/>
      <c r="OOB23" s="338"/>
      <c r="OOC23" s="338"/>
      <c r="OOD23" s="338"/>
      <c r="OOE23" s="338"/>
      <c r="OOF23" s="338"/>
      <c r="OOG23" s="338"/>
      <c r="OOH23" s="338"/>
      <c r="OOI23" s="338"/>
      <c r="OOJ23" s="338"/>
      <c r="OOK23" s="338"/>
      <c r="OOL23" s="338"/>
      <c r="OOM23" s="338"/>
      <c r="OON23" s="338"/>
      <c r="OOO23" s="338"/>
      <c r="OOP23" s="338"/>
      <c r="OOQ23" s="338"/>
      <c r="OOR23" s="338"/>
      <c r="OOS23" s="338"/>
      <c r="OOT23" s="338"/>
      <c r="OOU23" s="338"/>
      <c r="OOV23" s="338"/>
      <c r="OOW23" s="338"/>
      <c r="OOX23" s="338"/>
      <c r="OOY23" s="338"/>
      <c r="OOZ23" s="338"/>
      <c r="OPA23" s="338"/>
      <c r="OPB23" s="338"/>
      <c r="OPC23" s="338"/>
      <c r="OPD23" s="338"/>
      <c r="OPE23" s="338"/>
      <c r="OPF23" s="338"/>
      <c r="OPG23" s="338"/>
      <c r="OPH23" s="338"/>
      <c r="OPI23" s="338"/>
      <c r="OPJ23" s="338"/>
      <c r="OPK23" s="338"/>
      <c r="OPL23" s="338"/>
      <c r="OPM23" s="338"/>
      <c r="OPN23" s="338"/>
      <c r="OPO23" s="338"/>
      <c r="OPP23" s="338"/>
      <c r="OPQ23" s="338"/>
      <c r="OPR23" s="338"/>
      <c r="OPS23" s="338"/>
      <c r="OPT23" s="338"/>
      <c r="OPU23" s="338"/>
      <c r="OPV23" s="338"/>
      <c r="OPW23" s="338"/>
      <c r="OPX23" s="338"/>
      <c r="OPY23" s="338"/>
      <c r="OPZ23" s="338"/>
      <c r="OQA23" s="338"/>
      <c r="OQB23" s="338"/>
      <c r="OQC23" s="338"/>
      <c r="OQD23" s="338"/>
      <c r="OQE23" s="338"/>
      <c r="OQF23" s="338"/>
      <c r="OQG23" s="338"/>
      <c r="OQH23" s="338"/>
      <c r="OQI23" s="338"/>
      <c r="OQJ23" s="338"/>
      <c r="OQK23" s="338"/>
      <c r="OQL23" s="338"/>
      <c r="OQM23" s="338"/>
      <c r="OQN23" s="338"/>
      <c r="OQO23" s="338"/>
      <c r="OQP23" s="338"/>
      <c r="OQQ23" s="338"/>
      <c r="OQR23" s="338"/>
      <c r="OQS23" s="338"/>
      <c r="OQT23" s="338"/>
      <c r="OQU23" s="338"/>
      <c r="OQV23" s="338"/>
      <c r="OQW23" s="338"/>
      <c r="OQX23" s="338"/>
      <c r="OQY23" s="338"/>
      <c r="OQZ23" s="338"/>
      <c r="ORA23" s="338"/>
      <c r="ORB23" s="338"/>
      <c r="ORC23" s="338"/>
      <c r="ORD23" s="338"/>
      <c r="ORE23" s="338"/>
      <c r="ORF23" s="338"/>
      <c r="ORG23" s="338"/>
      <c r="ORH23" s="338"/>
      <c r="ORI23" s="338"/>
      <c r="ORJ23" s="338"/>
      <c r="ORK23" s="338"/>
      <c r="ORL23" s="338"/>
      <c r="ORM23" s="338"/>
      <c r="ORN23" s="338"/>
      <c r="ORO23" s="338"/>
      <c r="ORP23" s="338"/>
      <c r="ORQ23" s="338"/>
      <c r="ORR23" s="338"/>
      <c r="ORS23" s="338"/>
      <c r="ORT23" s="338"/>
      <c r="ORU23" s="338"/>
      <c r="ORV23" s="338"/>
      <c r="ORW23" s="338"/>
      <c r="ORX23" s="338"/>
      <c r="ORY23" s="338"/>
      <c r="ORZ23" s="338"/>
      <c r="OSA23" s="338"/>
      <c r="OSB23" s="338"/>
      <c r="OSC23" s="338"/>
      <c r="OSD23" s="338"/>
      <c r="OSE23" s="338"/>
      <c r="OSF23" s="338"/>
      <c r="OSG23" s="338"/>
      <c r="OSH23" s="338"/>
      <c r="OSI23" s="338"/>
      <c r="OSJ23" s="338"/>
      <c r="OSK23" s="338"/>
      <c r="OSL23" s="338"/>
      <c r="OSM23" s="338"/>
      <c r="OSN23" s="338"/>
      <c r="OSO23" s="338"/>
      <c r="OSP23" s="338"/>
      <c r="OSQ23" s="338"/>
      <c r="OSR23" s="338"/>
      <c r="OSS23" s="338"/>
      <c r="OST23" s="338"/>
      <c r="OSU23" s="338"/>
      <c r="OSV23" s="338"/>
      <c r="OSW23" s="338"/>
      <c r="OSX23" s="338"/>
      <c r="OSY23" s="338"/>
      <c r="OSZ23" s="338"/>
      <c r="OTA23" s="338"/>
      <c r="OTB23" s="338"/>
      <c r="OTC23" s="338"/>
      <c r="OTD23" s="338"/>
      <c r="OTE23" s="338"/>
      <c r="OTF23" s="338"/>
      <c r="OTG23" s="338"/>
      <c r="OTH23" s="338"/>
      <c r="OTI23" s="338"/>
      <c r="OTJ23" s="338"/>
      <c r="OTK23" s="338"/>
      <c r="OTL23" s="338"/>
      <c r="OTM23" s="338"/>
      <c r="OTN23" s="338"/>
      <c r="OTO23" s="338"/>
      <c r="OTP23" s="338"/>
      <c r="OTQ23" s="338"/>
      <c r="OTR23" s="338"/>
      <c r="OTS23" s="338"/>
      <c r="OTT23" s="338"/>
      <c r="OTU23" s="338"/>
      <c r="OTV23" s="338"/>
      <c r="OTW23" s="338"/>
      <c r="OTX23" s="338"/>
      <c r="OTY23" s="338"/>
      <c r="OTZ23" s="338"/>
      <c r="OUA23" s="338"/>
      <c r="OUB23" s="338"/>
      <c r="OUC23" s="338"/>
      <c r="OUD23" s="338"/>
      <c r="OUE23" s="338"/>
      <c r="OUF23" s="338"/>
      <c r="OUG23" s="338"/>
      <c r="OUH23" s="338"/>
      <c r="OUI23" s="338"/>
      <c r="OUJ23" s="338"/>
      <c r="OUK23" s="338"/>
      <c r="OUL23" s="338"/>
      <c r="OUM23" s="338"/>
      <c r="OUN23" s="338"/>
      <c r="OUO23" s="338"/>
      <c r="OUP23" s="338"/>
      <c r="OUQ23" s="338"/>
      <c r="OUR23" s="338"/>
      <c r="OUS23" s="338"/>
      <c r="OUT23" s="338"/>
      <c r="OUU23" s="338"/>
      <c r="OUV23" s="338"/>
      <c r="OUW23" s="338"/>
      <c r="OUX23" s="338"/>
      <c r="OUY23" s="338"/>
      <c r="OUZ23" s="338"/>
      <c r="OVA23" s="338"/>
      <c r="OVB23" s="338"/>
      <c r="OVC23" s="338"/>
      <c r="OVD23" s="338"/>
      <c r="OVE23" s="338"/>
      <c r="OVF23" s="338"/>
      <c r="OVG23" s="338"/>
      <c r="OVH23" s="338"/>
      <c r="OVI23" s="338"/>
      <c r="OVJ23" s="338"/>
      <c r="OVK23" s="338"/>
      <c r="OVL23" s="338"/>
      <c r="OVM23" s="338"/>
      <c r="OVN23" s="338"/>
      <c r="OVO23" s="338"/>
      <c r="OVP23" s="338"/>
      <c r="OVQ23" s="338"/>
      <c r="OVR23" s="338"/>
      <c r="OVS23" s="338"/>
      <c r="OVT23" s="338"/>
      <c r="OVU23" s="338"/>
      <c r="OVV23" s="338"/>
      <c r="OVW23" s="338"/>
      <c r="OVX23" s="338"/>
      <c r="OVY23" s="338"/>
      <c r="OVZ23" s="338"/>
      <c r="OWA23" s="338"/>
      <c r="OWB23" s="338"/>
      <c r="OWC23" s="338"/>
      <c r="OWD23" s="338"/>
      <c r="OWE23" s="338"/>
      <c r="OWF23" s="338"/>
      <c r="OWG23" s="338"/>
      <c r="OWH23" s="338"/>
      <c r="OWI23" s="338"/>
      <c r="OWJ23" s="338"/>
      <c r="OWK23" s="338"/>
      <c r="OWL23" s="338"/>
      <c r="OWM23" s="338"/>
      <c r="OWN23" s="338"/>
      <c r="OWO23" s="338"/>
      <c r="OWP23" s="338"/>
      <c r="OWQ23" s="338"/>
      <c r="OWR23" s="338"/>
      <c r="OWS23" s="338"/>
      <c r="OWT23" s="338"/>
      <c r="OWU23" s="338"/>
      <c r="OWV23" s="338"/>
      <c r="OWW23" s="338"/>
      <c r="OWX23" s="338"/>
      <c r="OWY23" s="338"/>
      <c r="OWZ23" s="338"/>
      <c r="OXA23" s="338"/>
      <c r="OXB23" s="338"/>
      <c r="OXC23" s="338"/>
      <c r="OXD23" s="338"/>
      <c r="OXE23" s="338"/>
      <c r="OXF23" s="338"/>
      <c r="OXG23" s="338"/>
      <c r="OXH23" s="338"/>
      <c r="OXI23" s="338"/>
      <c r="OXJ23" s="338"/>
      <c r="OXK23" s="338"/>
      <c r="OXL23" s="338"/>
      <c r="OXM23" s="338"/>
      <c r="OXN23" s="338"/>
      <c r="OXO23" s="338"/>
      <c r="OXP23" s="338"/>
      <c r="OXQ23" s="338"/>
      <c r="OXR23" s="338"/>
      <c r="OXS23" s="338"/>
      <c r="OXT23" s="338"/>
      <c r="OXU23" s="338"/>
      <c r="OXV23" s="338"/>
      <c r="OXW23" s="338"/>
      <c r="OXX23" s="338"/>
      <c r="OXY23" s="338"/>
      <c r="OXZ23" s="338"/>
      <c r="OYA23" s="338"/>
      <c r="OYB23" s="338"/>
      <c r="OYC23" s="338"/>
      <c r="OYD23" s="338"/>
      <c r="OYE23" s="338"/>
      <c r="OYF23" s="338"/>
      <c r="OYG23" s="338"/>
      <c r="OYH23" s="338"/>
      <c r="OYI23" s="338"/>
      <c r="OYJ23" s="338"/>
      <c r="OYK23" s="338"/>
      <c r="OYL23" s="338"/>
      <c r="OYM23" s="338"/>
      <c r="OYN23" s="338"/>
      <c r="OYO23" s="338"/>
      <c r="OYP23" s="338"/>
      <c r="OYQ23" s="338"/>
      <c r="OYR23" s="338"/>
      <c r="OYS23" s="338"/>
      <c r="OYT23" s="338"/>
      <c r="OYU23" s="338"/>
      <c r="OYV23" s="338"/>
      <c r="OYW23" s="338"/>
      <c r="OYX23" s="338"/>
      <c r="OYY23" s="338"/>
      <c r="OYZ23" s="338"/>
      <c r="OZA23" s="338"/>
      <c r="OZB23" s="338"/>
      <c r="OZC23" s="338"/>
      <c r="OZD23" s="338"/>
      <c r="OZE23" s="338"/>
      <c r="OZF23" s="338"/>
      <c r="OZG23" s="338"/>
      <c r="OZH23" s="338"/>
      <c r="OZI23" s="338"/>
      <c r="OZJ23" s="338"/>
      <c r="OZK23" s="338"/>
      <c r="OZL23" s="338"/>
      <c r="OZM23" s="338"/>
      <c r="OZN23" s="338"/>
      <c r="OZO23" s="338"/>
      <c r="OZP23" s="338"/>
      <c r="OZQ23" s="338"/>
      <c r="OZR23" s="338"/>
      <c r="OZS23" s="338"/>
      <c r="OZT23" s="338"/>
      <c r="OZU23" s="338"/>
      <c r="OZV23" s="338"/>
      <c r="OZW23" s="338"/>
      <c r="OZX23" s="338"/>
      <c r="OZY23" s="338"/>
      <c r="OZZ23" s="338"/>
      <c r="PAA23" s="338"/>
      <c r="PAB23" s="338"/>
      <c r="PAC23" s="338"/>
      <c r="PAD23" s="338"/>
      <c r="PAE23" s="338"/>
      <c r="PAF23" s="338"/>
      <c r="PAG23" s="338"/>
      <c r="PAH23" s="338"/>
      <c r="PAI23" s="338"/>
      <c r="PAJ23" s="338"/>
      <c r="PAK23" s="338"/>
      <c r="PAL23" s="338"/>
      <c r="PAM23" s="338"/>
      <c r="PAN23" s="338"/>
      <c r="PAO23" s="338"/>
      <c r="PAP23" s="338"/>
      <c r="PAQ23" s="338"/>
      <c r="PAR23" s="338"/>
      <c r="PAS23" s="338"/>
      <c r="PAT23" s="338"/>
      <c r="PAU23" s="338"/>
      <c r="PAV23" s="338"/>
      <c r="PAW23" s="338"/>
      <c r="PAX23" s="338"/>
      <c r="PAY23" s="338"/>
      <c r="PAZ23" s="338"/>
      <c r="PBA23" s="338"/>
      <c r="PBB23" s="338"/>
      <c r="PBC23" s="338"/>
      <c r="PBD23" s="338"/>
      <c r="PBE23" s="338"/>
      <c r="PBF23" s="338"/>
      <c r="PBG23" s="338"/>
      <c r="PBH23" s="338"/>
      <c r="PBI23" s="338"/>
      <c r="PBJ23" s="338"/>
      <c r="PBK23" s="338"/>
      <c r="PBL23" s="338"/>
      <c r="PBM23" s="338"/>
      <c r="PBN23" s="338"/>
      <c r="PBO23" s="338"/>
      <c r="PBP23" s="338"/>
      <c r="PBQ23" s="338"/>
      <c r="PBR23" s="338"/>
      <c r="PBS23" s="338"/>
      <c r="PBT23" s="338"/>
      <c r="PBU23" s="338"/>
      <c r="PBV23" s="338"/>
      <c r="PBW23" s="338"/>
      <c r="PBX23" s="338"/>
      <c r="PBY23" s="338"/>
      <c r="PBZ23" s="338"/>
      <c r="PCA23" s="338"/>
      <c r="PCB23" s="338"/>
      <c r="PCC23" s="338"/>
      <c r="PCD23" s="338"/>
      <c r="PCE23" s="338"/>
      <c r="PCF23" s="338"/>
      <c r="PCG23" s="338"/>
      <c r="PCH23" s="338"/>
      <c r="PCI23" s="338"/>
      <c r="PCJ23" s="338"/>
      <c r="PCK23" s="338"/>
      <c r="PCL23" s="338"/>
      <c r="PCM23" s="338"/>
      <c r="PCN23" s="338"/>
      <c r="PCO23" s="338"/>
      <c r="PCP23" s="338"/>
      <c r="PCQ23" s="338"/>
      <c r="PCR23" s="338"/>
      <c r="PCS23" s="338"/>
      <c r="PCT23" s="338"/>
      <c r="PCU23" s="338"/>
      <c r="PCV23" s="338"/>
      <c r="PCW23" s="338"/>
      <c r="PCX23" s="338"/>
      <c r="PCY23" s="338"/>
      <c r="PCZ23" s="338"/>
      <c r="PDA23" s="338"/>
      <c r="PDB23" s="338"/>
      <c r="PDC23" s="338"/>
      <c r="PDD23" s="338"/>
      <c r="PDE23" s="338"/>
      <c r="PDF23" s="338"/>
      <c r="PDG23" s="338"/>
      <c r="PDH23" s="338"/>
      <c r="PDI23" s="338"/>
      <c r="PDJ23" s="338"/>
      <c r="PDK23" s="338"/>
      <c r="PDL23" s="338"/>
      <c r="PDM23" s="338"/>
      <c r="PDN23" s="338"/>
      <c r="PDO23" s="338"/>
      <c r="PDP23" s="338"/>
      <c r="PDQ23" s="338"/>
      <c r="PDR23" s="338"/>
      <c r="PDS23" s="338"/>
      <c r="PDT23" s="338"/>
      <c r="PDU23" s="338"/>
      <c r="PDV23" s="338"/>
      <c r="PDW23" s="338"/>
      <c r="PDX23" s="338"/>
      <c r="PDY23" s="338"/>
      <c r="PDZ23" s="338"/>
      <c r="PEA23" s="338"/>
      <c r="PEB23" s="338"/>
      <c r="PEC23" s="338"/>
      <c r="PED23" s="338"/>
      <c r="PEE23" s="338"/>
      <c r="PEF23" s="338"/>
      <c r="PEG23" s="338"/>
      <c r="PEH23" s="338"/>
      <c r="PEI23" s="338"/>
      <c r="PEJ23" s="338"/>
      <c r="PEK23" s="338"/>
      <c r="PEL23" s="338"/>
      <c r="PEM23" s="338"/>
      <c r="PEN23" s="338"/>
      <c r="PEO23" s="338"/>
      <c r="PEP23" s="338"/>
      <c r="PEQ23" s="338"/>
      <c r="PER23" s="338"/>
      <c r="PES23" s="338"/>
      <c r="PET23" s="338"/>
      <c r="PEU23" s="338"/>
      <c r="PEV23" s="338"/>
      <c r="PEW23" s="338"/>
      <c r="PEX23" s="338"/>
      <c r="PEY23" s="338"/>
      <c r="PEZ23" s="338"/>
      <c r="PFA23" s="338"/>
      <c r="PFB23" s="338"/>
      <c r="PFC23" s="338"/>
      <c r="PFD23" s="338"/>
      <c r="PFE23" s="338"/>
      <c r="PFF23" s="338"/>
      <c r="PFG23" s="338"/>
      <c r="PFH23" s="338"/>
      <c r="PFI23" s="338"/>
      <c r="PFJ23" s="338"/>
      <c r="PFK23" s="338"/>
      <c r="PFL23" s="338"/>
      <c r="PFM23" s="338"/>
      <c r="PFN23" s="338"/>
      <c r="PFO23" s="338"/>
      <c r="PFP23" s="338"/>
      <c r="PFQ23" s="338"/>
      <c r="PFR23" s="338"/>
      <c r="PFS23" s="338"/>
      <c r="PFT23" s="338"/>
      <c r="PFU23" s="338"/>
      <c r="PFV23" s="338"/>
      <c r="PFW23" s="338"/>
      <c r="PFX23" s="338"/>
      <c r="PFY23" s="338"/>
      <c r="PFZ23" s="338"/>
      <c r="PGA23" s="338"/>
      <c r="PGB23" s="338"/>
      <c r="PGC23" s="338"/>
      <c r="PGD23" s="338"/>
      <c r="PGE23" s="338"/>
      <c r="PGF23" s="338"/>
      <c r="PGG23" s="338"/>
      <c r="PGH23" s="338"/>
      <c r="PGI23" s="338"/>
      <c r="PGJ23" s="338"/>
      <c r="PGK23" s="338"/>
      <c r="PGL23" s="338"/>
      <c r="PGM23" s="338"/>
      <c r="PGN23" s="338"/>
      <c r="PGO23" s="338"/>
      <c r="PGP23" s="338"/>
      <c r="PGQ23" s="338"/>
      <c r="PGR23" s="338"/>
      <c r="PGS23" s="338"/>
      <c r="PGT23" s="338"/>
      <c r="PGU23" s="338"/>
      <c r="PGV23" s="338"/>
      <c r="PGW23" s="338"/>
      <c r="PGX23" s="338"/>
      <c r="PGY23" s="338"/>
      <c r="PGZ23" s="338"/>
      <c r="PHA23" s="338"/>
      <c r="PHB23" s="338"/>
      <c r="PHC23" s="338"/>
      <c r="PHD23" s="338"/>
      <c r="PHE23" s="338"/>
      <c r="PHF23" s="338"/>
      <c r="PHG23" s="338"/>
      <c r="PHH23" s="338"/>
      <c r="PHI23" s="338"/>
      <c r="PHJ23" s="338"/>
      <c r="PHK23" s="338"/>
      <c r="PHL23" s="338"/>
      <c r="PHM23" s="338"/>
      <c r="PHN23" s="338"/>
      <c r="PHO23" s="338"/>
      <c r="PHP23" s="338"/>
      <c r="PHQ23" s="338"/>
      <c r="PHR23" s="338"/>
      <c r="PHS23" s="338"/>
      <c r="PHT23" s="338"/>
      <c r="PHU23" s="338"/>
      <c r="PHV23" s="338"/>
      <c r="PHW23" s="338"/>
      <c r="PHX23" s="338"/>
      <c r="PHY23" s="338"/>
      <c r="PHZ23" s="338"/>
      <c r="PIA23" s="338"/>
      <c r="PIB23" s="338"/>
      <c r="PIC23" s="338"/>
      <c r="PID23" s="338"/>
      <c r="PIE23" s="338"/>
      <c r="PIF23" s="338"/>
      <c r="PIG23" s="338"/>
      <c r="PIH23" s="338"/>
      <c r="PII23" s="338"/>
      <c r="PIJ23" s="338"/>
      <c r="PIK23" s="338"/>
      <c r="PIL23" s="338"/>
      <c r="PIM23" s="338"/>
      <c r="PIN23" s="338"/>
      <c r="PIO23" s="338"/>
      <c r="PIP23" s="338"/>
      <c r="PIQ23" s="338"/>
      <c r="PIR23" s="338"/>
      <c r="PIS23" s="338"/>
      <c r="PIT23" s="338"/>
      <c r="PIU23" s="338"/>
      <c r="PIV23" s="338"/>
      <c r="PIW23" s="338"/>
      <c r="PIX23" s="338"/>
      <c r="PIY23" s="338"/>
      <c r="PIZ23" s="338"/>
      <c r="PJA23" s="338"/>
      <c r="PJB23" s="338"/>
      <c r="PJC23" s="338"/>
      <c r="PJD23" s="338"/>
      <c r="PJE23" s="338"/>
      <c r="PJF23" s="338"/>
      <c r="PJG23" s="338"/>
      <c r="PJH23" s="338"/>
      <c r="PJI23" s="338"/>
      <c r="PJJ23" s="338"/>
      <c r="PJK23" s="338"/>
      <c r="PJL23" s="338"/>
      <c r="PJM23" s="338"/>
      <c r="PJN23" s="338"/>
      <c r="PJO23" s="338"/>
      <c r="PJP23" s="338"/>
      <c r="PJQ23" s="338"/>
      <c r="PJR23" s="338"/>
      <c r="PJS23" s="338"/>
      <c r="PJT23" s="338"/>
      <c r="PJU23" s="338"/>
      <c r="PJV23" s="338"/>
      <c r="PJW23" s="338"/>
      <c r="PJX23" s="338"/>
      <c r="PJY23" s="338"/>
      <c r="PJZ23" s="338"/>
      <c r="PKA23" s="338"/>
      <c r="PKB23" s="338"/>
      <c r="PKC23" s="338"/>
      <c r="PKD23" s="338"/>
      <c r="PKE23" s="338"/>
      <c r="PKF23" s="338"/>
      <c r="PKG23" s="338"/>
      <c r="PKH23" s="338"/>
      <c r="PKI23" s="338"/>
      <c r="PKJ23" s="338"/>
      <c r="PKK23" s="338"/>
      <c r="PKL23" s="338"/>
      <c r="PKM23" s="338"/>
      <c r="PKN23" s="338"/>
      <c r="PKO23" s="338"/>
      <c r="PKP23" s="338"/>
      <c r="PKQ23" s="338"/>
      <c r="PKR23" s="338"/>
      <c r="PKS23" s="338"/>
      <c r="PKT23" s="338"/>
      <c r="PKU23" s="338"/>
      <c r="PKV23" s="338"/>
      <c r="PKW23" s="338"/>
      <c r="PKX23" s="338"/>
      <c r="PKY23" s="338"/>
      <c r="PKZ23" s="338"/>
      <c r="PLA23" s="338"/>
      <c r="PLB23" s="338"/>
      <c r="PLC23" s="338"/>
      <c r="PLD23" s="338"/>
      <c r="PLE23" s="338"/>
      <c r="PLF23" s="338"/>
      <c r="PLG23" s="338"/>
      <c r="PLH23" s="338"/>
      <c r="PLI23" s="338"/>
      <c r="PLJ23" s="338"/>
      <c r="PLK23" s="338"/>
      <c r="PLL23" s="338"/>
      <c r="PLM23" s="338"/>
      <c r="PLN23" s="338"/>
      <c r="PLO23" s="338"/>
      <c r="PLP23" s="338"/>
      <c r="PLQ23" s="338"/>
      <c r="PLR23" s="338"/>
      <c r="PLS23" s="338"/>
      <c r="PLT23" s="338"/>
      <c r="PLU23" s="338"/>
      <c r="PLV23" s="338"/>
      <c r="PLW23" s="338"/>
      <c r="PLX23" s="338"/>
      <c r="PLY23" s="338"/>
      <c r="PLZ23" s="338"/>
      <c r="PMA23" s="338"/>
      <c r="PMB23" s="338"/>
      <c r="PMC23" s="338"/>
      <c r="PMD23" s="338"/>
      <c r="PME23" s="338"/>
      <c r="PMF23" s="338"/>
      <c r="PMG23" s="338"/>
      <c r="PMH23" s="338"/>
      <c r="PMI23" s="338"/>
      <c r="PMJ23" s="338"/>
      <c r="PMK23" s="338"/>
      <c r="PML23" s="338"/>
      <c r="PMM23" s="338"/>
      <c r="PMN23" s="338"/>
      <c r="PMO23" s="338"/>
      <c r="PMP23" s="338"/>
      <c r="PMQ23" s="338"/>
      <c r="PMR23" s="338"/>
      <c r="PMS23" s="338"/>
      <c r="PMT23" s="338"/>
      <c r="PMU23" s="338"/>
      <c r="PMV23" s="338"/>
      <c r="PMW23" s="338"/>
      <c r="PMX23" s="338"/>
      <c r="PMY23" s="338"/>
      <c r="PMZ23" s="338"/>
      <c r="PNA23" s="338"/>
      <c r="PNB23" s="338"/>
      <c r="PNC23" s="338"/>
      <c r="PND23" s="338"/>
      <c r="PNE23" s="338"/>
      <c r="PNF23" s="338"/>
      <c r="PNG23" s="338"/>
      <c r="PNH23" s="338"/>
      <c r="PNI23" s="338"/>
      <c r="PNJ23" s="338"/>
      <c r="PNK23" s="338"/>
      <c r="PNL23" s="338"/>
      <c r="PNM23" s="338"/>
      <c r="PNN23" s="338"/>
      <c r="PNO23" s="338"/>
      <c r="PNP23" s="338"/>
      <c r="PNQ23" s="338"/>
      <c r="PNR23" s="338"/>
      <c r="PNS23" s="338"/>
      <c r="PNT23" s="338"/>
      <c r="PNU23" s="338"/>
      <c r="PNV23" s="338"/>
      <c r="PNW23" s="338"/>
      <c r="PNX23" s="338"/>
      <c r="PNY23" s="338"/>
      <c r="PNZ23" s="338"/>
      <c r="POA23" s="338"/>
      <c r="POB23" s="338"/>
      <c r="POC23" s="338"/>
      <c r="POD23" s="338"/>
      <c r="POE23" s="338"/>
      <c r="POF23" s="338"/>
      <c r="POG23" s="338"/>
      <c r="POH23" s="338"/>
      <c r="POI23" s="338"/>
      <c r="POJ23" s="338"/>
      <c r="POK23" s="338"/>
      <c r="POL23" s="338"/>
      <c r="POM23" s="338"/>
      <c r="PON23" s="338"/>
      <c r="POO23" s="338"/>
      <c r="POP23" s="338"/>
      <c r="POQ23" s="338"/>
      <c r="POR23" s="338"/>
      <c r="POS23" s="338"/>
      <c r="POT23" s="338"/>
      <c r="POU23" s="338"/>
      <c r="POV23" s="338"/>
      <c r="POW23" s="338"/>
      <c r="POX23" s="338"/>
      <c r="POY23" s="338"/>
      <c r="POZ23" s="338"/>
      <c r="PPA23" s="338"/>
      <c r="PPB23" s="338"/>
      <c r="PPC23" s="338"/>
      <c r="PPD23" s="338"/>
      <c r="PPE23" s="338"/>
      <c r="PPF23" s="338"/>
      <c r="PPG23" s="338"/>
      <c r="PPH23" s="338"/>
      <c r="PPI23" s="338"/>
      <c r="PPJ23" s="338"/>
      <c r="PPK23" s="338"/>
      <c r="PPL23" s="338"/>
      <c r="PPM23" s="338"/>
      <c r="PPN23" s="338"/>
      <c r="PPO23" s="338"/>
      <c r="PPP23" s="338"/>
      <c r="PPQ23" s="338"/>
      <c r="PPR23" s="338"/>
      <c r="PPS23" s="338"/>
      <c r="PPT23" s="338"/>
      <c r="PPU23" s="338"/>
      <c r="PPV23" s="338"/>
      <c r="PPW23" s="338"/>
      <c r="PPX23" s="338"/>
      <c r="PPY23" s="338"/>
      <c r="PPZ23" s="338"/>
      <c r="PQA23" s="338"/>
      <c r="PQB23" s="338"/>
      <c r="PQC23" s="338"/>
      <c r="PQD23" s="338"/>
      <c r="PQE23" s="338"/>
      <c r="PQF23" s="338"/>
      <c r="PQG23" s="338"/>
      <c r="PQH23" s="338"/>
      <c r="PQI23" s="338"/>
      <c r="PQJ23" s="338"/>
      <c r="PQK23" s="338"/>
      <c r="PQL23" s="338"/>
      <c r="PQM23" s="338"/>
      <c r="PQN23" s="338"/>
      <c r="PQO23" s="338"/>
      <c r="PQP23" s="338"/>
      <c r="PQQ23" s="338"/>
      <c r="PQR23" s="338"/>
      <c r="PQS23" s="338"/>
      <c r="PQT23" s="338"/>
      <c r="PQU23" s="338"/>
      <c r="PQV23" s="338"/>
      <c r="PQW23" s="338"/>
      <c r="PQX23" s="338"/>
      <c r="PQY23" s="338"/>
      <c r="PQZ23" s="338"/>
      <c r="PRA23" s="338"/>
      <c r="PRB23" s="338"/>
      <c r="PRC23" s="338"/>
      <c r="PRD23" s="338"/>
      <c r="PRE23" s="338"/>
      <c r="PRF23" s="338"/>
      <c r="PRG23" s="338"/>
      <c r="PRH23" s="338"/>
      <c r="PRI23" s="338"/>
      <c r="PRJ23" s="338"/>
      <c r="PRK23" s="338"/>
      <c r="PRL23" s="338"/>
      <c r="PRM23" s="338"/>
      <c r="PRN23" s="338"/>
      <c r="PRO23" s="338"/>
      <c r="PRP23" s="338"/>
      <c r="PRQ23" s="338"/>
      <c r="PRR23" s="338"/>
      <c r="PRS23" s="338"/>
      <c r="PRT23" s="338"/>
      <c r="PRU23" s="338"/>
      <c r="PRV23" s="338"/>
      <c r="PRW23" s="338"/>
      <c r="PRX23" s="338"/>
      <c r="PRY23" s="338"/>
      <c r="PRZ23" s="338"/>
      <c r="PSA23" s="338"/>
      <c r="PSB23" s="338"/>
      <c r="PSC23" s="338"/>
      <c r="PSD23" s="338"/>
      <c r="PSE23" s="338"/>
      <c r="PSF23" s="338"/>
      <c r="PSG23" s="338"/>
      <c r="PSH23" s="338"/>
      <c r="PSI23" s="338"/>
      <c r="PSJ23" s="338"/>
      <c r="PSK23" s="338"/>
      <c r="PSL23" s="338"/>
      <c r="PSM23" s="338"/>
      <c r="PSN23" s="338"/>
      <c r="PSO23" s="338"/>
      <c r="PSP23" s="338"/>
      <c r="PSQ23" s="338"/>
      <c r="PSR23" s="338"/>
      <c r="PSS23" s="338"/>
      <c r="PST23" s="338"/>
      <c r="PSU23" s="338"/>
      <c r="PSV23" s="338"/>
      <c r="PSW23" s="338"/>
      <c r="PSX23" s="338"/>
      <c r="PSY23" s="338"/>
      <c r="PSZ23" s="338"/>
      <c r="PTA23" s="338"/>
      <c r="PTB23" s="338"/>
      <c r="PTC23" s="338"/>
      <c r="PTD23" s="338"/>
      <c r="PTE23" s="338"/>
      <c r="PTF23" s="338"/>
      <c r="PTG23" s="338"/>
      <c r="PTH23" s="338"/>
      <c r="PTI23" s="338"/>
      <c r="PTJ23" s="338"/>
      <c r="PTK23" s="338"/>
      <c r="PTL23" s="338"/>
      <c r="PTM23" s="338"/>
      <c r="PTN23" s="338"/>
      <c r="PTO23" s="338"/>
      <c r="PTP23" s="338"/>
      <c r="PTQ23" s="338"/>
      <c r="PTR23" s="338"/>
      <c r="PTS23" s="338"/>
      <c r="PTT23" s="338"/>
      <c r="PTU23" s="338"/>
      <c r="PTV23" s="338"/>
      <c r="PTW23" s="338"/>
      <c r="PTX23" s="338"/>
      <c r="PTY23" s="338"/>
      <c r="PTZ23" s="338"/>
      <c r="PUA23" s="338"/>
      <c r="PUB23" s="338"/>
      <c r="PUC23" s="338"/>
      <c r="PUD23" s="338"/>
      <c r="PUE23" s="338"/>
      <c r="PUF23" s="338"/>
      <c r="PUG23" s="338"/>
      <c r="PUH23" s="338"/>
      <c r="PUI23" s="338"/>
      <c r="PUJ23" s="338"/>
      <c r="PUK23" s="338"/>
      <c r="PUL23" s="338"/>
      <c r="PUM23" s="338"/>
      <c r="PUN23" s="338"/>
      <c r="PUO23" s="338"/>
      <c r="PUP23" s="338"/>
      <c r="PUQ23" s="338"/>
      <c r="PUR23" s="338"/>
      <c r="PUS23" s="338"/>
      <c r="PUT23" s="338"/>
      <c r="PUU23" s="338"/>
      <c r="PUV23" s="338"/>
      <c r="PUW23" s="338"/>
      <c r="PUX23" s="338"/>
      <c r="PUY23" s="338"/>
      <c r="PUZ23" s="338"/>
      <c r="PVA23" s="338"/>
      <c r="PVB23" s="338"/>
      <c r="PVC23" s="338"/>
      <c r="PVD23" s="338"/>
      <c r="PVE23" s="338"/>
      <c r="PVF23" s="338"/>
      <c r="PVG23" s="338"/>
      <c r="PVH23" s="338"/>
      <c r="PVI23" s="338"/>
      <c r="PVJ23" s="338"/>
      <c r="PVK23" s="338"/>
      <c r="PVL23" s="338"/>
      <c r="PVM23" s="338"/>
      <c r="PVN23" s="338"/>
      <c r="PVO23" s="338"/>
      <c r="PVP23" s="338"/>
      <c r="PVQ23" s="338"/>
      <c r="PVR23" s="338"/>
      <c r="PVS23" s="338"/>
      <c r="PVT23" s="338"/>
      <c r="PVU23" s="338"/>
      <c r="PVV23" s="338"/>
      <c r="PVW23" s="338"/>
      <c r="PVX23" s="338"/>
      <c r="PVY23" s="338"/>
      <c r="PVZ23" s="338"/>
      <c r="PWA23" s="338"/>
      <c r="PWB23" s="338"/>
      <c r="PWC23" s="338"/>
      <c r="PWD23" s="338"/>
      <c r="PWE23" s="338"/>
      <c r="PWF23" s="338"/>
      <c r="PWG23" s="338"/>
      <c r="PWH23" s="338"/>
      <c r="PWI23" s="338"/>
      <c r="PWJ23" s="338"/>
      <c r="PWK23" s="338"/>
      <c r="PWL23" s="338"/>
      <c r="PWM23" s="338"/>
      <c r="PWN23" s="338"/>
      <c r="PWO23" s="338"/>
      <c r="PWP23" s="338"/>
      <c r="PWQ23" s="338"/>
      <c r="PWR23" s="338"/>
      <c r="PWS23" s="338"/>
      <c r="PWT23" s="338"/>
      <c r="PWU23" s="338"/>
      <c r="PWV23" s="338"/>
      <c r="PWW23" s="338"/>
      <c r="PWX23" s="338"/>
      <c r="PWY23" s="338"/>
      <c r="PWZ23" s="338"/>
      <c r="PXA23" s="338"/>
      <c r="PXB23" s="338"/>
      <c r="PXC23" s="338"/>
      <c r="PXD23" s="338"/>
      <c r="PXE23" s="338"/>
      <c r="PXF23" s="338"/>
      <c r="PXG23" s="338"/>
      <c r="PXH23" s="338"/>
      <c r="PXI23" s="338"/>
      <c r="PXJ23" s="338"/>
      <c r="PXK23" s="338"/>
      <c r="PXL23" s="338"/>
      <c r="PXM23" s="338"/>
      <c r="PXN23" s="338"/>
      <c r="PXO23" s="338"/>
      <c r="PXP23" s="338"/>
      <c r="PXQ23" s="338"/>
      <c r="PXR23" s="338"/>
      <c r="PXS23" s="338"/>
      <c r="PXT23" s="338"/>
      <c r="PXU23" s="338"/>
      <c r="PXV23" s="338"/>
      <c r="PXW23" s="338"/>
      <c r="PXX23" s="338"/>
      <c r="PXY23" s="338"/>
      <c r="PXZ23" s="338"/>
      <c r="PYA23" s="338"/>
      <c r="PYB23" s="338"/>
      <c r="PYC23" s="338"/>
      <c r="PYD23" s="338"/>
      <c r="PYE23" s="338"/>
      <c r="PYF23" s="338"/>
      <c r="PYG23" s="338"/>
      <c r="PYH23" s="338"/>
      <c r="PYI23" s="338"/>
      <c r="PYJ23" s="338"/>
      <c r="PYK23" s="338"/>
      <c r="PYL23" s="338"/>
      <c r="PYM23" s="338"/>
      <c r="PYN23" s="338"/>
      <c r="PYO23" s="338"/>
      <c r="PYP23" s="338"/>
      <c r="PYQ23" s="338"/>
      <c r="PYR23" s="338"/>
      <c r="PYS23" s="338"/>
      <c r="PYT23" s="338"/>
      <c r="PYU23" s="338"/>
      <c r="PYV23" s="338"/>
      <c r="PYW23" s="338"/>
      <c r="PYX23" s="338"/>
      <c r="PYY23" s="338"/>
      <c r="PYZ23" s="338"/>
      <c r="PZA23" s="338"/>
      <c r="PZB23" s="338"/>
      <c r="PZC23" s="338"/>
      <c r="PZD23" s="338"/>
      <c r="PZE23" s="338"/>
      <c r="PZF23" s="338"/>
      <c r="PZG23" s="338"/>
      <c r="PZH23" s="338"/>
      <c r="PZI23" s="338"/>
      <c r="PZJ23" s="338"/>
      <c r="PZK23" s="338"/>
      <c r="PZL23" s="338"/>
      <c r="PZM23" s="338"/>
      <c r="PZN23" s="338"/>
      <c r="PZO23" s="338"/>
      <c r="PZP23" s="338"/>
      <c r="PZQ23" s="338"/>
      <c r="PZR23" s="338"/>
      <c r="PZS23" s="338"/>
      <c r="PZT23" s="338"/>
      <c r="PZU23" s="338"/>
      <c r="PZV23" s="338"/>
      <c r="PZW23" s="338"/>
      <c r="PZX23" s="338"/>
      <c r="PZY23" s="338"/>
      <c r="PZZ23" s="338"/>
      <c r="QAA23" s="338"/>
      <c r="QAB23" s="338"/>
      <c r="QAC23" s="338"/>
      <c r="QAD23" s="338"/>
      <c r="QAE23" s="338"/>
      <c r="QAF23" s="338"/>
      <c r="QAG23" s="338"/>
      <c r="QAH23" s="338"/>
      <c r="QAI23" s="338"/>
      <c r="QAJ23" s="338"/>
      <c r="QAK23" s="338"/>
      <c r="QAL23" s="338"/>
      <c r="QAM23" s="338"/>
      <c r="QAN23" s="338"/>
      <c r="QAO23" s="338"/>
      <c r="QAP23" s="338"/>
      <c r="QAQ23" s="338"/>
      <c r="QAR23" s="338"/>
      <c r="QAS23" s="338"/>
      <c r="QAT23" s="338"/>
      <c r="QAU23" s="338"/>
      <c r="QAV23" s="338"/>
      <c r="QAW23" s="338"/>
      <c r="QAX23" s="338"/>
      <c r="QAY23" s="338"/>
      <c r="QAZ23" s="338"/>
      <c r="QBA23" s="338"/>
      <c r="QBB23" s="338"/>
      <c r="QBC23" s="338"/>
      <c r="QBD23" s="338"/>
      <c r="QBE23" s="338"/>
      <c r="QBF23" s="338"/>
      <c r="QBG23" s="338"/>
      <c r="QBH23" s="338"/>
      <c r="QBI23" s="338"/>
      <c r="QBJ23" s="338"/>
      <c r="QBK23" s="338"/>
      <c r="QBL23" s="338"/>
      <c r="QBM23" s="338"/>
      <c r="QBN23" s="338"/>
      <c r="QBO23" s="338"/>
      <c r="QBP23" s="338"/>
      <c r="QBQ23" s="338"/>
      <c r="QBR23" s="338"/>
      <c r="QBS23" s="338"/>
      <c r="QBT23" s="338"/>
      <c r="QBU23" s="338"/>
      <c r="QBV23" s="338"/>
      <c r="QBW23" s="338"/>
      <c r="QBX23" s="338"/>
      <c r="QBY23" s="338"/>
      <c r="QBZ23" s="338"/>
      <c r="QCA23" s="338"/>
      <c r="QCB23" s="338"/>
      <c r="QCC23" s="338"/>
      <c r="QCD23" s="338"/>
      <c r="QCE23" s="338"/>
      <c r="QCF23" s="338"/>
      <c r="QCG23" s="338"/>
      <c r="QCH23" s="338"/>
      <c r="QCI23" s="338"/>
      <c r="QCJ23" s="338"/>
      <c r="QCK23" s="338"/>
      <c r="QCL23" s="338"/>
      <c r="QCM23" s="338"/>
      <c r="QCN23" s="338"/>
      <c r="QCO23" s="338"/>
      <c r="QCP23" s="338"/>
      <c r="QCQ23" s="338"/>
      <c r="QCR23" s="338"/>
      <c r="QCS23" s="338"/>
      <c r="QCT23" s="338"/>
      <c r="QCU23" s="338"/>
      <c r="QCV23" s="338"/>
      <c r="QCW23" s="338"/>
      <c r="QCX23" s="338"/>
      <c r="QCY23" s="338"/>
      <c r="QCZ23" s="338"/>
      <c r="QDA23" s="338"/>
      <c r="QDB23" s="338"/>
      <c r="QDC23" s="338"/>
      <c r="QDD23" s="338"/>
      <c r="QDE23" s="338"/>
      <c r="QDF23" s="338"/>
      <c r="QDG23" s="338"/>
      <c r="QDH23" s="338"/>
      <c r="QDI23" s="338"/>
      <c r="QDJ23" s="338"/>
      <c r="QDK23" s="338"/>
      <c r="QDL23" s="338"/>
      <c r="QDM23" s="338"/>
      <c r="QDN23" s="338"/>
      <c r="QDO23" s="338"/>
      <c r="QDP23" s="338"/>
      <c r="QDQ23" s="338"/>
      <c r="QDR23" s="338"/>
      <c r="QDS23" s="338"/>
      <c r="QDT23" s="338"/>
      <c r="QDU23" s="338"/>
      <c r="QDV23" s="338"/>
      <c r="QDW23" s="338"/>
      <c r="QDX23" s="338"/>
      <c r="QDY23" s="338"/>
      <c r="QDZ23" s="338"/>
      <c r="QEA23" s="338"/>
      <c r="QEB23" s="338"/>
      <c r="QEC23" s="338"/>
      <c r="QED23" s="338"/>
      <c r="QEE23" s="338"/>
      <c r="QEF23" s="338"/>
      <c r="QEG23" s="338"/>
      <c r="QEH23" s="338"/>
      <c r="QEI23" s="338"/>
      <c r="QEJ23" s="338"/>
      <c r="QEK23" s="338"/>
      <c r="QEL23" s="338"/>
      <c r="QEM23" s="338"/>
      <c r="QEN23" s="338"/>
      <c r="QEO23" s="338"/>
      <c r="QEP23" s="338"/>
      <c r="QEQ23" s="338"/>
      <c r="QER23" s="338"/>
      <c r="QES23" s="338"/>
      <c r="QET23" s="338"/>
      <c r="QEU23" s="338"/>
      <c r="QEV23" s="338"/>
      <c r="QEW23" s="338"/>
      <c r="QEX23" s="338"/>
      <c r="QEY23" s="338"/>
      <c r="QEZ23" s="338"/>
      <c r="QFA23" s="338"/>
      <c r="QFB23" s="338"/>
      <c r="QFC23" s="338"/>
      <c r="QFD23" s="338"/>
      <c r="QFE23" s="338"/>
      <c r="QFF23" s="338"/>
      <c r="QFG23" s="338"/>
      <c r="QFH23" s="338"/>
      <c r="QFI23" s="338"/>
      <c r="QFJ23" s="338"/>
      <c r="QFK23" s="338"/>
      <c r="QFL23" s="338"/>
      <c r="QFM23" s="338"/>
      <c r="QFN23" s="338"/>
      <c r="QFO23" s="338"/>
      <c r="QFP23" s="338"/>
      <c r="QFQ23" s="338"/>
      <c r="QFR23" s="338"/>
      <c r="QFS23" s="338"/>
      <c r="QFT23" s="338"/>
      <c r="QFU23" s="338"/>
      <c r="QFV23" s="338"/>
      <c r="QFW23" s="338"/>
      <c r="QFX23" s="338"/>
      <c r="QFY23" s="338"/>
      <c r="QFZ23" s="338"/>
      <c r="QGA23" s="338"/>
      <c r="QGB23" s="338"/>
      <c r="QGC23" s="338"/>
      <c r="QGD23" s="338"/>
      <c r="QGE23" s="338"/>
      <c r="QGF23" s="338"/>
      <c r="QGG23" s="338"/>
      <c r="QGH23" s="338"/>
      <c r="QGI23" s="338"/>
      <c r="QGJ23" s="338"/>
      <c r="QGK23" s="338"/>
      <c r="QGL23" s="338"/>
      <c r="QGM23" s="338"/>
      <c r="QGN23" s="338"/>
      <c r="QGO23" s="338"/>
      <c r="QGP23" s="338"/>
      <c r="QGQ23" s="338"/>
      <c r="QGR23" s="338"/>
      <c r="QGS23" s="338"/>
      <c r="QGT23" s="338"/>
      <c r="QGU23" s="338"/>
      <c r="QGV23" s="338"/>
      <c r="QGW23" s="338"/>
      <c r="QGX23" s="338"/>
      <c r="QGY23" s="338"/>
      <c r="QGZ23" s="338"/>
      <c r="QHA23" s="338"/>
      <c r="QHB23" s="338"/>
      <c r="QHC23" s="338"/>
      <c r="QHD23" s="338"/>
      <c r="QHE23" s="338"/>
      <c r="QHF23" s="338"/>
      <c r="QHG23" s="338"/>
      <c r="QHH23" s="338"/>
      <c r="QHI23" s="338"/>
      <c r="QHJ23" s="338"/>
      <c r="QHK23" s="338"/>
      <c r="QHL23" s="338"/>
      <c r="QHM23" s="338"/>
      <c r="QHN23" s="338"/>
      <c r="QHO23" s="338"/>
      <c r="QHP23" s="338"/>
      <c r="QHQ23" s="338"/>
      <c r="QHR23" s="338"/>
      <c r="QHS23" s="338"/>
      <c r="QHT23" s="338"/>
      <c r="QHU23" s="338"/>
      <c r="QHV23" s="338"/>
      <c r="QHW23" s="338"/>
      <c r="QHX23" s="338"/>
      <c r="QHY23" s="338"/>
      <c r="QHZ23" s="338"/>
      <c r="QIA23" s="338"/>
      <c r="QIB23" s="338"/>
      <c r="QIC23" s="338"/>
      <c r="QID23" s="338"/>
      <c r="QIE23" s="338"/>
      <c r="QIF23" s="338"/>
      <c r="QIG23" s="338"/>
      <c r="QIH23" s="338"/>
      <c r="QII23" s="338"/>
      <c r="QIJ23" s="338"/>
      <c r="QIK23" s="338"/>
      <c r="QIL23" s="338"/>
      <c r="QIM23" s="338"/>
      <c r="QIN23" s="338"/>
      <c r="QIO23" s="338"/>
      <c r="QIP23" s="338"/>
      <c r="QIQ23" s="338"/>
      <c r="QIR23" s="338"/>
      <c r="QIS23" s="338"/>
      <c r="QIT23" s="338"/>
      <c r="QIU23" s="338"/>
      <c r="QIV23" s="338"/>
      <c r="QIW23" s="338"/>
      <c r="QIX23" s="338"/>
      <c r="QIY23" s="338"/>
      <c r="QIZ23" s="338"/>
      <c r="QJA23" s="338"/>
      <c r="QJB23" s="338"/>
      <c r="QJC23" s="338"/>
      <c r="QJD23" s="338"/>
      <c r="QJE23" s="338"/>
      <c r="QJF23" s="338"/>
      <c r="QJG23" s="338"/>
      <c r="QJH23" s="338"/>
      <c r="QJI23" s="338"/>
      <c r="QJJ23" s="338"/>
      <c r="QJK23" s="338"/>
      <c r="QJL23" s="338"/>
      <c r="QJM23" s="338"/>
      <c r="QJN23" s="338"/>
      <c r="QJO23" s="338"/>
      <c r="QJP23" s="338"/>
      <c r="QJQ23" s="338"/>
      <c r="QJR23" s="338"/>
      <c r="QJS23" s="338"/>
      <c r="QJT23" s="338"/>
      <c r="QJU23" s="338"/>
      <c r="QJV23" s="338"/>
      <c r="QJW23" s="338"/>
      <c r="QJX23" s="338"/>
      <c r="QJY23" s="338"/>
      <c r="QJZ23" s="338"/>
      <c r="QKA23" s="338"/>
      <c r="QKB23" s="338"/>
      <c r="QKC23" s="338"/>
      <c r="QKD23" s="338"/>
      <c r="QKE23" s="338"/>
      <c r="QKF23" s="338"/>
      <c r="QKG23" s="338"/>
      <c r="QKH23" s="338"/>
      <c r="QKI23" s="338"/>
      <c r="QKJ23" s="338"/>
      <c r="QKK23" s="338"/>
      <c r="QKL23" s="338"/>
      <c r="QKM23" s="338"/>
      <c r="QKN23" s="338"/>
      <c r="QKO23" s="338"/>
      <c r="QKP23" s="338"/>
      <c r="QKQ23" s="338"/>
      <c r="QKR23" s="338"/>
      <c r="QKS23" s="338"/>
      <c r="QKT23" s="338"/>
      <c r="QKU23" s="338"/>
      <c r="QKV23" s="338"/>
      <c r="QKW23" s="338"/>
      <c r="QKX23" s="338"/>
      <c r="QKY23" s="338"/>
      <c r="QKZ23" s="338"/>
      <c r="QLA23" s="338"/>
      <c r="QLB23" s="338"/>
      <c r="QLC23" s="338"/>
      <c r="QLD23" s="338"/>
      <c r="QLE23" s="338"/>
      <c r="QLF23" s="338"/>
      <c r="QLG23" s="338"/>
      <c r="QLH23" s="338"/>
      <c r="QLI23" s="338"/>
      <c r="QLJ23" s="338"/>
      <c r="QLK23" s="338"/>
      <c r="QLL23" s="338"/>
      <c r="QLM23" s="338"/>
      <c r="QLN23" s="338"/>
      <c r="QLO23" s="338"/>
      <c r="QLP23" s="338"/>
      <c r="QLQ23" s="338"/>
      <c r="QLR23" s="338"/>
      <c r="QLS23" s="338"/>
      <c r="QLT23" s="338"/>
      <c r="QLU23" s="338"/>
      <c r="QLV23" s="338"/>
      <c r="QLW23" s="338"/>
      <c r="QLX23" s="338"/>
      <c r="QLY23" s="338"/>
      <c r="QLZ23" s="338"/>
      <c r="QMA23" s="338"/>
      <c r="QMB23" s="338"/>
      <c r="QMC23" s="338"/>
      <c r="QMD23" s="338"/>
      <c r="QME23" s="338"/>
      <c r="QMF23" s="338"/>
      <c r="QMG23" s="338"/>
      <c r="QMH23" s="338"/>
      <c r="QMI23" s="338"/>
      <c r="QMJ23" s="338"/>
      <c r="QMK23" s="338"/>
      <c r="QML23" s="338"/>
      <c r="QMM23" s="338"/>
      <c r="QMN23" s="338"/>
      <c r="QMO23" s="338"/>
      <c r="QMP23" s="338"/>
      <c r="QMQ23" s="338"/>
      <c r="QMR23" s="338"/>
      <c r="QMS23" s="338"/>
      <c r="QMT23" s="338"/>
      <c r="QMU23" s="338"/>
      <c r="QMV23" s="338"/>
      <c r="QMW23" s="338"/>
      <c r="QMX23" s="338"/>
      <c r="QMY23" s="338"/>
      <c r="QMZ23" s="338"/>
      <c r="QNA23" s="338"/>
      <c r="QNB23" s="338"/>
      <c r="QNC23" s="338"/>
      <c r="QND23" s="338"/>
      <c r="QNE23" s="338"/>
      <c r="QNF23" s="338"/>
      <c r="QNG23" s="338"/>
      <c r="QNH23" s="338"/>
      <c r="QNI23" s="338"/>
      <c r="QNJ23" s="338"/>
      <c r="QNK23" s="338"/>
      <c r="QNL23" s="338"/>
      <c r="QNM23" s="338"/>
      <c r="QNN23" s="338"/>
      <c r="QNO23" s="338"/>
      <c r="QNP23" s="338"/>
      <c r="QNQ23" s="338"/>
      <c r="QNR23" s="338"/>
      <c r="QNS23" s="338"/>
      <c r="QNT23" s="338"/>
      <c r="QNU23" s="338"/>
      <c r="QNV23" s="338"/>
      <c r="QNW23" s="338"/>
      <c r="QNX23" s="338"/>
      <c r="QNY23" s="338"/>
      <c r="QNZ23" s="338"/>
      <c r="QOA23" s="338"/>
      <c r="QOB23" s="338"/>
      <c r="QOC23" s="338"/>
      <c r="QOD23" s="338"/>
      <c r="QOE23" s="338"/>
      <c r="QOF23" s="338"/>
      <c r="QOG23" s="338"/>
      <c r="QOH23" s="338"/>
      <c r="QOI23" s="338"/>
      <c r="QOJ23" s="338"/>
      <c r="QOK23" s="338"/>
      <c r="QOL23" s="338"/>
      <c r="QOM23" s="338"/>
      <c r="QON23" s="338"/>
      <c r="QOO23" s="338"/>
      <c r="QOP23" s="338"/>
      <c r="QOQ23" s="338"/>
      <c r="QOR23" s="338"/>
      <c r="QOS23" s="338"/>
      <c r="QOT23" s="338"/>
      <c r="QOU23" s="338"/>
      <c r="QOV23" s="338"/>
      <c r="QOW23" s="338"/>
      <c r="QOX23" s="338"/>
      <c r="QOY23" s="338"/>
      <c r="QOZ23" s="338"/>
      <c r="QPA23" s="338"/>
      <c r="QPB23" s="338"/>
      <c r="QPC23" s="338"/>
      <c r="QPD23" s="338"/>
      <c r="QPE23" s="338"/>
      <c r="QPF23" s="338"/>
      <c r="QPG23" s="338"/>
      <c r="QPH23" s="338"/>
      <c r="QPI23" s="338"/>
      <c r="QPJ23" s="338"/>
      <c r="QPK23" s="338"/>
      <c r="QPL23" s="338"/>
      <c r="QPM23" s="338"/>
      <c r="QPN23" s="338"/>
      <c r="QPO23" s="338"/>
      <c r="QPP23" s="338"/>
      <c r="QPQ23" s="338"/>
      <c r="QPR23" s="338"/>
      <c r="QPS23" s="338"/>
      <c r="QPT23" s="338"/>
      <c r="QPU23" s="338"/>
      <c r="QPV23" s="338"/>
      <c r="QPW23" s="338"/>
      <c r="QPX23" s="338"/>
      <c r="QPY23" s="338"/>
      <c r="QPZ23" s="338"/>
      <c r="QQA23" s="338"/>
      <c r="QQB23" s="338"/>
      <c r="QQC23" s="338"/>
      <c r="QQD23" s="338"/>
      <c r="QQE23" s="338"/>
      <c r="QQF23" s="338"/>
      <c r="QQG23" s="338"/>
      <c r="QQH23" s="338"/>
      <c r="QQI23" s="338"/>
      <c r="QQJ23" s="338"/>
      <c r="QQK23" s="338"/>
      <c r="QQL23" s="338"/>
      <c r="QQM23" s="338"/>
      <c r="QQN23" s="338"/>
      <c r="QQO23" s="338"/>
      <c r="QQP23" s="338"/>
      <c r="QQQ23" s="338"/>
      <c r="QQR23" s="338"/>
      <c r="QQS23" s="338"/>
      <c r="QQT23" s="338"/>
      <c r="QQU23" s="338"/>
      <c r="QQV23" s="338"/>
      <c r="QQW23" s="338"/>
      <c r="QQX23" s="338"/>
      <c r="QQY23" s="338"/>
      <c r="QQZ23" s="338"/>
      <c r="QRA23" s="338"/>
      <c r="QRB23" s="338"/>
      <c r="QRC23" s="338"/>
      <c r="QRD23" s="338"/>
      <c r="QRE23" s="338"/>
      <c r="QRF23" s="338"/>
      <c r="QRG23" s="338"/>
      <c r="QRH23" s="338"/>
      <c r="QRI23" s="338"/>
      <c r="QRJ23" s="338"/>
      <c r="QRK23" s="338"/>
      <c r="QRL23" s="338"/>
      <c r="QRM23" s="338"/>
      <c r="QRN23" s="338"/>
      <c r="QRO23" s="338"/>
      <c r="QRP23" s="338"/>
      <c r="QRQ23" s="338"/>
      <c r="QRR23" s="338"/>
      <c r="QRS23" s="338"/>
      <c r="QRT23" s="338"/>
      <c r="QRU23" s="338"/>
      <c r="QRV23" s="338"/>
      <c r="QRW23" s="338"/>
      <c r="QRX23" s="338"/>
      <c r="QRY23" s="338"/>
      <c r="QRZ23" s="338"/>
      <c r="QSA23" s="338"/>
      <c r="QSB23" s="338"/>
      <c r="QSC23" s="338"/>
      <c r="QSD23" s="338"/>
      <c r="QSE23" s="338"/>
      <c r="QSF23" s="338"/>
      <c r="QSG23" s="338"/>
      <c r="QSH23" s="338"/>
      <c r="QSI23" s="338"/>
      <c r="QSJ23" s="338"/>
      <c r="QSK23" s="338"/>
      <c r="QSL23" s="338"/>
      <c r="QSM23" s="338"/>
      <c r="QSN23" s="338"/>
      <c r="QSO23" s="338"/>
      <c r="QSP23" s="338"/>
      <c r="QSQ23" s="338"/>
      <c r="QSR23" s="338"/>
      <c r="QSS23" s="338"/>
      <c r="QST23" s="338"/>
      <c r="QSU23" s="338"/>
      <c r="QSV23" s="338"/>
      <c r="QSW23" s="338"/>
      <c r="QSX23" s="338"/>
      <c r="QSY23" s="338"/>
      <c r="QSZ23" s="338"/>
      <c r="QTA23" s="338"/>
      <c r="QTB23" s="338"/>
      <c r="QTC23" s="338"/>
      <c r="QTD23" s="338"/>
      <c r="QTE23" s="338"/>
      <c r="QTF23" s="338"/>
      <c r="QTG23" s="338"/>
      <c r="QTH23" s="338"/>
      <c r="QTI23" s="338"/>
      <c r="QTJ23" s="338"/>
      <c r="QTK23" s="338"/>
      <c r="QTL23" s="338"/>
      <c r="QTM23" s="338"/>
      <c r="QTN23" s="338"/>
      <c r="QTO23" s="338"/>
      <c r="QTP23" s="338"/>
      <c r="QTQ23" s="338"/>
      <c r="QTR23" s="338"/>
      <c r="QTS23" s="338"/>
      <c r="QTT23" s="338"/>
      <c r="QTU23" s="338"/>
      <c r="QTV23" s="338"/>
      <c r="QTW23" s="338"/>
      <c r="QTX23" s="338"/>
      <c r="QTY23" s="338"/>
      <c r="QTZ23" s="338"/>
      <c r="QUA23" s="338"/>
      <c r="QUB23" s="338"/>
      <c r="QUC23" s="338"/>
      <c r="QUD23" s="338"/>
      <c r="QUE23" s="338"/>
      <c r="QUF23" s="338"/>
      <c r="QUG23" s="338"/>
      <c r="QUH23" s="338"/>
      <c r="QUI23" s="338"/>
      <c r="QUJ23" s="338"/>
      <c r="QUK23" s="338"/>
      <c r="QUL23" s="338"/>
      <c r="QUM23" s="338"/>
      <c r="QUN23" s="338"/>
      <c r="QUO23" s="338"/>
      <c r="QUP23" s="338"/>
      <c r="QUQ23" s="338"/>
      <c r="QUR23" s="338"/>
      <c r="QUS23" s="338"/>
      <c r="QUT23" s="338"/>
      <c r="QUU23" s="338"/>
      <c r="QUV23" s="338"/>
      <c r="QUW23" s="338"/>
      <c r="QUX23" s="338"/>
      <c r="QUY23" s="338"/>
      <c r="QUZ23" s="338"/>
      <c r="QVA23" s="338"/>
      <c r="QVB23" s="338"/>
      <c r="QVC23" s="338"/>
      <c r="QVD23" s="338"/>
      <c r="QVE23" s="338"/>
      <c r="QVF23" s="338"/>
      <c r="QVG23" s="338"/>
      <c r="QVH23" s="338"/>
      <c r="QVI23" s="338"/>
      <c r="QVJ23" s="338"/>
      <c r="QVK23" s="338"/>
      <c r="QVL23" s="338"/>
      <c r="QVM23" s="338"/>
      <c r="QVN23" s="338"/>
      <c r="QVO23" s="338"/>
      <c r="QVP23" s="338"/>
      <c r="QVQ23" s="338"/>
      <c r="QVR23" s="338"/>
      <c r="QVS23" s="338"/>
      <c r="QVT23" s="338"/>
      <c r="QVU23" s="338"/>
      <c r="QVV23" s="338"/>
      <c r="QVW23" s="338"/>
      <c r="QVX23" s="338"/>
      <c r="QVY23" s="338"/>
      <c r="QVZ23" s="338"/>
      <c r="QWA23" s="338"/>
      <c r="QWB23" s="338"/>
      <c r="QWC23" s="338"/>
      <c r="QWD23" s="338"/>
      <c r="QWE23" s="338"/>
      <c r="QWF23" s="338"/>
      <c r="QWG23" s="338"/>
      <c r="QWH23" s="338"/>
      <c r="QWI23" s="338"/>
      <c r="QWJ23" s="338"/>
      <c r="QWK23" s="338"/>
      <c r="QWL23" s="338"/>
      <c r="QWM23" s="338"/>
      <c r="QWN23" s="338"/>
      <c r="QWO23" s="338"/>
      <c r="QWP23" s="338"/>
      <c r="QWQ23" s="338"/>
      <c r="QWR23" s="338"/>
      <c r="QWS23" s="338"/>
      <c r="QWT23" s="338"/>
      <c r="QWU23" s="338"/>
      <c r="QWV23" s="338"/>
      <c r="QWW23" s="338"/>
      <c r="QWX23" s="338"/>
      <c r="QWY23" s="338"/>
      <c r="QWZ23" s="338"/>
      <c r="QXA23" s="338"/>
      <c r="QXB23" s="338"/>
      <c r="QXC23" s="338"/>
      <c r="QXD23" s="338"/>
      <c r="QXE23" s="338"/>
      <c r="QXF23" s="338"/>
      <c r="QXG23" s="338"/>
      <c r="QXH23" s="338"/>
      <c r="QXI23" s="338"/>
      <c r="QXJ23" s="338"/>
      <c r="QXK23" s="338"/>
      <c r="QXL23" s="338"/>
      <c r="QXM23" s="338"/>
      <c r="QXN23" s="338"/>
      <c r="QXO23" s="338"/>
      <c r="QXP23" s="338"/>
      <c r="QXQ23" s="338"/>
      <c r="QXR23" s="338"/>
      <c r="QXS23" s="338"/>
      <c r="QXT23" s="338"/>
      <c r="QXU23" s="338"/>
      <c r="QXV23" s="338"/>
      <c r="QXW23" s="338"/>
      <c r="QXX23" s="338"/>
      <c r="QXY23" s="338"/>
      <c r="QXZ23" s="338"/>
      <c r="QYA23" s="338"/>
      <c r="QYB23" s="338"/>
      <c r="QYC23" s="338"/>
      <c r="QYD23" s="338"/>
      <c r="QYE23" s="338"/>
      <c r="QYF23" s="338"/>
      <c r="QYG23" s="338"/>
      <c r="QYH23" s="338"/>
      <c r="QYI23" s="338"/>
      <c r="QYJ23" s="338"/>
      <c r="QYK23" s="338"/>
      <c r="QYL23" s="338"/>
      <c r="QYM23" s="338"/>
      <c r="QYN23" s="338"/>
      <c r="QYO23" s="338"/>
      <c r="QYP23" s="338"/>
      <c r="QYQ23" s="338"/>
      <c r="QYR23" s="338"/>
      <c r="QYS23" s="338"/>
      <c r="QYT23" s="338"/>
      <c r="QYU23" s="338"/>
      <c r="QYV23" s="338"/>
      <c r="QYW23" s="338"/>
      <c r="QYX23" s="338"/>
      <c r="QYY23" s="338"/>
      <c r="QYZ23" s="338"/>
      <c r="QZA23" s="338"/>
      <c r="QZB23" s="338"/>
      <c r="QZC23" s="338"/>
      <c r="QZD23" s="338"/>
      <c r="QZE23" s="338"/>
      <c r="QZF23" s="338"/>
      <c r="QZG23" s="338"/>
      <c r="QZH23" s="338"/>
      <c r="QZI23" s="338"/>
      <c r="QZJ23" s="338"/>
      <c r="QZK23" s="338"/>
      <c r="QZL23" s="338"/>
      <c r="QZM23" s="338"/>
      <c r="QZN23" s="338"/>
      <c r="QZO23" s="338"/>
      <c r="QZP23" s="338"/>
      <c r="QZQ23" s="338"/>
      <c r="QZR23" s="338"/>
      <c r="QZS23" s="338"/>
      <c r="QZT23" s="338"/>
      <c r="QZU23" s="338"/>
      <c r="QZV23" s="338"/>
      <c r="QZW23" s="338"/>
      <c r="QZX23" s="338"/>
      <c r="QZY23" s="338"/>
      <c r="QZZ23" s="338"/>
      <c r="RAA23" s="338"/>
      <c r="RAB23" s="338"/>
      <c r="RAC23" s="338"/>
      <c r="RAD23" s="338"/>
      <c r="RAE23" s="338"/>
      <c r="RAF23" s="338"/>
      <c r="RAG23" s="338"/>
      <c r="RAH23" s="338"/>
      <c r="RAI23" s="338"/>
      <c r="RAJ23" s="338"/>
      <c r="RAK23" s="338"/>
      <c r="RAL23" s="338"/>
      <c r="RAM23" s="338"/>
      <c r="RAN23" s="338"/>
      <c r="RAO23" s="338"/>
      <c r="RAP23" s="338"/>
      <c r="RAQ23" s="338"/>
      <c r="RAR23" s="338"/>
      <c r="RAS23" s="338"/>
      <c r="RAT23" s="338"/>
      <c r="RAU23" s="338"/>
      <c r="RAV23" s="338"/>
      <c r="RAW23" s="338"/>
      <c r="RAX23" s="338"/>
      <c r="RAY23" s="338"/>
      <c r="RAZ23" s="338"/>
      <c r="RBA23" s="338"/>
      <c r="RBB23" s="338"/>
      <c r="RBC23" s="338"/>
      <c r="RBD23" s="338"/>
      <c r="RBE23" s="338"/>
      <c r="RBF23" s="338"/>
      <c r="RBG23" s="338"/>
      <c r="RBH23" s="338"/>
      <c r="RBI23" s="338"/>
      <c r="RBJ23" s="338"/>
      <c r="RBK23" s="338"/>
      <c r="RBL23" s="338"/>
      <c r="RBM23" s="338"/>
      <c r="RBN23" s="338"/>
      <c r="RBO23" s="338"/>
      <c r="RBP23" s="338"/>
      <c r="RBQ23" s="338"/>
      <c r="RBR23" s="338"/>
      <c r="RBS23" s="338"/>
      <c r="RBT23" s="338"/>
      <c r="RBU23" s="338"/>
      <c r="RBV23" s="338"/>
      <c r="RBW23" s="338"/>
      <c r="RBX23" s="338"/>
      <c r="RBY23" s="338"/>
      <c r="RBZ23" s="338"/>
      <c r="RCA23" s="338"/>
      <c r="RCB23" s="338"/>
      <c r="RCC23" s="338"/>
      <c r="RCD23" s="338"/>
      <c r="RCE23" s="338"/>
      <c r="RCF23" s="338"/>
      <c r="RCG23" s="338"/>
      <c r="RCH23" s="338"/>
      <c r="RCI23" s="338"/>
      <c r="RCJ23" s="338"/>
      <c r="RCK23" s="338"/>
      <c r="RCL23" s="338"/>
      <c r="RCM23" s="338"/>
      <c r="RCN23" s="338"/>
      <c r="RCO23" s="338"/>
      <c r="RCP23" s="338"/>
      <c r="RCQ23" s="338"/>
      <c r="RCR23" s="338"/>
      <c r="RCS23" s="338"/>
      <c r="RCT23" s="338"/>
      <c r="RCU23" s="338"/>
      <c r="RCV23" s="338"/>
      <c r="RCW23" s="338"/>
      <c r="RCX23" s="338"/>
      <c r="RCY23" s="338"/>
      <c r="RCZ23" s="338"/>
      <c r="RDA23" s="338"/>
      <c r="RDB23" s="338"/>
      <c r="RDC23" s="338"/>
      <c r="RDD23" s="338"/>
      <c r="RDE23" s="338"/>
      <c r="RDF23" s="338"/>
      <c r="RDG23" s="338"/>
      <c r="RDH23" s="338"/>
      <c r="RDI23" s="338"/>
      <c r="RDJ23" s="338"/>
      <c r="RDK23" s="338"/>
      <c r="RDL23" s="338"/>
      <c r="RDM23" s="338"/>
      <c r="RDN23" s="338"/>
      <c r="RDO23" s="338"/>
      <c r="RDP23" s="338"/>
      <c r="RDQ23" s="338"/>
      <c r="RDR23" s="338"/>
      <c r="RDS23" s="338"/>
      <c r="RDT23" s="338"/>
      <c r="RDU23" s="338"/>
      <c r="RDV23" s="338"/>
      <c r="RDW23" s="338"/>
      <c r="RDX23" s="338"/>
      <c r="RDY23" s="338"/>
      <c r="RDZ23" s="338"/>
      <c r="REA23" s="338"/>
      <c r="REB23" s="338"/>
      <c r="REC23" s="338"/>
      <c r="RED23" s="338"/>
      <c r="REE23" s="338"/>
      <c r="REF23" s="338"/>
      <c r="REG23" s="338"/>
      <c r="REH23" s="338"/>
      <c r="REI23" s="338"/>
      <c r="REJ23" s="338"/>
      <c r="REK23" s="338"/>
      <c r="REL23" s="338"/>
      <c r="REM23" s="338"/>
      <c r="REN23" s="338"/>
      <c r="REO23" s="338"/>
      <c r="REP23" s="338"/>
      <c r="REQ23" s="338"/>
      <c r="RER23" s="338"/>
      <c r="RES23" s="338"/>
      <c r="RET23" s="338"/>
      <c r="REU23" s="338"/>
      <c r="REV23" s="338"/>
      <c r="REW23" s="338"/>
      <c r="REX23" s="338"/>
      <c r="REY23" s="338"/>
      <c r="REZ23" s="338"/>
      <c r="RFA23" s="338"/>
      <c r="RFB23" s="338"/>
      <c r="RFC23" s="338"/>
      <c r="RFD23" s="338"/>
      <c r="RFE23" s="338"/>
      <c r="RFF23" s="338"/>
      <c r="RFG23" s="338"/>
      <c r="RFH23" s="338"/>
      <c r="RFI23" s="338"/>
      <c r="RFJ23" s="338"/>
      <c r="RFK23" s="338"/>
      <c r="RFL23" s="338"/>
      <c r="RFM23" s="338"/>
      <c r="RFN23" s="338"/>
      <c r="RFO23" s="338"/>
      <c r="RFP23" s="338"/>
      <c r="RFQ23" s="338"/>
      <c r="RFR23" s="338"/>
      <c r="RFS23" s="338"/>
      <c r="RFT23" s="338"/>
      <c r="RFU23" s="338"/>
      <c r="RFV23" s="338"/>
      <c r="RFW23" s="338"/>
      <c r="RFX23" s="338"/>
      <c r="RFY23" s="338"/>
      <c r="RFZ23" s="338"/>
      <c r="RGA23" s="338"/>
      <c r="RGB23" s="338"/>
      <c r="RGC23" s="338"/>
      <c r="RGD23" s="338"/>
      <c r="RGE23" s="338"/>
      <c r="RGF23" s="338"/>
      <c r="RGG23" s="338"/>
      <c r="RGH23" s="338"/>
      <c r="RGI23" s="338"/>
      <c r="RGJ23" s="338"/>
      <c r="RGK23" s="338"/>
      <c r="RGL23" s="338"/>
      <c r="RGM23" s="338"/>
      <c r="RGN23" s="338"/>
      <c r="RGO23" s="338"/>
      <c r="RGP23" s="338"/>
      <c r="RGQ23" s="338"/>
      <c r="RGR23" s="338"/>
      <c r="RGS23" s="338"/>
      <c r="RGT23" s="338"/>
      <c r="RGU23" s="338"/>
      <c r="RGV23" s="338"/>
      <c r="RGW23" s="338"/>
      <c r="RGX23" s="338"/>
      <c r="RGY23" s="338"/>
      <c r="RGZ23" s="338"/>
      <c r="RHA23" s="338"/>
      <c r="RHB23" s="338"/>
      <c r="RHC23" s="338"/>
      <c r="RHD23" s="338"/>
      <c r="RHE23" s="338"/>
      <c r="RHF23" s="338"/>
      <c r="RHG23" s="338"/>
      <c r="RHH23" s="338"/>
      <c r="RHI23" s="338"/>
      <c r="RHJ23" s="338"/>
      <c r="RHK23" s="338"/>
      <c r="RHL23" s="338"/>
      <c r="RHM23" s="338"/>
      <c r="RHN23" s="338"/>
      <c r="RHO23" s="338"/>
      <c r="RHP23" s="338"/>
      <c r="RHQ23" s="338"/>
      <c r="RHR23" s="338"/>
      <c r="RHS23" s="338"/>
      <c r="RHT23" s="338"/>
      <c r="RHU23" s="338"/>
      <c r="RHV23" s="338"/>
      <c r="RHW23" s="338"/>
      <c r="RHX23" s="338"/>
      <c r="RHY23" s="338"/>
      <c r="RHZ23" s="338"/>
      <c r="RIA23" s="338"/>
      <c r="RIB23" s="338"/>
      <c r="RIC23" s="338"/>
      <c r="RID23" s="338"/>
      <c r="RIE23" s="338"/>
      <c r="RIF23" s="338"/>
      <c r="RIG23" s="338"/>
      <c r="RIH23" s="338"/>
      <c r="RII23" s="338"/>
      <c r="RIJ23" s="338"/>
      <c r="RIK23" s="338"/>
      <c r="RIL23" s="338"/>
      <c r="RIM23" s="338"/>
      <c r="RIN23" s="338"/>
      <c r="RIO23" s="338"/>
      <c r="RIP23" s="338"/>
      <c r="RIQ23" s="338"/>
      <c r="RIR23" s="338"/>
      <c r="RIS23" s="338"/>
      <c r="RIT23" s="338"/>
      <c r="RIU23" s="338"/>
      <c r="RIV23" s="338"/>
      <c r="RIW23" s="338"/>
      <c r="RIX23" s="338"/>
      <c r="RIY23" s="338"/>
      <c r="RIZ23" s="338"/>
      <c r="RJA23" s="338"/>
      <c r="RJB23" s="338"/>
      <c r="RJC23" s="338"/>
      <c r="RJD23" s="338"/>
      <c r="RJE23" s="338"/>
      <c r="RJF23" s="338"/>
      <c r="RJG23" s="338"/>
      <c r="RJH23" s="338"/>
      <c r="RJI23" s="338"/>
      <c r="RJJ23" s="338"/>
      <c r="RJK23" s="338"/>
      <c r="RJL23" s="338"/>
      <c r="RJM23" s="338"/>
      <c r="RJN23" s="338"/>
      <c r="RJO23" s="338"/>
      <c r="RJP23" s="338"/>
      <c r="RJQ23" s="338"/>
      <c r="RJR23" s="338"/>
      <c r="RJS23" s="338"/>
      <c r="RJT23" s="338"/>
      <c r="RJU23" s="338"/>
      <c r="RJV23" s="338"/>
      <c r="RJW23" s="338"/>
      <c r="RJX23" s="338"/>
      <c r="RJY23" s="338"/>
      <c r="RJZ23" s="338"/>
      <c r="RKA23" s="338"/>
      <c r="RKB23" s="338"/>
      <c r="RKC23" s="338"/>
      <c r="RKD23" s="338"/>
      <c r="RKE23" s="338"/>
      <c r="RKF23" s="338"/>
      <c r="RKG23" s="338"/>
      <c r="RKH23" s="338"/>
      <c r="RKI23" s="338"/>
      <c r="RKJ23" s="338"/>
      <c r="RKK23" s="338"/>
      <c r="RKL23" s="338"/>
      <c r="RKM23" s="338"/>
      <c r="RKN23" s="338"/>
      <c r="RKO23" s="338"/>
      <c r="RKP23" s="338"/>
      <c r="RKQ23" s="338"/>
      <c r="RKR23" s="338"/>
      <c r="RKS23" s="338"/>
      <c r="RKT23" s="338"/>
      <c r="RKU23" s="338"/>
      <c r="RKV23" s="338"/>
      <c r="RKW23" s="338"/>
      <c r="RKX23" s="338"/>
      <c r="RKY23" s="338"/>
      <c r="RKZ23" s="338"/>
      <c r="RLA23" s="338"/>
      <c r="RLB23" s="338"/>
      <c r="RLC23" s="338"/>
      <c r="RLD23" s="338"/>
      <c r="RLE23" s="338"/>
      <c r="RLF23" s="338"/>
      <c r="RLG23" s="338"/>
      <c r="RLH23" s="338"/>
      <c r="RLI23" s="338"/>
      <c r="RLJ23" s="338"/>
      <c r="RLK23" s="338"/>
      <c r="RLL23" s="338"/>
      <c r="RLM23" s="338"/>
      <c r="RLN23" s="338"/>
      <c r="RLO23" s="338"/>
      <c r="RLP23" s="338"/>
      <c r="RLQ23" s="338"/>
      <c r="RLR23" s="338"/>
      <c r="RLS23" s="338"/>
      <c r="RLT23" s="338"/>
      <c r="RLU23" s="338"/>
      <c r="RLV23" s="338"/>
      <c r="RLW23" s="338"/>
      <c r="RLX23" s="338"/>
      <c r="RLY23" s="338"/>
      <c r="RLZ23" s="338"/>
      <c r="RMA23" s="338"/>
      <c r="RMB23" s="338"/>
      <c r="RMC23" s="338"/>
      <c r="RMD23" s="338"/>
      <c r="RME23" s="338"/>
      <c r="RMF23" s="338"/>
      <c r="RMG23" s="338"/>
      <c r="RMH23" s="338"/>
      <c r="RMI23" s="338"/>
      <c r="RMJ23" s="338"/>
      <c r="RMK23" s="338"/>
      <c r="RML23" s="338"/>
      <c r="RMM23" s="338"/>
      <c r="RMN23" s="338"/>
      <c r="RMO23" s="338"/>
      <c r="RMP23" s="338"/>
      <c r="RMQ23" s="338"/>
      <c r="RMR23" s="338"/>
      <c r="RMS23" s="338"/>
      <c r="RMT23" s="338"/>
      <c r="RMU23" s="338"/>
      <c r="RMV23" s="338"/>
      <c r="RMW23" s="338"/>
      <c r="RMX23" s="338"/>
      <c r="RMY23" s="338"/>
      <c r="RMZ23" s="338"/>
      <c r="RNA23" s="338"/>
      <c r="RNB23" s="338"/>
      <c r="RNC23" s="338"/>
      <c r="RND23" s="338"/>
      <c r="RNE23" s="338"/>
      <c r="RNF23" s="338"/>
      <c r="RNG23" s="338"/>
      <c r="RNH23" s="338"/>
      <c r="RNI23" s="338"/>
      <c r="RNJ23" s="338"/>
      <c r="RNK23" s="338"/>
      <c r="RNL23" s="338"/>
      <c r="RNM23" s="338"/>
      <c r="RNN23" s="338"/>
      <c r="RNO23" s="338"/>
      <c r="RNP23" s="338"/>
      <c r="RNQ23" s="338"/>
      <c r="RNR23" s="338"/>
      <c r="RNS23" s="338"/>
      <c r="RNT23" s="338"/>
      <c r="RNU23" s="338"/>
      <c r="RNV23" s="338"/>
      <c r="RNW23" s="338"/>
      <c r="RNX23" s="338"/>
      <c r="RNY23" s="338"/>
      <c r="RNZ23" s="338"/>
      <c r="ROA23" s="338"/>
      <c r="ROB23" s="338"/>
      <c r="ROC23" s="338"/>
      <c r="ROD23" s="338"/>
      <c r="ROE23" s="338"/>
      <c r="ROF23" s="338"/>
      <c r="ROG23" s="338"/>
      <c r="ROH23" s="338"/>
      <c r="ROI23" s="338"/>
      <c r="ROJ23" s="338"/>
      <c r="ROK23" s="338"/>
      <c r="ROL23" s="338"/>
      <c r="ROM23" s="338"/>
      <c r="RON23" s="338"/>
      <c r="ROO23" s="338"/>
      <c r="ROP23" s="338"/>
      <c r="ROQ23" s="338"/>
      <c r="ROR23" s="338"/>
      <c r="ROS23" s="338"/>
      <c r="ROT23" s="338"/>
      <c r="ROU23" s="338"/>
      <c r="ROV23" s="338"/>
      <c r="ROW23" s="338"/>
      <c r="ROX23" s="338"/>
      <c r="ROY23" s="338"/>
      <c r="ROZ23" s="338"/>
      <c r="RPA23" s="338"/>
      <c r="RPB23" s="338"/>
      <c r="RPC23" s="338"/>
      <c r="RPD23" s="338"/>
      <c r="RPE23" s="338"/>
      <c r="RPF23" s="338"/>
      <c r="RPG23" s="338"/>
      <c r="RPH23" s="338"/>
      <c r="RPI23" s="338"/>
      <c r="RPJ23" s="338"/>
      <c r="RPK23" s="338"/>
      <c r="RPL23" s="338"/>
      <c r="RPM23" s="338"/>
      <c r="RPN23" s="338"/>
      <c r="RPO23" s="338"/>
      <c r="RPP23" s="338"/>
      <c r="RPQ23" s="338"/>
      <c r="RPR23" s="338"/>
      <c r="RPS23" s="338"/>
      <c r="RPT23" s="338"/>
      <c r="RPU23" s="338"/>
      <c r="RPV23" s="338"/>
      <c r="RPW23" s="338"/>
      <c r="RPX23" s="338"/>
      <c r="RPY23" s="338"/>
      <c r="RPZ23" s="338"/>
      <c r="RQA23" s="338"/>
      <c r="RQB23" s="338"/>
      <c r="RQC23" s="338"/>
      <c r="RQD23" s="338"/>
      <c r="RQE23" s="338"/>
      <c r="RQF23" s="338"/>
      <c r="RQG23" s="338"/>
      <c r="RQH23" s="338"/>
      <c r="RQI23" s="338"/>
      <c r="RQJ23" s="338"/>
      <c r="RQK23" s="338"/>
      <c r="RQL23" s="338"/>
      <c r="RQM23" s="338"/>
      <c r="RQN23" s="338"/>
      <c r="RQO23" s="338"/>
      <c r="RQP23" s="338"/>
      <c r="RQQ23" s="338"/>
      <c r="RQR23" s="338"/>
      <c r="RQS23" s="338"/>
      <c r="RQT23" s="338"/>
      <c r="RQU23" s="338"/>
      <c r="RQV23" s="338"/>
      <c r="RQW23" s="338"/>
      <c r="RQX23" s="338"/>
      <c r="RQY23" s="338"/>
      <c r="RQZ23" s="338"/>
      <c r="RRA23" s="338"/>
      <c r="RRB23" s="338"/>
      <c r="RRC23" s="338"/>
      <c r="RRD23" s="338"/>
      <c r="RRE23" s="338"/>
      <c r="RRF23" s="338"/>
      <c r="RRG23" s="338"/>
      <c r="RRH23" s="338"/>
      <c r="RRI23" s="338"/>
      <c r="RRJ23" s="338"/>
      <c r="RRK23" s="338"/>
      <c r="RRL23" s="338"/>
      <c r="RRM23" s="338"/>
      <c r="RRN23" s="338"/>
      <c r="RRO23" s="338"/>
      <c r="RRP23" s="338"/>
      <c r="RRQ23" s="338"/>
      <c r="RRR23" s="338"/>
      <c r="RRS23" s="338"/>
      <c r="RRT23" s="338"/>
      <c r="RRU23" s="338"/>
      <c r="RRV23" s="338"/>
      <c r="RRW23" s="338"/>
      <c r="RRX23" s="338"/>
      <c r="RRY23" s="338"/>
      <c r="RRZ23" s="338"/>
      <c r="RSA23" s="338"/>
      <c r="RSB23" s="338"/>
      <c r="RSC23" s="338"/>
      <c r="RSD23" s="338"/>
      <c r="RSE23" s="338"/>
      <c r="RSF23" s="338"/>
      <c r="RSG23" s="338"/>
      <c r="RSH23" s="338"/>
      <c r="RSI23" s="338"/>
      <c r="RSJ23" s="338"/>
      <c r="RSK23" s="338"/>
      <c r="RSL23" s="338"/>
      <c r="RSM23" s="338"/>
      <c r="RSN23" s="338"/>
      <c r="RSO23" s="338"/>
      <c r="RSP23" s="338"/>
      <c r="RSQ23" s="338"/>
      <c r="RSR23" s="338"/>
      <c r="RSS23" s="338"/>
      <c r="RST23" s="338"/>
      <c r="RSU23" s="338"/>
      <c r="RSV23" s="338"/>
      <c r="RSW23" s="338"/>
      <c r="RSX23" s="338"/>
      <c r="RSY23" s="338"/>
      <c r="RSZ23" s="338"/>
      <c r="RTA23" s="338"/>
      <c r="RTB23" s="338"/>
      <c r="RTC23" s="338"/>
      <c r="RTD23" s="338"/>
      <c r="RTE23" s="338"/>
      <c r="RTF23" s="338"/>
      <c r="RTG23" s="338"/>
      <c r="RTH23" s="338"/>
      <c r="RTI23" s="338"/>
      <c r="RTJ23" s="338"/>
      <c r="RTK23" s="338"/>
      <c r="RTL23" s="338"/>
      <c r="RTM23" s="338"/>
      <c r="RTN23" s="338"/>
      <c r="RTO23" s="338"/>
      <c r="RTP23" s="338"/>
      <c r="RTQ23" s="338"/>
      <c r="RTR23" s="338"/>
      <c r="RTS23" s="338"/>
      <c r="RTT23" s="338"/>
      <c r="RTU23" s="338"/>
      <c r="RTV23" s="338"/>
      <c r="RTW23" s="338"/>
      <c r="RTX23" s="338"/>
      <c r="RTY23" s="338"/>
      <c r="RTZ23" s="338"/>
      <c r="RUA23" s="338"/>
      <c r="RUB23" s="338"/>
      <c r="RUC23" s="338"/>
      <c r="RUD23" s="338"/>
      <c r="RUE23" s="338"/>
      <c r="RUF23" s="338"/>
      <c r="RUG23" s="338"/>
      <c r="RUH23" s="338"/>
      <c r="RUI23" s="338"/>
      <c r="RUJ23" s="338"/>
      <c r="RUK23" s="338"/>
      <c r="RUL23" s="338"/>
      <c r="RUM23" s="338"/>
      <c r="RUN23" s="338"/>
      <c r="RUO23" s="338"/>
      <c r="RUP23" s="338"/>
      <c r="RUQ23" s="338"/>
      <c r="RUR23" s="338"/>
      <c r="RUS23" s="338"/>
      <c r="RUT23" s="338"/>
      <c r="RUU23" s="338"/>
      <c r="RUV23" s="338"/>
      <c r="RUW23" s="338"/>
      <c r="RUX23" s="338"/>
      <c r="RUY23" s="338"/>
      <c r="RUZ23" s="338"/>
      <c r="RVA23" s="338"/>
      <c r="RVB23" s="338"/>
      <c r="RVC23" s="338"/>
      <c r="RVD23" s="338"/>
      <c r="RVE23" s="338"/>
      <c r="RVF23" s="338"/>
      <c r="RVG23" s="338"/>
      <c r="RVH23" s="338"/>
      <c r="RVI23" s="338"/>
      <c r="RVJ23" s="338"/>
      <c r="RVK23" s="338"/>
      <c r="RVL23" s="338"/>
      <c r="RVM23" s="338"/>
      <c r="RVN23" s="338"/>
      <c r="RVO23" s="338"/>
      <c r="RVP23" s="338"/>
      <c r="RVQ23" s="338"/>
      <c r="RVR23" s="338"/>
      <c r="RVS23" s="338"/>
      <c r="RVT23" s="338"/>
      <c r="RVU23" s="338"/>
      <c r="RVV23" s="338"/>
      <c r="RVW23" s="338"/>
      <c r="RVX23" s="338"/>
      <c r="RVY23" s="338"/>
      <c r="RVZ23" s="338"/>
      <c r="RWA23" s="338"/>
      <c r="RWB23" s="338"/>
      <c r="RWC23" s="338"/>
      <c r="RWD23" s="338"/>
      <c r="RWE23" s="338"/>
      <c r="RWF23" s="338"/>
      <c r="RWG23" s="338"/>
      <c r="RWH23" s="338"/>
      <c r="RWI23" s="338"/>
      <c r="RWJ23" s="338"/>
      <c r="RWK23" s="338"/>
      <c r="RWL23" s="338"/>
      <c r="RWM23" s="338"/>
      <c r="RWN23" s="338"/>
      <c r="RWO23" s="338"/>
      <c r="RWP23" s="338"/>
      <c r="RWQ23" s="338"/>
      <c r="RWR23" s="338"/>
      <c r="RWS23" s="338"/>
      <c r="RWT23" s="338"/>
      <c r="RWU23" s="338"/>
      <c r="RWV23" s="338"/>
      <c r="RWW23" s="338"/>
      <c r="RWX23" s="338"/>
      <c r="RWY23" s="338"/>
      <c r="RWZ23" s="338"/>
      <c r="RXA23" s="338"/>
      <c r="RXB23" s="338"/>
      <c r="RXC23" s="338"/>
      <c r="RXD23" s="338"/>
      <c r="RXE23" s="338"/>
      <c r="RXF23" s="338"/>
      <c r="RXG23" s="338"/>
      <c r="RXH23" s="338"/>
      <c r="RXI23" s="338"/>
      <c r="RXJ23" s="338"/>
      <c r="RXK23" s="338"/>
      <c r="RXL23" s="338"/>
      <c r="RXM23" s="338"/>
      <c r="RXN23" s="338"/>
      <c r="RXO23" s="338"/>
      <c r="RXP23" s="338"/>
      <c r="RXQ23" s="338"/>
      <c r="RXR23" s="338"/>
      <c r="RXS23" s="338"/>
      <c r="RXT23" s="338"/>
      <c r="RXU23" s="338"/>
      <c r="RXV23" s="338"/>
      <c r="RXW23" s="338"/>
      <c r="RXX23" s="338"/>
      <c r="RXY23" s="338"/>
      <c r="RXZ23" s="338"/>
      <c r="RYA23" s="338"/>
      <c r="RYB23" s="338"/>
      <c r="RYC23" s="338"/>
      <c r="RYD23" s="338"/>
      <c r="RYE23" s="338"/>
      <c r="RYF23" s="338"/>
      <c r="RYG23" s="338"/>
      <c r="RYH23" s="338"/>
      <c r="RYI23" s="338"/>
      <c r="RYJ23" s="338"/>
      <c r="RYK23" s="338"/>
      <c r="RYL23" s="338"/>
      <c r="RYM23" s="338"/>
      <c r="RYN23" s="338"/>
      <c r="RYO23" s="338"/>
      <c r="RYP23" s="338"/>
      <c r="RYQ23" s="338"/>
      <c r="RYR23" s="338"/>
      <c r="RYS23" s="338"/>
      <c r="RYT23" s="338"/>
      <c r="RYU23" s="338"/>
      <c r="RYV23" s="338"/>
      <c r="RYW23" s="338"/>
      <c r="RYX23" s="338"/>
      <c r="RYY23" s="338"/>
      <c r="RYZ23" s="338"/>
      <c r="RZA23" s="338"/>
      <c r="RZB23" s="338"/>
      <c r="RZC23" s="338"/>
      <c r="RZD23" s="338"/>
      <c r="RZE23" s="338"/>
      <c r="RZF23" s="338"/>
      <c r="RZG23" s="338"/>
      <c r="RZH23" s="338"/>
      <c r="RZI23" s="338"/>
      <c r="RZJ23" s="338"/>
      <c r="RZK23" s="338"/>
      <c r="RZL23" s="338"/>
      <c r="RZM23" s="338"/>
      <c r="RZN23" s="338"/>
      <c r="RZO23" s="338"/>
      <c r="RZP23" s="338"/>
      <c r="RZQ23" s="338"/>
      <c r="RZR23" s="338"/>
      <c r="RZS23" s="338"/>
      <c r="RZT23" s="338"/>
      <c r="RZU23" s="338"/>
      <c r="RZV23" s="338"/>
      <c r="RZW23" s="338"/>
      <c r="RZX23" s="338"/>
      <c r="RZY23" s="338"/>
      <c r="RZZ23" s="338"/>
      <c r="SAA23" s="338"/>
      <c r="SAB23" s="338"/>
      <c r="SAC23" s="338"/>
      <c r="SAD23" s="338"/>
      <c r="SAE23" s="338"/>
      <c r="SAF23" s="338"/>
      <c r="SAG23" s="338"/>
      <c r="SAH23" s="338"/>
      <c r="SAI23" s="338"/>
      <c r="SAJ23" s="338"/>
      <c r="SAK23" s="338"/>
      <c r="SAL23" s="338"/>
      <c r="SAM23" s="338"/>
      <c r="SAN23" s="338"/>
      <c r="SAO23" s="338"/>
      <c r="SAP23" s="338"/>
      <c r="SAQ23" s="338"/>
      <c r="SAR23" s="338"/>
      <c r="SAS23" s="338"/>
      <c r="SAT23" s="338"/>
      <c r="SAU23" s="338"/>
      <c r="SAV23" s="338"/>
      <c r="SAW23" s="338"/>
      <c r="SAX23" s="338"/>
      <c r="SAY23" s="338"/>
      <c r="SAZ23" s="338"/>
      <c r="SBA23" s="338"/>
      <c r="SBB23" s="338"/>
      <c r="SBC23" s="338"/>
      <c r="SBD23" s="338"/>
      <c r="SBE23" s="338"/>
      <c r="SBF23" s="338"/>
      <c r="SBG23" s="338"/>
      <c r="SBH23" s="338"/>
      <c r="SBI23" s="338"/>
      <c r="SBJ23" s="338"/>
      <c r="SBK23" s="338"/>
      <c r="SBL23" s="338"/>
      <c r="SBM23" s="338"/>
      <c r="SBN23" s="338"/>
      <c r="SBO23" s="338"/>
      <c r="SBP23" s="338"/>
      <c r="SBQ23" s="338"/>
      <c r="SBR23" s="338"/>
      <c r="SBS23" s="338"/>
      <c r="SBT23" s="338"/>
      <c r="SBU23" s="338"/>
      <c r="SBV23" s="338"/>
      <c r="SBW23" s="338"/>
      <c r="SBX23" s="338"/>
      <c r="SBY23" s="338"/>
      <c r="SBZ23" s="338"/>
      <c r="SCA23" s="338"/>
      <c r="SCB23" s="338"/>
      <c r="SCC23" s="338"/>
      <c r="SCD23" s="338"/>
      <c r="SCE23" s="338"/>
      <c r="SCF23" s="338"/>
      <c r="SCG23" s="338"/>
      <c r="SCH23" s="338"/>
      <c r="SCI23" s="338"/>
      <c r="SCJ23" s="338"/>
      <c r="SCK23" s="338"/>
      <c r="SCL23" s="338"/>
      <c r="SCM23" s="338"/>
      <c r="SCN23" s="338"/>
      <c r="SCO23" s="338"/>
      <c r="SCP23" s="338"/>
      <c r="SCQ23" s="338"/>
      <c r="SCR23" s="338"/>
      <c r="SCS23" s="338"/>
      <c r="SCT23" s="338"/>
      <c r="SCU23" s="338"/>
      <c r="SCV23" s="338"/>
      <c r="SCW23" s="338"/>
      <c r="SCX23" s="338"/>
      <c r="SCY23" s="338"/>
      <c r="SCZ23" s="338"/>
      <c r="SDA23" s="338"/>
      <c r="SDB23" s="338"/>
      <c r="SDC23" s="338"/>
      <c r="SDD23" s="338"/>
      <c r="SDE23" s="338"/>
      <c r="SDF23" s="338"/>
      <c r="SDG23" s="338"/>
      <c r="SDH23" s="338"/>
      <c r="SDI23" s="338"/>
      <c r="SDJ23" s="338"/>
      <c r="SDK23" s="338"/>
      <c r="SDL23" s="338"/>
      <c r="SDM23" s="338"/>
      <c r="SDN23" s="338"/>
      <c r="SDO23" s="338"/>
      <c r="SDP23" s="338"/>
      <c r="SDQ23" s="338"/>
      <c r="SDR23" s="338"/>
      <c r="SDS23" s="338"/>
      <c r="SDT23" s="338"/>
      <c r="SDU23" s="338"/>
      <c r="SDV23" s="338"/>
      <c r="SDW23" s="338"/>
      <c r="SDX23" s="338"/>
      <c r="SDY23" s="338"/>
      <c r="SDZ23" s="338"/>
      <c r="SEA23" s="338"/>
      <c r="SEB23" s="338"/>
      <c r="SEC23" s="338"/>
      <c r="SED23" s="338"/>
      <c r="SEE23" s="338"/>
      <c r="SEF23" s="338"/>
      <c r="SEG23" s="338"/>
      <c r="SEH23" s="338"/>
      <c r="SEI23" s="338"/>
      <c r="SEJ23" s="338"/>
      <c r="SEK23" s="338"/>
      <c r="SEL23" s="338"/>
      <c r="SEM23" s="338"/>
      <c r="SEN23" s="338"/>
      <c r="SEO23" s="338"/>
      <c r="SEP23" s="338"/>
      <c r="SEQ23" s="338"/>
      <c r="SER23" s="338"/>
      <c r="SES23" s="338"/>
      <c r="SET23" s="338"/>
      <c r="SEU23" s="338"/>
      <c r="SEV23" s="338"/>
      <c r="SEW23" s="338"/>
      <c r="SEX23" s="338"/>
      <c r="SEY23" s="338"/>
      <c r="SEZ23" s="338"/>
      <c r="SFA23" s="338"/>
      <c r="SFB23" s="338"/>
      <c r="SFC23" s="338"/>
      <c r="SFD23" s="338"/>
      <c r="SFE23" s="338"/>
      <c r="SFF23" s="338"/>
      <c r="SFG23" s="338"/>
      <c r="SFH23" s="338"/>
      <c r="SFI23" s="338"/>
      <c r="SFJ23" s="338"/>
      <c r="SFK23" s="338"/>
      <c r="SFL23" s="338"/>
      <c r="SFM23" s="338"/>
      <c r="SFN23" s="338"/>
      <c r="SFO23" s="338"/>
      <c r="SFP23" s="338"/>
      <c r="SFQ23" s="338"/>
      <c r="SFR23" s="338"/>
      <c r="SFS23" s="338"/>
      <c r="SFT23" s="338"/>
      <c r="SFU23" s="338"/>
      <c r="SFV23" s="338"/>
      <c r="SFW23" s="338"/>
      <c r="SFX23" s="338"/>
      <c r="SFY23" s="338"/>
      <c r="SFZ23" s="338"/>
      <c r="SGA23" s="338"/>
      <c r="SGB23" s="338"/>
      <c r="SGC23" s="338"/>
      <c r="SGD23" s="338"/>
      <c r="SGE23" s="338"/>
      <c r="SGF23" s="338"/>
      <c r="SGG23" s="338"/>
      <c r="SGH23" s="338"/>
      <c r="SGI23" s="338"/>
      <c r="SGJ23" s="338"/>
      <c r="SGK23" s="338"/>
      <c r="SGL23" s="338"/>
      <c r="SGM23" s="338"/>
      <c r="SGN23" s="338"/>
      <c r="SGO23" s="338"/>
      <c r="SGP23" s="338"/>
      <c r="SGQ23" s="338"/>
      <c r="SGR23" s="338"/>
      <c r="SGS23" s="338"/>
      <c r="SGT23" s="338"/>
      <c r="SGU23" s="338"/>
      <c r="SGV23" s="338"/>
      <c r="SGW23" s="338"/>
      <c r="SGX23" s="338"/>
      <c r="SGY23" s="338"/>
      <c r="SGZ23" s="338"/>
      <c r="SHA23" s="338"/>
      <c r="SHB23" s="338"/>
      <c r="SHC23" s="338"/>
      <c r="SHD23" s="338"/>
      <c r="SHE23" s="338"/>
      <c r="SHF23" s="338"/>
      <c r="SHG23" s="338"/>
      <c r="SHH23" s="338"/>
      <c r="SHI23" s="338"/>
      <c r="SHJ23" s="338"/>
      <c r="SHK23" s="338"/>
      <c r="SHL23" s="338"/>
      <c r="SHM23" s="338"/>
      <c r="SHN23" s="338"/>
      <c r="SHO23" s="338"/>
      <c r="SHP23" s="338"/>
      <c r="SHQ23" s="338"/>
      <c r="SHR23" s="338"/>
      <c r="SHS23" s="338"/>
      <c r="SHT23" s="338"/>
      <c r="SHU23" s="338"/>
      <c r="SHV23" s="338"/>
      <c r="SHW23" s="338"/>
      <c r="SHX23" s="338"/>
      <c r="SHY23" s="338"/>
      <c r="SHZ23" s="338"/>
      <c r="SIA23" s="338"/>
      <c r="SIB23" s="338"/>
      <c r="SIC23" s="338"/>
      <c r="SID23" s="338"/>
      <c r="SIE23" s="338"/>
      <c r="SIF23" s="338"/>
      <c r="SIG23" s="338"/>
      <c r="SIH23" s="338"/>
      <c r="SII23" s="338"/>
      <c r="SIJ23" s="338"/>
      <c r="SIK23" s="338"/>
      <c r="SIL23" s="338"/>
      <c r="SIM23" s="338"/>
      <c r="SIN23" s="338"/>
      <c r="SIO23" s="338"/>
      <c r="SIP23" s="338"/>
      <c r="SIQ23" s="338"/>
      <c r="SIR23" s="338"/>
      <c r="SIS23" s="338"/>
      <c r="SIT23" s="338"/>
      <c r="SIU23" s="338"/>
      <c r="SIV23" s="338"/>
      <c r="SIW23" s="338"/>
      <c r="SIX23" s="338"/>
      <c r="SIY23" s="338"/>
      <c r="SIZ23" s="338"/>
      <c r="SJA23" s="338"/>
      <c r="SJB23" s="338"/>
      <c r="SJC23" s="338"/>
      <c r="SJD23" s="338"/>
      <c r="SJE23" s="338"/>
      <c r="SJF23" s="338"/>
      <c r="SJG23" s="338"/>
      <c r="SJH23" s="338"/>
      <c r="SJI23" s="338"/>
      <c r="SJJ23" s="338"/>
      <c r="SJK23" s="338"/>
      <c r="SJL23" s="338"/>
      <c r="SJM23" s="338"/>
      <c r="SJN23" s="338"/>
      <c r="SJO23" s="338"/>
      <c r="SJP23" s="338"/>
      <c r="SJQ23" s="338"/>
      <c r="SJR23" s="338"/>
      <c r="SJS23" s="338"/>
      <c r="SJT23" s="338"/>
      <c r="SJU23" s="338"/>
      <c r="SJV23" s="338"/>
      <c r="SJW23" s="338"/>
      <c r="SJX23" s="338"/>
      <c r="SJY23" s="338"/>
      <c r="SJZ23" s="338"/>
      <c r="SKA23" s="338"/>
      <c r="SKB23" s="338"/>
      <c r="SKC23" s="338"/>
      <c r="SKD23" s="338"/>
      <c r="SKE23" s="338"/>
      <c r="SKF23" s="338"/>
      <c r="SKG23" s="338"/>
      <c r="SKH23" s="338"/>
      <c r="SKI23" s="338"/>
      <c r="SKJ23" s="338"/>
      <c r="SKK23" s="338"/>
      <c r="SKL23" s="338"/>
      <c r="SKM23" s="338"/>
      <c r="SKN23" s="338"/>
      <c r="SKO23" s="338"/>
      <c r="SKP23" s="338"/>
      <c r="SKQ23" s="338"/>
      <c r="SKR23" s="338"/>
      <c r="SKS23" s="338"/>
      <c r="SKT23" s="338"/>
      <c r="SKU23" s="338"/>
      <c r="SKV23" s="338"/>
      <c r="SKW23" s="338"/>
      <c r="SKX23" s="338"/>
      <c r="SKY23" s="338"/>
      <c r="SKZ23" s="338"/>
      <c r="SLA23" s="338"/>
      <c r="SLB23" s="338"/>
      <c r="SLC23" s="338"/>
      <c r="SLD23" s="338"/>
      <c r="SLE23" s="338"/>
      <c r="SLF23" s="338"/>
      <c r="SLG23" s="338"/>
      <c r="SLH23" s="338"/>
      <c r="SLI23" s="338"/>
      <c r="SLJ23" s="338"/>
      <c r="SLK23" s="338"/>
      <c r="SLL23" s="338"/>
      <c r="SLM23" s="338"/>
      <c r="SLN23" s="338"/>
      <c r="SLO23" s="338"/>
      <c r="SLP23" s="338"/>
      <c r="SLQ23" s="338"/>
      <c r="SLR23" s="338"/>
      <c r="SLS23" s="338"/>
      <c r="SLT23" s="338"/>
      <c r="SLU23" s="338"/>
      <c r="SLV23" s="338"/>
      <c r="SLW23" s="338"/>
      <c r="SLX23" s="338"/>
      <c r="SLY23" s="338"/>
      <c r="SLZ23" s="338"/>
      <c r="SMA23" s="338"/>
      <c r="SMB23" s="338"/>
      <c r="SMC23" s="338"/>
      <c r="SMD23" s="338"/>
      <c r="SME23" s="338"/>
      <c r="SMF23" s="338"/>
      <c r="SMG23" s="338"/>
      <c r="SMH23" s="338"/>
      <c r="SMI23" s="338"/>
      <c r="SMJ23" s="338"/>
      <c r="SMK23" s="338"/>
      <c r="SML23" s="338"/>
      <c r="SMM23" s="338"/>
      <c r="SMN23" s="338"/>
      <c r="SMO23" s="338"/>
      <c r="SMP23" s="338"/>
      <c r="SMQ23" s="338"/>
      <c r="SMR23" s="338"/>
      <c r="SMS23" s="338"/>
      <c r="SMT23" s="338"/>
      <c r="SMU23" s="338"/>
      <c r="SMV23" s="338"/>
      <c r="SMW23" s="338"/>
      <c r="SMX23" s="338"/>
      <c r="SMY23" s="338"/>
      <c r="SMZ23" s="338"/>
      <c r="SNA23" s="338"/>
      <c r="SNB23" s="338"/>
      <c r="SNC23" s="338"/>
      <c r="SND23" s="338"/>
      <c r="SNE23" s="338"/>
      <c r="SNF23" s="338"/>
      <c r="SNG23" s="338"/>
      <c r="SNH23" s="338"/>
      <c r="SNI23" s="338"/>
      <c r="SNJ23" s="338"/>
      <c r="SNK23" s="338"/>
      <c r="SNL23" s="338"/>
      <c r="SNM23" s="338"/>
      <c r="SNN23" s="338"/>
      <c r="SNO23" s="338"/>
      <c r="SNP23" s="338"/>
      <c r="SNQ23" s="338"/>
      <c r="SNR23" s="338"/>
      <c r="SNS23" s="338"/>
      <c r="SNT23" s="338"/>
      <c r="SNU23" s="338"/>
      <c r="SNV23" s="338"/>
      <c r="SNW23" s="338"/>
      <c r="SNX23" s="338"/>
      <c r="SNY23" s="338"/>
      <c r="SNZ23" s="338"/>
      <c r="SOA23" s="338"/>
      <c r="SOB23" s="338"/>
      <c r="SOC23" s="338"/>
      <c r="SOD23" s="338"/>
      <c r="SOE23" s="338"/>
      <c r="SOF23" s="338"/>
      <c r="SOG23" s="338"/>
      <c r="SOH23" s="338"/>
      <c r="SOI23" s="338"/>
      <c r="SOJ23" s="338"/>
      <c r="SOK23" s="338"/>
      <c r="SOL23" s="338"/>
      <c r="SOM23" s="338"/>
      <c r="SON23" s="338"/>
      <c r="SOO23" s="338"/>
      <c r="SOP23" s="338"/>
      <c r="SOQ23" s="338"/>
      <c r="SOR23" s="338"/>
      <c r="SOS23" s="338"/>
      <c r="SOT23" s="338"/>
      <c r="SOU23" s="338"/>
      <c r="SOV23" s="338"/>
      <c r="SOW23" s="338"/>
      <c r="SOX23" s="338"/>
      <c r="SOY23" s="338"/>
      <c r="SOZ23" s="338"/>
      <c r="SPA23" s="338"/>
      <c r="SPB23" s="338"/>
      <c r="SPC23" s="338"/>
      <c r="SPD23" s="338"/>
      <c r="SPE23" s="338"/>
      <c r="SPF23" s="338"/>
      <c r="SPG23" s="338"/>
      <c r="SPH23" s="338"/>
      <c r="SPI23" s="338"/>
      <c r="SPJ23" s="338"/>
      <c r="SPK23" s="338"/>
      <c r="SPL23" s="338"/>
      <c r="SPM23" s="338"/>
      <c r="SPN23" s="338"/>
      <c r="SPO23" s="338"/>
      <c r="SPP23" s="338"/>
      <c r="SPQ23" s="338"/>
      <c r="SPR23" s="338"/>
      <c r="SPS23" s="338"/>
      <c r="SPT23" s="338"/>
      <c r="SPU23" s="338"/>
      <c r="SPV23" s="338"/>
      <c r="SPW23" s="338"/>
      <c r="SPX23" s="338"/>
      <c r="SPY23" s="338"/>
      <c r="SPZ23" s="338"/>
      <c r="SQA23" s="338"/>
      <c r="SQB23" s="338"/>
      <c r="SQC23" s="338"/>
      <c r="SQD23" s="338"/>
      <c r="SQE23" s="338"/>
      <c r="SQF23" s="338"/>
      <c r="SQG23" s="338"/>
      <c r="SQH23" s="338"/>
      <c r="SQI23" s="338"/>
      <c r="SQJ23" s="338"/>
      <c r="SQK23" s="338"/>
      <c r="SQL23" s="338"/>
      <c r="SQM23" s="338"/>
      <c r="SQN23" s="338"/>
      <c r="SQO23" s="338"/>
      <c r="SQP23" s="338"/>
      <c r="SQQ23" s="338"/>
      <c r="SQR23" s="338"/>
      <c r="SQS23" s="338"/>
      <c r="SQT23" s="338"/>
      <c r="SQU23" s="338"/>
      <c r="SQV23" s="338"/>
      <c r="SQW23" s="338"/>
      <c r="SQX23" s="338"/>
      <c r="SQY23" s="338"/>
      <c r="SQZ23" s="338"/>
      <c r="SRA23" s="338"/>
      <c r="SRB23" s="338"/>
      <c r="SRC23" s="338"/>
      <c r="SRD23" s="338"/>
      <c r="SRE23" s="338"/>
      <c r="SRF23" s="338"/>
      <c r="SRG23" s="338"/>
      <c r="SRH23" s="338"/>
      <c r="SRI23" s="338"/>
      <c r="SRJ23" s="338"/>
      <c r="SRK23" s="338"/>
      <c r="SRL23" s="338"/>
      <c r="SRM23" s="338"/>
      <c r="SRN23" s="338"/>
      <c r="SRO23" s="338"/>
      <c r="SRP23" s="338"/>
      <c r="SRQ23" s="338"/>
      <c r="SRR23" s="338"/>
      <c r="SRS23" s="338"/>
      <c r="SRT23" s="338"/>
      <c r="SRU23" s="338"/>
      <c r="SRV23" s="338"/>
      <c r="SRW23" s="338"/>
      <c r="SRX23" s="338"/>
      <c r="SRY23" s="338"/>
      <c r="SRZ23" s="338"/>
      <c r="SSA23" s="338"/>
      <c r="SSB23" s="338"/>
      <c r="SSC23" s="338"/>
      <c r="SSD23" s="338"/>
      <c r="SSE23" s="338"/>
      <c r="SSF23" s="338"/>
      <c r="SSG23" s="338"/>
      <c r="SSH23" s="338"/>
      <c r="SSI23" s="338"/>
      <c r="SSJ23" s="338"/>
      <c r="SSK23" s="338"/>
      <c r="SSL23" s="338"/>
      <c r="SSM23" s="338"/>
      <c r="SSN23" s="338"/>
      <c r="SSO23" s="338"/>
      <c r="SSP23" s="338"/>
      <c r="SSQ23" s="338"/>
      <c r="SSR23" s="338"/>
      <c r="SSS23" s="338"/>
      <c r="SST23" s="338"/>
      <c r="SSU23" s="338"/>
      <c r="SSV23" s="338"/>
      <c r="SSW23" s="338"/>
      <c r="SSX23" s="338"/>
      <c r="SSY23" s="338"/>
      <c r="SSZ23" s="338"/>
      <c r="STA23" s="338"/>
      <c r="STB23" s="338"/>
      <c r="STC23" s="338"/>
      <c r="STD23" s="338"/>
      <c r="STE23" s="338"/>
      <c r="STF23" s="338"/>
      <c r="STG23" s="338"/>
      <c r="STH23" s="338"/>
      <c r="STI23" s="338"/>
      <c r="STJ23" s="338"/>
      <c r="STK23" s="338"/>
      <c r="STL23" s="338"/>
      <c r="STM23" s="338"/>
      <c r="STN23" s="338"/>
      <c r="STO23" s="338"/>
      <c r="STP23" s="338"/>
      <c r="STQ23" s="338"/>
      <c r="STR23" s="338"/>
      <c r="STS23" s="338"/>
      <c r="STT23" s="338"/>
      <c r="STU23" s="338"/>
      <c r="STV23" s="338"/>
      <c r="STW23" s="338"/>
      <c r="STX23" s="338"/>
      <c r="STY23" s="338"/>
      <c r="STZ23" s="338"/>
      <c r="SUA23" s="338"/>
      <c r="SUB23" s="338"/>
      <c r="SUC23" s="338"/>
      <c r="SUD23" s="338"/>
      <c r="SUE23" s="338"/>
      <c r="SUF23" s="338"/>
      <c r="SUG23" s="338"/>
      <c r="SUH23" s="338"/>
      <c r="SUI23" s="338"/>
      <c r="SUJ23" s="338"/>
      <c r="SUK23" s="338"/>
      <c r="SUL23" s="338"/>
      <c r="SUM23" s="338"/>
      <c r="SUN23" s="338"/>
      <c r="SUO23" s="338"/>
      <c r="SUP23" s="338"/>
      <c r="SUQ23" s="338"/>
      <c r="SUR23" s="338"/>
      <c r="SUS23" s="338"/>
      <c r="SUT23" s="338"/>
      <c r="SUU23" s="338"/>
      <c r="SUV23" s="338"/>
      <c r="SUW23" s="338"/>
      <c r="SUX23" s="338"/>
      <c r="SUY23" s="338"/>
      <c r="SUZ23" s="338"/>
      <c r="SVA23" s="338"/>
      <c r="SVB23" s="338"/>
      <c r="SVC23" s="338"/>
      <c r="SVD23" s="338"/>
      <c r="SVE23" s="338"/>
      <c r="SVF23" s="338"/>
      <c r="SVG23" s="338"/>
      <c r="SVH23" s="338"/>
      <c r="SVI23" s="338"/>
      <c r="SVJ23" s="338"/>
      <c r="SVK23" s="338"/>
      <c r="SVL23" s="338"/>
      <c r="SVM23" s="338"/>
      <c r="SVN23" s="338"/>
      <c r="SVO23" s="338"/>
      <c r="SVP23" s="338"/>
      <c r="SVQ23" s="338"/>
      <c r="SVR23" s="338"/>
      <c r="SVS23" s="338"/>
      <c r="SVT23" s="338"/>
      <c r="SVU23" s="338"/>
      <c r="SVV23" s="338"/>
      <c r="SVW23" s="338"/>
      <c r="SVX23" s="338"/>
      <c r="SVY23" s="338"/>
      <c r="SVZ23" s="338"/>
      <c r="SWA23" s="338"/>
      <c r="SWB23" s="338"/>
      <c r="SWC23" s="338"/>
      <c r="SWD23" s="338"/>
      <c r="SWE23" s="338"/>
      <c r="SWF23" s="338"/>
      <c r="SWG23" s="338"/>
      <c r="SWH23" s="338"/>
      <c r="SWI23" s="338"/>
      <c r="SWJ23" s="338"/>
      <c r="SWK23" s="338"/>
      <c r="SWL23" s="338"/>
      <c r="SWM23" s="338"/>
      <c r="SWN23" s="338"/>
      <c r="SWO23" s="338"/>
      <c r="SWP23" s="338"/>
      <c r="SWQ23" s="338"/>
      <c r="SWR23" s="338"/>
      <c r="SWS23" s="338"/>
      <c r="SWT23" s="338"/>
      <c r="SWU23" s="338"/>
      <c r="SWV23" s="338"/>
      <c r="SWW23" s="338"/>
      <c r="SWX23" s="338"/>
      <c r="SWY23" s="338"/>
      <c r="SWZ23" s="338"/>
      <c r="SXA23" s="338"/>
      <c r="SXB23" s="338"/>
      <c r="SXC23" s="338"/>
      <c r="SXD23" s="338"/>
      <c r="SXE23" s="338"/>
      <c r="SXF23" s="338"/>
      <c r="SXG23" s="338"/>
      <c r="SXH23" s="338"/>
      <c r="SXI23" s="338"/>
      <c r="SXJ23" s="338"/>
      <c r="SXK23" s="338"/>
      <c r="SXL23" s="338"/>
      <c r="SXM23" s="338"/>
      <c r="SXN23" s="338"/>
      <c r="SXO23" s="338"/>
      <c r="SXP23" s="338"/>
      <c r="SXQ23" s="338"/>
      <c r="SXR23" s="338"/>
      <c r="SXS23" s="338"/>
      <c r="SXT23" s="338"/>
      <c r="SXU23" s="338"/>
      <c r="SXV23" s="338"/>
      <c r="SXW23" s="338"/>
      <c r="SXX23" s="338"/>
      <c r="SXY23" s="338"/>
      <c r="SXZ23" s="338"/>
      <c r="SYA23" s="338"/>
      <c r="SYB23" s="338"/>
      <c r="SYC23" s="338"/>
      <c r="SYD23" s="338"/>
      <c r="SYE23" s="338"/>
      <c r="SYF23" s="338"/>
      <c r="SYG23" s="338"/>
      <c r="SYH23" s="338"/>
      <c r="SYI23" s="338"/>
      <c r="SYJ23" s="338"/>
      <c r="SYK23" s="338"/>
      <c r="SYL23" s="338"/>
      <c r="SYM23" s="338"/>
      <c r="SYN23" s="338"/>
      <c r="SYO23" s="338"/>
      <c r="SYP23" s="338"/>
      <c r="SYQ23" s="338"/>
      <c r="SYR23" s="338"/>
      <c r="SYS23" s="338"/>
      <c r="SYT23" s="338"/>
      <c r="SYU23" s="338"/>
      <c r="SYV23" s="338"/>
      <c r="SYW23" s="338"/>
      <c r="SYX23" s="338"/>
      <c r="SYY23" s="338"/>
      <c r="SYZ23" s="338"/>
      <c r="SZA23" s="338"/>
      <c r="SZB23" s="338"/>
      <c r="SZC23" s="338"/>
      <c r="SZD23" s="338"/>
      <c r="SZE23" s="338"/>
      <c r="SZF23" s="338"/>
      <c r="SZG23" s="338"/>
      <c r="SZH23" s="338"/>
      <c r="SZI23" s="338"/>
      <c r="SZJ23" s="338"/>
      <c r="SZK23" s="338"/>
      <c r="SZL23" s="338"/>
      <c r="SZM23" s="338"/>
      <c r="SZN23" s="338"/>
      <c r="SZO23" s="338"/>
      <c r="SZP23" s="338"/>
      <c r="SZQ23" s="338"/>
      <c r="SZR23" s="338"/>
      <c r="SZS23" s="338"/>
      <c r="SZT23" s="338"/>
      <c r="SZU23" s="338"/>
      <c r="SZV23" s="338"/>
      <c r="SZW23" s="338"/>
      <c r="SZX23" s="338"/>
      <c r="SZY23" s="338"/>
      <c r="SZZ23" s="338"/>
      <c r="TAA23" s="338"/>
      <c r="TAB23" s="338"/>
      <c r="TAC23" s="338"/>
      <c r="TAD23" s="338"/>
      <c r="TAE23" s="338"/>
      <c r="TAF23" s="338"/>
      <c r="TAG23" s="338"/>
      <c r="TAH23" s="338"/>
      <c r="TAI23" s="338"/>
      <c r="TAJ23" s="338"/>
      <c r="TAK23" s="338"/>
      <c r="TAL23" s="338"/>
      <c r="TAM23" s="338"/>
      <c r="TAN23" s="338"/>
      <c r="TAO23" s="338"/>
      <c r="TAP23" s="338"/>
      <c r="TAQ23" s="338"/>
      <c r="TAR23" s="338"/>
      <c r="TAS23" s="338"/>
      <c r="TAT23" s="338"/>
      <c r="TAU23" s="338"/>
      <c r="TAV23" s="338"/>
      <c r="TAW23" s="338"/>
      <c r="TAX23" s="338"/>
      <c r="TAY23" s="338"/>
      <c r="TAZ23" s="338"/>
      <c r="TBA23" s="338"/>
      <c r="TBB23" s="338"/>
      <c r="TBC23" s="338"/>
      <c r="TBD23" s="338"/>
      <c r="TBE23" s="338"/>
      <c r="TBF23" s="338"/>
      <c r="TBG23" s="338"/>
      <c r="TBH23" s="338"/>
      <c r="TBI23" s="338"/>
      <c r="TBJ23" s="338"/>
      <c r="TBK23" s="338"/>
      <c r="TBL23" s="338"/>
      <c r="TBM23" s="338"/>
      <c r="TBN23" s="338"/>
      <c r="TBO23" s="338"/>
      <c r="TBP23" s="338"/>
      <c r="TBQ23" s="338"/>
      <c r="TBR23" s="338"/>
      <c r="TBS23" s="338"/>
      <c r="TBT23" s="338"/>
      <c r="TBU23" s="338"/>
      <c r="TBV23" s="338"/>
      <c r="TBW23" s="338"/>
      <c r="TBX23" s="338"/>
      <c r="TBY23" s="338"/>
      <c r="TBZ23" s="338"/>
      <c r="TCA23" s="338"/>
      <c r="TCB23" s="338"/>
      <c r="TCC23" s="338"/>
      <c r="TCD23" s="338"/>
      <c r="TCE23" s="338"/>
      <c r="TCF23" s="338"/>
      <c r="TCG23" s="338"/>
      <c r="TCH23" s="338"/>
      <c r="TCI23" s="338"/>
      <c r="TCJ23" s="338"/>
      <c r="TCK23" s="338"/>
      <c r="TCL23" s="338"/>
      <c r="TCM23" s="338"/>
      <c r="TCN23" s="338"/>
      <c r="TCO23" s="338"/>
      <c r="TCP23" s="338"/>
      <c r="TCQ23" s="338"/>
      <c r="TCR23" s="338"/>
      <c r="TCS23" s="338"/>
      <c r="TCT23" s="338"/>
      <c r="TCU23" s="338"/>
      <c r="TCV23" s="338"/>
      <c r="TCW23" s="338"/>
      <c r="TCX23" s="338"/>
      <c r="TCY23" s="338"/>
      <c r="TCZ23" s="338"/>
      <c r="TDA23" s="338"/>
      <c r="TDB23" s="338"/>
      <c r="TDC23" s="338"/>
      <c r="TDD23" s="338"/>
      <c r="TDE23" s="338"/>
      <c r="TDF23" s="338"/>
      <c r="TDG23" s="338"/>
      <c r="TDH23" s="338"/>
      <c r="TDI23" s="338"/>
      <c r="TDJ23" s="338"/>
      <c r="TDK23" s="338"/>
      <c r="TDL23" s="338"/>
      <c r="TDM23" s="338"/>
      <c r="TDN23" s="338"/>
      <c r="TDO23" s="338"/>
      <c r="TDP23" s="338"/>
      <c r="TDQ23" s="338"/>
      <c r="TDR23" s="338"/>
      <c r="TDS23" s="338"/>
      <c r="TDT23" s="338"/>
      <c r="TDU23" s="338"/>
      <c r="TDV23" s="338"/>
      <c r="TDW23" s="338"/>
      <c r="TDX23" s="338"/>
      <c r="TDY23" s="338"/>
      <c r="TDZ23" s="338"/>
      <c r="TEA23" s="338"/>
      <c r="TEB23" s="338"/>
      <c r="TEC23" s="338"/>
      <c r="TED23" s="338"/>
      <c r="TEE23" s="338"/>
      <c r="TEF23" s="338"/>
      <c r="TEG23" s="338"/>
      <c r="TEH23" s="338"/>
      <c r="TEI23" s="338"/>
      <c r="TEJ23" s="338"/>
      <c r="TEK23" s="338"/>
      <c r="TEL23" s="338"/>
      <c r="TEM23" s="338"/>
      <c r="TEN23" s="338"/>
      <c r="TEO23" s="338"/>
      <c r="TEP23" s="338"/>
      <c r="TEQ23" s="338"/>
      <c r="TER23" s="338"/>
      <c r="TES23" s="338"/>
      <c r="TET23" s="338"/>
      <c r="TEU23" s="338"/>
      <c r="TEV23" s="338"/>
      <c r="TEW23" s="338"/>
      <c r="TEX23" s="338"/>
      <c r="TEY23" s="338"/>
      <c r="TEZ23" s="338"/>
      <c r="TFA23" s="338"/>
      <c r="TFB23" s="338"/>
      <c r="TFC23" s="338"/>
      <c r="TFD23" s="338"/>
      <c r="TFE23" s="338"/>
      <c r="TFF23" s="338"/>
      <c r="TFG23" s="338"/>
      <c r="TFH23" s="338"/>
      <c r="TFI23" s="338"/>
      <c r="TFJ23" s="338"/>
      <c r="TFK23" s="338"/>
      <c r="TFL23" s="338"/>
      <c r="TFM23" s="338"/>
      <c r="TFN23" s="338"/>
      <c r="TFO23" s="338"/>
      <c r="TFP23" s="338"/>
      <c r="TFQ23" s="338"/>
      <c r="TFR23" s="338"/>
      <c r="TFS23" s="338"/>
      <c r="TFT23" s="338"/>
      <c r="TFU23" s="338"/>
      <c r="TFV23" s="338"/>
      <c r="TFW23" s="338"/>
      <c r="TFX23" s="338"/>
      <c r="TFY23" s="338"/>
      <c r="TFZ23" s="338"/>
      <c r="TGA23" s="338"/>
      <c r="TGB23" s="338"/>
      <c r="TGC23" s="338"/>
      <c r="TGD23" s="338"/>
      <c r="TGE23" s="338"/>
      <c r="TGF23" s="338"/>
      <c r="TGG23" s="338"/>
      <c r="TGH23" s="338"/>
      <c r="TGI23" s="338"/>
      <c r="TGJ23" s="338"/>
      <c r="TGK23" s="338"/>
      <c r="TGL23" s="338"/>
      <c r="TGM23" s="338"/>
      <c r="TGN23" s="338"/>
      <c r="TGO23" s="338"/>
      <c r="TGP23" s="338"/>
      <c r="TGQ23" s="338"/>
      <c r="TGR23" s="338"/>
      <c r="TGS23" s="338"/>
      <c r="TGT23" s="338"/>
      <c r="TGU23" s="338"/>
      <c r="TGV23" s="338"/>
      <c r="TGW23" s="338"/>
      <c r="TGX23" s="338"/>
      <c r="TGY23" s="338"/>
      <c r="TGZ23" s="338"/>
      <c r="THA23" s="338"/>
      <c r="THB23" s="338"/>
      <c r="THC23" s="338"/>
      <c r="THD23" s="338"/>
      <c r="THE23" s="338"/>
      <c r="THF23" s="338"/>
      <c r="THG23" s="338"/>
      <c r="THH23" s="338"/>
      <c r="THI23" s="338"/>
      <c r="THJ23" s="338"/>
      <c r="THK23" s="338"/>
      <c r="THL23" s="338"/>
      <c r="THM23" s="338"/>
      <c r="THN23" s="338"/>
      <c r="THO23" s="338"/>
      <c r="THP23" s="338"/>
      <c r="THQ23" s="338"/>
      <c r="THR23" s="338"/>
      <c r="THS23" s="338"/>
      <c r="THT23" s="338"/>
      <c r="THU23" s="338"/>
      <c r="THV23" s="338"/>
      <c r="THW23" s="338"/>
      <c r="THX23" s="338"/>
      <c r="THY23" s="338"/>
      <c r="THZ23" s="338"/>
      <c r="TIA23" s="338"/>
      <c r="TIB23" s="338"/>
      <c r="TIC23" s="338"/>
      <c r="TID23" s="338"/>
      <c r="TIE23" s="338"/>
      <c r="TIF23" s="338"/>
      <c r="TIG23" s="338"/>
      <c r="TIH23" s="338"/>
      <c r="TII23" s="338"/>
      <c r="TIJ23" s="338"/>
      <c r="TIK23" s="338"/>
      <c r="TIL23" s="338"/>
      <c r="TIM23" s="338"/>
      <c r="TIN23" s="338"/>
      <c r="TIO23" s="338"/>
      <c r="TIP23" s="338"/>
      <c r="TIQ23" s="338"/>
      <c r="TIR23" s="338"/>
      <c r="TIS23" s="338"/>
      <c r="TIT23" s="338"/>
      <c r="TIU23" s="338"/>
      <c r="TIV23" s="338"/>
      <c r="TIW23" s="338"/>
      <c r="TIX23" s="338"/>
      <c r="TIY23" s="338"/>
      <c r="TIZ23" s="338"/>
      <c r="TJA23" s="338"/>
      <c r="TJB23" s="338"/>
      <c r="TJC23" s="338"/>
      <c r="TJD23" s="338"/>
      <c r="TJE23" s="338"/>
      <c r="TJF23" s="338"/>
      <c r="TJG23" s="338"/>
      <c r="TJH23" s="338"/>
      <c r="TJI23" s="338"/>
      <c r="TJJ23" s="338"/>
      <c r="TJK23" s="338"/>
      <c r="TJL23" s="338"/>
      <c r="TJM23" s="338"/>
      <c r="TJN23" s="338"/>
      <c r="TJO23" s="338"/>
      <c r="TJP23" s="338"/>
      <c r="TJQ23" s="338"/>
      <c r="TJR23" s="338"/>
      <c r="TJS23" s="338"/>
      <c r="TJT23" s="338"/>
      <c r="TJU23" s="338"/>
      <c r="TJV23" s="338"/>
      <c r="TJW23" s="338"/>
      <c r="TJX23" s="338"/>
      <c r="TJY23" s="338"/>
      <c r="TJZ23" s="338"/>
      <c r="TKA23" s="338"/>
      <c r="TKB23" s="338"/>
      <c r="TKC23" s="338"/>
      <c r="TKD23" s="338"/>
      <c r="TKE23" s="338"/>
      <c r="TKF23" s="338"/>
      <c r="TKG23" s="338"/>
      <c r="TKH23" s="338"/>
      <c r="TKI23" s="338"/>
      <c r="TKJ23" s="338"/>
      <c r="TKK23" s="338"/>
      <c r="TKL23" s="338"/>
      <c r="TKM23" s="338"/>
      <c r="TKN23" s="338"/>
      <c r="TKO23" s="338"/>
      <c r="TKP23" s="338"/>
      <c r="TKQ23" s="338"/>
      <c r="TKR23" s="338"/>
      <c r="TKS23" s="338"/>
      <c r="TKT23" s="338"/>
      <c r="TKU23" s="338"/>
      <c r="TKV23" s="338"/>
      <c r="TKW23" s="338"/>
      <c r="TKX23" s="338"/>
      <c r="TKY23" s="338"/>
      <c r="TKZ23" s="338"/>
      <c r="TLA23" s="338"/>
      <c r="TLB23" s="338"/>
      <c r="TLC23" s="338"/>
      <c r="TLD23" s="338"/>
      <c r="TLE23" s="338"/>
      <c r="TLF23" s="338"/>
      <c r="TLG23" s="338"/>
      <c r="TLH23" s="338"/>
      <c r="TLI23" s="338"/>
      <c r="TLJ23" s="338"/>
      <c r="TLK23" s="338"/>
      <c r="TLL23" s="338"/>
      <c r="TLM23" s="338"/>
      <c r="TLN23" s="338"/>
      <c r="TLO23" s="338"/>
      <c r="TLP23" s="338"/>
      <c r="TLQ23" s="338"/>
      <c r="TLR23" s="338"/>
      <c r="TLS23" s="338"/>
      <c r="TLT23" s="338"/>
      <c r="TLU23" s="338"/>
      <c r="TLV23" s="338"/>
      <c r="TLW23" s="338"/>
      <c r="TLX23" s="338"/>
      <c r="TLY23" s="338"/>
      <c r="TLZ23" s="338"/>
      <c r="TMA23" s="338"/>
      <c r="TMB23" s="338"/>
      <c r="TMC23" s="338"/>
      <c r="TMD23" s="338"/>
      <c r="TME23" s="338"/>
      <c r="TMF23" s="338"/>
      <c r="TMG23" s="338"/>
      <c r="TMH23" s="338"/>
      <c r="TMI23" s="338"/>
      <c r="TMJ23" s="338"/>
      <c r="TMK23" s="338"/>
      <c r="TML23" s="338"/>
      <c r="TMM23" s="338"/>
      <c r="TMN23" s="338"/>
      <c r="TMO23" s="338"/>
      <c r="TMP23" s="338"/>
      <c r="TMQ23" s="338"/>
      <c r="TMR23" s="338"/>
      <c r="TMS23" s="338"/>
      <c r="TMT23" s="338"/>
      <c r="TMU23" s="338"/>
      <c r="TMV23" s="338"/>
      <c r="TMW23" s="338"/>
      <c r="TMX23" s="338"/>
      <c r="TMY23" s="338"/>
      <c r="TMZ23" s="338"/>
      <c r="TNA23" s="338"/>
      <c r="TNB23" s="338"/>
      <c r="TNC23" s="338"/>
      <c r="TND23" s="338"/>
      <c r="TNE23" s="338"/>
      <c r="TNF23" s="338"/>
      <c r="TNG23" s="338"/>
      <c r="TNH23" s="338"/>
      <c r="TNI23" s="338"/>
      <c r="TNJ23" s="338"/>
      <c r="TNK23" s="338"/>
      <c r="TNL23" s="338"/>
      <c r="TNM23" s="338"/>
      <c r="TNN23" s="338"/>
      <c r="TNO23" s="338"/>
      <c r="TNP23" s="338"/>
      <c r="TNQ23" s="338"/>
      <c r="TNR23" s="338"/>
      <c r="TNS23" s="338"/>
      <c r="TNT23" s="338"/>
      <c r="TNU23" s="338"/>
      <c r="TNV23" s="338"/>
      <c r="TNW23" s="338"/>
      <c r="TNX23" s="338"/>
      <c r="TNY23" s="338"/>
      <c r="TNZ23" s="338"/>
      <c r="TOA23" s="338"/>
      <c r="TOB23" s="338"/>
      <c r="TOC23" s="338"/>
      <c r="TOD23" s="338"/>
      <c r="TOE23" s="338"/>
      <c r="TOF23" s="338"/>
      <c r="TOG23" s="338"/>
      <c r="TOH23" s="338"/>
      <c r="TOI23" s="338"/>
      <c r="TOJ23" s="338"/>
      <c r="TOK23" s="338"/>
      <c r="TOL23" s="338"/>
      <c r="TOM23" s="338"/>
      <c r="TON23" s="338"/>
      <c r="TOO23" s="338"/>
      <c r="TOP23" s="338"/>
      <c r="TOQ23" s="338"/>
      <c r="TOR23" s="338"/>
      <c r="TOS23" s="338"/>
      <c r="TOT23" s="338"/>
      <c r="TOU23" s="338"/>
      <c r="TOV23" s="338"/>
      <c r="TOW23" s="338"/>
      <c r="TOX23" s="338"/>
      <c r="TOY23" s="338"/>
      <c r="TOZ23" s="338"/>
      <c r="TPA23" s="338"/>
      <c r="TPB23" s="338"/>
      <c r="TPC23" s="338"/>
      <c r="TPD23" s="338"/>
      <c r="TPE23" s="338"/>
      <c r="TPF23" s="338"/>
      <c r="TPG23" s="338"/>
      <c r="TPH23" s="338"/>
      <c r="TPI23" s="338"/>
      <c r="TPJ23" s="338"/>
      <c r="TPK23" s="338"/>
      <c r="TPL23" s="338"/>
      <c r="TPM23" s="338"/>
      <c r="TPN23" s="338"/>
      <c r="TPO23" s="338"/>
      <c r="TPP23" s="338"/>
      <c r="TPQ23" s="338"/>
      <c r="TPR23" s="338"/>
      <c r="TPS23" s="338"/>
      <c r="TPT23" s="338"/>
      <c r="TPU23" s="338"/>
      <c r="TPV23" s="338"/>
      <c r="TPW23" s="338"/>
      <c r="TPX23" s="338"/>
      <c r="TPY23" s="338"/>
      <c r="TPZ23" s="338"/>
      <c r="TQA23" s="338"/>
      <c r="TQB23" s="338"/>
      <c r="TQC23" s="338"/>
      <c r="TQD23" s="338"/>
      <c r="TQE23" s="338"/>
      <c r="TQF23" s="338"/>
      <c r="TQG23" s="338"/>
      <c r="TQH23" s="338"/>
      <c r="TQI23" s="338"/>
      <c r="TQJ23" s="338"/>
      <c r="TQK23" s="338"/>
      <c r="TQL23" s="338"/>
      <c r="TQM23" s="338"/>
      <c r="TQN23" s="338"/>
      <c r="TQO23" s="338"/>
      <c r="TQP23" s="338"/>
      <c r="TQQ23" s="338"/>
      <c r="TQR23" s="338"/>
      <c r="TQS23" s="338"/>
      <c r="TQT23" s="338"/>
      <c r="TQU23" s="338"/>
      <c r="TQV23" s="338"/>
      <c r="TQW23" s="338"/>
      <c r="TQX23" s="338"/>
      <c r="TQY23" s="338"/>
      <c r="TQZ23" s="338"/>
      <c r="TRA23" s="338"/>
      <c r="TRB23" s="338"/>
      <c r="TRC23" s="338"/>
      <c r="TRD23" s="338"/>
      <c r="TRE23" s="338"/>
      <c r="TRF23" s="338"/>
      <c r="TRG23" s="338"/>
      <c r="TRH23" s="338"/>
      <c r="TRI23" s="338"/>
      <c r="TRJ23" s="338"/>
      <c r="TRK23" s="338"/>
      <c r="TRL23" s="338"/>
      <c r="TRM23" s="338"/>
      <c r="TRN23" s="338"/>
      <c r="TRO23" s="338"/>
      <c r="TRP23" s="338"/>
      <c r="TRQ23" s="338"/>
      <c r="TRR23" s="338"/>
      <c r="TRS23" s="338"/>
      <c r="TRT23" s="338"/>
      <c r="TRU23" s="338"/>
      <c r="TRV23" s="338"/>
      <c r="TRW23" s="338"/>
      <c r="TRX23" s="338"/>
      <c r="TRY23" s="338"/>
      <c r="TRZ23" s="338"/>
      <c r="TSA23" s="338"/>
      <c r="TSB23" s="338"/>
      <c r="TSC23" s="338"/>
      <c r="TSD23" s="338"/>
      <c r="TSE23" s="338"/>
      <c r="TSF23" s="338"/>
      <c r="TSG23" s="338"/>
      <c r="TSH23" s="338"/>
      <c r="TSI23" s="338"/>
      <c r="TSJ23" s="338"/>
      <c r="TSK23" s="338"/>
      <c r="TSL23" s="338"/>
      <c r="TSM23" s="338"/>
      <c r="TSN23" s="338"/>
      <c r="TSO23" s="338"/>
      <c r="TSP23" s="338"/>
      <c r="TSQ23" s="338"/>
      <c r="TSR23" s="338"/>
      <c r="TSS23" s="338"/>
      <c r="TST23" s="338"/>
      <c r="TSU23" s="338"/>
      <c r="TSV23" s="338"/>
      <c r="TSW23" s="338"/>
      <c r="TSX23" s="338"/>
      <c r="TSY23" s="338"/>
      <c r="TSZ23" s="338"/>
      <c r="TTA23" s="338"/>
      <c r="TTB23" s="338"/>
      <c r="TTC23" s="338"/>
      <c r="TTD23" s="338"/>
      <c r="TTE23" s="338"/>
      <c r="TTF23" s="338"/>
      <c r="TTG23" s="338"/>
      <c r="TTH23" s="338"/>
      <c r="TTI23" s="338"/>
      <c r="TTJ23" s="338"/>
      <c r="TTK23" s="338"/>
      <c r="TTL23" s="338"/>
      <c r="TTM23" s="338"/>
      <c r="TTN23" s="338"/>
      <c r="TTO23" s="338"/>
      <c r="TTP23" s="338"/>
      <c r="TTQ23" s="338"/>
      <c r="TTR23" s="338"/>
      <c r="TTS23" s="338"/>
      <c r="TTT23" s="338"/>
      <c r="TTU23" s="338"/>
      <c r="TTV23" s="338"/>
      <c r="TTW23" s="338"/>
      <c r="TTX23" s="338"/>
      <c r="TTY23" s="338"/>
      <c r="TTZ23" s="338"/>
      <c r="TUA23" s="338"/>
      <c r="TUB23" s="338"/>
      <c r="TUC23" s="338"/>
      <c r="TUD23" s="338"/>
      <c r="TUE23" s="338"/>
      <c r="TUF23" s="338"/>
      <c r="TUG23" s="338"/>
      <c r="TUH23" s="338"/>
      <c r="TUI23" s="338"/>
      <c r="TUJ23" s="338"/>
      <c r="TUK23" s="338"/>
      <c r="TUL23" s="338"/>
      <c r="TUM23" s="338"/>
      <c r="TUN23" s="338"/>
      <c r="TUO23" s="338"/>
      <c r="TUP23" s="338"/>
      <c r="TUQ23" s="338"/>
      <c r="TUR23" s="338"/>
      <c r="TUS23" s="338"/>
      <c r="TUT23" s="338"/>
      <c r="TUU23" s="338"/>
      <c r="TUV23" s="338"/>
      <c r="TUW23" s="338"/>
      <c r="TUX23" s="338"/>
      <c r="TUY23" s="338"/>
      <c r="TUZ23" s="338"/>
      <c r="TVA23" s="338"/>
      <c r="TVB23" s="338"/>
      <c r="TVC23" s="338"/>
      <c r="TVD23" s="338"/>
      <c r="TVE23" s="338"/>
      <c r="TVF23" s="338"/>
      <c r="TVG23" s="338"/>
      <c r="TVH23" s="338"/>
      <c r="TVI23" s="338"/>
      <c r="TVJ23" s="338"/>
      <c r="TVK23" s="338"/>
      <c r="TVL23" s="338"/>
      <c r="TVM23" s="338"/>
      <c r="TVN23" s="338"/>
      <c r="TVO23" s="338"/>
      <c r="TVP23" s="338"/>
      <c r="TVQ23" s="338"/>
      <c r="TVR23" s="338"/>
      <c r="TVS23" s="338"/>
      <c r="TVT23" s="338"/>
      <c r="TVU23" s="338"/>
      <c r="TVV23" s="338"/>
      <c r="TVW23" s="338"/>
      <c r="TVX23" s="338"/>
      <c r="TVY23" s="338"/>
      <c r="TVZ23" s="338"/>
      <c r="TWA23" s="338"/>
      <c r="TWB23" s="338"/>
      <c r="TWC23" s="338"/>
      <c r="TWD23" s="338"/>
      <c r="TWE23" s="338"/>
      <c r="TWF23" s="338"/>
      <c r="TWG23" s="338"/>
      <c r="TWH23" s="338"/>
      <c r="TWI23" s="338"/>
      <c r="TWJ23" s="338"/>
      <c r="TWK23" s="338"/>
      <c r="TWL23" s="338"/>
      <c r="TWM23" s="338"/>
      <c r="TWN23" s="338"/>
      <c r="TWO23" s="338"/>
      <c r="TWP23" s="338"/>
      <c r="TWQ23" s="338"/>
      <c r="TWR23" s="338"/>
      <c r="TWS23" s="338"/>
      <c r="TWT23" s="338"/>
      <c r="TWU23" s="338"/>
      <c r="TWV23" s="338"/>
      <c r="TWW23" s="338"/>
      <c r="TWX23" s="338"/>
      <c r="TWY23" s="338"/>
      <c r="TWZ23" s="338"/>
      <c r="TXA23" s="338"/>
      <c r="TXB23" s="338"/>
      <c r="TXC23" s="338"/>
      <c r="TXD23" s="338"/>
      <c r="TXE23" s="338"/>
      <c r="TXF23" s="338"/>
      <c r="TXG23" s="338"/>
      <c r="TXH23" s="338"/>
      <c r="TXI23" s="338"/>
      <c r="TXJ23" s="338"/>
      <c r="TXK23" s="338"/>
      <c r="TXL23" s="338"/>
      <c r="TXM23" s="338"/>
      <c r="TXN23" s="338"/>
      <c r="TXO23" s="338"/>
      <c r="TXP23" s="338"/>
      <c r="TXQ23" s="338"/>
      <c r="TXR23" s="338"/>
      <c r="TXS23" s="338"/>
      <c r="TXT23" s="338"/>
      <c r="TXU23" s="338"/>
      <c r="TXV23" s="338"/>
      <c r="TXW23" s="338"/>
      <c r="TXX23" s="338"/>
      <c r="TXY23" s="338"/>
      <c r="TXZ23" s="338"/>
      <c r="TYA23" s="338"/>
      <c r="TYB23" s="338"/>
      <c r="TYC23" s="338"/>
      <c r="TYD23" s="338"/>
      <c r="TYE23" s="338"/>
      <c r="TYF23" s="338"/>
      <c r="TYG23" s="338"/>
      <c r="TYH23" s="338"/>
      <c r="TYI23" s="338"/>
      <c r="TYJ23" s="338"/>
      <c r="TYK23" s="338"/>
      <c r="TYL23" s="338"/>
      <c r="TYM23" s="338"/>
      <c r="TYN23" s="338"/>
      <c r="TYO23" s="338"/>
      <c r="TYP23" s="338"/>
      <c r="TYQ23" s="338"/>
      <c r="TYR23" s="338"/>
      <c r="TYS23" s="338"/>
      <c r="TYT23" s="338"/>
      <c r="TYU23" s="338"/>
      <c r="TYV23" s="338"/>
      <c r="TYW23" s="338"/>
      <c r="TYX23" s="338"/>
      <c r="TYY23" s="338"/>
      <c r="TYZ23" s="338"/>
      <c r="TZA23" s="338"/>
      <c r="TZB23" s="338"/>
      <c r="TZC23" s="338"/>
      <c r="TZD23" s="338"/>
      <c r="TZE23" s="338"/>
      <c r="TZF23" s="338"/>
      <c r="TZG23" s="338"/>
      <c r="TZH23" s="338"/>
      <c r="TZI23" s="338"/>
      <c r="TZJ23" s="338"/>
      <c r="TZK23" s="338"/>
      <c r="TZL23" s="338"/>
      <c r="TZM23" s="338"/>
      <c r="TZN23" s="338"/>
      <c r="TZO23" s="338"/>
      <c r="TZP23" s="338"/>
      <c r="TZQ23" s="338"/>
      <c r="TZR23" s="338"/>
      <c r="TZS23" s="338"/>
      <c r="TZT23" s="338"/>
      <c r="TZU23" s="338"/>
      <c r="TZV23" s="338"/>
      <c r="TZW23" s="338"/>
      <c r="TZX23" s="338"/>
      <c r="TZY23" s="338"/>
      <c r="TZZ23" s="338"/>
      <c r="UAA23" s="338"/>
      <c r="UAB23" s="338"/>
      <c r="UAC23" s="338"/>
      <c r="UAD23" s="338"/>
      <c r="UAE23" s="338"/>
      <c r="UAF23" s="338"/>
      <c r="UAG23" s="338"/>
      <c r="UAH23" s="338"/>
      <c r="UAI23" s="338"/>
      <c r="UAJ23" s="338"/>
      <c r="UAK23" s="338"/>
      <c r="UAL23" s="338"/>
      <c r="UAM23" s="338"/>
      <c r="UAN23" s="338"/>
      <c r="UAO23" s="338"/>
      <c r="UAP23" s="338"/>
      <c r="UAQ23" s="338"/>
      <c r="UAR23" s="338"/>
      <c r="UAS23" s="338"/>
      <c r="UAT23" s="338"/>
      <c r="UAU23" s="338"/>
      <c r="UAV23" s="338"/>
      <c r="UAW23" s="338"/>
      <c r="UAX23" s="338"/>
      <c r="UAY23" s="338"/>
      <c r="UAZ23" s="338"/>
      <c r="UBA23" s="338"/>
      <c r="UBB23" s="338"/>
      <c r="UBC23" s="338"/>
      <c r="UBD23" s="338"/>
      <c r="UBE23" s="338"/>
      <c r="UBF23" s="338"/>
      <c r="UBG23" s="338"/>
      <c r="UBH23" s="338"/>
      <c r="UBI23" s="338"/>
      <c r="UBJ23" s="338"/>
      <c r="UBK23" s="338"/>
      <c r="UBL23" s="338"/>
      <c r="UBM23" s="338"/>
      <c r="UBN23" s="338"/>
      <c r="UBO23" s="338"/>
      <c r="UBP23" s="338"/>
      <c r="UBQ23" s="338"/>
      <c r="UBR23" s="338"/>
      <c r="UBS23" s="338"/>
      <c r="UBT23" s="338"/>
      <c r="UBU23" s="338"/>
      <c r="UBV23" s="338"/>
      <c r="UBW23" s="338"/>
      <c r="UBX23" s="338"/>
      <c r="UBY23" s="338"/>
      <c r="UBZ23" s="338"/>
      <c r="UCA23" s="338"/>
      <c r="UCB23" s="338"/>
      <c r="UCC23" s="338"/>
      <c r="UCD23" s="338"/>
      <c r="UCE23" s="338"/>
      <c r="UCF23" s="338"/>
      <c r="UCG23" s="338"/>
      <c r="UCH23" s="338"/>
      <c r="UCI23" s="338"/>
      <c r="UCJ23" s="338"/>
      <c r="UCK23" s="338"/>
      <c r="UCL23" s="338"/>
      <c r="UCM23" s="338"/>
      <c r="UCN23" s="338"/>
      <c r="UCO23" s="338"/>
      <c r="UCP23" s="338"/>
      <c r="UCQ23" s="338"/>
      <c r="UCR23" s="338"/>
      <c r="UCS23" s="338"/>
      <c r="UCT23" s="338"/>
      <c r="UCU23" s="338"/>
      <c r="UCV23" s="338"/>
      <c r="UCW23" s="338"/>
      <c r="UCX23" s="338"/>
      <c r="UCY23" s="338"/>
      <c r="UCZ23" s="338"/>
      <c r="UDA23" s="338"/>
      <c r="UDB23" s="338"/>
      <c r="UDC23" s="338"/>
      <c r="UDD23" s="338"/>
      <c r="UDE23" s="338"/>
      <c r="UDF23" s="338"/>
      <c r="UDG23" s="338"/>
      <c r="UDH23" s="338"/>
      <c r="UDI23" s="338"/>
      <c r="UDJ23" s="338"/>
      <c r="UDK23" s="338"/>
      <c r="UDL23" s="338"/>
      <c r="UDM23" s="338"/>
      <c r="UDN23" s="338"/>
      <c r="UDO23" s="338"/>
      <c r="UDP23" s="338"/>
      <c r="UDQ23" s="338"/>
      <c r="UDR23" s="338"/>
      <c r="UDS23" s="338"/>
      <c r="UDT23" s="338"/>
      <c r="UDU23" s="338"/>
      <c r="UDV23" s="338"/>
      <c r="UDW23" s="338"/>
      <c r="UDX23" s="338"/>
      <c r="UDY23" s="338"/>
      <c r="UDZ23" s="338"/>
      <c r="UEA23" s="338"/>
      <c r="UEB23" s="338"/>
      <c r="UEC23" s="338"/>
      <c r="UED23" s="338"/>
      <c r="UEE23" s="338"/>
      <c r="UEF23" s="338"/>
      <c r="UEG23" s="338"/>
      <c r="UEH23" s="338"/>
      <c r="UEI23" s="338"/>
      <c r="UEJ23" s="338"/>
      <c r="UEK23" s="338"/>
      <c r="UEL23" s="338"/>
      <c r="UEM23" s="338"/>
      <c r="UEN23" s="338"/>
      <c r="UEO23" s="338"/>
      <c r="UEP23" s="338"/>
      <c r="UEQ23" s="338"/>
      <c r="UER23" s="338"/>
      <c r="UES23" s="338"/>
      <c r="UET23" s="338"/>
      <c r="UEU23" s="338"/>
      <c r="UEV23" s="338"/>
      <c r="UEW23" s="338"/>
      <c r="UEX23" s="338"/>
      <c r="UEY23" s="338"/>
      <c r="UEZ23" s="338"/>
      <c r="UFA23" s="338"/>
      <c r="UFB23" s="338"/>
      <c r="UFC23" s="338"/>
      <c r="UFD23" s="338"/>
      <c r="UFE23" s="338"/>
      <c r="UFF23" s="338"/>
      <c r="UFG23" s="338"/>
      <c r="UFH23" s="338"/>
      <c r="UFI23" s="338"/>
      <c r="UFJ23" s="338"/>
      <c r="UFK23" s="338"/>
      <c r="UFL23" s="338"/>
      <c r="UFM23" s="338"/>
      <c r="UFN23" s="338"/>
      <c r="UFO23" s="338"/>
      <c r="UFP23" s="338"/>
      <c r="UFQ23" s="338"/>
      <c r="UFR23" s="338"/>
      <c r="UFS23" s="338"/>
      <c r="UFT23" s="338"/>
      <c r="UFU23" s="338"/>
      <c r="UFV23" s="338"/>
      <c r="UFW23" s="338"/>
      <c r="UFX23" s="338"/>
      <c r="UFY23" s="338"/>
      <c r="UFZ23" s="338"/>
      <c r="UGA23" s="338"/>
      <c r="UGB23" s="338"/>
      <c r="UGC23" s="338"/>
      <c r="UGD23" s="338"/>
      <c r="UGE23" s="338"/>
      <c r="UGF23" s="338"/>
      <c r="UGG23" s="338"/>
      <c r="UGH23" s="338"/>
      <c r="UGI23" s="338"/>
      <c r="UGJ23" s="338"/>
      <c r="UGK23" s="338"/>
      <c r="UGL23" s="338"/>
      <c r="UGM23" s="338"/>
      <c r="UGN23" s="338"/>
      <c r="UGO23" s="338"/>
      <c r="UGP23" s="338"/>
      <c r="UGQ23" s="338"/>
      <c r="UGR23" s="338"/>
      <c r="UGS23" s="338"/>
      <c r="UGT23" s="338"/>
      <c r="UGU23" s="338"/>
      <c r="UGV23" s="338"/>
      <c r="UGW23" s="338"/>
      <c r="UGX23" s="338"/>
      <c r="UGY23" s="338"/>
      <c r="UGZ23" s="338"/>
      <c r="UHA23" s="338"/>
      <c r="UHB23" s="338"/>
      <c r="UHC23" s="338"/>
      <c r="UHD23" s="338"/>
      <c r="UHE23" s="338"/>
      <c r="UHF23" s="338"/>
      <c r="UHG23" s="338"/>
      <c r="UHH23" s="338"/>
      <c r="UHI23" s="338"/>
      <c r="UHJ23" s="338"/>
      <c r="UHK23" s="338"/>
      <c r="UHL23" s="338"/>
      <c r="UHM23" s="338"/>
      <c r="UHN23" s="338"/>
      <c r="UHO23" s="338"/>
      <c r="UHP23" s="338"/>
      <c r="UHQ23" s="338"/>
      <c r="UHR23" s="338"/>
      <c r="UHS23" s="338"/>
      <c r="UHT23" s="338"/>
      <c r="UHU23" s="338"/>
      <c r="UHV23" s="338"/>
      <c r="UHW23" s="338"/>
      <c r="UHX23" s="338"/>
      <c r="UHY23" s="338"/>
      <c r="UHZ23" s="338"/>
      <c r="UIA23" s="338"/>
      <c r="UIB23" s="338"/>
      <c r="UIC23" s="338"/>
      <c r="UID23" s="338"/>
      <c r="UIE23" s="338"/>
      <c r="UIF23" s="338"/>
      <c r="UIG23" s="338"/>
      <c r="UIH23" s="338"/>
      <c r="UII23" s="338"/>
      <c r="UIJ23" s="338"/>
      <c r="UIK23" s="338"/>
      <c r="UIL23" s="338"/>
      <c r="UIM23" s="338"/>
      <c r="UIN23" s="338"/>
      <c r="UIO23" s="338"/>
      <c r="UIP23" s="338"/>
      <c r="UIQ23" s="338"/>
      <c r="UIR23" s="338"/>
      <c r="UIS23" s="338"/>
      <c r="UIT23" s="338"/>
      <c r="UIU23" s="338"/>
      <c r="UIV23" s="338"/>
      <c r="UIW23" s="338"/>
      <c r="UIX23" s="338"/>
      <c r="UIY23" s="338"/>
      <c r="UIZ23" s="338"/>
      <c r="UJA23" s="338"/>
      <c r="UJB23" s="338"/>
      <c r="UJC23" s="338"/>
      <c r="UJD23" s="338"/>
      <c r="UJE23" s="338"/>
      <c r="UJF23" s="338"/>
      <c r="UJG23" s="338"/>
      <c r="UJH23" s="338"/>
      <c r="UJI23" s="338"/>
      <c r="UJJ23" s="338"/>
      <c r="UJK23" s="338"/>
      <c r="UJL23" s="338"/>
      <c r="UJM23" s="338"/>
      <c r="UJN23" s="338"/>
      <c r="UJO23" s="338"/>
      <c r="UJP23" s="338"/>
      <c r="UJQ23" s="338"/>
      <c r="UJR23" s="338"/>
      <c r="UJS23" s="338"/>
      <c r="UJT23" s="338"/>
      <c r="UJU23" s="338"/>
      <c r="UJV23" s="338"/>
      <c r="UJW23" s="338"/>
      <c r="UJX23" s="338"/>
      <c r="UJY23" s="338"/>
      <c r="UJZ23" s="338"/>
      <c r="UKA23" s="338"/>
      <c r="UKB23" s="338"/>
      <c r="UKC23" s="338"/>
      <c r="UKD23" s="338"/>
      <c r="UKE23" s="338"/>
      <c r="UKF23" s="338"/>
      <c r="UKG23" s="338"/>
      <c r="UKH23" s="338"/>
      <c r="UKI23" s="338"/>
      <c r="UKJ23" s="338"/>
      <c r="UKK23" s="338"/>
      <c r="UKL23" s="338"/>
      <c r="UKM23" s="338"/>
      <c r="UKN23" s="338"/>
      <c r="UKO23" s="338"/>
      <c r="UKP23" s="338"/>
      <c r="UKQ23" s="338"/>
      <c r="UKR23" s="338"/>
      <c r="UKS23" s="338"/>
      <c r="UKT23" s="338"/>
      <c r="UKU23" s="338"/>
      <c r="UKV23" s="338"/>
      <c r="UKW23" s="338"/>
      <c r="UKX23" s="338"/>
      <c r="UKY23" s="338"/>
      <c r="UKZ23" s="338"/>
      <c r="ULA23" s="338"/>
      <c r="ULB23" s="338"/>
      <c r="ULC23" s="338"/>
      <c r="ULD23" s="338"/>
      <c r="ULE23" s="338"/>
      <c r="ULF23" s="338"/>
      <c r="ULG23" s="338"/>
      <c r="ULH23" s="338"/>
      <c r="ULI23" s="338"/>
      <c r="ULJ23" s="338"/>
      <c r="ULK23" s="338"/>
      <c r="ULL23" s="338"/>
      <c r="ULM23" s="338"/>
      <c r="ULN23" s="338"/>
      <c r="ULO23" s="338"/>
      <c r="ULP23" s="338"/>
      <c r="ULQ23" s="338"/>
      <c r="ULR23" s="338"/>
      <c r="ULS23" s="338"/>
      <c r="ULT23" s="338"/>
      <c r="ULU23" s="338"/>
      <c r="ULV23" s="338"/>
      <c r="ULW23" s="338"/>
      <c r="ULX23" s="338"/>
      <c r="ULY23" s="338"/>
      <c r="ULZ23" s="338"/>
      <c r="UMA23" s="338"/>
      <c r="UMB23" s="338"/>
      <c r="UMC23" s="338"/>
      <c r="UMD23" s="338"/>
      <c r="UME23" s="338"/>
      <c r="UMF23" s="338"/>
      <c r="UMG23" s="338"/>
      <c r="UMH23" s="338"/>
      <c r="UMI23" s="338"/>
      <c r="UMJ23" s="338"/>
      <c r="UMK23" s="338"/>
      <c r="UML23" s="338"/>
      <c r="UMM23" s="338"/>
      <c r="UMN23" s="338"/>
      <c r="UMO23" s="338"/>
      <c r="UMP23" s="338"/>
      <c r="UMQ23" s="338"/>
      <c r="UMR23" s="338"/>
      <c r="UMS23" s="338"/>
      <c r="UMT23" s="338"/>
      <c r="UMU23" s="338"/>
      <c r="UMV23" s="338"/>
      <c r="UMW23" s="338"/>
      <c r="UMX23" s="338"/>
      <c r="UMY23" s="338"/>
      <c r="UMZ23" s="338"/>
      <c r="UNA23" s="338"/>
      <c r="UNB23" s="338"/>
      <c r="UNC23" s="338"/>
      <c r="UND23" s="338"/>
      <c r="UNE23" s="338"/>
      <c r="UNF23" s="338"/>
      <c r="UNG23" s="338"/>
      <c r="UNH23" s="338"/>
      <c r="UNI23" s="338"/>
      <c r="UNJ23" s="338"/>
      <c r="UNK23" s="338"/>
      <c r="UNL23" s="338"/>
      <c r="UNM23" s="338"/>
      <c r="UNN23" s="338"/>
      <c r="UNO23" s="338"/>
      <c r="UNP23" s="338"/>
      <c r="UNQ23" s="338"/>
      <c r="UNR23" s="338"/>
      <c r="UNS23" s="338"/>
      <c r="UNT23" s="338"/>
      <c r="UNU23" s="338"/>
      <c r="UNV23" s="338"/>
      <c r="UNW23" s="338"/>
      <c r="UNX23" s="338"/>
      <c r="UNY23" s="338"/>
      <c r="UNZ23" s="338"/>
      <c r="UOA23" s="338"/>
      <c r="UOB23" s="338"/>
      <c r="UOC23" s="338"/>
      <c r="UOD23" s="338"/>
      <c r="UOE23" s="338"/>
      <c r="UOF23" s="338"/>
      <c r="UOG23" s="338"/>
      <c r="UOH23" s="338"/>
      <c r="UOI23" s="338"/>
      <c r="UOJ23" s="338"/>
      <c r="UOK23" s="338"/>
      <c r="UOL23" s="338"/>
      <c r="UOM23" s="338"/>
      <c r="UON23" s="338"/>
      <c r="UOO23" s="338"/>
      <c r="UOP23" s="338"/>
      <c r="UOQ23" s="338"/>
      <c r="UOR23" s="338"/>
      <c r="UOS23" s="338"/>
      <c r="UOT23" s="338"/>
      <c r="UOU23" s="338"/>
      <c r="UOV23" s="338"/>
      <c r="UOW23" s="338"/>
      <c r="UOX23" s="338"/>
      <c r="UOY23" s="338"/>
      <c r="UOZ23" s="338"/>
      <c r="UPA23" s="338"/>
      <c r="UPB23" s="338"/>
      <c r="UPC23" s="338"/>
      <c r="UPD23" s="338"/>
      <c r="UPE23" s="338"/>
      <c r="UPF23" s="338"/>
      <c r="UPG23" s="338"/>
      <c r="UPH23" s="338"/>
      <c r="UPI23" s="338"/>
      <c r="UPJ23" s="338"/>
      <c r="UPK23" s="338"/>
      <c r="UPL23" s="338"/>
      <c r="UPM23" s="338"/>
      <c r="UPN23" s="338"/>
      <c r="UPO23" s="338"/>
      <c r="UPP23" s="338"/>
      <c r="UPQ23" s="338"/>
      <c r="UPR23" s="338"/>
      <c r="UPS23" s="338"/>
      <c r="UPT23" s="338"/>
      <c r="UPU23" s="338"/>
      <c r="UPV23" s="338"/>
      <c r="UPW23" s="338"/>
      <c r="UPX23" s="338"/>
      <c r="UPY23" s="338"/>
      <c r="UPZ23" s="338"/>
      <c r="UQA23" s="338"/>
      <c r="UQB23" s="338"/>
      <c r="UQC23" s="338"/>
      <c r="UQD23" s="338"/>
      <c r="UQE23" s="338"/>
      <c r="UQF23" s="338"/>
      <c r="UQG23" s="338"/>
      <c r="UQH23" s="338"/>
      <c r="UQI23" s="338"/>
      <c r="UQJ23" s="338"/>
      <c r="UQK23" s="338"/>
      <c r="UQL23" s="338"/>
      <c r="UQM23" s="338"/>
      <c r="UQN23" s="338"/>
      <c r="UQO23" s="338"/>
      <c r="UQP23" s="338"/>
      <c r="UQQ23" s="338"/>
      <c r="UQR23" s="338"/>
      <c r="UQS23" s="338"/>
      <c r="UQT23" s="338"/>
      <c r="UQU23" s="338"/>
      <c r="UQV23" s="338"/>
      <c r="UQW23" s="338"/>
      <c r="UQX23" s="338"/>
      <c r="UQY23" s="338"/>
      <c r="UQZ23" s="338"/>
      <c r="URA23" s="338"/>
      <c r="URB23" s="338"/>
      <c r="URC23" s="338"/>
      <c r="URD23" s="338"/>
      <c r="URE23" s="338"/>
      <c r="URF23" s="338"/>
      <c r="URG23" s="338"/>
      <c r="URH23" s="338"/>
      <c r="URI23" s="338"/>
      <c r="URJ23" s="338"/>
      <c r="URK23" s="338"/>
      <c r="URL23" s="338"/>
      <c r="URM23" s="338"/>
      <c r="URN23" s="338"/>
      <c r="URO23" s="338"/>
      <c r="URP23" s="338"/>
      <c r="URQ23" s="338"/>
      <c r="URR23" s="338"/>
      <c r="URS23" s="338"/>
      <c r="URT23" s="338"/>
      <c r="URU23" s="338"/>
      <c r="URV23" s="338"/>
      <c r="URW23" s="338"/>
      <c r="URX23" s="338"/>
      <c r="URY23" s="338"/>
      <c r="URZ23" s="338"/>
      <c r="USA23" s="338"/>
      <c r="USB23" s="338"/>
      <c r="USC23" s="338"/>
      <c r="USD23" s="338"/>
      <c r="USE23" s="338"/>
      <c r="USF23" s="338"/>
      <c r="USG23" s="338"/>
      <c r="USH23" s="338"/>
      <c r="USI23" s="338"/>
      <c r="USJ23" s="338"/>
      <c r="USK23" s="338"/>
      <c r="USL23" s="338"/>
      <c r="USM23" s="338"/>
      <c r="USN23" s="338"/>
      <c r="USO23" s="338"/>
      <c r="USP23" s="338"/>
      <c r="USQ23" s="338"/>
      <c r="USR23" s="338"/>
      <c r="USS23" s="338"/>
      <c r="UST23" s="338"/>
      <c r="USU23" s="338"/>
      <c r="USV23" s="338"/>
      <c r="USW23" s="338"/>
      <c r="USX23" s="338"/>
      <c r="USY23" s="338"/>
      <c r="USZ23" s="338"/>
      <c r="UTA23" s="338"/>
      <c r="UTB23" s="338"/>
      <c r="UTC23" s="338"/>
      <c r="UTD23" s="338"/>
      <c r="UTE23" s="338"/>
      <c r="UTF23" s="338"/>
      <c r="UTG23" s="338"/>
      <c r="UTH23" s="338"/>
      <c r="UTI23" s="338"/>
      <c r="UTJ23" s="338"/>
      <c r="UTK23" s="338"/>
      <c r="UTL23" s="338"/>
      <c r="UTM23" s="338"/>
      <c r="UTN23" s="338"/>
      <c r="UTO23" s="338"/>
      <c r="UTP23" s="338"/>
      <c r="UTQ23" s="338"/>
      <c r="UTR23" s="338"/>
      <c r="UTS23" s="338"/>
      <c r="UTT23" s="338"/>
      <c r="UTU23" s="338"/>
      <c r="UTV23" s="338"/>
      <c r="UTW23" s="338"/>
      <c r="UTX23" s="338"/>
      <c r="UTY23" s="338"/>
      <c r="UTZ23" s="338"/>
      <c r="UUA23" s="338"/>
      <c r="UUB23" s="338"/>
      <c r="UUC23" s="338"/>
      <c r="UUD23" s="338"/>
      <c r="UUE23" s="338"/>
      <c r="UUF23" s="338"/>
      <c r="UUG23" s="338"/>
      <c r="UUH23" s="338"/>
      <c r="UUI23" s="338"/>
      <c r="UUJ23" s="338"/>
      <c r="UUK23" s="338"/>
      <c r="UUL23" s="338"/>
      <c r="UUM23" s="338"/>
      <c r="UUN23" s="338"/>
      <c r="UUO23" s="338"/>
      <c r="UUP23" s="338"/>
      <c r="UUQ23" s="338"/>
      <c r="UUR23" s="338"/>
      <c r="UUS23" s="338"/>
      <c r="UUT23" s="338"/>
      <c r="UUU23" s="338"/>
      <c r="UUV23" s="338"/>
      <c r="UUW23" s="338"/>
      <c r="UUX23" s="338"/>
      <c r="UUY23" s="338"/>
      <c r="UUZ23" s="338"/>
      <c r="UVA23" s="338"/>
      <c r="UVB23" s="338"/>
      <c r="UVC23" s="338"/>
      <c r="UVD23" s="338"/>
      <c r="UVE23" s="338"/>
      <c r="UVF23" s="338"/>
      <c r="UVG23" s="338"/>
      <c r="UVH23" s="338"/>
      <c r="UVI23" s="338"/>
      <c r="UVJ23" s="338"/>
      <c r="UVK23" s="338"/>
      <c r="UVL23" s="338"/>
      <c r="UVM23" s="338"/>
      <c r="UVN23" s="338"/>
      <c r="UVO23" s="338"/>
      <c r="UVP23" s="338"/>
      <c r="UVQ23" s="338"/>
      <c r="UVR23" s="338"/>
      <c r="UVS23" s="338"/>
      <c r="UVT23" s="338"/>
      <c r="UVU23" s="338"/>
      <c r="UVV23" s="338"/>
      <c r="UVW23" s="338"/>
      <c r="UVX23" s="338"/>
      <c r="UVY23" s="338"/>
      <c r="UVZ23" s="338"/>
      <c r="UWA23" s="338"/>
      <c r="UWB23" s="338"/>
      <c r="UWC23" s="338"/>
      <c r="UWD23" s="338"/>
      <c r="UWE23" s="338"/>
      <c r="UWF23" s="338"/>
      <c r="UWG23" s="338"/>
      <c r="UWH23" s="338"/>
      <c r="UWI23" s="338"/>
      <c r="UWJ23" s="338"/>
      <c r="UWK23" s="338"/>
      <c r="UWL23" s="338"/>
      <c r="UWM23" s="338"/>
      <c r="UWN23" s="338"/>
      <c r="UWO23" s="338"/>
      <c r="UWP23" s="338"/>
      <c r="UWQ23" s="338"/>
      <c r="UWR23" s="338"/>
      <c r="UWS23" s="338"/>
      <c r="UWT23" s="338"/>
      <c r="UWU23" s="338"/>
      <c r="UWV23" s="338"/>
      <c r="UWW23" s="338"/>
      <c r="UWX23" s="338"/>
      <c r="UWY23" s="338"/>
      <c r="UWZ23" s="338"/>
      <c r="UXA23" s="338"/>
      <c r="UXB23" s="338"/>
      <c r="UXC23" s="338"/>
      <c r="UXD23" s="338"/>
      <c r="UXE23" s="338"/>
      <c r="UXF23" s="338"/>
      <c r="UXG23" s="338"/>
      <c r="UXH23" s="338"/>
      <c r="UXI23" s="338"/>
      <c r="UXJ23" s="338"/>
      <c r="UXK23" s="338"/>
      <c r="UXL23" s="338"/>
      <c r="UXM23" s="338"/>
      <c r="UXN23" s="338"/>
      <c r="UXO23" s="338"/>
      <c r="UXP23" s="338"/>
      <c r="UXQ23" s="338"/>
      <c r="UXR23" s="338"/>
      <c r="UXS23" s="338"/>
      <c r="UXT23" s="338"/>
      <c r="UXU23" s="338"/>
      <c r="UXV23" s="338"/>
      <c r="UXW23" s="338"/>
      <c r="UXX23" s="338"/>
      <c r="UXY23" s="338"/>
      <c r="UXZ23" s="338"/>
      <c r="UYA23" s="338"/>
      <c r="UYB23" s="338"/>
      <c r="UYC23" s="338"/>
      <c r="UYD23" s="338"/>
      <c r="UYE23" s="338"/>
      <c r="UYF23" s="338"/>
      <c r="UYG23" s="338"/>
      <c r="UYH23" s="338"/>
      <c r="UYI23" s="338"/>
      <c r="UYJ23" s="338"/>
      <c r="UYK23" s="338"/>
      <c r="UYL23" s="338"/>
      <c r="UYM23" s="338"/>
      <c r="UYN23" s="338"/>
      <c r="UYO23" s="338"/>
      <c r="UYP23" s="338"/>
      <c r="UYQ23" s="338"/>
      <c r="UYR23" s="338"/>
      <c r="UYS23" s="338"/>
      <c r="UYT23" s="338"/>
      <c r="UYU23" s="338"/>
      <c r="UYV23" s="338"/>
      <c r="UYW23" s="338"/>
      <c r="UYX23" s="338"/>
      <c r="UYY23" s="338"/>
      <c r="UYZ23" s="338"/>
      <c r="UZA23" s="338"/>
      <c r="UZB23" s="338"/>
      <c r="UZC23" s="338"/>
      <c r="UZD23" s="338"/>
      <c r="UZE23" s="338"/>
      <c r="UZF23" s="338"/>
      <c r="UZG23" s="338"/>
      <c r="UZH23" s="338"/>
      <c r="UZI23" s="338"/>
      <c r="UZJ23" s="338"/>
      <c r="UZK23" s="338"/>
      <c r="UZL23" s="338"/>
      <c r="UZM23" s="338"/>
      <c r="UZN23" s="338"/>
      <c r="UZO23" s="338"/>
      <c r="UZP23" s="338"/>
      <c r="UZQ23" s="338"/>
      <c r="UZR23" s="338"/>
      <c r="UZS23" s="338"/>
      <c r="UZT23" s="338"/>
      <c r="UZU23" s="338"/>
      <c r="UZV23" s="338"/>
      <c r="UZW23" s="338"/>
      <c r="UZX23" s="338"/>
      <c r="UZY23" s="338"/>
      <c r="UZZ23" s="338"/>
      <c r="VAA23" s="338"/>
      <c r="VAB23" s="338"/>
      <c r="VAC23" s="338"/>
      <c r="VAD23" s="338"/>
      <c r="VAE23" s="338"/>
      <c r="VAF23" s="338"/>
      <c r="VAG23" s="338"/>
      <c r="VAH23" s="338"/>
      <c r="VAI23" s="338"/>
      <c r="VAJ23" s="338"/>
      <c r="VAK23" s="338"/>
      <c r="VAL23" s="338"/>
      <c r="VAM23" s="338"/>
      <c r="VAN23" s="338"/>
      <c r="VAO23" s="338"/>
      <c r="VAP23" s="338"/>
      <c r="VAQ23" s="338"/>
      <c r="VAR23" s="338"/>
      <c r="VAS23" s="338"/>
      <c r="VAT23" s="338"/>
      <c r="VAU23" s="338"/>
      <c r="VAV23" s="338"/>
      <c r="VAW23" s="338"/>
      <c r="VAX23" s="338"/>
      <c r="VAY23" s="338"/>
      <c r="VAZ23" s="338"/>
      <c r="VBA23" s="338"/>
      <c r="VBB23" s="338"/>
      <c r="VBC23" s="338"/>
      <c r="VBD23" s="338"/>
      <c r="VBE23" s="338"/>
      <c r="VBF23" s="338"/>
      <c r="VBG23" s="338"/>
      <c r="VBH23" s="338"/>
      <c r="VBI23" s="338"/>
      <c r="VBJ23" s="338"/>
      <c r="VBK23" s="338"/>
      <c r="VBL23" s="338"/>
      <c r="VBM23" s="338"/>
      <c r="VBN23" s="338"/>
      <c r="VBO23" s="338"/>
      <c r="VBP23" s="338"/>
      <c r="VBQ23" s="338"/>
      <c r="VBR23" s="338"/>
      <c r="VBS23" s="338"/>
      <c r="VBT23" s="338"/>
      <c r="VBU23" s="338"/>
      <c r="VBV23" s="338"/>
      <c r="VBW23" s="338"/>
      <c r="VBX23" s="338"/>
      <c r="VBY23" s="338"/>
      <c r="VBZ23" s="338"/>
      <c r="VCA23" s="338"/>
      <c r="VCB23" s="338"/>
      <c r="VCC23" s="338"/>
      <c r="VCD23" s="338"/>
      <c r="VCE23" s="338"/>
      <c r="VCF23" s="338"/>
      <c r="VCG23" s="338"/>
      <c r="VCH23" s="338"/>
      <c r="VCI23" s="338"/>
      <c r="VCJ23" s="338"/>
      <c r="VCK23" s="338"/>
      <c r="VCL23" s="338"/>
      <c r="VCM23" s="338"/>
      <c r="VCN23" s="338"/>
      <c r="VCO23" s="338"/>
      <c r="VCP23" s="338"/>
      <c r="VCQ23" s="338"/>
      <c r="VCR23" s="338"/>
      <c r="VCS23" s="338"/>
      <c r="VCT23" s="338"/>
      <c r="VCU23" s="338"/>
      <c r="VCV23" s="338"/>
      <c r="VCW23" s="338"/>
      <c r="VCX23" s="338"/>
      <c r="VCY23" s="338"/>
      <c r="VCZ23" s="338"/>
      <c r="VDA23" s="338"/>
      <c r="VDB23" s="338"/>
      <c r="VDC23" s="338"/>
      <c r="VDD23" s="338"/>
      <c r="VDE23" s="338"/>
      <c r="VDF23" s="338"/>
      <c r="VDG23" s="338"/>
      <c r="VDH23" s="338"/>
      <c r="VDI23" s="338"/>
      <c r="VDJ23" s="338"/>
      <c r="VDK23" s="338"/>
      <c r="VDL23" s="338"/>
      <c r="VDM23" s="338"/>
      <c r="VDN23" s="338"/>
      <c r="VDO23" s="338"/>
      <c r="VDP23" s="338"/>
      <c r="VDQ23" s="338"/>
      <c r="VDR23" s="338"/>
      <c r="VDS23" s="338"/>
      <c r="VDT23" s="338"/>
      <c r="VDU23" s="338"/>
      <c r="VDV23" s="338"/>
      <c r="VDW23" s="338"/>
      <c r="VDX23" s="338"/>
      <c r="VDY23" s="338"/>
      <c r="VDZ23" s="338"/>
      <c r="VEA23" s="338"/>
      <c r="VEB23" s="338"/>
      <c r="VEC23" s="338"/>
      <c r="VED23" s="338"/>
      <c r="VEE23" s="338"/>
      <c r="VEF23" s="338"/>
      <c r="VEG23" s="338"/>
      <c r="VEH23" s="338"/>
      <c r="VEI23" s="338"/>
      <c r="VEJ23" s="338"/>
      <c r="VEK23" s="338"/>
      <c r="VEL23" s="338"/>
      <c r="VEM23" s="338"/>
      <c r="VEN23" s="338"/>
      <c r="VEO23" s="338"/>
      <c r="VEP23" s="338"/>
      <c r="VEQ23" s="338"/>
      <c r="VER23" s="338"/>
      <c r="VES23" s="338"/>
      <c r="VET23" s="338"/>
      <c r="VEU23" s="338"/>
      <c r="VEV23" s="338"/>
      <c r="VEW23" s="338"/>
      <c r="VEX23" s="338"/>
      <c r="VEY23" s="338"/>
      <c r="VEZ23" s="338"/>
      <c r="VFA23" s="338"/>
      <c r="VFB23" s="338"/>
      <c r="VFC23" s="338"/>
      <c r="VFD23" s="338"/>
      <c r="VFE23" s="338"/>
      <c r="VFF23" s="338"/>
      <c r="VFG23" s="338"/>
      <c r="VFH23" s="338"/>
      <c r="VFI23" s="338"/>
      <c r="VFJ23" s="338"/>
      <c r="VFK23" s="338"/>
      <c r="VFL23" s="338"/>
      <c r="VFM23" s="338"/>
      <c r="VFN23" s="338"/>
      <c r="VFO23" s="338"/>
      <c r="VFP23" s="338"/>
      <c r="VFQ23" s="338"/>
      <c r="VFR23" s="338"/>
      <c r="VFS23" s="338"/>
      <c r="VFT23" s="338"/>
      <c r="VFU23" s="338"/>
      <c r="VFV23" s="338"/>
      <c r="VFW23" s="338"/>
      <c r="VFX23" s="338"/>
      <c r="VFY23" s="338"/>
      <c r="VFZ23" s="338"/>
      <c r="VGA23" s="338"/>
      <c r="VGB23" s="338"/>
      <c r="VGC23" s="338"/>
      <c r="VGD23" s="338"/>
      <c r="VGE23" s="338"/>
      <c r="VGF23" s="338"/>
      <c r="VGG23" s="338"/>
      <c r="VGH23" s="338"/>
      <c r="VGI23" s="338"/>
      <c r="VGJ23" s="338"/>
      <c r="VGK23" s="338"/>
      <c r="VGL23" s="338"/>
      <c r="VGM23" s="338"/>
      <c r="VGN23" s="338"/>
      <c r="VGO23" s="338"/>
      <c r="VGP23" s="338"/>
      <c r="VGQ23" s="338"/>
      <c r="VGR23" s="338"/>
      <c r="VGS23" s="338"/>
      <c r="VGT23" s="338"/>
      <c r="VGU23" s="338"/>
      <c r="VGV23" s="338"/>
      <c r="VGW23" s="338"/>
      <c r="VGX23" s="338"/>
      <c r="VGY23" s="338"/>
      <c r="VGZ23" s="338"/>
      <c r="VHA23" s="338"/>
      <c r="VHB23" s="338"/>
      <c r="VHC23" s="338"/>
      <c r="VHD23" s="338"/>
      <c r="VHE23" s="338"/>
      <c r="VHF23" s="338"/>
      <c r="VHG23" s="338"/>
      <c r="VHH23" s="338"/>
      <c r="VHI23" s="338"/>
      <c r="VHJ23" s="338"/>
      <c r="VHK23" s="338"/>
      <c r="VHL23" s="338"/>
      <c r="VHM23" s="338"/>
      <c r="VHN23" s="338"/>
      <c r="VHO23" s="338"/>
      <c r="VHP23" s="338"/>
      <c r="VHQ23" s="338"/>
      <c r="VHR23" s="338"/>
      <c r="VHS23" s="338"/>
      <c r="VHT23" s="338"/>
      <c r="VHU23" s="338"/>
      <c r="VHV23" s="338"/>
      <c r="VHW23" s="338"/>
      <c r="VHX23" s="338"/>
      <c r="VHY23" s="338"/>
      <c r="VHZ23" s="338"/>
      <c r="VIA23" s="338"/>
      <c r="VIB23" s="338"/>
      <c r="VIC23" s="338"/>
      <c r="VID23" s="338"/>
      <c r="VIE23" s="338"/>
      <c r="VIF23" s="338"/>
      <c r="VIG23" s="338"/>
      <c r="VIH23" s="338"/>
      <c r="VII23" s="338"/>
      <c r="VIJ23" s="338"/>
      <c r="VIK23" s="338"/>
      <c r="VIL23" s="338"/>
      <c r="VIM23" s="338"/>
      <c r="VIN23" s="338"/>
      <c r="VIO23" s="338"/>
      <c r="VIP23" s="338"/>
      <c r="VIQ23" s="338"/>
      <c r="VIR23" s="338"/>
      <c r="VIS23" s="338"/>
      <c r="VIT23" s="338"/>
      <c r="VIU23" s="338"/>
      <c r="VIV23" s="338"/>
      <c r="VIW23" s="338"/>
      <c r="VIX23" s="338"/>
      <c r="VIY23" s="338"/>
      <c r="VIZ23" s="338"/>
      <c r="VJA23" s="338"/>
      <c r="VJB23" s="338"/>
      <c r="VJC23" s="338"/>
      <c r="VJD23" s="338"/>
      <c r="VJE23" s="338"/>
      <c r="VJF23" s="338"/>
      <c r="VJG23" s="338"/>
      <c r="VJH23" s="338"/>
      <c r="VJI23" s="338"/>
      <c r="VJJ23" s="338"/>
      <c r="VJK23" s="338"/>
      <c r="VJL23" s="338"/>
      <c r="VJM23" s="338"/>
      <c r="VJN23" s="338"/>
      <c r="VJO23" s="338"/>
      <c r="VJP23" s="338"/>
      <c r="VJQ23" s="338"/>
      <c r="VJR23" s="338"/>
      <c r="VJS23" s="338"/>
      <c r="VJT23" s="338"/>
      <c r="VJU23" s="338"/>
      <c r="VJV23" s="338"/>
      <c r="VJW23" s="338"/>
      <c r="VJX23" s="338"/>
      <c r="VJY23" s="338"/>
      <c r="VJZ23" s="338"/>
      <c r="VKA23" s="338"/>
      <c r="VKB23" s="338"/>
      <c r="VKC23" s="338"/>
      <c r="VKD23" s="338"/>
      <c r="VKE23" s="338"/>
      <c r="VKF23" s="338"/>
      <c r="VKG23" s="338"/>
      <c r="VKH23" s="338"/>
      <c r="VKI23" s="338"/>
      <c r="VKJ23" s="338"/>
      <c r="VKK23" s="338"/>
      <c r="VKL23" s="338"/>
      <c r="VKM23" s="338"/>
      <c r="VKN23" s="338"/>
      <c r="VKO23" s="338"/>
      <c r="VKP23" s="338"/>
      <c r="VKQ23" s="338"/>
      <c r="VKR23" s="338"/>
      <c r="VKS23" s="338"/>
      <c r="VKT23" s="338"/>
      <c r="VKU23" s="338"/>
      <c r="VKV23" s="338"/>
      <c r="VKW23" s="338"/>
      <c r="VKX23" s="338"/>
      <c r="VKY23" s="338"/>
      <c r="VKZ23" s="338"/>
      <c r="VLA23" s="338"/>
      <c r="VLB23" s="338"/>
      <c r="VLC23" s="338"/>
      <c r="VLD23" s="338"/>
      <c r="VLE23" s="338"/>
      <c r="VLF23" s="338"/>
      <c r="VLG23" s="338"/>
      <c r="VLH23" s="338"/>
      <c r="VLI23" s="338"/>
      <c r="VLJ23" s="338"/>
      <c r="VLK23" s="338"/>
      <c r="VLL23" s="338"/>
      <c r="VLM23" s="338"/>
      <c r="VLN23" s="338"/>
      <c r="VLO23" s="338"/>
      <c r="VLP23" s="338"/>
      <c r="VLQ23" s="338"/>
      <c r="VLR23" s="338"/>
      <c r="VLS23" s="338"/>
      <c r="VLT23" s="338"/>
      <c r="VLU23" s="338"/>
      <c r="VLV23" s="338"/>
      <c r="VLW23" s="338"/>
      <c r="VLX23" s="338"/>
      <c r="VLY23" s="338"/>
      <c r="VLZ23" s="338"/>
      <c r="VMA23" s="338"/>
      <c r="VMB23" s="338"/>
      <c r="VMC23" s="338"/>
      <c r="VMD23" s="338"/>
      <c r="VME23" s="338"/>
      <c r="VMF23" s="338"/>
      <c r="VMG23" s="338"/>
      <c r="VMH23" s="338"/>
      <c r="VMI23" s="338"/>
      <c r="VMJ23" s="338"/>
      <c r="VMK23" s="338"/>
      <c r="VML23" s="338"/>
      <c r="VMM23" s="338"/>
      <c r="VMN23" s="338"/>
      <c r="VMO23" s="338"/>
      <c r="VMP23" s="338"/>
      <c r="VMQ23" s="338"/>
      <c r="VMR23" s="338"/>
      <c r="VMS23" s="338"/>
      <c r="VMT23" s="338"/>
      <c r="VMU23" s="338"/>
      <c r="VMV23" s="338"/>
      <c r="VMW23" s="338"/>
      <c r="VMX23" s="338"/>
      <c r="VMY23" s="338"/>
      <c r="VMZ23" s="338"/>
      <c r="VNA23" s="338"/>
      <c r="VNB23" s="338"/>
      <c r="VNC23" s="338"/>
      <c r="VND23" s="338"/>
      <c r="VNE23" s="338"/>
      <c r="VNF23" s="338"/>
      <c r="VNG23" s="338"/>
      <c r="VNH23" s="338"/>
      <c r="VNI23" s="338"/>
      <c r="VNJ23" s="338"/>
      <c r="VNK23" s="338"/>
      <c r="VNL23" s="338"/>
      <c r="VNM23" s="338"/>
      <c r="VNN23" s="338"/>
      <c r="VNO23" s="338"/>
      <c r="VNP23" s="338"/>
      <c r="VNQ23" s="338"/>
      <c r="VNR23" s="338"/>
      <c r="VNS23" s="338"/>
      <c r="VNT23" s="338"/>
      <c r="VNU23" s="338"/>
      <c r="VNV23" s="338"/>
      <c r="VNW23" s="338"/>
      <c r="VNX23" s="338"/>
      <c r="VNY23" s="338"/>
      <c r="VNZ23" s="338"/>
      <c r="VOA23" s="338"/>
      <c r="VOB23" s="338"/>
      <c r="VOC23" s="338"/>
      <c r="VOD23" s="338"/>
      <c r="VOE23" s="338"/>
      <c r="VOF23" s="338"/>
      <c r="VOG23" s="338"/>
      <c r="VOH23" s="338"/>
      <c r="VOI23" s="338"/>
      <c r="VOJ23" s="338"/>
      <c r="VOK23" s="338"/>
      <c r="VOL23" s="338"/>
      <c r="VOM23" s="338"/>
      <c r="VON23" s="338"/>
      <c r="VOO23" s="338"/>
      <c r="VOP23" s="338"/>
      <c r="VOQ23" s="338"/>
      <c r="VOR23" s="338"/>
      <c r="VOS23" s="338"/>
      <c r="VOT23" s="338"/>
      <c r="VOU23" s="338"/>
      <c r="VOV23" s="338"/>
      <c r="VOW23" s="338"/>
      <c r="VOX23" s="338"/>
      <c r="VOY23" s="338"/>
      <c r="VOZ23" s="338"/>
      <c r="VPA23" s="338"/>
      <c r="VPB23" s="338"/>
      <c r="VPC23" s="338"/>
      <c r="VPD23" s="338"/>
      <c r="VPE23" s="338"/>
      <c r="VPF23" s="338"/>
      <c r="VPG23" s="338"/>
      <c r="VPH23" s="338"/>
      <c r="VPI23" s="338"/>
      <c r="VPJ23" s="338"/>
      <c r="VPK23" s="338"/>
      <c r="VPL23" s="338"/>
      <c r="VPM23" s="338"/>
      <c r="VPN23" s="338"/>
      <c r="VPO23" s="338"/>
      <c r="VPP23" s="338"/>
      <c r="VPQ23" s="338"/>
      <c r="VPR23" s="338"/>
      <c r="VPS23" s="338"/>
      <c r="VPT23" s="338"/>
      <c r="VPU23" s="338"/>
      <c r="VPV23" s="338"/>
      <c r="VPW23" s="338"/>
      <c r="VPX23" s="338"/>
      <c r="VPY23" s="338"/>
      <c r="VPZ23" s="338"/>
      <c r="VQA23" s="338"/>
      <c r="VQB23" s="338"/>
      <c r="VQC23" s="338"/>
      <c r="VQD23" s="338"/>
      <c r="VQE23" s="338"/>
      <c r="VQF23" s="338"/>
      <c r="VQG23" s="338"/>
      <c r="VQH23" s="338"/>
      <c r="VQI23" s="338"/>
      <c r="VQJ23" s="338"/>
      <c r="VQK23" s="338"/>
      <c r="VQL23" s="338"/>
      <c r="VQM23" s="338"/>
      <c r="VQN23" s="338"/>
      <c r="VQO23" s="338"/>
      <c r="VQP23" s="338"/>
      <c r="VQQ23" s="338"/>
      <c r="VQR23" s="338"/>
      <c r="VQS23" s="338"/>
      <c r="VQT23" s="338"/>
      <c r="VQU23" s="338"/>
      <c r="VQV23" s="338"/>
      <c r="VQW23" s="338"/>
      <c r="VQX23" s="338"/>
      <c r="VQY23" s="338"/>
      <c r="VQZ23" s="338"/>
      <c r="VRA23" s="338"/>
      <c r="VRB23" s="338"/>
      <c r="VRC23" s="338"/>
      <c r="VRD23" s="338"/>
      <c r="VRE23" s="338"/>
      <c r="VRF23" s="338"/>
      <c r="VRG23" s="338"/>
      <c r="VRH23" s="338"/>
      <c r="VRI23" s="338"/>
      <c r="VRJ23" s="338"/>
      <c r="VRK23" s="338"/>
      <c r="VRL23" s="338"/>
      <c r="VRM23" s="338"/>
      <c r="VRN23" s="338"/>
      <c r="VRO23" s="338"/>
      <c r="VRP23" s="338"/>
      <c r="VRQ23" s="338"/>
      <c r="VRR23" s="338"/>
      <c r="VRS23" s="338"/>
      <c r="VRT23" s="338"/>
      <c r="VRU23" s="338"/>
      <c r="VRV23" s="338"/>
      <c r="VRW23" s="338"/>
      <c r="VRX23" s="338"/>
      <c r="VRY23" s="338"/>
      <c r="VRZ23" s="338"/>
      <c r="VSA23" s="338"/>
      <c r="VSB23" s="338"/>
      <c r="VSC23" s="338"/>
      <c r="VSD23" s="338"/>
      <c r="VSE23" s="338"/>
      <c r="VSF23" s="338"/>
      <c r="VSG23" s="338"/>
      <c r="VSH23" s="338"/>
      <c r="VSI23" s="338"/>
      <c r="VSJ23" s="338"/>
      <c r="VSK23" s="338"/>
      <c r="VSL23" s="338"/>
      <c r="VSM23" s="338"/>
      <c r="VSN23" s="338"/>
      <c r="VSO23" s="338"/>
      <c r="VSP23" s="338"/>
      <c r="VSQ23" s="338"/>
      <c r="VSR23" s="338"/>
      <c r="VSS23" s="338"/>
      <c r="VST23" s="338"/>
      <c r="VSU23" s="338"/>
      <c r="VSV23" s="338"/>
      <c r="VSW23" s="338"/>
      <c r="VSX23" s="338"/>
      <c r="VSY23" s="338"/>
      <c r="VSZ23" s="338"/>
      <c r="VTA23" s="338"/>
      <c r="VTB23" s="338"/>
      <c r="VTC23" s="338"/>
      <c r="VTD23" s="338"/>
      <c r="VTE23" s="338"/>
      <c r="VTF23" s="338"/>
      <c r="VTG23" s="338"/>
      <c r="VTH23" s="338"/>
      <c r="VTI23" s="338"/>
      <c r="VTJ23" s="338"/>
      <c r="VTK23" s="338"/>
      <c r="VTL23" s="338"/>
      <c r="VTM23" s="338"/>
      <c r="VTN23" s="338"/>
      <c r="VTO23" s="338"/>
      <c r="VTP23" s="338"/>
      <c r="VTQ23" s="338"/>
      <c r="VTR23" s="338"/>
      <c r="VTS23" s="338"/>
      <c r="VTT23" s="338"/>
      <c r="VTU23" s="338"/>
      <c r="VTV23" s="338"/>
      <c r="VTW23" s="338"/>
      <c r="VTX23" s="338"/>
      <c r="VTY23" s="338"/>
      <c r="VTZ23" s="338"/>
      <c r="VUA23" s="338"/>
      <c r="VUB23" s="338"/>
      <c r="VUC23" s="338"/>
      <c r="VUD23" s="338"/>
      <c r="VUE23" s="338"/>
      <c r="VUF23" s="338"/>
      <c r="VUG23" s="338"/>
      <c r="VUH23" s="338"/>
      <c r="VUI23" s="338"/>
      <c r="VUJ23" s="338"/>
      <c r="VUK23" s="338"/>
      <c r="VUL23" s="338"/>
      <c r="VUM23" s="338"/>
      <c r="VUN23" s="338"/>
      <c r="VUO23" s="338"/>
      <c r="VUP23" s="338"/>
      <c r="VUQ23" s="338"/>
      <c r="VUR23" s="338"/>
      <c r="VUS23" s="338"/>
      <c r="VUT23" s="338"/>
      <c r="VUU23" s="338"/>
      <c r="VUV23" s="338"/>
      <c r="VUW23" s="338"/>
      <c r="VUX23" s="338"/>
      <c r="VUY23" s="338"/>
      <c r="VUZ23" s="338"/>
      <c r="VVA23" s="338"/>
      <c r="VVB23" s="338"/>
      <c r="VVC23" s="338"/>
      <c r="VVD23" s="338"/>
      <c r="VVE23" s="338"/>
      <c r="VVF23" s="338"/>
      <c r="VVG23" s="338"/>
      <c r="VVH23" s="338"/>
      <c r="VVI23" s="338"/>
      <c r="VVJ23" s="338"/>
      <c r="VVK23" s="338"/>
      <c r="VVL23" s="338"/>
      <c r="VVM23" s="338"/>
      <c r="VVN23" s="338"/>
      <c r="VVO23" s="338"/>
      <c r="VVP23" s="338"/>
      <c r="VVQ23" s="338"/>
      <c r="VVR23" s="338"/>
      <c r="VVS23" s="338"/>
      <c r="VVT23" s="338"/>
      <c r="VVU23" s="338"/>
      <c r="VVV23" s="338"/>
      <c r="VVW23" s="338"/>
      <c r="VVX23" s="338"/>
      <c r="VVY23" s="338"/>
      <c r="VVZ23" s="338"/>
      <c r="VWA23" s="338"/>
      <c r="VWB23" s="338"/>
      <c r="VWC23" s="338"/>
      <c r="VWD23" s="338"/>
      <c r="VWE23" s="338"/>
      <c r="VWF23" s="338"/>
      <c r="VWG23" s="338"/>
      <c r="VWH23" s="338"/>
      <c r="VWI23" s="338"/>
      <c r="VWJ23" s="338"/>
      <c r="VWK23" s="338"/>
      <c r="VWL23" s="338"/>
      <c r="VWM23" s="338"/>
      <c r="VWN23" s="338"/>
      <c r="VWO23" s="338"/>
      <c r="VWP23" s="338"/>
      <c r="VWQ23" s="338"/>
      <c r="VWR23" s="338"/>
      <c r="VWS23" s="338"/>
      <c r="VWT23" s="338"/>
      <c r="VWU23" s="338"/>
      <c r="VWV23" s="338"/>
      <c r="VWW23" s="338"/>
      <c r="VWX23" s="338"/>
      <c r="VWY23" s="338"/>
      <c r="VWZ23" s="338"/>
      <c r="VXA23" s="338"/>
      <c r="VXB23" s="338"/>
      <c r="VXC23" s="338"/>
      <c r="VXD23" s="338"/>
      <c r="VXE23" s="338"/>
      <c r="VXF23" s="338"/>
      <c r="VXG23" s="338"/>
      <c r="VXH23" s="338"/>
      <c r="VXI23" s="338"/>
      <c r="VXJ23" s="338"/>
      <c r="VXK23" s="338"/>
      <c r="VXL23" s="338"/>
      <c r="VXM23" s="338"/>
      <c r="VXN23" s="338"/>
      <c r="VXO23" s="338"/>
      <c r="VXP23" s="338"/>
      <c r="VXQ23" s="338"/>
      <c r="VXR23" s="338"/>
      <c r="VXS23" s="338"/>
      <c r="VXT23" s="338"/>
      <c r="VXU23" s="338"/>
      <c r="VXV23" s="338"/>
      <c r="VXW23" s="338"/>
      <c r="VXX23" s="338"/>
      <c r="VXY23" s="338"/>
      <c r="VXZ23" s="338"/>
      <c r="VYA23" s="338"/>
      <c r="VYB23" s="338"/>
      <c r="VYC23" s="338"/>
      <c r="VYD23" s="338"/>
      <c r="VYE23" s="338"/>
      <c r="VYF23" s="338"/>
      <c r="VYG23" s="338"/>
      <c r="VYH23" s="338"/>
      <c r="VYI23" s="338"/>
      <c r="VYJ23" s="338"/>
      <c r="VYK23" s="338"/>
      <c r="VYL23" s="338"/>
      <c r="VYM23" s="338"/>
      <c r="VYN23" s="338"/>
      <c r="VYO23" s="338"/>
      <c r="VYP23" s="338"/>
      <c r="VYQ23" s="338"/>
      <c r="VYR23" s="338"/>
      <c r="VYS23" s="338"/>
      <c r="VYT23" s="338"/>
      <c r="VYU23" s="338"/>
      <c r="VYV23" s="338"/>
      <c r="VYW23" s="338"/>
      <c r="VYX23" s="338"/>
      <c r="VYY23" s="338"/>
      <c r="VYZ23" s="338"/>
      <c r="VZA23" s="338"/>
      <c r="VZB23" s="338"/>
      <c r="VZC23" s="338"/>
      <c r="VZD23" s="338"/>
      <c r="VZE23" s="338"/>
      <c r="VZF23" s="338"/>
      <c r="VZG23" s="338"/>
      <c r="VZH23" s="338"/>
      <c r="VZI23" s="338"/>
      <c r="VZJ23" s="338"/>
      <c r="VZK23" s="338"/>
      <c r="VZL23" s="338"/>
      <c r="VZM23" s="338"/>
      <c r="VZN23" s="338"/>
      <c r="VZO23" s="338"/>
      <c r="VZP23" s="338"/>
      <c r="VZQ23" s="338"/>
      <c r="VZR23" s="338"/>
      <c r="VZS23" s="338"/>
      <c r="VZT23" s="338"/>
      <c r="VZU23" s="338"/>
      <c r="VZV23" s="338"/>
      <c r="VZW23" s="338"/>
      <c r="VZX23" s="338"/>
      <c r="VZY23" s="338"/>
      <c r="VZZ23" s="338"/>
      <c r="WAA23" s="338"/>
      <c r="WAB23" s="338"/>
      <c r="WAC23" s="338"/>
      <c r="WAD23" s="338"/>
      <c r="WAE23" s="338"/>
      <c r="WAF23" s="338"/>
      <c r="WAG23" s="338"/>
      <c r="WAH23" s="338"/>
      <c r="WAI23" s="338"/>
      <c r="WAJ23" s="338"/>
      <c r="WAK23" s="338"/>
      <c r="WAL23" s="338"/>
      <c r="WAM23" s="338"/>
      <c r="WAN23" s="338"/>
      <c r="WAO23" s="338"/>
      <c r="WAP23" s="338"/>
      <c r="WAQ23" s="338"/>
      <c r="WAR23" s="338"/>
      <c r="WAS23" s="338"/>
      <c r="WAT23" s="338"/>
      <c r="WAU23" s="338"/>
      <c r="WAV23" s="338"/>
      <c r="WAW23" s="338"/>
      <c r="WAX23" s="338"/>
      <c r="WAY23" s="338"/>
      <c r="WAZ23" s="338"/>
      <c r="WBA23" s="338"/>
      <c r="WBB23" s="338"/>
      <c r="WBC23" s="338"/>
      <c r="WBD23" s="338"/>
      <c r="WBE23" s="338"/>
      <c r="WBF23" s="338"/>
      <c r="WBG23" s="338"/>
      <c r="WBH23" s="338"/>
      <c r="WBI23" s="338"/>
      <c r="WBJ23" s="338"/>
      <c r="WBK23" s="338"/>
      <c r="WBL23" s="338"/>
      <c r="WBM23" s="338"/>
      <c r="WBN23" s="338"/>
      <c r="WBO23" s="338"/>
      <c r="WBP23" s="338"/>
      <c r="WBQ23" s="338"/>
      <c r="WBR23" s="338"/>
      <c r="WBS23" s="338"/>
      <c r="WBT23" s="338"/>
      <c r="WBU23" s="338"/>
      <c r="WBV23" s="338"/>
      <c r="WBW23" s="338"/>
      <c r="WBX23" s="338"/>
      <c r="WBY23" s="338"/>
      <c r="WBZ23" s="338"/>
      <c r="WCA23" s="338"/>
      <c r="WCB23" s="338"/>
      <c r="WCC23" s="338"/>
      <c r="WCD23" s="338"/>
      <c r="WCE23" s="338"/>
      <c r="WCF23" s="338"/>
      <c r="WCG23" s="338"/>
      <c r="WCH23" s="338"/>
      <c r="WCI23" s="338"/>
      <c r="WCJ23" s="338"/>
      <c r="WCK23" s="338"/>
      <c r="WCL23" s="338"/>
      <c r="WCM23" s="338"/>
      <c r="WCN23" s="338"/>
      <c r="WCO23" s="338"/>
      <c r="WCP23" s="338"/>
      <c r="WCQ23" s="338"/>
      <c r="WCR23" s="338"/>
      <c r="WCS23" s="338"/>
      <c r="WCT23" s="338"/>
      <c r="WCU23" s="338"/>
      <c r="WCV23" s="338"/>
      <c r="WCW23" s="338"/>
      <c r="WCX23" s="338"/>
      <c r="WCY23" s="338"/>
      <c r="WCZ23" s="338"/>
      <c r="WDA23" s="338"/>
      <c r="WDB23" s="338"/>
      <c r="WDC23" s="338"/>
      <c r="WDD23" s="338"/>
      <c r="WDE23" s="338"/>
      <c r="WDF23" s="338"/>
      <c r="WDG23" s="338"/>
      <c r="WDH23" s="338"/>
      <c r="WDI23" s="338"/>
      <c r="WDJ23" s="338"/>
      <c r="WDK23" s="338"/>
      <c r="WDL23" s="338"/>
      <c r="WDM23" s="338"/>
      <c r="WDN23" s="338"/>
      <c r="WDO23" s="338"/>
      <c r="WDP23" s="338"/>
      <c r="WDQ23" s="338"/>
      <c r="WDR23" s="338"/>
      <c r="WDS23" s="338"/>
      <c r="WDT23" s="338"/>
      <c r="WDU23" s="338"/>
      <c r="WDV23" s="338"/>
      <c r="WDW23" s="338"/>
      <c r="WDX23" s="338"/>
      <c r="WDY23" s="338"/>
      <c r="WDZ23" s="338"/>
      <c r="WEA23" s="338"/>
      <c r="WEB23" s="338"/>
      <c r="WEC23" s="338"/>
      <c r="WED23" s="338"/>
      <c r="WEE23" s="338"/>
      <c r="WEF23" s="338"/>
      <c r="WEG23" s="338"/>
      <c r="WEH23" s="338"/>
      <c r="WEI23" s="338"/>
      <c r="WEJ23" s="338"/>
      <c r="WEK23" s="338"/>
      <c r="WEL23" s="338"/>
      <c r="WEM23" s="338"/>
      <c r="WEN23" s="338"/>
      <c r="WEO23" s="338"/>
      <c r="WEP23" s="338"/>
      <c r="WEQ23" s="338"/>
      <c r="WER23" s="338"/>
      <c r="WES23" s="338"/>
      <c r="WET23" s="338"/>
      <c r="WEU23" s="338"/>
      <c r="WEV23" s="338"/>
      <c r="WEW23" s="338"/>
      <c r="WEX23" s="338"/>
      <c r="WEY23" s="338"/>
      <c r="WEZ23" s="338"/>
      <c r="WFA23" s="338"/>
      <c r="WFB23" s="338"/>
      <c r="WFC23" s="338"/>
      <c r="WFD23" s="338"/>
      <c r="WFE23" s="338"/>
      <c r="WFF23" s="338"/>
      <c r="WFG23" s="338"/>
      <c r="WFH23" s="338"/>
      <c r="WFI23" s="338"/>
      <c r="WFJ23" s="338"/>
      <c r="WFK23" s="338"/>
      <c r="WFL23" s="338"/>
      <c r="WFM23" s="338"/>
      <c r="WFN23" s="338"/>
      <c r="WFO23" s="338"/>
      <c r="WFP23" s="338"/>
      <c r="WFQ23" s="338"/>
      <c r="WFR23" s="338"/>
      <c r="WFS23" s="338"/>
      <c r="WFT23" s="338"/>
      <c r="WFU23" s="338"/>
      <c r="WFV23" s="338"/>
      <c r="WFW23" s="338"/>
      <c r="WFX23" s="338"/>
      <c r="WFY23" s="338"/>
      <c r="WFZ23" s="338"/>
      <c r="WGA23" s="338"/>
      <c r="WGB23" s="338"/>
      <c r="WGC23" s="338"/>
      <c r="WGD23" s="338"/>
      <c r="WGE23" s="338"/>
      <c r="WGF23" s="338"/>
      <c r="WGG23" s="338"/>
      <c r="WGH23" s="338"/>
      <c r="WGI23" s="338"/>
      <c r="WGJ23" s="338"/>
      <c r="WGK23" s="338"/>
      <c r="WGL23" s="338"/>
      <c r="WGM23" s="338"/>
      <c r="WGN23" s="338"/>
      <c r="WGO23" s="338"/>
      <c r="WGP23" s="338"/>
      <c r="WGQ23" s="338"/>
      <c r="WGR23" s="338"/>
      <c r="WGS23" s="338"/>
      <c r="WGT23" s="338"/>
      <c r="WGU23" s="338"/>
      <c r="WGV23" s="338"/>
      <c r="WGW23" s="338"/>
      <c r="WGX23" s="338"/>
      <c r="WGY23" s="338"/>
      <c r="WGZ23" s="338"/>
      <c r="WHA23" s="338"/>
      <c r="WHB23" s="338"/>
      <c r="WHC23" s="338"/>
      <c r="WHD23" s="338"/>
      <c r="WHE23" s="338"/>
      <c r="WHF23" s="338"/>
      <c r="WHG23" s="338"/>
      <c r="WHH23" s="338"/>
      <c r="WHI23" s="338"/>
      <c r="WHJ23" s="338"/>
      <c r="WHK23" s="338"/>
      <c r="WHL23" s="338"/>
      <c r="WHM23" s="338"/>
      <c r="WHN23" s="338"/>
      <c r="WHO23" s="338"/>
      <c r="WHP23" s="338"/>
      <c r="WHQ23" s="338"/>
      <c r="WHR23" s="338"/>
      <c r="WHS23" s="338"/>
      <c r="WHT23" s="338"/>
      <c r="WHU23" s="338"/>
      <c r="WHV23" s="338"/>
      <c r="WHW23" s="338"/>
      <c r="WHX23" s="338"/>
      <c r="WHY23" s="338"/>
      <c r="WHZ23" s="338"/>
      <c r="WIA23" s="338"/>
      <c r="WIB23" s="338"/>
      <c r="WIC23" s="338"/>
      <c r="WID23" s="338"/>
      <c r="WIE23" s="338"/>
      <c r="WIF23" s="338"/>
      <c r="WIG23" s="338"/>
      <c r="WIH23" s="338"/>
      <c r="WII23" s="338"/>
      <c r="WIJ23" s="338"/>
      <c r="WIK23" s="338"/>
      <c r="WIL23" s="338"/>
      <c r="WIM23" s="338"/>
      <c r="WIN23" s="338"/>
      <c r="WIO23" s="338"/>
      <c r="WIP23" s="338"/>
      <c r="WIQ23" s="338"/>
      <c r="WIR23" s="338"/>
      <c r="WIS23" s="338"/>
      <c r="WIT23" s="338"/>
      <c r="WIU23" s="338"/>
      <c r="WIV23" s="338"/>
      <c r="WIW23" s="338"/>
      <c r="WIX23" s="338"/>
      <c r="WIY23" s="338"/>
      <c r="WIZ23" s="338"/>
      <c r="WJA23" s="338"/>
      <c r="WJB23" s="338"/>
      <c r="WJC23" s="338"/>
      <c r="WJD23" s="338"/>
      <c r="WJE23" s="338"/>
      <c r="WJF23" s="338"/>
      <c r="WJG23" s="338"/>
      <c r="WJH23" s="338"/>
      <c r="WJI23" s="338"/>
      <c r="WJJ23" s="338"/>
      <c r="WJK23" s="338"/>
      <c r="WJL23" s="338"/>
      <c r="WJM23" s="338"/>
      <c r="WJN23" s="338"/>
      <c r="WJO23" s="338"/>
      <c r="WJP23" s="338"/>
      <c r="WJQ23" s="338"/>
      <c r="WJR23" s="338"/>
      <c r="WJS23" s="338"/>
      <c r="WJT23" s="338"/>
      <c r="WJU23" s="338"/>
      <c r="WJV23" s="338"/>
      <c r="WJW23" s="338"/>
      <c r="WJX23" s="338"/>
      <c r="WJY23" s="338"/>
      <c r="WJZ23" s="338"/>
      <c r="WKA23" s="338"/>
      <c r="WKB23" s="338"/>
      <c r="WKC23" s="338"/>
      <c r="WKD23" s="338"/>
      <c r="WKE23" s="338"/>
      <c r="WKF23" s="338"/>
      <c r="WKG23" s="338"/>
      <c r="WKH23" s="338"/>
      <c r="WKI23" s="338"/>
      <c r="WKJ23" s="338"/>
      <c r="WKK23" s="338"/>
      <c r="WKL23" s="338"/>
      <c r="WKM23" s="338"/>
      <c r="WKN23" s="338"/>
      <c r="WKO23" s="338"/>
      <c r="WKP23" s="338"/>
      <c r="WKQ23" s="338"/>
      <c r="WKR23" s="338"/>
      <c r="WKS23" s="338"/>
      <c r="WKT23" s="338"/>
      <c r="WKU23" s="338"/>
      <c r="WKV23" s="338"/>
      <c r="WKW23" s="338"/>
      <c r="WKX23" s="338"/>
      <c r="WKY23" s="338"/>
      <c r="WKZ23" s="338"/>
      <c r="WLA23" s="338"/>
      <c r="WLB23" s="338"/>
      <c r="WLC23" s="338"/>
      <c r="WLD23" s="338"/>
      <c r="WLE23" s="338"/>
      <c r="WLF23" s="338"/>
      <c r="WLG23" s="338"/>
      <c r="WLH23" s="338"/>
      <c r="WLI23" s="338"/>
      <c r="WLJ23" s="338"/>
      <c r="WLK23" s="338"/>
      <c r="WLL23" s="338"/>
      <c r="WLM23" s="338"/>
      <c r="WLN23" s="338"/>
      <c r="WLO23" s="338"/>
      <c r="WLP23" s="338"/>
      <c r="WLQ23" s="338"/>
      <c r="WLR23" s="338"/>
      <c r="WLS23" s="338"/>
      <c r="WLT23" s="338"/>
      <c r="WLU23" s="338"/>
      <c r="WLV23" s="338"/>
      <c r="WLW23" s="338"/>
      <c r="WLX23" s="338"/>
      <c r="WLY23" s="338"/>
      <c r="WLZ23" s="338"/>
      <c r="WMA23" s="338"/>
      <c r="WMB23" s="338"/>
      <c r="WMC23" s="338"/>
      <c r="WMD23" s="338"/>
      <c r="WME23" s="338"/>
      <c r="WMF23" s="338"/>
      <c r="WMG23" s="338"/>
      <c r="WMH23" s="338"/>
      <c r="WMI23" s="338"/>
      <c r="WMJ23" s="338"/>
      <c r="WMK23" s="338"/>
      <c r="WML23" s="338"/>
      <c r="WMM23" s="338"/>
      <c r="WMN23" s="338"/>
      <c r="WMO23" s="338"/>
      <c r="WMP23" s="338"/>
      <c r="WMQ23" s="338"/>
      <c r="WMR23" s="338"/>
      <c r="WMS23" s="338"/>
      <c r="WMT23" s="338"/>
      <c r="WMU23" s="338"/>
      <c r="WMV23" s="338"/>
      <c r="WMW23" s="338"/>
      <c r="WMX23" s="338"/>
      <c r="WMY23" s="338"/>
      <c r="WMZ23" s="338"/>
      <c r="WNA23" s="338"/>
      <c r="WNB23" s="338"/>
      <c r="WNC23" s="338"/>
      <c r="WND23" s="338"/>
      <c r="WNE23" s="338"/>
      <c r="WNF23" s="338"/>
      <c r="WNG23" s="338"/>
      <c r="WNH23" s="338"/>
      <c r="WNI23" s="338"/>
      <c r="WNJ23" s="338"/>
      <c r="WNK23" s="338"/>
      <c r="WNL23" s="338"/>
      <c r="WNM23" s="338"/>
      <c r="WNN23" s="338"/>
      <c r="WNO23" s="338"/>
      <c r="WNP23" s="338"/>
      <c r="WNQ23" s="338"/>
      <c r="WNR23" s="338"/>
      <c r="WNS23" s="338"/>
      <c r="WNT23" s="338"/>
      <c r="WNU23" s="338"/>
      <c r="WNV23" s="338"/>
      <c r="WNW23" s="338"/>
      <c r="WNX23" s="338"/>
      <c r="WNY23" s="338"/>
      <c r="WNZ23" s="338"/>
      <c r="WOA23" s="338"/>
      <c r="WOB23" s="338"/>
      <c r="WOC23" s="338"/>
      <c r="WOD23" s="338"/>
      <c r="WOE23" s="338"/>
      <c r="WOF23" s="338"/>
      <c r="WOG23" s="338"/>
      <c r="WOH23" s="338"/>
      <c r="WOI23" s="338"/>
      <c r="WOJ23" s="338"/>
      <c r="WOK23" s="338"/>
      <c r="WOL23" s="338"/>
      <c r="WOM23" s="338"/>
      <c r="WON23" s="338"/>
      <c r="WOO23" s="338"/>
      <c r="WOP23" s="338"/>
      <c r="WOQ23" s="338"/>
      <c r="WOR23" s="338"/>
      <c r="WOS23" s="338"/>
      <c r="WOT23" s="338"/>
      <c r="WOU23" s="338"/>
      <c r="WOV23" s="338"/>
      <c r="WOW23" s="338"/>
      <c r="WOX23" s="338"/>
      <c r="WOY23" s="338"/>
      <c r="WOZ23" s="338"/>
      <c r="WPA23" s="338"/>
      <c r="WPB23" s="338"/>
      <c r="WPC23" s="338"/>
      <c r="WPD23" s="338"/>
      <c r="WPE23" s="338"/>
      <c r="WPF23" s="338"/>
      <c r="WPG23" s="338"/>
      <c r="WPH23" s="338"/>
      <c r="WPI23" s="338"/>
      <c r="WPJ23" s="338"/>
      <c r="WPK23" s="338"/>
      <c r="WPL23" s="338"/>
      <c r="WPM23" s="338"/>
      <c r="WPN23" s="338"/>
      <c r="WPO23" s="338"/>
      <c r="WPP23" s="338"/>
      <c r="WPQ23" s="338"/>
      <c r="WPR23" s="338"/>
      <c r="WPS23" s="338"/>
      <c r="WPT23" s="338"/>
      <c r="WPU23" s="338"/>
      <c r="WPV23" s="338"/>
      <c r="WPW23" s="338"/>
      <c r="WPX23" s="338"/>
      <c r="WPY23" s="338"/>
      <c r="WPZ23" s="338"/>
      <c r="WQA23" s="338"/>
      <c r="WQB23" s="338"/>
      <c r="WQC23" s="338"/>
      <c r="WQD23" s="338"/>
      <c r="WQE23" s="338"/>
      <c r="WQF23" s="338"/>
      <c r="WQG23" s="338"/>
      <c r="WQH23" s="338"/>
      <c r="WQI23" s="338"/>
      <c r="WQJ23" s="338"/>
      <c r="WQK23" s="338"/>
      <c r="WQL23" s="338"/>
      <c r="WQM23" s="338"/>
      <c r="WQN23" s="338"/>
      <c r="WQO23" s="338"/>
      <c r="WQP23" s="338"/>
      <c r="WQQ23" s="338"/>
      <c r="WQR23" s="338"/>
      <c r="WQS23" s="338"/>
      <c r="WQT23" s="338"/>
      <c r="WQU23" s="338"/>
      <c r="WQV23" s="338"/>
      <c r="WQW23" s="338"/>
      <c r="WQX23" s="338"/>
      <c r="WQY23" s="338"/>
      <c r="WQZ23" s="338"/>
      <c r="WRA23" s="338"/>
      <c r="WRB23" s="338"/>
      <c r="WRC23" s="338"/>
      <c r="WRD23" s="338"/>
      <c r="WRE23" s="338"/>
      <c r="WRF23" s="338"/>
      <c r="WRG23" s="338"/>
      <c r="WRH23" s="338"/>
      <c r="WRI23" s="338"/>
      <c r="WRJ23" s="338"/>
      <c r="WRK23" s="338"/>
      <c r="WRL23" s="338"/>
      <c r="WRM23" s="338"/>
      <c r="WRN23" s="338"/>
      <c r="WRO23" s="338"/>
      <c r="WRP23" s="338"/>
      <c r="WRQ23" s="338"/>
      <c r="WRR23" s="338"/>
      <c r="WRS23" s="338"/>
      <c r="WRT23" s="338"/>
      <c r="WRU23" s="338"/>
      <c r="WRV23" s="338"/>
      <c r="WRW23" s="338"/>
      <c r="WRX23" s="338"/>
      <c r="WRY23" s="338"/>
      <c r="WRZ23" s="338"/>
      <c r="WSA23" s="338"/>
      <c r="WSB23" s="338"/>
      <c r="WSC23" s="338"/>
      <c r="WSD23" s="338"/>
      <c r="WSE23" s="338"/>
      <c r="WSF23" s="338"/>
      <c r="WSG23" s="338"/>
      <c r="WSH23" s="338"/>
      <c r="WSI23" s="338"/>
      <c r="WSJ23" s="338"/>
      <c r="WSK23" s="338"/>
      <c r="WSL23" s="338"/>
      <c r="WSM23" s="338"/>
      <c r="WSN23" s="338"/>
      <c r="WSO23" s="338"/>
      <c r="WSP23" s="338"/>
      <c r="WSQ23" s="338"/>
      <c r="WSR23" s="338"/>
      <c r="WSS23" s="338"/>
      <c r="WST23" s="338"/>
      <c r="WSU23" s="338"/>
      <c r="WSV23" s="338"/>
      <c r="WSW23" s="338"/>
      <c r="WSX23" s="338"/>
      <c r="WSY23" s="338"/>
      <c r="WSZ23" s="338"/>
      <c r="WTA23" s="338"/>
      <c r="WTB23" s="338"/>
      <c r="WTC23" s="338"/>
      <c r="WTD23" s="338"/>
      <c r="WTE23" s="338"/>
      <c r="WTF23" s="338"/>
      <c r="WTG23" s="338"/>
      <c r="WTH23" s="338"/>
      <c r="WTI23" s="338"/>
      <c r="WTJ23" s="338"/>
      <c r="WTK23" s="338"/>
      <c r="WTL23" s="338"/>
      <c r="WTM23" s="338"/>
      <c r="WTN23" s="338"/>
      <c r="WTO23" s="338"/>
      <c r="WTP23" s="338"/>
      <c r="WTQ23" s="338"/>
      <c r="WTR23" s="338"/>
      <c r="WTS23" s="338"/>
      <c r="WTT23" s="338"/>
      <c r="WTU23" s="338"/>
      <c r="WTV23" s="338"/>
      <c r="WTW23" s="338"/>
      <c r="WTX23" s="338"/>
      <c r="WTY23" s="338"/>
      <c r="WTZ23" s="338"/>
      <c r="WUA23" s="338"/>
      <c r="WUB23" s="338"/>
      <c r="WUC23" s="338"/>
      <c r="WUD23" s="338"/>
      <c r="WUE23" s="338"/>
      <c r="WUF23" s="338"/>
      <c r="WUG23" s="338"/>
      <c r="WUH23" s="338"/>
      <c r="WUI23" s="338"/>
      <c r="WUJ23" s="338"/>
      <c r="WUK23" s="338"/>
      <c r="WUL23" s="338"/>
      <c r="WUM23" s="338"/>
      <c r="WUN23" s="338"/>
      <c r="WUO23" s="338"/>
      <c r="WUP23" s="338"/>
      <c r="WUQ23" s="338"/>
      <c r="WUR23" s="338"/>
      <c r="WUS23" s="338"/>
      <c r="WUT23" s="338"/>
      <c r="WUU23" s="338"/>
      <c r="WUV23" s="338"/>
      <c r="WUW23" s="338"/>
      <c r="WUX23" s="338"/>
      <c r="WUY23" s="338"/>
      <c r="WUZ23" s="338"/>
      <c r="WVA23" s="338"/>
      <c r="WVB23" s="338"/>
      <c r="WVC23" s="338"/>
      <c r="WVD23" s="338"/>
      <c r="WVE23" s="338"/>
      <c r="WVF23" s="338"/>
      <c r="WVG23" s="338"/>
      <c r="WVH23" s="338"/>
      <c r="WVI23" s="338"/>
      <c r="WVJ23" s="338"/>
      <c r="WVK23" s="338"/>
      <c r="WVL23" s="338"/>
      <c r="WVM23" s="338"/>
      <c r="WVN23" s="338"/>
      <c r="WVO23" s="338"/>
      <c r="WVP23" s="338"/>
      <c r="WVQ23" s="338"/>
      <c r="WVR23" s="338"/>
      <c r="WVS23" s="338"/>
      <c r="WVT23" s="338"/>
      <c r="WVU23" s="338"/>
      <c r="WVV23" s="338"/>
      <c r="WVW23" s="338"/>
      <c r="WVX23" s="338"/>
      <c r="WVY23" s="338"/>
      <c r="WVZ23" s="338"/>
      <c r="WWA23" s="338"/>
      <c r="WWB23" s="338"/>
      <c r="WWC23" s="338"/>
      <c r="WWD23" s="338"/>
      <c r="WWE23" s="338"/>
      <c r="WWF23" s="338"/>
      <c r="WWG23" s="338"/>
      <c r="WWH23" s="338"/>
      <c r="WWI23" s="338"/>
      <c r="WWJ23" s="338"/>
      <c r="WWK23" s="338"/>
      <c r="WWL23" s="338"/>
      <c r="WWM23" s="338"/>
      <c r="WWN23" s="338"/>
      <c r="WWO23" s="338"/>
      <c r="WWP23" s="338"/>
      <c r="WWQ23" s="338"/>
      <c r="WWR23" s="338"/>
      <c r="WWS23" s="338"/>
      <c r="WWT23" s="338"/>
      <c r="WWU23" s="338"/>
      <c r="WWV23" s="338"/>
      <c r="WWW23" s="338"/>
      <c r="WWX23" s="338"/>
      <c r="WWY23" s="338"/>
      <c r="WWZ23" s="338"/>
      <c r="WXA23" s="338"/>
      <c r="WXB23" s="338"/>
      <c r="WXC23" s="338"/>
      <c r="WXD23" s="338"/>
      <c r="WXE23" s="338"/>
      <c r="WXF23" s="338"/>
      <c r="WXG23" s="338"/>
      <c r="WXH23" s="338"/>
      <c r="WXI23" s="338"/>
      <c r="WXJ23" s="338"/>
      <c r="WXK23" s="338"/>
      <c r="WXL23" s="338"/>
      <c r="WXM23" s="338"/>
      <c r="WXN23" s="338"/>
      <c r="WXO23" s="338"/>
      <c r="WXP23" s="338"/>
      <c r="WXQ23" s="338"/>
      <c r="WXR23" s="338"/>
      <c r="WXS23" s="338"/>
      <c r="WXT23" s="338"/>
      <c r="WXU23" s="338"/>
      <c r="WXV23" s="338"/>
      <c r="WXW23" s="338"/>
      <c r="WXX23" s="338"/>
      <c r="WXY23" s="338"/>
      <c r="WXZ23" s="338"/>
      <c r="WYA23" s="338"/>
      <c r="WYB23" s="338"/>
      <c r="WYC23" s="338"/>
      <c r="WYD23" s="338"/>
      <c r="WYE23" s="338"/>
      <c r="WYF23" s="338"/>
      <c r="WYG23" s="338"/>
      <c r="WYH23" s="338"/>
      <c r="WYI23" s="338"/>
      <c r="WYJ23" s="338"/>
      <c r="WYK23" s="338"/>
      <c r="WYL23" s="338"/>
      <c r="WYM23" s="338"/>
      <c r="WYN23" s="338"/>
      <c r="WYO23" s="338"/>
      <c r="WYP23" s="338"/>
      <c r="WYQ23" s="338"/>
      <c r="WYR23" s="338"/>
      <c r="WYS23" s="338"/>
      <c r="WYT23" s="338"/>
      <c r="WYU23" s="338"/>
      <c r="WYV23" s="338"/>
      <c r="WYW23" s="338"/>
      <c r="WYX23" s="338"/>
      <c r="WYY23" s="338"/>
      <c r="WYZ23" s="338"/>
      <c r="WZA23" s="338"/>
      <c r="WZB23" s="338"/>
      <c r="WZC23" s="338"/>
      <c r="WZD23" s="338"/>
      <c r="WZE23" s="338"/>
      <c r="WZF23" s="338"/>
      <c r="WZG23" s="338"/>
      <c r="WZH23" s="338"/>
      <c r="WZI23" s="338"/>
      <c r="WZJ23" s="338"/>
      <c r="WZK23" s="338"/>
      <c r="WZL23" s="338"/>
      <c r="WZM23" s="338"/>
      <c r="WZN23" s="338"/>
      <c r="WZO23" s="338"/>
      <c r="WZP23" s="338"/>
      <c r="WZQ23" s="338"/>
      <c r="WZR23" s="338"/>
      <c r="WZS23" s="338"/>
      <c r="WZT23" s="338"/>
      <c r="WZU23" s="338"/>
      <c r="WZV23" s="338"/>
      <c r="WZW23" s="338"/>
      <c r="WZX23" s="338"/>
      <c r="WZY23" s="338"/>
      <c r="WZZ23" s="338"/>
      <c r="XAA23" s="338"/>
      <c r="XAB23" s="338"/>
      <c r="XAC23" s="338"/>
      <c r="XAD23" s="338"/>
      <c r="XAE23" s="338"/>
      <c r="XAF23" s="338"/>
      <c r="XAG23" s="338"/>
      <c r="XAH23" s="338"/>
      <c r="XAI23" s="338"/>
      <c r="XAJ23" s="338"/>
      <c r="XAK23" s="338"/>
      <c r="XAL23" s="338"/>
      <c r="XAM23" s="338"/>
      <c r="XAN23" s="338"/>
      <c r="XAO23" s="338"/>
      <c r="XAP23" s="338"/>
      <c r="XAQ23" s="338"/>
      <c r="XAR23" s="338"/>
      <c r="XAS23" s="338"/>
      <c r="XAT23" s="338"/>
      <c r="XAU23" s="338"/>
      <c r="XAV23" s="338"/>
      <c r="XAW23" s="338"/>
      <c r="XAX23" s="338"/>
      <c r="XAY23" s="338"/>
      <c r="XAZ23" s="338"/>
      <c r="XBA23" s="338"/>
      <c r="XBB23" s="338"/>
      <c r="XBC23" s="338"/>
      <c r="XBD23" s="338"/>
      <c r="XBE23" s="338"/>
      <c r="XBF23" s="338"/>
      <c r="XBG23" s="338"/>
      <c r="XBH23" s="338"/>
      <c r="XBI23" s="338"/>
      <c r="XBJ23" s="338"/>
      <c r="XBK23" s="338"/>
      <c r="XBL23" s="338"/>
      <c r="XBM23" s="338"/>
      <c r="XBN23" s="338"/>
      <c r="XBO23" s="338"/>
      <c r="XBP23" s="338"/>
      <c r="XBQ23" s="338"/>
      <c r="XBR23" s="338"/>
      <c r="XBS23" s="338"/>
      <c r="XBT23" s="338"/>
      <c r="XBU23" s="338"/>
      <c r="XBV23" s="338"/>
      <c r="XBW23" s="338"/>
      <c r="XBX23" s="338"/>
      <c r="XBY23" s="338"/>
      <c r="XBZ23" s="338"/>
      <c r="XCA23" s="338"/>
      <c r="XCB23" s="338"/>
      <c r="XCC23" s="338"/>
      <c r="XCD23" s="338"/>
      <c r="XCE23" s="338"/>
      <c r="XCF23" s="338"/>
      <c r="XCG23" s="338"/>
      <c r="XCH23" s="338"/>
      <c r="XCI23" s="338"/>
      <c r="XCJ23" s="338"/>
      <c r="XCK23" s="338"/>
      <c r="XCL23" s="338"/>
      <c r="XCM23" s="338"/>
      <c r="XCN23" s="338"/>
      <c r="XCO23" s="338"/>
      <c r="XCP23" s="338"/>
      <c r="XCQ23" s="338"/>
      <c r="XCR23" s="338"/>
      <c r="XCS23" s="338"/>
      <c r="XCT23" s="338"/>
      <c r="XCU23" s="338"/>
      <c r="XCV23" s="338"/>
      <c r="XCW23" s="338"/>
      <c r="XCX23" s="338"/>
      <c r="XCY23" s="338"/>
      <c r="XCZ23" s="338"/>
      <c r="XDA23" s="338"/>
      <c r="XDB23" s="338"/>
      <c r="XDC23" s="338"/>
      <c r="XDD23" s="338"/>
      <c r="XDE23" s="338"/>
      <c r="XDF23" s="338"/>
      <c r="XDG23" s="338"/>
      <c r="XDH23" s="338"/>
      <c r="XDI23" s="338"/>
      <c r="XDJ23" s="338"/>
      <c r="XDK23" s="338"/>
      <c r="XDL23" s="338"/>
      <c r="XDM23" s="338"/>
      <c r="XDN23" s="338"/>
      <c r="XDO23" s="338"/>
      <c r="XDP23" s="338"/>
      <c r="XDQ23" s="338"/>
      <c r="XDR23" s="338"/>
      <c r="XDS23" s="338"/>
      <c r="XDT23" s="338"/>
      <c r="XDU23" s="338"/>
      <c r="XDV23" s="338"/>
      <c r="XDW23" s="338"/>
      <c r="XDX23" s="338"/>
      <c r="XDY23" s="338"/>
      <c r="XDZ23" s="338"/>
      <c r="XEA23" s="338"/>
      <c r="XEB23" s="338"/>
      <c r="XEC23" s="338"/>
      <c r="XED23" s="338"/>
      <c r="XEE23" s="338"/>
      <c r="XEF23" s="338"/>
      <c r="XEG23" s="338"/>
      <c r="XEH23" s="338"/>
      <c r="XEI23" s="338"/>
      <c r="XEJ23" s="338"/>
      <c r="XEK23" s="338"/>
      <c r="XEL23" s="338"/>
      <c r="XEM23" s="338"/>
      <c r="XEN23" s="338"/>
      <c r="XEO23" s="338"/>
      <c r="XEP23" s="338"/>
      <c r="XEQ23" s="338"/>
      <c r="XER23" s="338"/>
      <c r="XES23" s="338"/>
      <c r="XET23" s="338"/>
      <c r="XEU23" s="338"/>
      <c r="XEV23" s="338"/>
      <c r="XEW23" s="338"/>
      <c r="XEX23" s="338"/>
      <c r="XEY23" s="338"/>
      <c r="XEZ23" s="338"/>
      <c r="XFA23" s="338"/>
      <c r="XFB23" s="338"/>
      <c r="XFC23" s="338"/>
      <c r="XFD23" s="338"/>
    </row>
    <row r="24" spans="1:16384" x14ac:dyDescent="0.2">
      <c r="B24" s="245"/>
      <c r="C24" s="246"/>
      <c r="D24" s="246"/>
      <c r="E24" s="247"/>
    </row>
    <row r="25" spans="1:16384" x14ac:dyDescent="0.2">
      <c r="B25" s="248" t="s">
        <v>225</v>
      </c>
      <c r="C25" s="249"/>
      <c r="D25" s="249"/>
      <c r="E25" s="250"/>
    </row>
    <row r="26" spans="1:16384" s="11" customFormat="1" x14ac:dyDescent="0.2">
      <c r="B26" s="161"/>
      <c r="C26" s="161"/>
      <c r="D26" s="161"/>
      <c r="E26" s="161"/>
      <c r="F26" s="60"/>
      <c r="G26" s="60"/>
      <c r="H26" s="60"/>
      <c r="I26" s="60"/>
      <c r="J26" s="60"/>
      <c r="K26" s="60"/>
      <c r="L26" s="60"/>
      <c r="M26" s="60"/>
      <c r="N26" s="60"/>
      <c r="O26" s="60"/>
      <c r="P26" s="60"/>
      <c r="Q26" s="49"/>
      <c r="R26" s="49"/>
      <c r="S26" s="49"/>
      <c r="T26" s="49"/>
      <c r="U26" s="49"/>
      <c r="V26" s="49"/>
      <c r="W26" s="49"/>
      <c r="X26" s="49"/>
      <c r="Z26" s="49"/>
      <c r="AA26" s="49"/>
      <c r="AB26" s="49"/>
      <c r="AC26" s="49"/>
      <c r="AD26" s="49"/>
      <c r="AE26" s="49"/>
      <c r="AF26" s="49"/>
      <c r="AG26" s="49"/>
      <c r="AH26" s="49"/>
      <c r="AI26" s="49"/>
      <c r="AJ26" s="49"/>
      <c r="AK26" s="49"/>
      <c r="AL26" s="49"/>
      <c r="AM26" s="49"/>
      <c r="AN26" s="49"/>
      <c r="AO26" s="49"/>
      <c r="AP26" s="49"/>
      <c r="AQ26" s="49"/>
      <c r="AR26" s="49"/>
      <c r="AS26" s="49"/>
      <c r="AT26" s="49"/>
      <c r="AU26" s="49"/>
    </row>
    <row r="27" spans="1:16384" s="11" customFormat="1" ht="50.25" customHeight="1" x14ac:dyDescent="0.2">
      <c r="B27" s="341" t="s">
        <v>80</v>
      </c>
      <c r="C27" s="342"/>
      <c r="D27" s="342"/>
      <c r="E27" s="343"/>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c r="CO27" s="338"/>
      <c r="CP27" s="338"/>
      <c r="CQ27" s="338"/>
      <c r="CR27" s="338"/>
      <c r="CS27" s="338"/>
      <c r="CT27" s="338"/>
      <c r="CU27" s="338"/>
      <c r="CV27" s="338"/>
      <c r="CW27" s="338"/>
      <c r="CX27" s="338"/>
      <c r="CY27" s="338"/>
      <c r="CZ27" s="338"/>
      <c r="DA27" s="338"/>
      <c r="DB27" s="338"/>
      <c r="DC27" s="338"/>
      <c r="DD27" s="338"/>
      <c r="DE27" s="338"/>
      <c r="DF27" s="338"/>
      <c r="DG27" s="338"/>
      <c r="DH27" s="338"/>
      <c r="DI27" s="338"/>
      <c r="DJ27" s="338"/>
      <c r="DK27" s="338"/>
      <c r="DL27" s="338"/>
      <c r="DM27" s="338"/>
      <c r="DN27" s="338"/>
      <c r="DO27" s="338"/>
      <c r="DP27" s="338"/>
      <c r="DQ27" s="338"/>
      <c r="DR27" s="338"/>
      <c r="DS27" s="338"/>
      <c r="DT27" s="338"/>
      <c r="DU27" s="338"/>
      <c r="DV27" s="338"/>
      <c r="DW27" s="338"/>
      <c r="DX27" s="338"/>
      <c r="DY27" s="338"/>
      <c r="DZ27" s="338"/>
      <c r="EA27" s="338"/>
      <c r="EB27" s="338"/>
      <c r="EC27" s="338"/>
      <c r="ED27" s="338"/>
      <c r="EE27" s="338"/>
      <c r="EF27" s="338"/>
      <c r="EG27" s="338"/>
      <c r="EH27" s="338"/>
      <c r="EI27" s="338"/>
      <c r="EJ27" s="338"/>
      <c r="EK27" s="338"/>
      <c r="EL27" s="338"/>
      <c r="EM27" s="338"/>
      <c r="EN27" s="338"/>
      <c r="EO27" s="338"/>
      <c r="EP27" s="338"/>
      <c r="EQ27" s="338"/>
      <c r="ER27" s="338"/>
      <c r="ES27" s="338"/>
      <c r="ET27" s="338"/>
      <c r="EU27" s="338"/>
      <c r="EV27" s="338"/>
      <c r="EW27" s="338"/>
      <c r="EX27" s="338"/>
      <c r="EY27" s="338"/>
      <c r="EZ27" s="338"/>
      <c r="FA27" s="338"/>
      <c r="FB27" s="338"/>
      <c r="FC27" s="338"/>
      <c r="FD27" s="338"/>
      <c r="FE27" s="338"/>
      <c r="FF27" s="338"/>
      <c r="FG27" s="338"/>
      <c r="FH27" s="338"/>
      <c r="FI27" s="338"/>
      <c r="FJ27" s="338"/>
      <c r="FK27" s="338"/>
      <c r="FL27" s="338"/>
      <c r="FM27" s="338"/>
      <c r="FN27" s="338"/>
      <c r="FO27" s="338"/>
      <c r="FP27" s="338"/>
      <c r="FQ27" s="338"/>
      <c r="FR27" s="338"/>
      <c r="FS27" s="338"/>
      <c r="FT27" s="338"/>
      <c r="FU27" s="338"/>
      <c r="FV27" s="338"/>
      <c r="FW27" s="338"/>
      <c r="FX27" s="338"/>
      <c r="FY27" s="338"/>
      <c r="FZ27" s="338"/>
      <c r="GA27" s="338"/>
      <c r="GB27" s="338"/>
      <c r="GC27" s="338"/>
      <c r="GD27" s="338"/>
      <c r="GE27" s="338"/>
      <c r="GF27" s="338"/>
      <c r="GG27" s="338"/>
      <c r="GH27" s="338"/>
      <c r="GI27" s="338"/>
      <c r="GJ27" s="338"/>
      <c r="GK27" s="338"/>
      <c r="GL27" s="338"/>
      <c r="GM27" s="338"/>
      <c r="GN27" s="338"/>
      <c r="GO27" s="338"/>
      <c r="GP27" s="338"/>
      <c r="GQ27" s="338"/>
      <c r="GR27" s="338"/>
      <c r="GS27" s="338"/>
      <c r="GT27" s="338"/>
      <c r="GU27" s="338"/>
      <c r="GV27" s="338"/>
      <c r="GW27" s="338"/>
      <c r="GX27" s="338"/>
      <c r="GY27" s="338"/>
      <c r="GZ27" s="338"/>
      <c r="HA27" s="338"/>
      <c r="HB27" s="338"/>
      <c r="HC27" s="338"/>
      <c r="HD27" s="338"/>
      <c r="HE27" s="338"/>
      <c r="HF27" s="338"/>
      <c r="HG27" s="338"/>
      <c r="HH27" s="338"/>
      <c r="HI27" s="338"/>
      <c r="HJ27" s="338"/>
      <c r="HK27" s="338"/>
      <c r="HL27" s="338"/>
      <c r="HM27" s="338"/>
      <c r="HN27" s="338"/>
      <c r="HO27" s="338"/>
      <c r="HP27" s="338"/>
      <c r="HQ27" s="338"/>
      <c r="HR27" s="338"/>
      <c r="HS27" s="338"/>
      <c r="HT27" s="338"/>
      <c r="HU27" s="338"/>
      <c r="HV27" s="338"/>
      <c r="HW27" s="338"/>
      <c r="HX27" s="338"/>
      <c r="HY27" s="338"/>
      <c r="HZ27" s="338"/>
      <c r="IA27" s="338"/>
      <c r="IB27" s="338"/>
      <c r="IC27" s="338"/>
      <c r="ID27" s="338"/>
      <c r="IE27" s="338"/>
      <c r="IF27" s="338"/>
      <c r="IG27" s="338"/>
      <c r="IH27" s="338"/>
      <c r="II27" s="338"/>
      <c r="IJ27" s="338"/>
      <c r="IK27" s="338"/>
      <c r="IL27" s="338"/>
      <c r="IM27" s="338"/>
      <c r="IN27" s="338"/>
      <c r="IO27" s="338"/>
      <c r="IP27" s="338"/>
      <c r="IQ27" s="338"/>
      <c r="IR27" s="338"/>
      <c r="IS27" s="338"/>
      <c r="IT27" s="338"/>
      <c r="IU27" s="338"/>
      <c r="IV27" s="338"/>
      <c r="IW27" s="338"/>
      <c r="IX27" s="338"/>
      <c r="IY27" s="338"/>
      <c r="IZ27" s="338"/>
      <c r="JA27" s="338"/>
      <c r="JB27" s="338"/>
      <c r="JC27" s="338"/>
      <c r="JD27" s="338"/>
      <c r="JE27" s="338"/>
      <c r="JF27" s="338"/>
      <c r="JG27" s="338"/>
      <c r="JH27" s="338"/>
      <c r="JI27" s="338"/>
      <c r="JJ27" s="338"/>
      <c r="JK27" s="338"/>
      <c r="JL27" s="338"/>
      <c r="JM27" s="338"/>
      <c r="JN27" s="338"/>
      <c r="JO27" s="338"/>
      <c r="JP27" s="338"/>
      <c r="JQ27" s="338"/>
      <c r="JR27" s="338"/>
      <c r="JS27" s="338"/>
      <c r="JT27" s="338"/>
      <c r="JU27" s="338"/>
      <c r="JV27" s="338"/>
      <c r="JW27" s="338"/>
      <c r="JX27" s="338"/>
      <c r="JY27" s="338"/>
      <c r="JZ27" s="338"/>
      <c r="KA27" s="338"/>
      <c r="KB27" s="338"/>
      <c r="KC27" s="338"/>
      <c r="KD27" s="338"/>
      <c r="KE27" s="338"/>
      <c r="KF27" s="338"/>
      <c r="KG27" s="338"/>
      <c r="KH27" s="338"/>
      <c r="KI27" s="338"/>
      <c r="KJ27" s="338"/>
      <c r="KK27" s="338"/>
      <c r="KL27" s="338"/>
      <c r="KM27" s="338"/>
      <c r="KN27" s="338"/>
      <c r="KO27" s="338"/>
      <c r="KP27" s="338"/>
      <c r="KQ27" s="338"/>
      <c r="KR27" s="338"/>
      <c r="KS27" s="338"/>
      <c r="KT27" s="338"/>
      <c r="KU27" s="338"/>
      <c r="KV27" s="338"/>
      <c r="KW27" s="338"/>
      <c r="KX27" s="338"/>
      <c r="KY27" s="338"/>
      <c r="KZ27" s="338"/>
      <c r="LA27" s="338"/>
      <c r="LB27" s="338"/>
      <c r="LC27" s="338"/>
      <c r="LD27" s="338"/>
      <c r="LE27" s="338"/>
      <c r="LF27" s="338"/>
      <c r="LG27" s="338"/>
      <c r="LH27" s="338"/>
      <c r="LI27" s="338"/>
      <c r="LJ27" s="338"/>
      <c r="LK27" s="338"/>
      <c r="LL27" s="338"/>
      <c r="LM27" s="338"/>
      <c r="LN27" s="338"/>
      <c r="LO27" s="338"/>
      <c r="LP27" s="338"/>
      <c r="LQ27" s="338"/>
      <c r="LR27" s="338"/>
      <c r="LS27" s="338"/>
      <c r="LT27" s="338"/>
      <c r="LU27" s="338"/>
      <c r="LV27" s="338"/>
      <c r="LW27" s="338"/>
      <c r="LX27" s="338"/>
      <c r="LY27" s="338"/>
      <c r="LZ27" s="338"/>
      <c r="MA27" s="338"/>
      <c r="MB27" s="338"/>
      <c r="MC27" s="338"/>
      <c r="MD27" s="338"/>
      <c r="ME27" s="338"/>
      <c r="MF27" s="338"/>
      <c r="MG27" s="338"/>
      <c r="MH27" s="338"/>
      <c r="MI27" s="338"/>
      <c r="MJ27" s="338"/>
      <c r="MK27" s="338"/>
      <c r="ML27" s="338"/>
      <c r="MM27" s="338"/>
      <c r="MN27" s="338"/>
      <c r="MO27" s="338"/>
      <c r="MP27" s="338"/>
      <c r="MQ27" s="338"/>
      <c r="MR27" s="338"/>
      <c r="MS27" s="338"/>
      <c r="MT27" s="338"/>
      <c r="MU27" s="338"/>
      <c r="MV27" s="338"/>
      <c r="MW27" s="338"/>
      <c r="MX27" s="338"/>
      <c r="MY27" s="338"/>
      <c r="MZ27" s="338"/>
      <c r="NA27" s="338"/>
      <c r="NB27" s="338"/>
      <c r="NC27" s="338"/>
      <c r="ND27" s="338"/>
      <c r="NE27" s="338"/>
      <c r="NF27" s="338"/>
      <c r="NG27" s="338"/>
      <c r="NH27" s="338"/>
      <c r="NI27" s="338"/>
      <c r="NJ27" s="338"/>
      <c r="NK27" s="338"/>
      <c r="NL27" s="338"/>
      <c r="NM27" s="338"/>
      <c r="NN27" s="338"/>
      <c r="NO27" s="338"/>
      <c r="NP27" s="338"/>
      <c r="NQ27" s="338"/>
      <c r="NR27" s="338"/>
      <c r="NS27" s="338"/>
      <c r="NT27" s="338"/>
      <c r="NU27" s="338"/>
      <c r="NV27" s="338"/>
      <c r="NW27" s="338"/>
      <c r="NX27" s="338"/>
      <c r="NY27" s="338"/>
      <c r="NZ27" s="338"/>
      <c r="OA27" s="338"/>
      <c r="OB27" s="338"/>
      <c r="OC27" s="338"/>
      <c r="OD27" s="338"/>
      <c r="OE27" s="338"/>
      <c r="OF27" s="338"/>
      <c r="OG27" s="338"/>
      <c r="OH27" s="338"/>
      <c r="OI27" s="338"/>
      <c r="OJ27" s="338"/>
      <c r="OK27" s="338"/>
      <c r="OL27" s="338"/>
      <c r="OM27" s="338"/>
      <c r="ON27" s="338"/>
      <c r="OO27" s="338"/>
      <c r="OP27" s="338"/>
      <c r="OQ27" s="338"/>
      <c r="OR27" s="338"/>
      <c r="OS27" s="338"/>
      <c r="OT27" s="338"/>
      <c r="OU27" s="338"/>
      <c r="OV27" s="338"/>
      <c r="OW27" s="338"/>
      <c r="OX27" s="338"/>
      <c r="OY27" s="338"/>
      <c r="OZ27" s="338"/>
      <c r="PA27" s="338"/>
      <c r="PB27" s="338"/>
      <c r="PC27" s="338"/>
      <c r="PD27" s="338"/>
      <c r="PE27" s="338"/>
      <c r="PF27" s="338"/>
      <c r="PG27" s="338"/>
      <c r="PH27" s="338"/>
      <c r="PI27" s="338"/>
      <c r="PJ27" s="338"/>
      <c r="PK27" s="338"/>
      <c r="PL27" s="338"/>
      <c r="PM27" s="338"/>
      <c r="PN27" s="338"/>
      <c r="PO27" s="338"/>
      <c r="PP27" s="338"/>
      <c r="PQ27" s="338"/>
      <c r="PR27" s="338"/>
      <c r="PS27" s="338"/>
      <c r="PT27" s="338"/>
      <c r="PU27" s="338"/>
      <c r="PV27" s="338"/>
      <c r="PW27" s="338"/>
      <c r="PX27" s="338"/>
      <c r="PY27" s="338"/>
      <c r="PZ27" s="338"/>
      <c r="QA27" s="338"/>
      <c r="QB27" s="338"/>
      <c r="QC27" s="338"/>
      <c r="QD27" s="338"/>
      <c r="QE27" s="338"/>
      <c r="QF27" s="338"/>
      <c r="QG27" s="338"/>
      <c r="QH27" s="338"/>
      <c r="QI27" s="338"/>
      <c r="QJ27" s="338"/>
      <c r="QK27" s="338"/>
      <c r="QL27" s="338"/>
      <c r="QM27" s="338"/>
      <c r="QN27" s="338"/>
      <c r="QO27" s="338"/>
      <c r="QP27" s="338"/>
      <c r="QQ27" s="338"/>
      <c r="QR27" s="338"/>
      <c r="QS27" s="338"/>
      <c r="QT27" s="338"/>
      <c r="QU27" s="338"/>
      <c r="QV27" s="338"/>
      <c r="QW27" s="338"/>
      <c r="QX27" s="338"/>
      <c r="QY27" s="338"/>
      <c r="QZ27" s="338"/>
      <c r="RA27" s="338"/>
      <c r="RB27" s="338"/>
      <c r="RC27" s="338"/>
      <c r="RD27" s="338"/>
      <c r="RE27" s="338"/>
      <c r="RF27" s="338"/>
      <c r="RG27" s="338"/>
      <c r="RH27" s="338"/>
      <c r="RI27" s="338"/>
      <c r="RJ27" s="338"/>
      <c r="RK27" s="338"/>
      <c r="RL27" s="338"/>
      <c r="RM27" s="338"/>
      <c r="RN27" s="338"/>
      <c r="RO27" s="338"/>
      <c r="RP27" s="338"/>
      <c r="RQ27" s="338"/>
      <c r="RR27" s="338"/>
      <c r="RS27" s="338"/>
      <c r="RT27" s="338"/>
      <c r="RU27" s="338"/>
      <c r="RV27" s="338"/>
      <c r="RW27" s="338"/>
      <c r="RX27" s="338"/>
      <c r="RY27" s="338"/>
      <c r="RZ27" s="338"/>
      <c r="SA27" s="338"/>
      <c r="SB27" s="338"/>
      <c r="SC27" s="338"/>
      <c r="SD27" s="338"/>
      <c r="SE27" s="338"/>
      <c r="SF27" s="338"/>
      <c r="SG27" s="338"/>
      <c r="SH27" s="338"/>
      <c r="SI27" s="338"/>
      <c r="SJ27" s="338"/>
      <c r="SK27" s="338"/>
      <c r="SL27" s="338"/>
      <c r="SM27" s="338"/>
      <c r="SN27" s="338"/>
      <c r="SO27" s="338"/>
      <c r="SP27" s="338"/>
      <c r="SQ27" s="338"/>
      <c r="SR27" s="338"/>
      <c r="SS27" s="338"/>
      <c r="ST27" s="338"/>
      <c r="SU27" s="338"/>
      <c r="SV27" s="338"/>
      <c r="SW27" s="338"/>
      <c r="SX27" s="338"/>
      <c r="SY27" s="338"/>
      <c r="SZ27" s="338"/>
      <c r="TA27" s="338"/>
      <c r="TB27" s="338"/>
      <c r="TC27" s="338"/>
      <c r="TD27" s="338"/>
      <c r="TE27" s="338"/>
      <c r="TF27" s="338"/>
      <c r="TG27" s="338"/>
      <c r="TH27" s="338"/>
      <c r="TI27" s="338"/>
      <c r="TJ27" s="338"/>
      <c r="TK27" s="338"/>
      <c r="TL27" s="338"/>
      <c r="TM27" s="338"/>
      <c r="TN27" s="338"/>
      <c r="TO27" s="338"/>
      <c r="TP27" s="338"/>
      <c r="TQ27" s="338"/>
      <c r="TR27" s="338"/>
      <c r="TS27" s="338"/>
      <c r="TT27" s="338"/>
      <c r="TU27" s="338"/>
      <c r="TV27" s="338"/>
      <c r="TW27" s="338"/>
      <c r="TX27" s="338"/>
      <c r="TY27" s="338"/>
      <c r="TZ27" s="338"/>
      <c r="UA27" s="338"/>
      <c r="UB27" s="338"/>
      <c r="UC27" s="338"/>
      <c r="UD27" s="338"/>
      <c r="UE27" s="338"/>
      <c r="UF27" s="338"/>
      <c r="UG27" s="338"/>
      <c r="UH27" s="338"/>
      <c r="UI27" s="338"/>
      <c r="UJ27" s="338"/>
      <c r="UK27" s="338"/>
      <c r="UL27" s="338"/>
      <c r="UM27" s="338"/>
      <c r="UN27" s="338"/>
      <c r="UO27" s="338"/>
      <c r="UP27" s="338"/>
      <c r="UQ27" s="338"/>
      <c r="UR27" s="338"/>
      <c r="US27" s="338"/>
      <c r="UT27" s="338"/>
      <c r="UU27" s="338"/>
      <c r="UV27" s="338"/>
      <c r="UW27" s="338"/>
      <c r="UX27" s="338"/>
      <c r="UY27" s="338"/>
      <c r="UZ27" s="338"/>
      <c r="VA27" s="338"/>
      <c r="VB27" s="338"/>
      <c r="VC27" s="338"/>
      <c r="VD27" s="338"/>
      <c r="VE27" s="338"/>
      <c r="VF27" s="338"/>
      <c r="VG27" s="338"/>
      <c r="VH27" s="338"/>
      <c r="VI27" s="338"/>
      <c r="VJ27" s="338"/>
      <c r="VK27" s="338"/>
      <c r="VL27" s="338"/>
      <c r="VM27" s="338"/>
      <c r="VN27" s="338"/>
      <c r="VO27" s="338"/>
      <c r="VP27" s="338"/>
      <c r="VQ27" s="338"/>
      <c r="VR27" s="338"/>
      <c r="VS27" s="338"/>
      <c r="VT27" s="338"/>
      <c r="VU27" s="338"/>
      <c r="VV27" s="338"/>
      <c r="VW27" s="338"/>
      <c r="VX27" s="338"/>
      <c r="VY27" s="338"/>
      <c r="VZ27" s="338"/>
      <c r="WA27" s="338"/>
      <c r="WB27" s="338"/>
      <c r="WC27" s="338"/>
      <c r="WD27" s="338"/>
      <c r="WE27" s="338"/>
      <c r="WF27" s="338"/>
      <c r="WG27" s="338"/>
      <c r="WH27" s="338"/>
      <c r="WI27" s="338"/>
      <c r="WJ27" s="338"/>
      <c r="WK27" s="338"/>
      <c r="WL27" s="338"/>
      <c r="WM27" s="338"/>
      <c r="WN27" s="338"/>
      <c r="WO27" s="338"/>
      <c r="WP27" s="338"/>
      <c r="WQ27" s="338"/>
      <c r="WR27" s="338"/>
      <c r="WS27" s="338"/>
      <c r="WT27" s="338"/>
      <c r="WU27" s="338"/>
      <c r="WV27" s="338"/>
      <c r="WW27" s="338"/>
      <c r="WX27" s="338"/>
      <c r="WY27" s="338"/>
      <c r="WZ27" s="338"/>
      <c r="XA27" s="338"/>
      <c r="XB27" s="338"/>
      <c r="XC27" s="338"/>
      <c r="XD27" s="338"/>
      <c r="XE27" s="338"/>
      <c r="XF27" s="338"/>
      <c r="XG27" s="338"/>
      <c r="XH27" s="338"/>
      <c r="XI27" s="338"/>
      <c r="XJ27" s="338"/>
      <c r="XK27" s="338"/>
      <c r="XL27" s="338"/>
      <c r="XM27" s="338"/>
      <c r="XN27" s="338"/>
      <c r="XO27" s="338"/>
      <c r="XP27" s="338"/>
      <c r="XQ27" s="338"/>
      <c r="XR27" s="338"/>
      <c r="XS27" s="338"/>
      <c r="XT27" s="338"/>
      <c r="XU27" s="338"/>
      <c r="XV27" s="338"/>
      <c r="XW27" s="338"/>
      <c r="XX27" s="338"/>
      <c r="XY27" s="338"/>
      <c r="XZ27" s="338"/>
      <c r="YA27" s="338"/>
      <c r="YB27" s="338"/>
      <c r="YC27" s="338"/>
      <c r="YD27" s="338"/>
      <c r="YE27" s="338"/>
      <c r="YF27" s="338"/>
      <c r="YG27" s="338"/>
      <c r="YH27" s="338"/>
      <c r="YI27" s="338"/>
      <c r="YJ27" s="338"/>
      <c r="YK27" s="338"/>
      <c r="YL27" s="338"/>
      <c r="YM27" s="338"/>
      <c r="YN27" s="338"/>
      <c r="YO27" s="338"/>
      <c r="YP27" s="338"/>
      <c r="YQ27" s="338"/>
      <c r="YR27" s="338"/>
      <c r="YS27" s="338"/>
      <c r="YT27" s="338"/>
      <c r="YU27" s="338"/>
      <c r="YV27" s="338"/>
      <c r="YW27" s="338"/>
      <c r="YX27" s="338"/>
      <c r="YY27" s="338"/>
      <c r="YZ27" s="338"/>
      <c r="ZA27" s="338"/>
      <c r="ZB27" s="338"/>
      <c r="ZC27" s="338"/>
      <c r="ZD27" s="338"/>
      <c r="ZE27" s="338"/>
      <c r="ZF27" s="338"/>
      <c r="ZG27" s="338"/>
      <c r="ZH27" s="338"/>
      <c r="ZI27" s="338"/>
      <c r="ZJ27" s="338"/>
      <c r="ZK27" s="338"/>
      <c r="ZL27" s="338"/>
      <c r="ZM27" s="338"/>
      <c r="ZN27" s="338"/>
      <c r="ZO27" s="338"/>
      <c r="ZP27" s="338"/>
      <c r="ZQ27" s="338"/>
      <c r="ZR27" s="338"/>
      <c r="ZS27" s="338"/>
      <c r="ZT27" s="338"/>
      <c r="ZU27" s="338"/>
      <c r="ZV27" s="338"/>
      <c r="ZW27" s="338"/>
      <c r="ZX27" s="338"/>
      <c r="ZY27" s="338"/>
      <c r="ZZ27" s="338"/>
      <c r="AAA27" s="338"/>
      <c r="AAB27" s="338"/>
      <c r="AAC27" s="338"/>
      <c r="AAD27" s="338"/>
      <c r="AAE27" s="338"/>
      <c r="AAF27" s="338"/>
      <c r="AAG27" s="338"/>
      <c r="AAH27" s="338"/>
      <c r="AAI27" s="338"/>
      <c r="AAJ27" s="338"/>
      <c r="AAK27" s="338"/>
      <c r="AAL27" s="338"/>
      <c r="AAM27" s="338"/>
      <c r="AAN27" s="338"/>
      <c r="AAO27" s="338"/>
      <c r="AAP27" s="338"/>
      <c r="AAQ27" s="338"/>
      <c r="AAR27" s="338"/>
      <c r="AAS27" s="338"/>
      <c r="AAT27" s="338"/>
      <c r="AAU27" s="338"/>
      <c r="AAV27" s="338"/>
      <c r="AAW27" s="338"/>
      <c r="AAX27" s="338"/>
      <c r="AAY27" s="338"/>
      <c r="AAZ27" s="338"/>
      <c r="ABA27" s="338"/>
      <c r="ABB27" s="338"/>
      <c r="ABC27" s="338"/>
      <c r="ABD27" s="338"/>
      <c r="ABE27" s="338"/>
      <c r="ABF27" s="338"/>
      <c r="ABG27" s="338"/>
      <c r="ABH27" s="338"/>
      <c r="ABI27" s="338"/>
      <c r="ABJ27" s="338"/>
      <c r="ABK27" s="338"/>
      <c r="ABL27" s="338"/>
      <c r="ABM27" s="338"/>
      <c r="ABN27" s="338"/>
      <c r="ABO27" s="338"/>
      <c r="ABP27" s="338"/>
      <c r="ABQ27" s="338"/>
      <c r="ABR27" s="338"/>
      <c r="ABS27" s="338"/>
      <c r="ABT27" s="338"/>
      <c r="ABU27" s="338"/>
      <c r="ABV27" s="338"/>
      <c r="ABW27" s="338"/>
      <c r="ABX27" s="338"/>
      <c r="ABY27" s="338"/>
      <c r="ABZ27" s="338"/>
      <c r="ACA27" s="338"/>
      <c r="ACB27" s="338"/>
      <c r="ACC27" s="338"/>
      <c r="ACD27" s="338"/>
      <c r="ACE27" s="338"/>
      <c r="ACF27" s="338"/>
      <c r="ACG27" s="338"/>
      <c r="ACH27" s="338"/>
      <c r="ACI27" s="338"/>
      <c r="ACJ27" s="338"/>
      <c r="ACK27" s="338"/>
      <c r="ACL27" s="338"/>
      <c r="ACM27" s="338"/>
      <c r="ACN27" s="338"/>
      <c r="ACO27" s="338"/>
      <c r="ACP27" s="338"/>
      <c r="ACQ27" s="338"/>
      <c r="ACR27" s="338"/>
      <c r="ACS27" s="338"/>
      <c r="ACT27" s="338"/>
      <c r="ACU27" s="338"/>
      <c r="ACV27" s="338"/>
      <c r="ACW27" s="338"/>
      <c r="ACX27" s="338"/>
      <c r="ACY27" s="338"/>
      <c r="ACZ27" s="338"/>
      <c r="ADA27" s="338"/>
      <c r="ADB27" s="338"/>
      <c r="ADC27" s="338"/>
      <c r="ADD27" s="338"/>
      <c r="ADE27" s="338"/>
      <c r="ADF27" s="338"/>
      <c r="ADG27" s="338"/>
      <c r="ADH27" s="338"/>
      <c r="ADI27" s="338"/>
      <c r="ADJ27" s="338"/>
      <c r="ADK27" s="338"/>
      <c r="ADL27" s="338"/>
      <c r="ADM27" s="338"/>
      <c r="ADN27" s="338"/>
      <c r="ADO27" s="338"/>
      <c r="ADP27" s="338"/>
      <c r="ADQ27" s="338"/>
      <c r="ADR27" s="338"/>
      <c r="ADS27" s="338"/>
      <c r="ADT27" s="338"/>
      <c r="ADU27" s="338"/>
      <c r="ADV27" s="338"/>
      <c r="ADW27" s="338"/>
      <c r="ADX27" s="338"/>
      <c r="ADY27" s="338"/>
      <c r="ADZ27" s="338"/>
      <c r="AEA27" s="338"/>
      <c r="AEB27" s="338"/>
      <c r="AEC27" s="338"/>
      <c r="AED27" s="338"/>
      <c r="AEE27" s="338"/>
      <c r="AEF27" s="338"/>
      <c r="AEG27" s="338"/>
      <c r="AEH27" s="338"/>
      <c r="AEI27" s="338"/>
      <c r="AEJ27" s="338"/>
      <c r="AEK27" s="338"/>
      <c r="AEL27" s="338"/>
      <c r="AEM27" s="338"/>
      <c r="AEN27" s="338"/>
      <c r="AEO27" s="338"/>
      <c r="AEP27" s="338"/>
      <c r="AEQ27" s="338"/>
      <c r="AER27" s="338"/>
      <c r="AES27" s="338"/>
      <c r="AET27" s="338"/>
      <c r="AEU27" s="338"/>
      <c r="AEV27" s="338"/>
      <c r="AEW27" s="338"/>
      <c r="AEX27" s="338"/>
      <c r="AEY27" s="338"/>
      <c r="AEZ27" s="338"/>
      <c r="AFA27" s="338"/>
      <c r="AFB27" s="338"/>
      <c r="AFC27" s="338"/>
      <c r="AFD27" s="338"/>
      <c r="AFE27" s="338"/>
      <c r="AFF27" s="338"/>
      <c r="AFG27" s="338"/>
      <c r="AFH27" s="338"/>
      <c r="AFI27" s="338"/>
      <c r="AFJ27" s="338"/>
      <c r="AFK27" s="338"/>
      <c r="AFL27" s="338"/>
      <c r="AFM27" s="338"/>
      <c r="AFN27" s="338"/>
      <c r="AFO27" s="338"/>
      <c r="AFP27" s="338"/>
      <c r="AFQ27" s="338"/>
      <c r="AFR27" s="338"/>
      <c r="AFS27" s="338"/>
      <c r="AFT27" s="338"/>
      <c r="AFU27" s="338"/>
      <c r="AFV27" s="338"/>
      <c r="AFW27" s="338"/>
      <c r="AFX27" s="338"/>
      <c r="AFY27" s="338"/>
      <c r="AFZ27" s="338"/>
      <c r="AGA27" s="338"/>
      <c r="AGB27" s="338"/>
      <c r="AGC27" s="338"/>
      <c r="AGD27" s="338"/>
      <c r="AGE27" s="338"/>
      <c r="AGF27" s="338"/>
      <c r="AGG27" s="338"/>
      <c r="AGH27" s="338"/>
      <c r="AGI27" s="338"/>
      <c r="AGJ27" s="338"/>
      <c r="AGK27" s="338"/>
      <c r="AGL27" s="338"/>
      <c r="AGM27" s="338"/>
      <c r="AGN27" s="338"/>
      <c r="AGO27" s="338"/>
      <c r="AGP27" s="338"/>
      <c r="AGQ27" s="338"/>
      <c r="AGR27" s="338"/>
      <c r="AGS27" s="338"/>
      <c r="AGT27" s="338"/>
      <c r="AGU27" s="338"/>
      <c r="AGV27" s="338"/>
      <c r="AGW27" s="338"/>
      <c r="AGX27" s="338"/>
      <c r="AGY27" s="338"/>
      <c r="AGZ27" s="338"/>
      <c r="AHA27" s="338"/>
      <c r="AHB27" s="338"/>
      <c r="AHC27" s="338"/>
      <c r="AHD27" s="338"/>
      <c r="AHE27" s="338"/>
      <c r="AHF27" s="338"/>
      <c r="AHG27" s="338"/>
      <c r="AHH27" s="338"/>
      <c r="AHI27" s="338"/>
      <c r="AHJ27" s="338"/>
      <c r="AHK27" s="338"/>
      <c r="AHL27" s="338"/>
      <c r="AHM27" s="338"/>
      <c r="AHN27" s="338"/>
      <c r="AHO27" s="338"/>
      <c r="AHP27" s="338"/>
      <c r="AHQ27" s="338"/>
      <c r="AHR27" s="338"/>
      <c r="AHS27" s="338"/>
      <c r="AHT27" s="338"/>
      <c r="AHU27" s="338"/>
      <c r="AHV27" s="338"/>
      <c r="AHW27" s="338"/>
      <c r="AHX27" s="338"/>
      <c r="AHY27" s="338"/>
      <c r="AHZ27" s="338"/>
      <c r="AIA27" s="338"/>
      <c r="AIB27" s="338"/>
      <c r="AIC27" s="338"/>
      <c r="AID27" s="338"/>
      <c r="AIE27" s="338"/>
      <c r="AIF27" s="338"/>
      <c r="AIG27" s="338"/>
      <c r="AIH27" s="338"/>
      <c r="AII27" s="338"/>
      <c r="AIJ27" s="338"/>
      <c r="AIK27" s="338"/>
      <c r="AIL27" s="338"/>
      <c r="AIM27" s="338"/>
      <c r="AIN27" s="338"/>
      <c r="AIO27" s="338"/>
      <c r="AIP27" s="338"/>
      <c r="AIQ27" s="338"/>
      <c r="AIR27" s="338"/>
      <c r="AIS27" s="338"/>
      <c r="AIT27" s="338"/>
      <c r="AIU27" s="338"/>
      <c r="AIV27" s="338"/>
      <c r="AIW27" s="338"/>
      <c r="AIX27" s="338"/>
      <c r="AIY27" s="338"/>
      <c r="AIZ27" s="338"/>
      <c r="AJA27" s="338"/>
      <c r="AJB27" s="338"/>
      <c r="AJC27" s="338"/>
      <c r="AJD27" s="338"/>
      <c r="AJE27" s="338"/>
      <c r="AJF27" s="338"/>
      <c r="AJG27" s="338"/>
      <c r="AJH27" s="338"/>
      <c r="AJI27" s="338"/>
      <c r="AJJ27" s="338"/>
      <c r="AJK27" s="338"/>
      <c r="AJL27" s="338"/>
      <c r="AJM27" s="338"/>
      <c r="AJN27" s="338"/>
      <c r="AJO27" s="338"/>
      <c r="AJP27" s="338"/>
      <c r="AJQ27" s="338"/>
      <c r="AJR27" s="338"/>
      <c r="AJS27" s="338"/>
      <c r="AJT27" s="338"/>
      <c r="AJU27" s="338"/>
      <c r="AJV27" s="338"/>
      <c r="AJW27" s="338"/>
      <c r="AJX27" s="338"/>
      <c r="AJY27" s="338"/>
      <c r="AJZ27" s="338"/>
      <c r="AKA27" s="338"/>
      <c r="AKB27" s="338"/>
      <c r="AKC27" s="338"/>
      <c r="AKD27" s="338"/>
      <c r="AKE27" s="338"/>
      <c r="AKF27" s="338"/>
      <c r="AKG27" s="338"/>
      <c r="AKH27" s="338"/>
      <c r="AKI27" s="338"/>
      <c r="AKJ27" s="338"/>
      <c r="AKK27" s="338"/>
      <c r="AKL27" s="338"/>
      <c r="AKM27" s="338"/>
      <c r="AKN27" s="338"/>
      <c r="AKO27" s="338"/>
      <c r="AKP27" s="338"/>
      <c r="AKQ27" s="338"/>
      <c r="AKR27" s="338"/>
      <c r="AKS27" s="338"/>
      <c r="AKT27" s="338"/>
      <c r="AKU27" s="338"/>
      <c r="AKV27" s="338"/>
      <c r="AKW27" s="338"/>
      <c r="AKX27" s="338"/>
      <c r="AKY27" s="338"/>
      <c r="AKZ27" s="338"/>
      <c r="ALA27" s="338"/>
      <c r="ALB27" s="338"/>
      <c r="ALC27" s="338"/>
      <c r="ALD27" s="338"/>
      <c r="ALE27" s="338"/>
      <c r="ALF27" s="338"/>
      <c r="ALG27" s="338"/>
      <c r="ALH27" s="338"/>
      <c r="ALI27" s="338"/>
      <c r="ALJ27" s="338"/>
      <c r="ALK27" s="338"/>
      <c r="ALL27" s="338"/>
      <c r="ALM27" s="338"/>
      <c r="ALN27" s="338"/>
      <c r="ALO27" s="338"/>
      <c r="ALP27" s="338"/>
      <c r="ALQ27" s="338"/>
      <c r="ALR27" s="338"/>
      <c r="ALS27" s="338"/>
      <c r="ALT27" s="338"/>
      <c r="ALU27" s="338"/>
      <c r="ALV27" s="338"/>
      <c r="ALW27" s="338"/>
      <c r="ALX27" s="338"/>
      <c r="ALY27" s="338"/>
      <c r="ALZ27" s="338"/>
      <c r="AMA27" s="338"/>
      <c r="AMB27" s="338"/>
      <c r="AMC27" s="338"/>
      <c r="AMD27" s="338"/>
      <c r="AME27" s="338"/>
      <c r="AMF27" s="338"/>
      <c r="AMG27" s="338"/>
      <c r="AMH27" s="338"/>
      <c r="AMI27" s="338"/>
      <c r="AMJ27" s="338"/>
      <c r="AMK27" s="338"/>
      <c r="AML27" s="338"/>
      <c r="AMM27" s="338"/>
      <c r="AMN27" s="338"/>
      <c r="AMO27" s="338"/>
      <c r="AMP27" s="338"/>
      <c r="AMQ27" s="338"/>
      <c r="AMR27" s="338"/>
      <c r="AMS27" s="338"/>
      <c r="AMT27" s="338"/>
      <c r="AMU27" s="338"/>
      <c r="AMV27" s="338"/>
      <c r="AMW27" s="338"/>
      <c r="AMX27" s="338"/>
      <c r="AMY27" s="338"/>
      <c r="AMZ27" s="338"/>
      <c r="ANA27" s="338"/>
      <c r="ANB27" s="338"/>
      <c r="ANC27" s="338"/>
      <c r="AND27" s="338"/>
      <c r="ANE27" s="338"/>
      <c r="ANF27" s="338"/>
      <c r="ANG27" s="338"/>
      <c r="ANH27" s="338"/>
      <c r="ANI27" s="338"/>
      <c r="ANJ27" s="338"/>
      <c r="ANK27" s="338"/>
      <c r="ANL27" s="338"/>
      <c r="ANM27" s="338"/>
      <c r="ANN27" s="338"/>
      <c r="ANO27" s="338"/>
      <c r="ANP27" s="338"/>
      <c r="ANQ27" s="338"/>
      <c r="ANR27" s="338"/>
      <c r="ANS27" s="338"/>
      <c r="ANT27" s="338"/>
      <c r="ANU27" s="338"/>
      <c r="ANV27" s="338"/>
      <c r="ANW27" s="338"/>
      <c r="ANX27" s="338"/>
      <c r="ANY27" s="338"/>
      <c r="ANZ27" s="338"/>
      <c r="AOA27" s="338"/>
      <c r="AOB27" s="338"/>
      <c r="AOC27" s="338"/>
      <c r="AOD27" s="338"/>
      <c r="AOE27" s="338"/>
      <c r="AOF27" s="338"/>
      <c r="AOG27" s="338"/>
      <c r="AOH27" s="338"/>
      <c r="AOI27" s="338"/>
      <c r="AOJ27" s="338"/>
      <c r="AOK27" s="338"/>
      <c r="AOL27" s="338"/>
      <c r="AOM27" s="338"/>
      <c r="AON27" s="338"/>
      <c r="AOO27" s="338"/>
      <c r="AOP27" s="338"/>
      <c r="AOQ27" s="338"/>
      <c r="AOR27" s="338"/>
      <c r="AOS27" s="338"/>
      <c r="AOT27" s="338"/>
      <c r="AOU27" s="338"/>
      <c r="AOV27" s="338"/>
      <c r="AOW27" s="338"/>
      <c r="AOX27" s="338"/>
      <c r="AOY27" s="338"/>
      <c r="AOZ27" s="338"/>
      <c r="APA27" s="338"/>
      <c r="APB27" s="338"/>
      <c r="APC27" s="338"/>
      <c r="APD27" s="338"/>
      <c r="APE27" s="338"/>
      <c r="APF27" s="338"/>
      <c r="APG27" s="338"/>
      <c r="APH27" s="338"/>
      <c r="API27" s="338"/>
      <c r="APJ27" s="338"/>
      <c r="APK27" s="338"/>
      <c r="APL27" s="338"/>
      <c r="APM27" s="338"/>
      <c r="APN27" s="338"/>
      <c r="APO27" s="338"/>
      <c r="APP27" s="338"/>
      <c r="APQ27" s="338"/>
      <c r="APR27" s="338"/>
      <c r="APS27" s="338"/>
      <c r="APT27" s="338"/>
      <c r="APU27" s="338"/>
      <c r="APV27" s="338"/>
      <c r="APW27" s="338"/>
      <c r="APX27" s="338"/>
      <c r="APY27" s="338"/>
      <c r="APZ27" s="338"/>
      <c r="AQA27" s="338"/>
      <c r="AQB27" s="338"/>
      <c r="AQC27" s="338"/>
      <c r="AQD27" s="338"/>
      <c r="AQE27" s="338"/>
      <c r="AQF27" s="338"/>
      <c r="AQG27" s="338"/>
      <c r="AQH27" s="338"/>
      <c r="AQI27" s="338"/>
      <c r="AQJ27" s="338"/>
      <c r="AQK27" s="338"/>
      <c r="AQL27" s="338"/>
      <c r="AQM27" s="338"/>
      <c r="AQN27" s="338"/>
      <c r="AQO27" s="338"/>
      <c r="AQP27" s="338"/>
      <c r="AQQ27" s="338"/>
      <c r="AQR27" s="338"/>
      <c r="AQS27" s="338"/>
      <c r="AQT27" s="338"/>
      <c r="AQU27" s="338"/>
      <c r="AQV27" s="338"/>
      <c r="AQW27" s="338"/>
      <c r="AQX27" s="338"/>
      <c r="AQY27" s="338"/>
      <c r="AQZ27" s="338"/>
      <c r="ARA27" s="338"/>
      <c r="ARB27" s="338"/>
      <c r="ARC27" s="338"/>
      <c r="ARD27" s="338"/>
      <c r="ARE27" s="338"/>
      <c r="ARF27" s="338"/>
      <c r="ARG27" s="338"/>
      <c r="ARH27" s="338"/>
      <c r="ARI27" s="338"/>
      <c r="ARJ27" s="338"/>
      <c r="ARK27" s="338"/>
      <c r="ARL27" s="338"/>
      <c r="ARM27" s="338"/>
      <c r="ARN27" s="338"/>
      <c r="ARO27" s="338"/>
      <c r="ARP27" s="338"/>
      <c r="ARQ27" s="338"/>
      <c r="ARR27" s="338"/>
      <c r="ARS27" s="338"/>
      <c r="ART27" s="338"/>
      <c r="ARU27" s="338"/>
      <c r="ARV27" s="338"/>
      <c r="ARW27" s="338"/>
      <c r="ARX27" s="338"/>
      <c r="ARY27" s="338"/>
      <c r="ARZ27" s="338"/>
      <c r="ASA27" s="338"/>
      <c r="ASB27" s="338"/>
      <c r="ASC27" s="338"/>
      <c r="ASD27" s="338"/>
      <c r="ASE27" s="338"/>
      <c r="ASF27" s="338"/>
      <c r="ASG27" s="338"/>
      <c r="ASH27" s="338"/>
      <c r="ASI27" s="338"/>
      <c r="ASJ27" s="338"/>
      <c r="ASK27" s="338"/>
      <c r="ASL27" s="338"/>
      <c r="ASM27" s="338"/>
      <c r="ASN27" s="338"/>
      <c r="ASO27" s="338"/>
      <c r="ASP27" s="338"/>
      <c r="ASQ27" s="338"/>
      <c r="ASR27" s="338"/>
      <c r="ASS27" s="338"/>
      <c r="AST27" s="338"/>
      <c r="ASU27" s="338"/>
      <c r="ASV27" s="338"/>
      <c r="ASW27" s="338"/>
      <c r="ASX27" s="338"/>
      <c r="ASY27" s="338"/>
      <c r="ASZ27" s="338"/>
      <c r="ATA27" s="338"/>
      <c r="ATB27" s="338"/>
      <c r="ATC27" s="338"/>
      <c r="ATD27" s="338"/>
      <c r="ATE27" s="338"/>
      <c r="ATF27" s="338"/>
      <c r="ATG27" s="338"/>
      <c r="ATH27" s="338"/>
      <c r="ATI27" s="338"/>
      <c r="ATJ27" s="338"/>
      <c r="ATK27" s="338"/>
      <c r="ATL27" s="338"/>
      <c r="ATM27" s="338"/>
      <c r="ATN27" s="338"/>
      <c r="ATO27" s="338"/>
      <c r="ATP27" s="338"/>
      <c r="ATQ27" s="338"/>
      <c r="ATR27" s="338"/>
      <c r="ATS27" s="338"/>
      <c r="ATT27" s="338"/>
      <c r="ATU27" s="338"/>
      <c r="ATV27" s="338"/>
      <c r="ATW27" s="338"/>
      <c r="ATX27" s="338"/>
      <c r="ATY27" s="338"/>
      <c r="ATZ27" s="338"/>
      <c r="AUA27" s="338"/>
      <c r="AUB27" s="338"/>
      <c r="AUC27" s="338"/>
      <c r="AUD27" s="338"/>
      <c r="AUE27" s="338"/>
      <c r="AUF27" s="338"/>
      <c r="AUG27" s="338"/>
      <c r="AUH27" s="338"/>
      <c r="AUI27" s="338"/>
      <c r="AUJ27" s="338"/>
      <c r="AUK27" s="338"/>
      <c r="AUL27" s="338"/>
      <c r="AUM27" s="338"/>
      <c r="AUN27" s="338"/>
      <c r="AUO27" s="338"/>
      <c r="AUP27" s="338"/>
      <c r="AUQ27" s="338"/>
      <c r="AUR27" s="338"/>
      <c r="AUS27" s="338"/>
      <c r="AUT27" s="338"/>
      <c r="AUU27" s="338"/>
      <c r="AUV27" s="338"/>
      <c r="AUW27" s="338"/>
      <c r="AUX27" s="338"/>
      <c r="AUY27" s="338"/>
      <c r="AUZ27" s="338"/>
      <c r="AVA27" s="338"/>
      <c r="AVB27" s="338"/>
      <c r="AVC27" s="338"/>
      <c r="AVD27" s="338"/>
      <c r="AVE27" s="338"/>
      <c r="AVF27" s="338"/>
      <c r="AVG27" s="338"/>
      <c r="AVH27" s="338"/>
      <c r="AVI27" s="338"/>
      <c r="AVJ27" s="338"/>
      <c r="AVK27" s="338"/>
      <c r="AVL27" s="338"/>
      <c r="AVM27" s="338"/>
      <c r="AVN27" s="338"/>
      <c r="AVO27" s="338"/>
      <c r="AVP27" s="338"/>
      <c r="AVQ27" s="338"/>
      <c r="AVR27" s="338"/>
      <c r="AVS27" s="338"/>
      <c r="AVT27" s="338"/>
      <c r="AVU27" s="338"/>
      <c r="AVV27" s="338"/>
      <c r="AVW27" s="338"/>
      <c r="AVX27" s="338"/>
      <c r="AVY27" s="338"/>
      <c r="AVZ27" s="338"/>
      <c r="AWA27" s="338"/>
      <c r="AWB27" s="338"/>
      <c r="AWC27" s="338"/>
      <c r="AWD27" s="338"/>
      <c r="AWE27" s="338"/>
      <c r="AWF27" s="338"/>
      <c r="AWG27" s="338"/>
      <c r="AWH27" s="338"/>
      <c r="AWI27" s="338"/>
      <c r="AWJ27" s="338"/>
      <c r="AWK27" s="338"/>
      <c r="AWL27" s="338"/>
      <c r="AWM27" s="338"/>
      <c r="AWN27" s="338"/>
      <c r="AWO27" s="338"/>
      <c r="AWP27" s="338"/>
      <c r="AWQ27" s="338"/>
      <c r="AWR27" s="338"/>
      <c r="AWS27" s="338"/>
      <c r="AWT27" s="338"/>
      <c r="AWU27" s="338"/>
      <c r="AWV27" s="338"/>
      <c r="AWW27" s="338"/>
      <c r="AWX27" s="338"/>
      <c r="AWY27" s="338"/>
      <c r="AWZ27" s="338"/>
      <c r="AXA27" s="338"/>
      <c r="AXB27" s="338"/>
      <c r="AXC27" s="338"/>
      <c r="AXD27" s="338"/>
      <c r="AXE27" s="338"/>
      <c r="AXF27" s="338"/>
      <c r="AXG27" s="338"/>
      <c r="AXH27" s="338"/>
      <c r="AXI27" s="338"/>
      <c r="AXJ27" s="338"/>
      <c r="AXK27" s="338"/>
      <c r="AXL27" s="338"/>
      <c r="AXM27" s="338"/>
      <c r="AXN27" s="338"/>
      <c r="AXO27" s="338"/>
      <c r="AXP27" s="338"/>
      <c r="AXQ27" s="338"/>
      <c r="AXR27" s="338"/>
      <c r="AXS27" s="338"/>
      <c r="AXT27" s="338"/>
      <c r="AXU27" s="338"/>
      <c r="AXV27" s="338"/>
      <c r="AXW27" s="338"/>
      <c r="AXX27" s="338"/>
      <c r="AXY27" s="338"/>
      <c r="AXZ27" s="338"/>
      <c r="AYA27" s="338"/>
      <c r="AYB27" s="338"/>
      <c r="AYC27" s="338"/>
      <c r="AYD27" s="338"/>
      <c r="AYE27" s="338"/>
      <c r="AYF27" s="338"/>
      <c r="AYG27" s="338"/>
      <c r="AYH27" s="338"/>
      <c r="AYI27" s="338"/>
      <c r="AYJ27" s="338"/>
      <c r="AYK27" s="338"/>
      <c r="AYL27" s="338"/>
      <c r="AYM27" s="338"/>
      <c r="AYN27" s="338"/>
      <c r="AYO27" s="338"/>
      <c r="AYP27" s="338"/>
      <c r="AYQ27" s="338"/>
      <c r="AYR27" s="338"/>
      <c r="AYS27" s="338"/>
      <c r="AYT27" s="338"/>
      <c r="AYU27" s="338"/>
      <c r="AYV27" s="338"/>
      <c r="AYW27" s="338"/>
      <c r="AYX27" s="338"/>
      <c r="AYY27" s="338"/>
      <c r="AYZ27" s="338"/>
      <c r="AZA27" s="338"/>
      <c r="AZB27" s="338"/>
      <c r="AZC27" s="338"/>
      <c r="AZD27" s="338"/>
      <c r="AZE27" s="338"/>
      <c r="AZF27" s="338"/>
      <c r="AZG27" s="338"/>
      <c r="AZH27" s="338"/>
      <c r="AZI27" s="338"/>
      <c r="AZJ27" s="338"/>
      <c r="AZK27" s="338"/>
      <c r="AZL27" s="338"/>
      <c r="AZM27" s="338"/>
      <c r="AZN27" s="338"/>
      <c r="AZO27" s="338"/>
      <c r="AZP27" s="338"/>
      <c r="AZQ27" s="338"/>
      <c r="AZR27" s="338"/>
      <c r="AZS27" s="338"/>
      <c r="AZT27" s="338"/>
      <c r="AZU27" s="338"/>
      <c r="AZV27" s="338"/>
      <c r="AZW27" s="338"/>
      <c r="AZX27" s="338"/>
      <c r="AZY27" s="338"/>
      <c r="AZZ27" s="338"/>
      <c r="BAA27" s="338"/>
      <c r="BAB27" s="338"/>
      <c r="BAC27" s="338"/>
      <c r="BAD27" s="338"/>
      <c r="BAE27" s="338"/>
      <c r="BAF27" s="338"/>
      <c r="BAG27" s="338"/>
      <c r="BAH27" s="338"/>
      <c r="BAI27" s="338"/>
      <c r="BAJ27" s="338"/>
      <c r="BAK27" s="338"/>
      <c r="BAL27" s="338"/>
      <c r="BAM27" s="338"/>
      <c r="BAN27" s="338"/>
      <c r="BAO27" s="338"/>
      <c r="BAP27" s="338"/>
      <c r="BAQ27" s="338"/>
      <c r="BAR27" s="338"/>
      <c r="BAS27" s="338"/>
      <c r="BAT27" s="338"/>
      <c r="BAU27" s="338"/>
      <c r="BAV27" s="338"/>
      <c r="BAW27" s="338"/>
      <c r="BAX27" s="338"/>
      <c r="BAY27" s="338"/>
      <c r="BAZ27" s="338"/>
      <c r="BBA27" s="338"/>
      <c r="BBB27" s="338"/>
      <c r="BBC27" s="338"/>
      <c r="BBD27" s="338"/>
      <c r="BBE27" s="338"/>
      <c r="BBF27" s="338"/>
      <c r="BBG27" s="338"/>
      <c r="BBH27" s="338"/>
      <c r="BBI27" s="338"/>
      <c r="BBJ27" s="338"/>
      <c r="BBK27" s="338"/>
      <c r="BBL27" s="338"/>
      <c r="BBM27" s="338"/>
      <c r="BBN27" s="338"/>
      <c r="BBO27" s="338"/>
      <c r="BBP27" s="338"/>
      <c r="BBQ27" s="338"/>
      <c r="BBR27" s="338"/>
      <c r="BBS27" s="338"/>
      <c r="BBT27" s="338"/>
      <c r="BBU27" s="338"/>
      <c r="BBV27" s="338"/>
      <c r="BBW27" s="338"/>
      <c r="BBX27" s="338"/>
      <c r="BBY27" s="338"/>
      <c r="BBZ27" s="338"/>
      <c r="BCA27" s="338"/>
      <c r="BCB27" s="338"/>
      <c r="BCC27" s="338"/>
      <c r="BCD27" s="338"/>
      <c r="BCE27" s="338"/>
      <c r="BCF27" s="338"/>
      <c r="BCG27" s="338"/>
      <c r="BCH27" s="338"/>
      <c r="BCI27" s="338"/>
      <c r="BCJ27" s="338"/>
      <c r="BCK27" s="338"/>
      <c r="BCL27" s="338"/>
      <c r="BCM27" s="338"/>
      <c r="BCN27" s="338"/>
      <c r="BCO27" s="338"/>
      <c r="BCP27" s="338"/>
      <c r="BCQ27" s="338"/>
      <c r="BCR27" s="338"/>
      <c r="BCS27" s="338"/>
      <c r="BCT27" s="338"/>
      <c r="BCU27" s="338"/>
      <c r="BCV27" s="338"/>
      <c r="BCW27" s="338"/>
      <c r="BCX27" s="338"/>
      <c r="BCY27" s="338"/>
      <c r="BCZ27" s="338"/>
      <c r="BDA27" s="338"/>
      <c r="BDB27" s="338"/>
      <c r="BDC27" s="338"/>
      <c r="BDD27" s="338"/>
      <c r="BDE27" s="338"/>
      <c r="BDF27" s="338"/>
      <c r="BDG27" s="338"/>
      <c r="BDH27" s="338"/>
      <c r="BDI27" s="338"/>
      <c r="BDJ27" s="338"/>
      <c r="BDK27" s="338"/>
      <c r="BDL27" s="338"/>
      <c r="BDM27" s="338"/>
      <c r="BDN27" s="338"/>
      <c r="BDO27" s="338"/>
      <c r="BDP27" s="338"/>
      <c r="BDQ27" s="338"/>
      <c r="BDR27" s="338"/>
      <c r="BDS27" s="338"/>
      <c r="BDT27" s="338"/>
      <c r="BDU27" s="338"/>
      <c r="BDV27" s="338"/>
      <c r="BDW27" s="338"/>
      <c r="BDX27" s="338"/>
      <c r="BDY27" s="338"/>
      <c r="BDZ27" s="338"/>
      <c r="BEA27" s="338"/>
      <c r="BEB27" s="338"/>
      <c r="BEC27" s="338"/>
      <c r="BED27" s="338"/>
      <c r="BEE27" s="338"/>
      <c r="BEF27" s="338"/>
      <c r="BEG27" s="338"/>
      <c r="BEH27" s="338"/>
      <c r="BEI27" s="338"/>
      <c r="BEJ27" s="338"/>
      <c r="BEK27" s="338"/>
      <c r="BEL27" s="338"/>
      <c r="BEM27" s="338"/>
      <c r="BEN27" s="338"/>
      <c r="BEO27" s="338"/>
      <c r="BEP27" s="338"/>
      <c r="BEQ27" s="338"/>
      <c r="BER27" s="338"/>
      <c r="BES27" s="338"/>
      <c r="BET27" s="338"/>
      <c r="BEU27" s="338"/>
      <c r="BEV27" s="338"/>
      <c r="BEW27" s="338"/>
      <c r="BEX27" s="338"/>
      <c r="BEY27" s="338"/>
      <c r="BEZ27" s="338"/>
      <c r="BFA27" s="338"/>
      <c r="BFB27" s="338"/>
      <c r="BFC27" s="338"/>
      <c r="BFD27" s="338"/>
      <c r="BFE27" s="338"/>
      <c r="BFF27" s="338"/>
      <c r="BFG27" s="338"/>
      <c r="BFH27" s="338"/>
      <c r="BFI27" s="338"/>
      <c r="BFJ27" s="338"/>
      <c r="BFK27" s="338"/>
      <c r="BFL27" s="338"/>
      <c r="BFM27" s="338"/>
      <c r="BFN27" s="338"/>
      <c r="BFO27" s="338"/>
      <c r="BFP27" s="338"/>
      <c r="BFQ27" s="338"/>
      <c r="BFR27" s="338"/>
      <c r="BFS27" s="338"/>
      <c r="BFT27" s="338"/>
      <c r="BFU27" s="338"/>
      <c r="BFV27" s="338"/>
      <c r="BFW27" s="338"/>
      <c r="BFX27" s="338"/>
      <c r="BFY27" s="338"/>
      <c r="BFZ27" s="338"/>
      <c r="BGA27" s="338"/>
      <c r="BGB27" s="338"/>
      <c r="BGC27" s="338"/>
      <c r="BGD27" s="338"/>
      <c r="BGE27" s="338"/>
      <c r="BGF27" s="338"/>
      <c r="BGG27" s="338"/>
      <c r="BGH27" s="338"/>
      <c r="BGI27" s="338"/>
      <c r="BGJ27" s="338"/>
      <c r="BGK27" s="338"/>
      <c r="BGL27" s="338"/>
      <c r="BGM27" s="338"/>
      <c r="BGN27" s="338"/>
      <c r="BGO27" s="338"/>
      <c r="BGP27" s="338"/>
      <c r="BGQ27" s="338"/>
      <c r="BGR27" s="338"/>
      <c r="BGS27" s="338"/>
      <c r="BGT27" s="338"/>
      <c r="BGU27" s="338"/>
      <c r="BGV27" s="338"/>
      <c r="BGW27" s="338"/>
      <c r="BGX27" s="338"/>
      <c r="BGY27" s="338"/>
      <c r="BGZ27" s="338"/>
      <c r="BHA27" s="338"/>
      <c r="BHB27" s="338"/>
      <c r="BHC27" s="338"/>
      <c r="BHD27" s="338"/>
      <c r="BHE27" s="338"/>
      <c r="BHF27" s="338"/>
      <c r="BHG27" s="338"/>
      <c r="BHH27" s="338"/>
      <c r="BHI27" s="338"/>
      <c r="BHJ27" s="338"/>
      <c r="BHK27" s="338"/>
      <c r="BHL27" s="338"/>
      <c r="BHM27" s="338"/>
      <c r="BHN27" s="338"/>
      <c r="BHO27" s="338"/>
      <c r="BHP27" s="338"/>
      <c r="BHQ27" s="338"/>
      <c r="BHR27" s="338"/>
      <c r="BHS27" s="338"/>
      <c r="BHT27" s="338"/>
      <c r="BHU27" s="338"/>
      <c r="BHV27" s="338"/>
      <c r="BHW27" s="338"/>
      <c r="BHX27" s="338"/>
      <c r="BHY27" s="338"/>
      <c r="BHZ27" s="338"/>
      <c r="BIA27" s="338"/>
      <c r="BIB27" s="338"/>
      <c r="BIC27" s="338"/>
      <c r="BID27" s="338"/>
      <c r="BIE27" s="338"/>
      <c r="BIF27" s="338"/>
      <c r="BIG27" s="338"/>
      <c r="BIH27" s="338"/>
      <c r="BII27" s="338"/>
      <c r="BIJ27" s="338"/>
      <c r="BIK27" s="338"/>
      <c r="BIL27" s="338"/>
      <c r="BIM27" s="338"/>
      <c r="BIN27" s="338"/>
      <c r="BIO27" s="338"/>
      <c r="BIP27" s="338"/>
      <c r="BIQ27" s="338"/>
      <c r="BIR27" s="338"/>
      <c r="BIS27" s="338"/>
      <c r="BIT27" s="338"/>
      <c r="BIU27" s="338"/>
      <c r="BIV27" s="338"/>
      <c r="BIW27" s="338"/>
      <c r="BIX27" s="338"/>
      <c r="BIY27" s="338"/>
      <c r="BIZ27" s="338"/>
      <c r="BJA27" s="338"/>
      <c r="BJB27" s="338"/>
      <c r="BJC27" s="338"/>
      <c r="BJD27" s="338"/>
      <c r="BJE27" s="338"/>
      <c r="BJF27" s="338"/>
      <c r="BJG27" s="338"/>
      <c r="BJH27" s="338"/>
      <c r="BJI27" s="338"/>
      <c r="BJJ27" s="338"/>
      <c r="BJK27" s="338"/>
      <c r="BJL27" s="338"/>
      <c r="BJM27" s="338"/>
      <c r="BJN27" s="338"/>
      <c r="BJO27" s="338"/>
      <c r="BJP27" s="338"/>
      <c r="BJQ27" s="338"/>
      <c r="BJR27" s="338"/>
      <c r="BJS27" s="338"/>
      <c r="BJT27" s="338"/>
      <c r="BJU27" s="338"/>
      <c r="BJV27" s="338"/>
      <c r="BJW27" s="338"/>
      <c r="BJX27" s="338"/>
      <c r="BJY27" s="338"/>
      <c r="BJZ27" s="338"/>
      <c r="BKA27" s="338"/>
      <c r="BKB27" s="338"/>
      <c r="BKC27" s="338"/>
      <c r="BKD27" s="338"/>
      <c r="BKE27" s="338"/>
      <c r="BKF27" s="338"/>
      <c r="BKG27" s="338"/>
      <c r="BKH27" s="338"/>
      <c r="BKI27" s="338"/>
      <c r="BKJ27" s="338"/>
      <c r="BKK27" s="338"/>
      <c r="BKL27" s="338"/>
      <c r="BKM27" s="338"/>
      <c r="BKN27" s="338"/>
      <c r="BKO27" s="338"/>
      <c r="BKP27" s="338"/>
      <c r="BKQ27" s="338"/>
      <c r="BKR27" s="338"/>
      <c r="BKS27" s="338"/>
      <c r="BKT27" s="338"/>
      <c r="BKU27" s="338"/>
      <c r="BKV27" s="338"/>
      <c r="BKW27" s="338"/>
      <c r="BKX27" s="338"/>
      <c r="BKY27" s="338"/>
      <c r="BKZ27" s="338"/>
      <c r="BLA27" s="338"/>
      <c r="BLB27" s="338"/>
      <c r="BLC27" s="338"/>
      <c r="BLD27" s="338"/>
      <c r="BLE27" s="338"/>
      <c r="BLF27" s="338"/>
      <c r="BLG27" s="338"/>
      <c r="BLH27" s="338"/>
      <c r="BLI27" s="338"/>
      <c r="BLJ27" s="338"/>
      <c r="BLK27" s="338"/>
      <c r="BLL27" s="338"/>
      <c r="BLM27" s="338"/>
      <c r="BLN27" s="338"/>
      <c r="BLO27" s="338"/>
      <c r="BLP27" s="338"/>
      <c r="BLQ27" s="338"/>
      <c r="BLR27" s="338"/>
      <c r="BLS27" s="338"/>
      <c r="BLT27" s="338"/>
      <c r="BLU27" s="338"/>
      <c r="BLV27" s="338"/>
      <c r="BLW27" s="338"/>
      <c r="BLX27" s="338"/>
      <c r="BLY27" s="338"/>
      <c r="BLZ27" s="338"/>
      <c r="BMA27" s="338"/>
      <c r="BMB27" s="338"/>
      <c r="BMC27" s="338"/>
      <c r="BMD27" s="338"/>
      <c r="BME27" s="338"/>
      <c r="BMF27" s="338"/>
      <c r="BMG27" s="338"/>
      <c r="BMH27" s="338"/>
      <c r="BMI27" s="338"/>
      <c r="BMJ27" s="338"/>
      <c r="BMK27" s="338"/>
      <c r="BML27" s="338"/>
      <c r="BMM27" s="338"/>
      <c r="BMN27" s="338"/>
      <c r="BMO27" s="338"/>
      <c r="BMP27" s="338"/>
      <c r="BMQ27" s="338"/>
      <c r="BMR27" s="338"/>
      <c r="BMS27" s="338"/>
      <c r="BMT27" s="338"/>
      <c r="BMU27" s="338"/>
      <c r="BMV27" s="338"/>
      <c r="BMW27" s="338"/>
      <c r="BMX27" s="338"/>
      <c r="BMY27" s="338"/>
      <c r="BMZ27" s="338"/>
      <c r="BNA27" s="338"/>
      <c r="BNB27" s="338"/>
      <c r="BNC27" s="338"/>
      <c r="BND27" s="338"/>
      <c r="BNE27" s="338"/>
      <c r="BNF27" s="338"/>
      <c r="BNG27" s="338"/>
      <c r="BNH27" s="338"/>
      <c r="BNI27" s="338"/>
      <c r="BNJ27" s="338"/>
      <c r="BNK27" s="338"/>
      <c r="BNL27" s="338"/>
      <c r="BNM27" s="338"/>
      <c r="BNN27" s="338"/>
      <c r="BNO27" s="338"/>
      <c r="BNP27" s="338"/>
      <c r="BNQ27" s="338"/>
      <c r="BNR27" s="338"/>
      <c r="BNS27" s="338"/>
      <c r="BNT27" s="338"/>
      <c r="BNU27" s="338"/>
      <c r="BNV27" s="338"/>
      <c r="BNW27" s="338"/>
      <c r="BNX27" s="338"/>
      <c r="BNY27" s="338"/>
      <c r="BNZ27" s="338"/>
      <c r="BOA27" s="338"/>
      <c r="BOB27" s="338"/>
      <c r="BOC27" s="338"/>
      <c r="BOD27" s="338"/>
      <c r="BOE27" s="338"/>
      <c r="BOF27" s="338"/>
      <c r="BOG27" s="338"/>
      <c r="BOH27" s="338"/>
      <c r="BOI27" s="338"/>
      <c r="BOJ27" s="338"/>
      <c r="BOK27" s="338"/>
      <c r="BOL27" s="338"/>
      <c r="BOM27" s="338"/>
      <c r="BON27" s="338"/>
      <c r="BOO27" s="338"/>
      <c r="BOP27" s="338"/>
      <c r="BOQ27" s="338"/>
      <c r="BOR27" s="338"/>
      <c r="BOS27" s="338"/>
      <c r="BOT27" s="338"/>
      <c r="BOU27" s="338"/>
      <c r="BOV27" s="338"/>
      <c r="BOW27" s="338"/>
      <c r="BOX27" s="338"/>
      <c r="BOY27" s="338"/>
      <c r="BOZ27" s="338"/>
      <c r="BPA27" s="338"/>
      <c r="BPB27" s="338"/>
      <c r="BPC27" s="338"/>
      <c r="BPD27" s="338"/>
      <c r="BPE27" s="338"/>
      <c r="BPF27" s="338"/>
      <c r="BPG27" s="338"/>
      <c r="BPH27" s="338"/>
      <c r="BPI27" s="338"/>
      <c r="BPJ27" s="338"/>
      <c r="BPK27" s="338"/>
      <c r="BPL27" s="338"/>
      <c r="BPM27" s="338"/>
      <c r="BPN27" s="338"/>
      <c r="BPO27" s="338"/>
      <c r="BPP27" s="338"/>
      <c r="BPQ27" s="338"/>
      <c r="BPR27" s="338"/>
      <c r="BPS27" s="338"/>
      <c r="BPT27" s="338"/>
      <c r="BPU27" s="338"/>
      <c r="BPV27" s="338"/>
      <c r="BPW27" s="338"/>
      <c r="BPX27" s="338"/>
      <c r="BPY27" s="338"/>
      <c r="BPZ27" s="338"/>
      <c r="BQA27" s="338"/>
      <c r="BQB27" s="338"/>
      <c r="BQC27" s="338"/>
      <c r="BQD27" s="338"/>
      <c r="BQE27" s="338"/>
      <c r="BQF27" s="338"/>
      <c r="BQG27" s="338"/>
      <c r="BQH27" s="338"/>
      <c r="BQI27" s="338"/>
      <c r="BQJ27" s="338"/>
      <c r="BQK27" s="338"/>
      <c r="BQL27" s="338"/>
      <c r="BQM27" s="338"/>
      <c r="BQN27" s="338"/>
      <c r="BQO27" s="338"/>
      <c r="BQP27" s="338"/>
      <c r="BQQ27" s="338"/>
      <c r="BQR27" s="338"/>
      <c r="BQS27" s="338"/>
      <c r="BQT27" s="338"/>
      <c r="BQU27" s="338"/>
      <c r="BQV27" s="338"/>
      <c r="BQW27" s="338"/>
      <c r="BQX27" s="338"/>
      <c r="BQY27" s="338"/>
      <c r="BQZ27" s="338"/>
      <c r="BRA27" s="338"/>
      <c r="BRB27" s="338"/>
      <c r="BRC27" s="338"/>
      <c r="BRD27" s="338"/>
      <c r="BRE27" s="338"/>
      <c r="BRF27" s="338"/>
      <c r="BRG27" s="338"/>
      <c r="BRH27" s="338"/>
      <c r="BRI27" s="338"/>
      <c r="BRJ27" s="338"/>
      <c r="BRK27" s="338"/>
      <c r="BRL27" s="338"/>
      <c r="BRM27" s="338"/>
      <c r="BRN27" s="338"/>
      <c r="BRO27" s="338"/>
      <c r="BRP27" s="338"/>
      <c r="BRQ27" s="338"/>
      <c r="BRR27" s="338"/>
      <c r="BRS27" s="338"/>
      <c r="BRT27" s="338"/>
      <c r="BRU27" s="338"/>
      <c r="BRV27" s="338"/>
      <c r="BRW27" s="338"/>
      <c r="BRX27" s="338"/>
      <c r="BRY27" s="338"/>
      <c r="BRZ27" s="338"/>
      <c r="BSA27" s="338"/>
      <c r="BSB27" s="338"/>
      <c r="BSC27" s="338"/>
      <c r="BSD27" s="338"/>
      <c r="BSE27" s="338"/>
      <c r="BSF27" s="338"/>
      <c r="BSG27" s="338"/>
      <c r="BSH27" s="338"/>
      <c r="BSI27" s="338"/>
      <c r="BSJ27" s="338"/>
      <c r="BSK27" s="338"/>
      <c r="BSL27" s="338"/>
      <c r="BSM27" s="338"/>
      <c r="BSN27" s="338"/>
      <c r="BSO27" s="338"/>
      <c r="BSP27" s="338"/>
      <c r="BSQ27" s="338"/>
      <c r="BSR27" s="338"/>
      <c r="BSS27" s="338"/>
      <c r="BST27" s="338"/>
      <c r="BSU27" s="338"/>
      <c r="BSV27" s="338"/>
      <c r="BSW27" s="338"/>
      <c r="BSX27" s="338"/>
      <c r="BSY27" s="338"/>
      <c r="BSZ27" s="338"/>
      <c r="BTA27" s="338"/>
      <c r="BTB27" s="338"/>
      <c r="BTC27" s="338"/>
      <c r="BTD27" s="338"/>
      <c r="BTE27" s="338"/>
      <c r="BTF27" s="338"/>
      <c r="BTG27" s="338"/>
      <c r="BTH27" s="338"/>
      <c r="BTI27" s="338"/>
      <c r="BTJ27" s="338"/>
      <c r="BTK27" s="338"/>
      <c r="BTL27" s="338"/>
      <c r="BTM27" s="338"/>
      <c r="BTN27" s="338"/>
      <c r="BTO27" s="338"/>
      <c r="BTP27" s="338"/>
      <c r="BTQ27" s="338"/>
      <c r="BTR27" s="338"/>
      <c r="BTS27" s="338"/>
      <c r="BTT27" s="338"/>
      <c r="BTU27" s="338"/>
      <c r="BTV27" s="338"/>
      <c r="BTW27" s="338"/>
      <c r="BTX27" s="338"/>
      <c r="BTY27" s="338"/>
      <c r="BTZ27" s="338"/>
      <c r="BUA27" s="338"/>
      <c r="BUB27" s="338"/>
      <c r="BUC27" s="338"/>
      <c r="BUD27" s="338"/>
      <c r="BUE27" s="338"/>
      <c r="BUF27" s="338"/>
      <c r="BUG27" s="338"/>
      <c r="BUH27" s="338"/>
      <c r="BUI27" s="338"/>
      <c r="BUJ27" s="338"/>
      <c r="BUK27" s="338"/>
      <c r="BUL27" s="338"/>
      <c r="BUM27" s="338"/>
      <c r="BUN27" s="338"/>
      <c r="BUO27" s="338"/>
      <c r="BUP27" s="338"/>
      <c r="BUQ27" s="338"/>
      <c r="BUR27" s="338"/>
      <c r="BUS27" s="338"/>
      <c r="BUT27" s="338"/>
      <c r="BUU27" s="338"/>
      <c r="BUV27" s="338"/>
      <c r="BUW27" s="338"/>
      <c r="BUX27" s="338"/>
      <c r="BUY27" s="338"/>
      <c r="BUZ27" s="338"/>
      <c r="BVA27" s="338"/>
      <c r="BVB27" s="338"/>
      <c r="BVC27" s="338"/>
      <c r="BVD27" s="338"/>
      <c r="BVE27" s="338"/>
      <c r="BVF27" s="338"/>
      <c r="BVG27" s="338"/>
      <c r="BVH27" s="338"/>
      <c r="BVI27" s="338"/>
      <c r="BVJ27" s="338"/>
      <c r="BVK27" s="338"/>
      <c r="BVL27" s="338"/>
      <c r="BVM27" s="338"/>
      <c r="BVN27" s="338"/>
      <c r="BVO27" s="338"/>
      <c r="BVP27" s="338"/>
      <c r="BVQ27" s="338"/>
      <c r="BVR27" s="338"/>
      <c r="BVS27" s="338"/>
      <c r="BVT27" s="338"/>
      <c r="BVU27" s="338"/>
      <c r="BVV27" s="338"/>
      <c r="BVW27" s="338"/>
      <c r="BVX27" s="338"/>
      <c r="BVY27" s="338"/>
      <c r="BVZ27" s="338"/>
      <c r="BWA27" s="338"/>
      <c r="BWB27" s="338"/>
      <c r="BWC27" s="338"/>
      <c r="BWD27" s="338"/>
      <c r="BWE27" s="338"/>
      <c r="BWF27" s="338"/>
      <c r="BWG27" s="338"/>
      <c r="BWH27" s="338"/>
      <c r="BWI27" s="338"/>
      <c r="BWJ27" s="338"/>
      <c r="BWK27" s="338"/>
      <c r="BWL27" s="338"/>
      <c r="BWM27" s="338"/>
      <c r="BWN27" s="338"/>
      <c r="BWO27" s="338"/>
      <c r="BWP27" s="338"/>
      <c r="BWQ27" s="338"/>
      <c r="BWR27" s="338"/>
      <c r="BWS27" s="338"/>
      <c r="BWT27" s="338"/>
      <c r="BWU27" s="338"/>
      <c r="BWV27" s="338"/>
      <c r="BWW27" s="338"/>
      <c r="BWX27" s="338"/>
      <c r="BWY27" s="338"/>
      <c r="BWZ27" s="338"/>
      <c r="BXA27" s="338"/>
      <c r="BXB27" s="338"/>
      <c r="BXC27" s="338"/>
      <c r="BXD27" s="338"/>
      <c r="BXE27" s="338"/>
      <c r="BXF27" s="338"/>
      <c r="BXG27" s="338"/>
      <c r="BXH27" s="338"/>
      <c r="BXI27" s="338"/>
      <c r="BXJ27" s="338"/>
      <c r="BXK27" s="338"/>
      <c r="BXL27" s="338"/>
      <c r="BXM27" s="338"/>
      <c r="BXN27" s="338"/>
      <c r="BXO27" s="338"/>
      <c r="BXP27" s="338"/>
      <c r="BXQ27" s="338"/>
      <c r="BXR27" s="338"/>
      <c r="BXS27" s="338"/>
      <c r="BXT27" s="338"/>
      <c r="BXU27" s="338"/>
      <c r="BXV27" s="338"/>
      <c r="BXW27" s="338"/>
      <c r="BXX27" s="338"/>
      <c r="BXY27" s="338"/>
      <c r="BXZ27" s="338"/>
      <c r="BYA27" s="338"/>
      <c r="BYB27" s="338"/>
      <c r="BYC27" s="338"/>
      <c r="BYD27" s="338"/>
      <c r="BYE27" s="338"/>
      <c r="BYF27" s="338"/>
      <c r="BYG27" s="338"/>
      <c r="BYH27" s="338"/>
      <c r="BYI27" s="338"/>
      <c r="BYJ27" s="338"/>
      <c r="BYK27" s="338"/>
      <c r="BYL27" s="338"/>
      <c r="BYM27" s="338"/>
      <c r="BYN27" s="338"/>
      <c r="BYO27" s="338"/>
      <c r="BYP27" s="338"/>
      <c r="BYQ27" s="338"/>
      <c r="BYR27" s="338"/>
      <c r="BYS27" s="338"/>
      <c r="BYT27" s="338"/>
      <c r="BYU27" s="338"/>
      <c r="BYV27" s="338"/>
      <c r="BYW27" s="338"/>
      <c r="BYX27" s="338"/>
      <c r="BYY27" s="338"/>
      <c r="BYZ27" s="338"/>
      <c r="BZA27" s="338"/>
      <c r="BZB27" s="338"/>
      <c r="BZC27" s="338"/>
      <c r="BZD27" s="338"/>
      <c r="BZE27" s="338"/>
      <c r="BZF27" s="338"/>
      <c r="BZG27" s="338"/>
      <c r="BZH27" s="338"/>
      <c r="BZI27" s="338"/>
      <c r="BZJ27" s="338"/>
      <c r="BZK27" s="338"/>
      <c r="BZL27" s="338"/>
      <c r="BZM27" s="338"/>
      <c r="BZN27" s="338"/>
      <c r="BZO27" s="338"/>
      <c r="BZP27" s="338"/>
      <c r="BZQ27" s="338"/>
      <c r="BZR27" s="338"/>
      <c r="BZS27" s="338"/>
      <c r="BZT27" s="338"/>
      <c r="BZU27" s="338"/>
      <c r="BZV27" s="338"/>
      <c r="BZW27" s="338"/>
      <c r="BZX27" s="338"/>
      <c r="BZY27" s="338"/>
      <c r="BZZ27" s="338"/>
      <c r="CAA27" s="338"/>
      <c r="CAB27" s="338"/>
      <c r="CAC27" s="338"/>
      <c r="CAD27" s="338"/>
      <c r="CAE27" s="338"/>
      <c r="CAF27" s="338"/>
      <c r="CAG27" s="338"/>
      <c r="CAH27" s="338"/>
      <c r="CAI27" s="338"/>
      <c r="CAJ27" s="338"/>
      <c r="CAK27" s="338"/>
      <c r="CAL27" s="338"/>
      <c r="CAM27" s="338"/>
      <c r="CAN27" s="338"/>
      <c r="CAO27" s="338"/>
      <c r="CAP27" s="338"/>
      <c r="CAQ27" s="338"/>
      <c r="CAR27" s="338"/>
      <c r="CAS27" s="338"/>
      <c r="CAT27" s="338"/>
      <c r="CAU27" s="338"/>
      <c r="CAV27" s="338"/>
      <c r="CAW27" s="338"/>
      <c r="CAX27" s="338"/>
      <c r="CAY27" s="338"/>
      <c r="CAZ27" s="338"/>
      <c r="CBA27" s="338"/>
      <c r="CBB27" s="338"/>
      <c r="CBC27" s="338"/>
      <c r="CBD27" s="338"/>
      <c r="CBE27" s="338"/>
      <c r="CBF27" s="338"/>
      <c r="CBG27" s="338"/>
      <c r="CBH27" s="338"/>
      <c r="CBI27" s="338"/>
      <c r="CBJ27" s="338"/>
      <c r="CBK27" s="338"/>
      <c r="CBL27" s="338"/>
      <c r="CBM27" s="338"/>
      <c r="CBN27" s="338"/>
      <c r="CBO27" s="338"/>
      <c r="CBP27" s="338"/>
      <c r="CBQ27" s="338"/>
      <c r="CBR27" s="338"/>
      <c r="CBS27" s="338"/>
      <c r="CBT27" s="338"/>
      <c r="CBU27" s="338"/>
      <c r="CBV27" s="338"/>
      <c r="CBW27" s="338"/>
      <c r="CBX27" s="338"/>
      <c r="CBY27" s="338"/>
      <c r="CBZ27" s="338"/>
      <c r="CCA27" s="338"/>
      <c r="CCB27" s="338"/>
      <c r="CCC27" s="338"/>
      <c r="CCD27" s="338"/>
      <c r="CCE27" s="338"/>
      <c r="CCF27" s="338"/>
      <c r="CCG27" s="338"/>
      <c r="CCH27" s="338"/>
      <c r="CCI27" s="338"/>
      <c r="CCJ27" s="338"/>
      <c r="CCK27" s="338"/>
      <c r="CCL27" s="338"/>
      <c r="CCM27" s="338"/>
      <c r="CCN27" s="338"/>
      <c r="CCO27" s="338"/>
      <c r="CCP27" s="338"/>
      <c r="CCQ27" s="338"/>
      <c r="CCR27" s="338"/>
      <c r="CCS27" s="338"/>
      <c r="CCT27" s="338"/>
      <c r="CCU27" s="338"/>
      <c r="CCV27" s="338"/>
      <c r="CCW27" s="338"/>
      <c r="CCX27" s="338"/>
      <c r="CCY27" s="338"/>
      <c r="CCZ27" s="338"/>
      <c r="CDA27" s="338"/>
      <c r="CDB27" s="338"/>
      <c r="CDC27" s="338"/>
      <c r="CDD27" s="338"/>
      <c r="CDE27" s="338"/>
      <c r="CDF27" s="338"/>
      <c r="CDG27" s="338"/>
      <c r="CDH27" s="338"/>
      <c r="CDI27" s="338"/>
      <c r="CDJ27" s="338"/>
      <c r="CDK27" s="338"/>
      <c r="CDL27" s="338"/>
      <c r="CDM27" s="338"/>
      <c r="CDN27" s="338"/>
      <c r="CDO27" s="338"/>
      <c r="CDP27" s="338"/>
      <c r="CDQ27" s="338"/>
      <c r="CDR27" s="338"/>
      <c r="CDS27" s="338"/>
      <c r="CDT27" s="338"/>
      <c r="CDU27" s="338"/>
      <c r="CDV27" s="338"/>
      <c r="CDW27" s="338"/>
      <c r="CDX27" s="338"/>
      <c r="CDY27" s="338"/>
      <c r="CDZ27" s="338"/>
      <c r="CEA27" s="338"/>
      <c r="CEB27" s="338"/>
      <c r="CEC27" s="338"/>
      <c r="CED27" s="338"/>
      <c r="CEE27" s="338"/>
      <c r="CEF27" s="338"/>
      <c r="CEG27" s="338"/>
      <c r="CEH27" s="338"/>
      <c r="CEI27" s="338"/>
      <c r="CEJ27" s="338"/>
      <c r="CEK27" s="338"/>
      <c r="CEL27" s="338"/>
      <c r="CEM27" s="338"/>
      <c r="CEN27" s="338"/>
      <c r="CEO27" s="338"/>
      <c r="CEP27" s="338"/>
      <c r="CEQ27" s="338"/>
      <c r="CER27" s="338"/>
      <c r="CES27" s="338"/>
      <c r="CET27" s="338"/>
      <c r="CEU27" s="338"/>
      <c r="CEV27" s="338"/>
      <c r="CEW27" s="338"/>
      <c r="CEX27" s="338"/>
      <c r="CEY27" s="338"/>
      <c r="CEZ27" s="338"/>
      <c r="CFA27" s="338"/>
      <c r="CFB27" s="338"/>
      <c r="CFC27" s="338"/>
      <c r="CFD27" s="338"/>
      <c r="CFE27" s="338"/>
      <c r="CFF27" s="338"/>
      <c r="CFG27" s="338"/>
      <c r="CFH27" s="338"/>
      <c r="CFI27" s="338"/>
      <c r="CFJ27" s="338"/>
      <c r="CFK27" s="338"/>
      <c r="CFL27" s="338"/>
      <c r="CFM27" s="338"/>
      <c r="CFN27" s="338"/>
      <c r="CFO27" s="338"/>
      <c r="CFP27" s="338"/>
      <c r="CFQ27" s="338"/>
      <c r="CFR27" s="338"/>
      <c r="CFS27" s="338"/>
      <c r="CFT27" s="338"/>
      <c r="CFU27" s="338"/>
      <c r="CFV27" s="338"/>
      <c r="CFW27" s="338"/>
      <c r="CFX27" s="338"/>
      <c r="CFY27" s="338"/>
      <c r="CFZ27" s="338"/>
      <c r="CGA27" s="338"/>
      <c r="CGB27" s="338"/>
      <c r="CGC27" s="338"/>
      <c r="CGD27" s="338"/>
      <c r="CGE27" s="338"/>
      <c r="CGF27" s="338"/>
      <c r="CGG27" s="338"/>
      <c r="CGH27" s="338"/>
      <c r="CGI27" s="338"/>
      <c r="CGJ27" s="338"/>
      <c r="CGK27" s="338"/>
      <c r="CGL27" s="338"/>
      <c r="CGM27" s="338"/>
      <c r="CGN27" s="338"/>
      <c r="CGO27" s="338"/>
      <c r="CGP27" s="338"/>
      <c r="CGQ27" s="338"/>
      <c r="CGR27" s="338"/>
      <c r="CGS27" s="338"/>
      <c r="CGT27" s="338"/>
      <c r="CGU27" s="338"/>
      <c r="CGV27" s="338"/>
      <c r="CGW27" s="338"/>
      <c r="CGX27" s="338"/>
      <c r="CGY27" s="338"/>
      <c r="CGZ27" s="338"/>
      <c r="CHA27" s="338"/>
      <c r="CHB27" s="338"/>
      <c r="CHC27" s="338"/>
      <c r="CHD27" s="338"/>
      <c r="CHE27" s="338"/>
      <c r="CHF27" s="338"/>
      <c r="CHG27" s="338"/>
      <c r="CHH27" s="338"/>
      <c r="CHI27" s="338"/>
      <c r="CHJ27" s="338"/>
      <c r="CHK27" s="338"/>
      <c r="CHL27" s="338"/>
      <c r="CHM27" s="338"/>
      <c r="CHN27" s="338"/>
      <c r="CHO27" s="338"/>
      <c r="CHP27" s="338"/>
      <c r="CHQ27" s="338"/>
      <c r="CHR27" s="338"/>
      <c r="CHS27" s="338"/>
      <c r="CHT27" s="338"/>
      <c r="CHU27" s="338"/>
      <c r="CHV27" s="338"/>
      <c r="CHW27" s="338"/>
      <c r="CHX27" s="338"/>
      <c r="CHY27" s="338"/>
      <c r="CHZ27" s="338"/>
      <c r="CIA27" s="338"/>
      <c r="CIB27" s="338"/>
      <c r="CIC27" s="338"/>
      <c r="CID27" s="338"/>
      <c r="CIE27" s="338"/>
      <c r="CIF27" s="338"/>
      <c r="CIG27" s="338"/>
      <c r="CIH27" s="338"/>
      <c r="CII27" s="338"/>
      <c r="CIJ27" s="338"/>
      <c r="CIK27" s="338"/>
      <c r="CIL27" s="338"/>
      <c r="CIM27" s="338"/>
      <c r="CIN27" s="338"/>
      <c r="CIO27" s="338"/>
      <c r="CIP27" s="338"/>
      <c r="CIQ27" s="338"/>
      <c r="CIR27" s="338"/>
      <c r="CIS27" s="338"/>
      <c r="CIT27" s="338"/>
      <c r="CIU27" s="338"/>
      <c r="CIV27" s="338"/>
      <c r="CIW27" s="338"/>
      <c r="CIX27" s="338"/>
      <c r="CIY27" s="338"/>
      <c r="CIZ27" s="338"/>
      <c r="CJA27" s="338"/>
      <c r="CJB27" s="338"/>
      <c r="CJC27" s="338"/>
      <c r="CJD27" s="338"/>
      <c r="CJE27" s="338"/>
      <c r="CJF27" s="338"/>
      <c r="CJG27" s="338"/>
      <c r="CJH27" s="338"/>
      <c r="CJI27" s="338"/>
      <c r="CJJ27" s="338"/>
      <c r="CJK27" s="338"/>
      <c r="CJL27" s="338"/>
      <c r="CJM27" s="338"/>
      <c r="CJN27" s="338"/>
      <c r="CJO27" s="338"/>
      <c r="CJP27" s="338"/>
      <c r="CJQ27" s="338"/>
      <c r="CJR27" s="338"/>
      <c r="CJS27" s="338"/>
      <c r="CJT27" s="338"/>
      <c r="CJU27" s="338"/>
      <c r="CJV27" s="338"/>
      <c r="CJW27" s="338"/>
      <c r="CJX27" s="338"/>
      <c r="CJY27" s="338"/>
      <c r="CJZ27" s="338"/>
      <c r="CKA27" s="338"/>
      <c r="CKB27" s="338"/>
      <c r="CKC27" s="338"/>
      <c r="CKD27" s="338"/>
      <c r="CKE27" s="338"/>
      <c r="CKF27" s="338"/>
      <c r="CKG27" s="338"/>
      <c r="CKH27" s="338"/>
      <c r="CKI27" s="338"/>
      <c r="CKJ27" s="338"/>
      <c r="CKK27" s="338"/>
      <c r="CKL27" s="338"/>
      <c r="CKM27" s="338"/>
      <c r="CKN27" s="338"/>
      <c r="CKO27" s="338"/>
      <c r="CKP27" s="338"/>
      <c r="CKQ27" s="338"/>
      <c r="CKR27" s="338"/>
      <c r="CKS27" s="338"/>
      <c r="CKT27" s="338"/>
      <c r="CKU27" s="338"/>
      <c r="CKV27" s="338"/>
      <c r="CKW27" s="338"/>
      <c r="CKX27" s="338"/>
      <c r="CKY27" s="338"/>
      <c r="CKZ27" s="338"/>
      <c r="CLA27" s="338"/>
      <c r="CLB27" s="338"/>
      <c r="CLC27" s="338"/>
      <c r="CLD27" s="338"/>
      <c r="CLE27" s="338"/>
      <c r="CLF27" s="338"/>
      <c r="CLG27" s="338"/>
      <c r="CLH27" s="338"/>
      <c r="CLI27" s="338"/>
      <c r="CLJ27" s="338"/>
      <c r="CLK27" s="338"/>
      <c r="CLL27" s="338"/>
      <c r="CLM27" s="338"/>
      <c r="CLN27" s="338"/>
      <c r="CLO27" s="338"/>
      <c r="CLP27" s="338"/>
      <c r="CLQ27" s="338"/>
      <c r="CLR27" s="338"/>
      <c r="CLS27" s="338"/>
      <c r="CLT27" s="338"/>
      <c r="CLU27" s="338"/>
      <c r="CLV27" s="338"/>
      <c r="CLW27" s="338"/>
      <c r="CLX27" s="338"/>
      <c r="CLY27" s="338"/>
      <c r="CLZ27" s="338"/>
      <c r="CMA27" s="338"/>
      <c r="CMB27" s="338"/>
      <c r="CMC27" s="338"/>
      <c r="CMD27" s="338"/>
      <c r="CME27" s="338"/>
      <c r="CMF27" s="338"/>
      <c r="CMG27" s="338"/>
      <c r="CMH27" s="338"/>
      <c r="CMI27" s="338"/>
      <c r="CMJ27" s="338"/>
      <c r="CMK27" s="338"/>
      <c r="CML27" s="338"/>
      <c r="CMM27" s="338"/>
      <c r="CMN27" s="338"/>
      <c r="CMO27" s="338"/>
      <c r="CMP27" s="338"/>
      <c r="CMQ27" s="338"/>
      <c r="CMR27" s="338"/>
      <c r="CMS27" s="338"/>
      <c r="CMT27" s="338"/>
      <c r="CMU27" s="338"/>
      <c r="CMV27" s="338"/>
      <c r="CMW27" s="338"/>
      <c r="CMX27" s="338"/>
      <c r="CMY27" s="338"/>
      <c r="CMZ27" s="338"/>
      <c r="CNA27" s="338"/>
      <c r="CNB27" s="338"/>
      <c r="CNC27" s="338"/>
      <c r="CND27" s="338"/>
      <c r="CNE27" s="338"/>
      <c r="CNF27" s="338"/>
      <c r="CNG27" s="338"/>
      <c r="CNH27" s="338"/>
      <c r="CNI27" s="338"/>
      <c r="CNJ27" s="338"/>
      <c r="CNK27" s="338"/>
      <c r="CNL27" s="338"/>
      <c r="CNM27" s="338"/>
      <c r="CNN27" s="338"/>
      <c r="CNO27" s="338"/>
      <c r="CNP27" s="338"/>
      <c r="CNQ27" s="338"/>
      <c r="CNR27" s="338"/>
      <c r="CNS27" s="338"/>
      <c r="CNT27" s="338"/>
      <c r="CNU27" s="338"/>
      <c r="CNV27" s="338"/>
      <c r="CNW27" s="338"/>
      <c r="CNX27" s="338"/>
      <c r="CNY27" s="338"/>
      <c r="CNZ27" s="338"/>
      <c r="COA27" s="338"/>
      <c r="COB27" s="338"/>
      <c r="COC27" s="338"/>
      <c r="COD27" s="338"/>
      <c r="COE27" s="338"/>
      <c r="COF27" s="338"/>
      <c r="COG27" s="338"/>
      <c r="COH27" s="338"/>
      <c r="COI27" s="338"/>
      <c r="COJ27" s="338"/>
      <c r="COK27" s="338"/>
      <c r="COL27" s="338"/>
      <c r="COM27" s="338"/>
      <c r="CON27" s="338"/>
      <c r="COO27" s="338"/>
      <c r="COP27" s="338"/>
      <c r="COQ27" s="338"/>
      <c r="COR27" s="338"/>
      <c r="COS27" s="338"/>
      <c r="COT27" s="338"/>
      <c r="COU27" s="338"/>
      <c r="COV27" s="338"/>
      <c r="COW27" s="338"/>
      <c r="COX27" s="338"/>
      <c r="COY27" s="338"/>
      <c r="COZ27" s="338"/>
      <c r="CPA27" s="338"/>
      <c r="CPB27" s="338"/>
      <c r="CPC27" s="338"/>
      <c r="CPD27" s="338"/>
      <c r="CPE27" s="338"/>
      <c r="CPF27" s="338"/>
      <c r="CPG27" s="338"/>
      <c r="CPH27" s="338"/>
      <c r="CPI27" s="338"/>
      <c r="CPJ27" s="338"/>
      <c r="CPK27" s="338"/>
      <c r="CPL27" s="338"/>
      <c r="CPM27" s="338"/>
      <c r="CPN27" s="338"/>
      <c r="CPO27" s="338"/>
      <c r="CPP27" s="338"/>
      <c r="CPQ27" s="338"/>
      <c r="CPR27" s="338"/>
      <c r="CPS27" s="338"/>
      <c r="CPT27" s="338"/>
      <c r="CPU27" s="338"/>
      <c r="CPV27" s="338"/>
      <c r="CPW27" s="338"/>
      <c r="CPX27" s="338"/>
      <c r="CPY27" s="338"/>
      <c r="CPZ27" s="338"/>
      <c r="CQA27" s="338"/>
      <c r="CQB27" s="338"/>
      <c r="CQC27" s="338"/>
      <c r="CQD27" s="338"/>
      <c r="CQE27" s="338"/>
      <c r="CQF27" s="338"/>
      <c r="CQG27" s="338"/>
      <c r="CQH27" s="338"/>
      <c r="CQI27" s="338"/>
      <c r="CQJ27" s="338"/>
      <c r="CQK27" s="338"/>
      <c r="CQL27" s="338"/>
      <c r="CQM27" s="338"/>
      <c r="CQN27" s="338"/>
      <c r="CQO27" s="338"/>
      <c r="CQP27" s="338"/>
      <c r="CQQ27" s="338"/>
      <c r="CQR27" s="338"/>
      <c r="CQS27" s="338"/>
      <c r="CQT27" s="338"/>
      <c r="CQU27" s="338"/>
      <c r="CQV27" s="338"/>
      <c r="CQW27" s="338"/>
      <c r="CQX27" s="338"/>
      <c r="CQY27" s="338"/>
      <c r="CQZ27" s="338"/>
      <c r="CRA27" s="338"/>
      <c r="CRB27" s="338"/>
      <c r="CRC27" s="338"/>
      <c r="CRD27" s="338"/>
      <c r="CRE27" s="338"/>
      <c r="CRF27" s="338"/>
      <c r="CRG27" s="338"/>
      <c r="CRH27" s="338"/>
      <c r="CRI27" s="338"/>
      <c r="CRJ27" s="338"/>
      <c r="CRK27" s="338"/>
      <c r="CRL27" s="338"/>
      <c r="CRM27" s="338"/>
      <c r="CRN27" s="338"/>
      <c r="CRO27" s="338"/>
      <c r="CRP27" s="338"/>
      <c r="CRQ27" s="338"/>
      <c r="CRR27" s="338"/>
      <c r="CRS27" s="338"/>
      <c r="CRT27" s="338"/>
      <c r="CRU27" s="338"/>
      <c r="CRV27" s="338"/>
      <c r="CRW27" s="338"/>
      <c r="CRX27" s="338"/>
      <c r="CRY27" s="338"/>
      <c r="CRZ27" s="338"/>
      <c r="CSA27" s="338"/>
      <c r="CSB27" s="338"/>
      <c r="CSC27" s="338"/>
      <c r="CSD27" s="338"/>
      <c r="CSE27" s="338"/>
      <c r="CSF27" s="338"/>
      <c r="CSG27" s="338"/>
      <c r="CSH27" s="338"/>
      <c r="CSI27" s="338"/>
      <c r="CSJ27" s="338"/>
      <c r="CSK27" s="338"/>
      <c r="CSL27" s="338"/>
      <c r="CSM27" s="338"/>
      <c r="CSN27" s="338"/>
      <c r="CSO27" s="338"/>
      <c r="CSP27" s="338"/>
      <c r="CSQ27" s="338"/>
      <c r="CSR27" s="338"/>
      <c r="CSS27" s="338"/>
      <c r="CST27" s="338"/>
      <c r="CSU27" s="338"/>
      <c r="CSV27" s="338"/>
      <c r="CSW27" s="338"/>
      <c r="CSX27" s="338"/>
      <c r="CSY27" s="338"/>
      <c r="CSZ27" s="338"/>
      <c r="CTA27" s="338"/>
      <c r="CTB27" s="338"/>
      <c r="CTC27" s="338"/>
      <c r="CTD27" s="338"/>
      <c r="CTE27" s="338"/>
      <c r="CTF27" s="338"/>
      <c r="CTG27" s="338"/>
      <c r="CTH27" s="338"/>
      <c r="CTI27" s="338"/>
      <c r="CTJ27" s="338"/>
      <c r="CTK27" s="338"/>
      <c r="CTL27" s="338"/>
      <c r="CTM27" s="338"/>
      <c r="CTN27" s="338"/>
      <c r="CTO27" s="338"/>
      <c r="CTP27" s="338"/>
      <c r="CTQ27" s="338"/>
      <c r="CTR27" s="338"/>
      <c r="CTS27" s="338"/>
      <c r="CTT27" s="338"/>
      <c r="CTU27" s="338"/>
      <c r="CTV27" s="338"/>
      <c r="CTW27" s="338"/>
      <c r="CTX27" s="338"/>
      <c r="CTY27" s="338"/>
      <c r="CTZ27" s="338"/>
      <c r="CUA27" s="338"/>
      <c r="CUB27" s="338"/>
      <c r="CUC27" s="338"/>
      <c r="CUD27" s="338"/>
      <c r="CUE27" s="338"/>
      <c r="CUF27" s="338"/>
      <c r="CUG27" s="338"/>
      <c r="CUH27" s="338"/>
      <c r="CUI27" s="338"/>
      <c r="CUJ27" s="338"/>
      <c r="CUK27" s="338"/>
      <c r="CUL27" s="338"/>
      <c r="CUM27" s="338"/>
      <c r="CUN27" s="338"/>
      <c r="CUO27" s="338"/>
      <c r="CUP27" s="338"/>
      <c r="CUQ27" s="338"/>
      <c r="CUR27" s="338"/>
      <c r="CUS27" s="338"/>
      <c r="CUT27" s="338"/>
      <c r="CUU27" s="338"/>
      <c r="CUV27" s="338"/>
      <c r="CUW27" s="338"/>
      <c r="CUX27" s="338"/>
      <c r="CUY27" s="338"/>
      <c r="CUZ27" s="338"/>
      <c r="CVA27" s="338"/>
      <c r="CVB27" s="338"/>
      <c r="CVC27" s="338"/>
      <c r="CVD27" s="338"/>
      <c r="CVE27" s="338"/>
      <c r="CVF27" s="338"/>
      <c r="CVG27" s="338"/>
      <c r="CVH27" s="338"/>
      <c r="CVI27" s="338"/>
      <c r="CVJ27" s="338"/>
      <c r="CVK27" s="338"/>
      <c r="CVL27" s="338"/>
      <c r="CVM27" s="338"/>
      <c r="CVN27" s="338"/>
      <c r="CVO27" s="338"/>
      <c r="CVP27" s="338"/>
      <c r="CVQ27" s="338"/>
      <c r="CVR27" s="338"/>
      <c r="CVS27" s="338"/>
      <c r="CVT27" s="338"/>
      <c r="CVU27" s="338"/>
      <c r="CVV27" s="338"/>
      <c r="CVW27" s="338"/>
      <c r="CVX27" s="338"/>
      <c r="CVY27" s="338"/>
      <c r="CVZ27" s="338"/>
      <c r="CWA27" s="338"/>
      <c r="CWB27" s="338"/>
      <c r="CWC27" s="338"/>
      <c r="CWD27" s="338"/>
      <c r="CWE27" s="338"/>
      <c r="CWF27" s="338"/>
      <c r="CWG27" s="338"/>
      <c r="CWH27" s="338"/>
      <c r="CWI27" s="338"/>
      <c r="CWJ27" s="338"/>
      <c r="CWK27" s="338"/>
      <c r="CWL27" s="338"/>
      <c r="CWM27" s="338"/>
      <c r="CWN27" s="338"/>
      <c r="CWO27" s="338"/>
      <c r="CWP27" s="338"/>
      <c r="CWQ27" s="338"/>
      <c r="CWR27" s="338"/>
      <c r="CWS27" s="338"/>
      <c r="CWT27" s="338"/>
      <c r="CWU27" s="338"/>
      <c r="CWV27" s="338"/>
      <c r="CWW27" s="338"/>
      <c r="CWX27" s="338"/>
      <c r="CWY27" s="338"/>
      <c r="CWZ27" s="338"/>
      <c r="CXA27" s="338"/>
      <c r="CXB27" s="338"/>
      <c r="CXC27" s="338"/>
      <c r="CXD27" s="338"/>
      <c r="CXE27" s="338"/>
      <c r="CXF27" s="338"/>
      <c r="CXG27" s="338"/>
      <c r="CXH27" s="338"/>
      <c r="CXI27" s="338"/>
      <c r="CXJ27" s="338"/>
      <c r="CXK27" s="338"/>
      <c r="CXL27" s="338"/>
      <c r="CXM27" s="338"/>
      <c r="CXN27" s="338"/>
      <c r="CXO27" s="338"/>
      <c r="CXP27" s="338"/>
      <c r="CXQ27" s="338"/>
      <c r="CXR27" s="338"/>
      <c r="CXS27" s="338"/>
      <c r="CXT27" s="338"/>
      <c r="CXU27" s="338"/>
      <c r="CXV27" s="338"/>
      <c r="CXW27" s="338"/>
      <c r="CXX27" s="338"/>
      <c r="CXY27" s="338"/>
      <c r="CXZ27" s="338"/>
      <c r="CYA27" s="338"/>
      <c r="CYB27" s="338"/>
      <c r="CYC27" s="338"/>
      <c r="CYD27" s="338"/>
      <c r="CYE27" s="338"/>
      <c r="CYF27" s="338"/>
      <c r="CYG27" s="338"/>
      <c r="CYH27" s="338"/>
      <c r="CYI27" s="338"/>
      <c r="CYJ27" s="338"/>
      <c r="CYK27" s="338"/>
      <c r="CYL27" s="338"/>
      <c r="CYM27" s="338"/>
      <c r="CYN27" s="338"/>
      <c r="CYO27" s="338"/>
      <c r="CYP27" s="338"/>
      <c r="CYQ27" s="338"/>
      <c r="CYR27" s="338"/>
      <c r="CYS27" s="338"/>
      <c r="CYT27" s="338"/>
      <c r="CYU27" s="338"/>
      <c r="CYV27" s="338"/>
      <c r="CYW27" s="338"/>
      <c r="CYX27" s="338"/>
      <c r="CYY27" s="338"/>
      <c r="CYZ27" s="338"/>
      <c r="CZA27" s="338"/>
      <c r="CZB27" s="338"/>
      <c r="CZC27" s="338"/>
      <c r="CZD27" s="338"/>
      <c r="CZE27" s="338"/>
      <c r="CZF27" s="338"/>
      <c r="CZG27" s="338"/>
      <c r="CZH27" s="338"/>
      <c r="CZI27" s="338"/>
      <c r="CZJ27" s="338"/>
      <c r="CZK27" s="338"/>
      <c r="CZL27" s="338"/>
      <c r="CZM27" s="338"/>
      <c r="CZN27" s="338"/>
      <c r="CZO27" s="338"/>
      <c r="CZP27" s="338"/>
      <c r="CZQ27" s="338"/>
      <c r="CZR27" s="338"/>
      <c r="CZS27" s="338"/>
      <c r="CZT27" s="338"/>
      <c r="CZU27" s="338"/>
      <c r="CZV27" s="338"/>
      <c r="CZW27" s="338"/>
      <c r="CZX27" s="338"/>
      <c r="CZY27" s="338"/>
      <c r="CZZ27" s="338"/>
      <c r="DAA27" s="338"/>
      <c r="DAB27" s="338"/>
      <c r="DAC27" s="338"/>
      <c r="DAD27" s="338"/>
      <c r="DAE27" s="338"/>
      <c r="DAF27" s="338"/>
      <c r="DAG27" s="338"/>
      <c r="DAH27" s="338"/>
      <c r="DAI27" s="338"/>
      <c r="DAJ27" s="338"/>
      <c r="DAK27" s="338"/>
      <c r="DAL27" s="338"/>
      <c r="DAM27" s="338"/>
      <c r="DAN27" s="338"/>
      <c r="DAO27" s="338"/>
      <c r="DAP27" s="338"/>
      <c r="DAQ27" s="338"/>
      <c r="DAR27" s="338"/>
      <c r="DAS27" s="338"/>
      <c r="DAT27" s="338"/>
      <c r="DAU27" s="338"/>
      <c r="DAV27" s="338"/>
      <c r="DAW27" s="338"/>
      <c r="DAX27" s="338"/>
      <c r="DAY27" s="338"/>
      <c r="DAZ27" s="338"/>
      <c r="DBA27" s="338"/>
      <c r="DBB27" s="338"/>
      <c r="DBC27" s="338"/>
      <c r="DBD27" s="338"/>
      <c r="DBE27" s="338"/>
      <c r="DBF27" s="338"/>
      <c r="DBG27" s="338"/>
      <c r="DBH27" s="338"/>
      <c r="DBI27" s="338"/>
      <c r="DBJ27" s="338"/>
      <c r="DBK27" s="338"/>
      <c r="DBL27" s="338"/>
      <c r="DBM27" s="338"/>
      <c r="DBN27" s="338"/>
      <c r="DBO27" s="338"/>
      <c r="DBP27" s="338"/>
      <c r="DBQ27" s="338"/>
      <c r="DBR27" s="338"/>
      <c r="DBS27" s="338"/>
      <c r="DBT27" s="338"/>
      <c r="DBU27" s="338"/>
      <c r="DBV27" s="338"/>
      <c r="DBW27" s="338"/>
      <c r="DBX27" s="338"/>
      <c r="DBY27" s="338"/>
      <c r="DBZ27" s="338"/>
      <c r="DCA27" s="338"/>
      <c r="DCB27" s="338"/>
      <c r="DCC27" s="338"/>
      <c r="DCD27" s="338"/>
      <c r="DCE27" s="338"/>
      <c r="DCF27" s="338"/>
      <c r="DCG27" s="338"/>
      <c r="DCH27" s="338"/>
      <c r="DCI27" s="338"/>
      <c r="DCJ27" s="338"/>
      <c r="DCK27" s="338"/>
      <c r="DCL27" s="338"/>
      <c r="DCM27" s="338"/>
      <c r="DCN27" s="338"/>
      <c r="DCO27" s="338"/>
      <c r="DCP27" s="338"/>
      <c r="DCQ27" s="338"/>
      <c r="DCR27" s="338"/>
      <c r="DCS27" s="338"/>
      <c r="DCT27" s="338"/>
      <c r="DCU27" s="338"/>
      <c r="DCV27" s="338"/>
      <c r="DCW27" s="338"/>
      <c r="DCX27" s="338"/>
      <c r="DCY27" s="338"/>
      <c r="DCZ27" s="338"/>
      <c r="DDA27" s="338"/>
      <c r="DDB27" s="338"/>
      <c r="DDC27" s="338"/>
      <c r="DDD27" s="338"/>
      <c r="DDE27" s="338"/>
      <c r="DDF27" s="338"/>
      <c r="DDG27" s="338"/>
      <c r="DDH27" s="338"/>
      <c r="DDI27" s="338"/>
      <c r="DDJ27" s="338"/>
      <c r="DDK27" s="338"/>
      <c r="DDL27" s="338"/>
      <c r="DDM27" s="338"/>
      <c r="DDN27" s="338"/>
      <c r="DDO27" s="338"/>
      <c r="DDP27" s="338"/>
      <c r="DDQ27" s="338"/>
      <c r="DDR27" s="338"/>
      <c r="DDS27" s="338"/>
      <c r="DDT27" s="338"/>
      <c r="DDU27" s="338"/>
      <c r="DDV27" s="338"/>
      <c r="DDW27" s="338"/>
      <c r="DDX27" s="338"/>
      <c r="DDY27" s="338"/>
      <c r="DDZ27" s="338"/>
      <c r="DEA27" s="338"/>
      <c r="DEB27" s="338"/>
      <c r="DEC27" s="338"/>
      <c r="DED27" s="338"/>
      <c r="DEE27" s="338"/>
      <c r="DEF27" s="338"/>
      <c r="DEG27" s="338"/>
      <c r="DEH27" s="338"/>
      <c r="DEI27" s="338"/>
      <c r="DEJ27" s="338"/>
      <c r="DEK27" s="338"/>
      <c r="DEL27" s="338"/>
      <c r="DEM27" s="338"/>
      <c r="DEN27" s="338"/>
      <c r="DEO27" s="338"/>
      <c r="DEP27" s="338"/>
      <c r="DEQ27" s="338"/>
      <c r="DER27" s="338"/>
      <c r="DES27" s="338"/>
      <c r="DET27" s="338"/>
      <c r="DEU27" s="338"/>
      <c r="DEV27" s="338"/>
      <c r="DEW27" s="338"/>
      <c r="DEX27" s="338"/>
      <c r="DEY27" s="338"/>
      <c r="DEZ27" s="338"/>
      <c r="DFA27" s="338"/>
      <c r="DFB27" s="338"/>
      <c r="DFC27" s="338"/>
      <c r="DFD27" s="338"/>
      <c r="DFE27" s="338"/>
      <c r="DFF27" s="338"/>
      <c r="DFG27" s="338"/>
      <c r="DFH27" s="338"/>
      <c r="DFI27" s="338"/>
      <c r="DFJ27" s="338"/>
      <c r="DFK27" s="338"/>
      <c r="DFL27" s="338"/>
      <c r="DFM27" s="338"/>
      <c r="DFN27" s="338"/>
      <c r="DFO27" s="338"/>
      <c r="DFP27" s="338"/>
      <c r="DFQ27" s="338"/>
      <c r="DFR27" s="338"/>
      <c r="DFS27" s="338"/>
      <c r="DFT27" s="338"/>
      <c r="DFU27" s="338"/>
      <c r="DFV27" s="338"/>
      <c r="DFW27" s="338"/>
      <c r="DFX27" s="338"/>
      <c r="DFY27" s="338"/>
      <c r="DFZ27" s="338"/>
      <c r="DGA27" s="338"/>
      <c r="DGB27" s="338"/>
      <c r="DGC27" s="338"/>
      <c r="DGD27" s="338"/>
      <c r="DGE27" s="338"/>
      <c r="DGF27" s="338"/>
      <c r="DGG27" s="338"/>
      <c r="DGH27" s="338"/>
      <c r="DGI27" s="338"/>
      <c r="DGJ27" s="338"/>
      <c r="DGK27" s="338"/>
      <c r="DGL27" s="338"/>
      <c r="DGM27" s="338"/>
      <c r="DGN27" s="338"/>
      <c r="DGO27" s="338"/>
      <c r="DGP27" s="338"/>
      <c r="DGQ27" s="338"/>
      <c r="DGR27" s="338"/>
      <c r="DGS27" s="338"/>
      <c r="DGT27" s="338"/>
      <c r="DGU27" s="338"/>
      <c r="DGV27" s="338"/>
      <c r="DGW27" s="338"/>
      <c r="DGX27" s="338"/>
      <c r="DGY27" s="338"/>
      <c r="DGZ27" s="338"/>
      <c r="DHA27" s="338"/>
      <c r="DHB27" s="338"/>
      <c r="DHC27" s="338"/>
      <c r="DHD27" s="338"/>
      <c r="DHE27" s="338"/>
      <c r="DHF27" s="338"/>
      <c r="DHG27" s="338"/>
      <c r="DHH27" s="338"/>
      <c r="DHI27" s="338"/>
      <c r="DHJ27" s="338"/>
      <c r="DHK27" s="338"/>
      <c r="DHL27" s="338"/>
      <c r="DHM27" s="338"/>
      <c r="DHN27" s="338"/>
      <c r="DHO27" s="338"/>
      <c r="DHP27" s="338"/>
      <c r="DHQ27" s="338"/>
      <c r="DHR27" s="338"/>
      <c r="DHS27" s="338"/>
      <c r="DHT27" s="338"/>
      <c r="DHU27" s="338"/>
      <c r="DHV27" s="338"/>
      <c r="DHW27" s="338"/>
      <c r="DHX27" s="338"/>
      <c r="DHY27" s="338"/>
      <c r="DHZ27" s="338"/>
      <c r="DIA27" s="338"/>
      <c r="DIB27" s="338"/>
      <c r="DIC27" s="338"/>
      <c r="DID27" s="338"/>
      <c r="DIE27" s="338"/>
      <c r="DIF27" s="338"/>
      <c r="DIG27" s="338"/>
      <c r="DIH27" s="338"/>
      <c r="DII27" s="338"/>
      <c r="DIJ27" s="338"/>
      <c r="DIK27" s="338"/>
      <c r="DIL27" s="338"/>
      <c r="DIM27" s="338"/>
      <c r="DIN27" s="338"/>
      <c r="DIO27" s="338"/>
      <c r="DIP27" s="338"/>
      <c r="DIQ27" s="338"/>
      <c r="DIR27" s="338"/>
      <c r="DIS27" s="338"/>
      <c r="DIT27" s="338"/>
      <c r="DIU27" s="338"/>
      <c r="DIV27" s="338"/>
      <c r="DIW27" s="338"/>
      <c r="DIX27" s="338"/>
      <c r="DIY27" s="338"/>
      <c r="DIZ27" s="338"/>
      <c r="DJA27" s="338"/>
      <c r="DJB27" s="338"/>
      <c r="DJC27" s="338"/>
      <c r="DJD27" s="338"/>
      <c r="DJE27" s="338"/>
      <c r="DJF27" s="338"/>
      <c r="DJG27" s="338"/>
      <c r="DJH27" s="338"/>
      <c r="DJI27" s="338"/>
      <c r="DJJ27" s="338"/>
      <c r="DJK27" s="338"/>
      <c r="DJL27" s="338"/>
      <c r="DJM27" s="338"/>
      <c r="DJN27" s="338"/>
      <c r="DJO27" s="338"/>
      <c r="DJP27" s="338"/>
      <c r="DJQ27" s="338"/>
      <c r="DJR27" s="338"/>
      <c r="DJS27" s="338"/>
      <c r="DJT27" s="338"/>
      <c r="DJU27" s="338"/>
      <c r="DJV27" s="338"/>
      <c r="DJW27" s="338"/>
      <c r="DJX27" s="338"/>
      <c r="DJY27" s="338"/>
      <c r="DJZ27" s="338"/>
      <c r="DKA27" s="338"/>
      <c r="DKB27" s="338"/>
      <c r="DKC27" s="338"/>
      <c r="DKD27" s="338"/>
      <c r="DKE27" s="338"/>
      <c r="DKF27" s="338"/>
      <c r="DKG27" s="338"/>
      <c r="DKH27" s="338"/>
      <c r="DKI27" s="338"/>
      <c r="DKJ27" s="338"/>
      <c r="DKK27" s="338"/>
      <c r="DKL27" s="338"/>
      <c r="DKM27" s="338"/>
      <c r="DKN27" s="338"/>
      <c r="DKO27" s="338"/>
      <c r="DKP27" s="338"/>
      <c r="DKQ27" s="338"/>
      <c r="DKR27" s="338"/>
      <c r="DKS27" s="338"/>
      <c r="DKT27" s="338"/>
      <c r="DKU27" s="338"/>
      <c r="DKV27" s="338"/>
      <c r="DKW27" s="338"/>
      <c r="DKX27" s="338"/>
      <c r="DKY27" s="338"/>
      <c r="DKZ27" s="338"/>
      <c r="DLA27" s="338"/>
      <c r="DLB27" s="338"/>
      <c r="DLC27" s="338"/>
      <c r="DLD27" s="338"/>
      <c r="DLE27" s="338"/>
      <c r="DLF27" s="338"/>
      <c r="DLG27" s="338"/>
      <c r="DLH27" s="338"/>
      <c r="DLI27" s="338"/>
      <c r="DLJ27" s="338"/>
      <c r="DLK27" s="338"/>
      <c r="DLL27" s="338"/>
      <c r="DLM27" s="338"/>
      <c r="DLN27" s="338"/>
      <c r="DLO27" s="338"/>
      <c r="DLP27" s="338"/>
      <c r="DLQ27" s="338"/>
      <c r="DLR27" s="338"/>
      <c r="DLS27" s="338"/>
      <c r="DLT27" s="338"/>
      <c r="DLU27" s="338"/>
      <c r="DLV27" s="338"/>
      <c r="DLW27" s="338"/>
      <c r="DLX27" s="338"/>
      <c r="DLY27" s="338"/>
      <c r="DLZ27" s="338"/>
      <c r="DMA27" s="338"/>
      <c r="DMB27" s="338"/>
      <c r="DMC27" s="338"/>
      <c r="DMD27" s="338"/>
      <c r="DME27" s="338"/>
      <c r="DMF27" s="338"/>
      <c r="DMG27" s="338"/>
      <c r="DMH27" s="338"/>
      <c r="DMI27" s="338"/>
      <c r="DMJ27" s="338"/>
      <c r="DMK27" s="338"/>
      <c r="DML27" s="338"/>
      <c r="DMM27" s="338"/>
      <c r="DMN27" s="338"/>
      <c r="DMO27" s="338"/>
      <c r="DMP27" s="338"/>
      <c r="DMQ27" s="338"/>
      <c r="DMR27" s="338"/>
      <c r="DMS27" s="338"/>
      <c r="DMT27" s="338"/>
      <c r="DMU27" s="338"/>
      <c r="DMV27" s="338"/>
      <c r="DMW27" s="338"/>
      <c r="DMX27" s="338"/>
      <c r="DMY27" s="338"/>
      <c r="DMZ27" s="338"/>
      <c r="DNA27" s="338"/>
      <c r="DNB27" s="338"/>
      <c r="DNC27" s="338"/>
      <c r="DND27" s="338"/>
      <c r="DNE27" s="338"/>
      <c r="DNF27" s="338"/>
      <c r="DNG27" s="338"/>
      <c r="DNH27" s="338"/>
      <c r="DNI27" s="338"/>
      <c r="DNJ27" s="338"/>
      <c r="DNK27" s="338"/>
      <c r="DNL27" s="338"/>
      <c r="DNM27" s="338"/>
      <c r="DNN27" s="338"/>
      <c r="DNO27" s="338"/>
      <c r="DNP27" s="338"/>
      <c r="DNQ27" s="338"/>
      <c r="DNR27" s="338"/>
      <c r="DNS27" s="338"/>
      <c r="DNT27" s="338"/>
      <c r="DNU27" s="338"/>
      <c r="DNV27" s="338"/>
      <c r="DNW27" s="338"/>
      <c r="DNX27" s="338"/>
      <c r="DNY27" s="338"/>
      <c r="DNZ27" s="338"/>
      <c r="DOA27" s="338"/>
      <c r="DOB27" s="338"/>
      <c r="DOC27" s="338"/>
      <c r="DOD27" s="338"/>
      <c r="DOE27" s="338"/>
      <c r="DOF27" s="338"/>
      <c r="DOG27" s="338"/>
      <c r="DOH27" s="338"/>
      <c r="DOI27" s="338"/>
      <c r="DOJ27" s="338"/>
      <c r="DOK27" s="338"/>
      <c r="DOL27" s="338"/>
      <c r="DOM27" s="338"/>
      <c r="DON27" s="338"/>
      <c r="DOO27" s="338"/>
      <c r="DOP27" s="338"/>
      <c r="DOQ27" s="338"/>
      <c r="DOR27" s="338"/>
      <c r="DOS27" s="338"/>
      <c r="DOT27" s="338"/>
      <c r="DOU27" s="338"/>
      <c r="DOV27" s="338"/>
      <c r="DOW27" s="338"/>
      <c r="DOX27" s="338"/>
      <c r="DOY27" s="338"/>
      <c r="DOZ27" s="338"/>
      <c r="DPA27" s="338"/>
      <c r="DPB27" s="338"/>
      <c r="DPC27" s="338"/>
      <c r="DPD27" s="338"/>
      <c r="DPE27" s="338"/>
      <c r="DPF27" s="338"/>
      <c r="DPG27" s="338"/>
      <c r="DPH27" s="338"/>
      <c r="DPI27" s="338"/>
      <c r="DPJ27" s="338"/>
      <c r="DPK27" s="338"/>
      <c r="DPL27" s="338"/>
      <c r="DPM27" s="338"/>
      <c r="DPN27" s="338"/>
      <c r="DPO27" s="338"/>
      <c r="DPP27" s="338"/>
      <c r="DPQ27" s="338"/>
      <c r="DPR27" s="338"/>
      <c r="DPS27" s="338"/>
      <c r="DPT27" s="338"/>
      <c r="DPU27" s="338"/>
      <c r="DPV27" s="338"/>
      <c r="DPW27" s="338"/>
      <c r="DPX27" s="338"/>
      <c r="DPY27" s="338"/>
      <c r="DPZ27" s="338"/>
      <c r="DQA27" s="338"/>
      <c r="DQB27" s="338"/>
      <c r="DQC27" s="338"/>
      <c r="DQD27" s="338"/>
      <c r="DQE27" s="338"/>
      <c r="DQF27" s="338"/>
      <c r="DQG27" s="338"/>
      <c r="DQH27" s="338"/>
      <c r="DQI27" s="338"/>
      <c r="DQJ27" s="338"/>
      <c r="DQK27" s="338"/>
      <c r="DQL27" s="338"/>
      <c r="DQM27" s="338"/>
      <c r="DQN27" s="338"/>
      <c r="DQO27" s="338"/>
      <c r="DQP27" s="338"/>
      <c r="DQQ27" s="338"/>
      <c r="DQR27" s="338"/>
      <c r="DQS27" s="338"/>
      <c r="DQT27" s="338"/>
      <c r="DQU27" s="338"/>
      <c r="DQV27" s="338"/>
      <c r="DQW27" s="338"/>
      <c r="DQX27" s="338"/>
      <c r="DQY27" s="338"/>
      <c r="DQZ27" s="338"/>
      <c r="DRA27" s="338"/>
      <c r="DRB27" s="338"/>
      <c r="DRC27" s="338"/>
      <c r="DRD27" s="338"/>
      <c r="DRE27" s="338"/>
      <c r="DRF27" s="338"/>
      <c r="DRG27" s="338"/>
      <c r="DRH27" s="338"/>
      <c r="DRI27" s="338"/>
      <c r="DRJ27" s="338"/>
      <c r="DRK27" s="338"/>
      <c r="DRL27" s="338"/>
      <c r="DRM27" s="338"/>
      <c r="DRN27" s="338"/>
      <c r="DRO27" s="338"/>
      <c r="DRP27" s="338"/>
      <c r="DRQ27" s="338"/>
      <c r="DRR27" s="338"/>
      <c r="DRS27" s="338"/>
      <c r="DRT27" s="338"/>
      <c r="DRU27" s="338"/>
      <c r="DRV27" s="338"/>
      <c r="DRW27" s="338"/>
      <c r="DRX27" s="338"/>
      <c r="DRY27" s="338"/>
      <c r="DRZ27" s="338"/>
      <c r="DSA27" s="338"/>
      <c r="DSB27" s="338"/>
      <c r="DSC27" s="338"/>
      <c r="DSD27" s="338"/>
      <c r="DSE27" s="338"/>
      <c r="DSF27" s="338"/>
      <c r="DSG27" s="338"/>
      <c r="DSH27" s="338"/>
      <c r="DSI27" s="338"/>
      <c r="DSJ27" s="338"/>
      <c r="DSK27" s="338"/>
      <c r="DSL27" s="338"/>
      <c r="DSM27" s="338"/>
      <c r="DSN27" s="338"/>
      <c r="DSO27" s="338"/>
      <c r="DSP27" s="338"/>
      <c r="DSQ27" s="338"/>
      <c r="DSR27" s="338"/>
      <c r="DSS27" s="338"/>
      <c r="DST27" s="338"/>
      <c r="DSU27" s="338"/>
      <c r="DSV27" s="338"/>
      <c r="DSW27" s="338"/>
      <c r="DSX27" s="338"/>
      <c r="DSY27" s="338"/>
      <c r="DSZ27" s="338"/>
      <c r="DTA27" s="338"/>
      <c r="DTB27" s="338"/>
      <c r="DTC27" s="338"/>
      <c r="DTD27" s="338"/>
      <c r="DTE27" s="338"/>
      <c r="DTF27" s="338"/>
      <c r="DTG27" s="338"/>
      <c r="DTH27" s="338"/>
      <c r="DTI27" s="338"/>
      <c r="DTJ27" s="338"/>
      <c r="DTK27" s="338"/>
      <c r="DTL27" s="338"/>
      <c r="DTM27" s="338"/>
      <c r="DTN27" s="338"/>
      <c r="DTO27" s="338"/>
      <c r="DTP27" s="338"/>
      <c r="DTQ27" s="338"/>
      <c r="DTR27" s="338"/>
      <c r="DTS27" s="338"/>
      <c r="DTT27" s="338"/>
      <c r="DTU27" s="338"/>
      <c r="DTV27" s="338"/>
      <c r="DTW27" s="338"/>
      <c r="DTX27" s="338"/>
      <c r="DTY27" s="338"/>
      <c r="DTZ27" s="338"/>
      <c r="DUA27" s="338"/>
      <c r="DUB27" s="338"/>
      <c r="DUC27" s="338"/>
      <c r="DUD27" s="338"/>
      <c r="DUE27" s="338"/>
      <c r="DUF27" s="338"/>
      <c r="DUG27" s="338"/>
      <c r="DUH27" s="338"/>
      <c r="DUI27" s="338"/>
      <c r="DUJ27" s="338"/>
      <c r="DUK27" s="338"/>
      <c r="DUL27" s="338"/>
      <c r="DUM27" s="338"/>
      <c r="DUN27" s="338"/>
      <c r="DUO27" s="338"/>
      <c r="DUP27" s="338"/>
      <c r="DUQ27" s="338"/>
      <c r="DUR27" s="338"/>
      <c r="DUS27" s="338"/>
      <c r="DUT27" s="338"/>
      <c r="DUU27" s="338"/>
      <c r="DUV27" s="338"/>
      <c r="DUW27" s="338"/>
      <c r="DUX27" s="338"/>
      <c r="DUY27" s="338"/>
      <c r="DUZ27" s="338"/>
      <c r="DVA27" s="338"/>
      <c r="DVB27" s="338"/>
      <c r="DVC27" s="338"/>
      <c r="DVD27" s="338"/>
      <c r="DVE27" s="338"/>
      <c r="DVF27" s="338"/>
      <c r="DVG27" s="338"/>
      <c r="DVH27" s="338"/>
      <c r="DVI27" s="338"/>
      <c r="DVJ27" s="338"/>
      <c r="DVK27" s="338"/>
      <c r="DVL27" s="338"/>
      <c r="DVM27" s="338"/>
      <c r="DVN27" s="338"/>
      <c r="DVO27" s="338"/>
      <c r="DVP27" s="338"/>
      <c r="DVQ27" s="338"/>
      <c r="DVR27" s="338"/>
      <c r="DVS27" s="338"/>
      <c r="DVT27" s="338"/>
      <c r="DVU27" s="338"/>
      <c r="DVV27" s="338"/>
      <c r="DVW27" s="338"/>
      <c r="DVX27" s="338"/>
      <c r="DVY27" s="338"/>
      <c r="DVZ27" s="338"/>
      <c r="DWA27" s="338"/>
      <c r="DWB27" s="338"/>
      <c r="DWC27" s="338"/>
      <c r="DWD27" s="338"/>
      <c r="DWE27" s="338"/>
      <c r="DWF27" s="338"/>
      <c r="DWG27" s="338"/>
      <c r="DWH27" s="338"/>
      <c r="DWI27" s="338"/>
      <c r="DWJ27" s="338"/>
      <c r="DWK27" s="338"/>
      <c r="DWL27" s="338"/>
      <c r="DWM27" s="338"/>
      <c r="DWN27" s="338"/>
      <c r="DWO27" s="338"/>
      <c r="DWP27" s="338"/>
      <c r="DWQ27" s="338"/>
      <c r="DWR27" s="338"/>
      <c r="DWS27" s="338"/>
      <c r="DWT27" s="338"/>
      <c r="DWU27" s="338"/>
      <c r="DWV27" s="338"/>
      <c r="DWW27" s="338"/>
      <c r="DWX27" s="338"/>
      <c r="DWY27" s="338"/>
      <c r="DWZ27" s="338"/>
      <c r="DXA27" s="338"/>
      <c r="DXB27" s="338"/>
      <c r="DXC27" s="338"/>
      <c r="DXD27" s="338"/>
      <c r="DXE27" s="338"/>
      <c r="DXF27" s="338"/>
      <c r="DXG27" s="338"/>
      <c r="DXH27" s="338"/>
      <c r="DXI27" s="338"/>
      <c r="DXJ27" s="338"/>
      <c r="DXK27" s="338"/>
      <c r="DXL27" s="338"/>
      <c r="DXM27" s="338"/>
      <c r="DXN27" s="338"/>
      <c r="DXO27" s="338"/>
      <c r="DXP27" s="338"/>
      <c r="DXQ27" s="338"/>
      <c r="DXR27" s="338"/>
      <c r="DXS27" s="338"/>
      <c r="DXT27" s="338"/>
      <c r="DXU27" s="338"/>
      <c r="DXV27" s="338"/>
      <c r="DXW27" s="338"/>
      <c r="DXX27" s="338"/>
      <c r="DXY27" s="338"/>
      <c r="DXZ27" s="338"/>
      <c r="DYA27" s="338"/>
      <c r="DYB27" s="338"/>
      <c r="DYC27" s="338"/>
      <c r="DYD27" s="338"/>
      <c r="DYE27" s="338"/>
      <c r="DYF27" s="338"/>
      <c r="DYG27" s="338"/>
      <c r="DYH27" s="338"/>
      <c r="DYI27" s="338"/>
      <c r="DYJ27" s="338"/>
      <c r="DYK27" s="338"/>
      <c r="DYL27" s="338"/>
      <c r="DYM27" s="338"/>
      <c r="DYN27" s="338"/>
      <c r="DYO27" s="338"/>
      <c r="DYP27" s="338"/>
      <c r="DYQ27" s="338"/>
      <c r="DYR27" s="338"/>
      <c r="DYS27" s="338"/>
      <c r="DYT27" s="338"/>
      <c r="DYU27" s="338"/>
      <c r="DYV27" s="338"/>
      <c r="DYW27" s="338"/>
      <c r="DYX27" s="338"/>
      <c r="DYY27" s="338"/>
      <c r="DYZ27" s="338"/>
      <c r="DZA27" s="338"/>
      <c r="DZB27" s="338"/>
      <c r="DZC27" s="338"/>
      <c r="DZD27" s="338"/>
      <c r="DZE27" s="338"/>
      <c r="DZF27" s="338"/>
      <c r="DZG27" s="338"/>
      <c r="DZH27" s="338"/>
      <c r="DZI27" s="338"/>
      <c r="DZJ27" s="338"/>
      <c r="DZK27" s="338"/>
      <c r="DZL27" s="338"/>
      <c r="DZM27" s="338"/>
      <c r="DZN27" s="338"/>
      <c r="DZO27" s="338"/>
      <c r="DZP27" s="338"/>
      <c r="DZQ27" s="338"/>
      <c r="DZR27" s="338"/>
      <c r="DZS27" s="338"/>
      <c r="DZT27" s="338"/>
      <c r="DZU27" s="338"/>
      <c r="DZV27" s="338"/>
      <c r="DZW27" s="338"/>
      <c r="DZX27" s="338"/>
      <c r="DZY27" s="338"/>
      <c r="DZZ27" s="338"/>
      <c r="EAA27" s="338"/>
      <c r="EAB27" s="338"/>
      <c r="EAC27" s="338"/>
      <c r="EAD27" s="338"/>
      <c r="EAE27" s="338"/>
      <c r="EAF27" s="338"/>
      <c r="EAG27" s="338"/>
      <c r="EAH27" s="338"/>
      <c r="EAI27" s="338"/>
      <c r="EAJ27" s="338"/>
      <c r="EAK27" s="338"/>
      <c r="EAL27" s="338"/>
      <c r="EAM27" s="338"/>
      <c r="EAN27" s="338"/>
      <c r="EAO27" s="338"/>
      <c r="EAP27" s="338"/>
      <c r="EAQ27" s="338"/>
      <c r="EAR27" s="338"/>
      <c r="EAS27" s="338"/>
      <c r="EAT27" s="338"/>
      <c r="EAU27" s="338"/>
      <c r="EAV27" s="338"/>
      <c r="EAW27" s="338"/>
      <c r="EAX27" s="338"/>
      <c r="EAY27" s="338"/>
      <c r="EAZ27" s="338"/>
      <c r="EBA27" s="338"/>
      <c r="EBB27" s="338"/>
      <c r="EBC27" s="338"/>
      <c r="EBD27" s="338"/>
      <c r="EBE27" s="338"/>
      <c r="EBF27" s="338"/>
      <c r="EBG27" s="338"/>
      <c r="EBH27" s="338"/>
      <c r="EBI27" s="338"/>
      <c r="EBJ27" s="338"/>
      <c r="EBK27" s="338"/>
      <c r="EBL27" s="338"/>
      <c r="EBM27" s="338"/>
      <c r="EBN27" s="338"/>
      <c r="EBO27" s="338"/>
      <c r="EBP27" s="338"/>
      <c r="EBQ27" s="338"/>
      <c r="EBR27" s="338"/>
      <c r="EBS27" s="338"/>
      <c r="EBT27" s="338"/>
      <c r="EBU27" s="338"/>
      <c r="EBV27" s="338"/>
      <c r="EBW27" s="338"/>
      <c r="EBX27" s="338"/>
      <c r="EBY27" s="338"/>
      <c r="EBZ27" s="338"/>
      <c r="ECA27" s="338"/>
      <c r="ECB27" s="338"/>
      <c r="ECC27" s="338"/>
      <c r="ECD27" s="338"/>
      <c r="ECE27" s="338"/>
      <c r="ECF27" s="338"/>
      <c r="ECG27" s="338"/>
      <c r="ECH27" s="338"/>
      <c r="ECI27" s="338"/>
      <c r="ECJ27" s="338"/>
      <c r="ECK27" s="338"/>
      <c r="ECL27" s="338"/>
      <c r="ECM27" s="338"/>
      <c r="ECN27" s="338"/>
      <c r="ECO27" s="338"/>
      <c r="ECP27" s="338"/>
      <c r="ECQ27" s="338"/>
      <c r="ECR27" s="338"/>
      <c r="ECS27" s="338"/>
      <c r="ECT27" s="338"/>
      <c r="ECU27" s="338"/>
      <c r="ECV27" s="338"/>
      <c r="ECW27" s="338"/>
      <c r="ECX27" s="338"/>
      <c r="ECY27" s="338"/>
      <c r="ECZ27" s="338"/>
      <c r="EDA27" s="338"/>
      <c r="EDB27" s="338"/>
      <c r="EDC27" s="338"/>
      <c r="EDD27" s="338"/>
      <c r="EDE27" s="338"/>
      <c r="EDF27" s="338"/>
      <c r="EDG27" s="338"/>
      <c r="EDH27" s="338"/>
      <c r="EDI27" s="338"/>
      <c r="EDJ27" s="338"/>
      <c r="EDK27" s="338"/>
      <c r="EDL27" s="338"/>
      <c r="EDM27" s="338"/>
      <c r="EDN27" s="338"/>
      <c r="EDO27" s="338"/>
      <c r="EDP27" s="338"/>
      <c r="EDQ27" s="338"/>
      <c r="EDR27" s="338"/>
      <c r="EDS27" s="338"/>
      <c r="EDT27" s="338"/>
      <c r="EDU27" s="338"/>
      <c r="EDV27" s="338"/>
      <c r="EDW27" s="338"/>
      <c r="EDX27" s="338"/>
      <c r="EDY27" s="338"/>
      <c r="EDZ27" s="338"/>
      <c r="EEA27" s="338"/>
      <c r="EEB27" s="338"/>
      <c r="EEC27" s="338"/>
      <c r="EED27" s="338"/>
      <c r="EEE27" s="338"/>
      <c r="EEF27" s="338"/>
      <c r="EEG27" s="338"/>
      <c r="EEH27" s="338"/>
      <c r="EEI27" s="338"/>
      <c r="EEJ27" s="338"/>
      <c r="EEK27" s="338"/>
      <c r="EEL27" s="338"/>
      <c r="EEM27" s="338"/>
      <c r="EEN27" s="338"/>
      <c r="EEO27" s="338"/>
      <c r="EEP27" s="338"/>
      <c r="EEQ27" s="338"/>
      <c r="EER27" s="338"/>
      <c r="EES27" s="338"/>
      <c r="EET27" s="338"/>
      <c r="EEU27" s="338"/>
      <c r="EEV27" s="338"/>
      <c r="EEW27" s="338"/>
      <c r="EEX27" s="338"/>
      <c r="EEY27" s="338"/>
      <c r="EEZ27" s="338"/>
      <c r="EFA27" s="338"/>
      <c r="EFB27" s="338"/>
      <c r="EFC27" s="338"/>
      <c r="EFD27" s="338"/>
      <c r="EFE27" s="338"/>
      <c r="EFF27" s="338"/>
      <c r="EFG27" s="338"/>
      <c r="EFH27" s="338"/>
      <c r="EFI27" s="338"/>
      <c r="EFJ27" s="338"/>
      <c r="EFK27" s="338"/>
      <c r="EFL27" s="338"/>
      <c r="EFM27" s="338"/>
      <c r="EFN27" s="338"/>
      <c r="EFO27" s="338"/>
      <c r="EFP27" s="338"/>
      <c r="EFQ27" s="338"/>
      <c r="EFR27" s="338"/>
      <c r="EFS27" s="338"/>
      <c r="EFT27" s="338"/>
      <c r="EFU27" s="338"/>
      <c r="EFV27" s="338"/>
      <c r="EFW27" s="338"/>
      <c r="EFX27" s="338"/>
      <c r="EFY27" s="338"/>
      <c r="EFZ27" s="338"/>
      <c r="EGA27" s="338"/>
      <c r="EGB27" s="338"/>
      <c r="EGC27" s="338"/>
      <c r="EGD27" s="338"/>
      <c r="EGE27" s="338"/>
      <c r="EGF27" s="338"/>
      <c r="EGG27" s="338"/>
      <c r="EGH27" s="338"/>
      <c r="EGI27" s="338"/>
      <c r="EGJ27" s="338"/>
      <c r="EGK27" s="338"/>
      <c r="EGL27" s="338"/>
      <c r="EGM27" s="338"/>
      <c r="EGN27" s="338"/>
      <c r="EGO27" s="338"/>
      <c r="EGP27" s="338"/>
      <c r="EGQ27" s="338"/>
      <c r="EGR27" s="338"/>
      <c r="EGS27" s="338"/>
      <c r="EGT27" s="338"/>
      <c r="EGU27" s="338"/>
      <c r="EGV27" s="338"/>
      <c r="EGW27" s="338"/>
      <c r="EGX27" s="338"/>
      <c r="EGY27" s="338"/>
      <c r="EGZ27" s="338"/>
      <c r="EHA27" s="338"/>
      <c r="EHB27" s="338"/>
      <c r="EHC27" s="338"/>
      <c r="EHD27" s="338"/>
      <c r="EHE27" s="338"/>
      <c r="EHF27" s="338"/>
      <c r="EHG27" s="338"/>
      <c r="EHH27" s="338"/>
      <c r="EHI27" s="338"/>
      <c r="EHJ27" s="338"/>
      <c r="EHK27" s="338"/>
      <c r="EHL27" s="338"/>
      <c r="EHM27" s="338"/>
      <c r="EHN27" s="338"/>
      <c r="EHO27" s="338"/>
      <c r="EHP27" s="338"/>
      <c r="EHQ27" s="338"/>
      <c r="EHR27" s="338"/>
      <c r="EHS27" s="338"/>
      <c r="EHT27" s="338"/>
      <c r="EHU27" s="338"/>
      <c r="EHV27" s="338"/>
      <c r="EHW27" s="338"/>
      <c r="EHX27" s="338"/>
      <c r="EHY27" s="338"/>
      <c r="EHZ27" s="338"/>
      <c r="EIA27" s="338"/>
      <c r="EIB27" s="338"/>
      <c r="EIC27" s="338"/>
      <c r="EID27" s="338"/>
      <c r="EIE27" s="338"/>
      <c r="EIF27" s="338"/>
      <c r="EIG27" s="338"/>
      <c r="EIH27" s="338"/>
      <c r="EII27" s="338"/>
      <c r="EIJ27" s="338"/>
      <c r="EIK27" s="338"/>
      <c r="EIL27" s="338"/>
      <c r="EIM27" s="338"/>
      <c r="EIN27" s="338"/>
      <c r="EIO27" s="338"/>
      <c r="EIP27" s="338"/>
      <c r="EIQ27" s="338"/>
      <c r="EIR27" s="338"/>
      <c r="EIS27" s="338"/>
      <c r="EIT27" s="338"/>
      <c r="EIU27" s="338"/>
      <c r="EIV27" s="338"/>
      <c r="EIW27" s="338"/>
      <c r="EIX27" s="338"/>
      <c r="EIY27" s="338"/>
      <c r="EIZ27" s="338"/>
      <c r="EJA27" s="338"/>
      <c r="EJB27" s="338"/>
      <c r="EJC27" s="338"/>
      <c r="EJD27" s="338"/>
      <c r="EJE27" s="338"/>
      <c r="EJF27" s="338"/>
      <c r="EJG27" s="338"/>
      <c r="EJH27" s="338"/>
      <c r="EJI27" s="338"/>
      <c r="EJJ27" s="338"/>
      <c r="EJK27" s="338"/>
      <c r="EJL27" s="338"/>
      <c r="EJM27" s="338"/>
      <c r="EJN27" s="338"/>
      <c r="EJO27" s="338"/>
      <c r="EJP27" s="338"/>
      <c r="EJQ27" s="338"/>
      <c r="EJR27" s="338"/>
      <c r="EJS27" s="338"/>
      <c r="EJT27" s="338"/>
      <c r="EJU27" s="338"/>
      <c r="EJV27" s="338"/>
      <c r="EJW27" s="338"/>
      <c r="EJX27" s="338"/>
      <c r="EJY27" s="338"/>
      <c r="EJZ27" s="338"/>
      <c r="EKA27" s="338"/>
      <c r="EKB27" s="338"/>
      <c r="EKC27" s="338"/>
      <c r="EKD27" s="338"/>
      <c r="EKE27" s="338"/>
      <c r="EKF27" s="338"/>
      <c r="EKG27" s="338"/>
      <c r="EKH27" s="338"/>
      <c r="EKI27" s="338"/>
      <c r="EKJ27" s="338"/>
      <c r="EKK27" s="338"/>
      <c r="EKL27" s="338"/>
      <c r="EKM27" s="338"/>
      <c r="EKN27" s="338"/>
      <c r="EKO27" s="338"/>
      <c r="EKP27" s="338"/>
      <c r="EKQ27" s="338"/>
      <c r="EKR27" s="338"/>
      <c r="EKS27" s="338"/>
      <c r="EKT27" s="338"/>
      <c r="EKU27" s="338"/>
      <c r="EKV27" s="338"/>
      <c r="EKW27" s="338"/>
      <c r="EKX27" s="338"/>
      <c r="EKY27" s="338"/>
      <c r="EKZ27" s="338"/>
      <c r="ELA27" s="338"/>
      <c r="ELB27" s="338"/>
      <c r="ELC27" s="338"/>
      <c r="ELD27" s="338"/>
      <c r="ELE27" s="338"/>
      <c r="ELF27" s="338"/>
      <c r="ELG27" s="338"/>
      <c r="ELH27" s="338"/>
      <c r="ELI27" s="338"/>
      <c r="ELJ27" s="338"/>
      <c r="ELK27" s="338"/>
      <c r="ELL27" s="338"/>
      <c r="ELM27" s="338"/>
      <c r="ELN27" s="338"/>
      <c r="ELO27" s="338"/>
      <c r="ELP27" s="338"/>
      <c r="ELQ27" s="338"/>
      <c r="ELR27" s="338"/>
      <c r="ELS27" s="338"/>
      <c r="ELT27" s="338"/>
      <c r="ELU27" s="338"/>
      <c r="ELV27" s="338"/>
      <c r="ELW27" s="338"/>
      <c r="ELX27" s="338"/>
      <c r="ELY27" s="338"/>
      <c r="ELZ27" s="338"/>
      <c r="EMA27" s="338"/>
      <c r="EMB27" s="338"/>
      <c r="EMC27" s="338"/>
      <c r="EMD27" s="338"/>
      <c r="EME27" s="338"/>
      <c r="EMF27" s="338"/>
      <c r="EMG27" s="338"/>
      <c r="EMH27" s="338"/>
      <c r="EMI27" s="338"/>
      <c r="EMJ27" s="338"/>
      <c r="EMK27" s="338"/>
      <c r="EML27" s="338"/>
      <c r="EMM27" s="338"/>
      <c r="EMN27" s="338"/>
      <c r="EMO27" s="338"/>
      <c r="EMP27" s="338"/>
      <c r="EMQ27" s="338"/>
      <c r="EMR27" s="338"/>
      <c r="EMS27" s="338"/>
      <c r="EMT27" s="338"/>
      <c r="EMU27" s="338"/>
      <c r="EMV27" s="338"/>
      <c r="EMW27" s="338"/>
      <c r="EMX27" s="338"/>
      <c r="EMY27" s="338"/>
      <c r="EMZ27" s="338"/>
      <c r="ENA27" s="338"/>
      <c r="ENB27" s="338"/>
      <c r="ENC27" s="338"/>
      <c r="END27" s="338"/>
      <c r="ENE27" s="338"/>
      <c r="ENF27" s="338"/>
      <c r="ENG27" s="338"/>
      <c r="ENH27" s="338"/>
      <c r="ENI27" s="338"/>
      <c r="ENJ27" s="338"/>
      <c r="ENK27" s="338"/>
      <c r="ENL27" s="338"/>
      <c r="ENM27" s="338"/>
      <c r="ENN27" s="338"/>
      <c r="ENO27" s="338"/>
      <c r="ENP27" s="338"/>
      <c r="ENQ27" s="338"/>
      <c r="ENR27" s="338"/>
      <c r="ENS27" s="338"/>
      <c r="ENT27" s="338"/>
      <c r="ENU27" s="338"/>
      <c r="ENV27" s="338"/>
      <c r="ENW27" s="338"/>
      <c r="ENX27" s="338"/>
      <c r="ENY27" s="338"/>
      <c r="ENZ27" s="338"/>
      <c r="EOA27" s="338"/>
      <c r="EOB27" s="338"/>
      <c r="EOC27" s="338"/>
      <c r="EOD27" s="338"/>
      <c r="EOE27" s="338"/>
      <c r="EOF27" s="338"/>
      <c r="EOG27" s="338"/>
      <c r="EOH27" s="338"/>
      <c r="EOI27" s="338"/>
      <c r="EOJ27" s="338"/>
      <c r="EOK27" s="338"/>
      <c r="EOL27" s="338"/>
      <c r="EOM27" s="338"/>
      <c r="EON27" s="338"/>
      <c r="EOO27" s="338"/>
      <c r="EOP27" s="338"/>
      <c r="EOQ27" s="338"/>
      <c r="EOR27" s="338"/>
      <c r="EOS27" s="338"/>
      <c r="EOT27" s="338"/>
      <c r="EOU27" s="338"/>
      <c r="EOV27" s="338"/>
      <c r="EOW27" s="338"/>
      <c r="EOX27" s="338"/>
      <c r="EOY27" s="338"/>
      <c r="EOZ27" s="338"/>
      <c r="EPA27" s="338"/>
      <c r="EPB27" s="338"/>
      <c r="EPC27" s="338"/>
      <c r="EPD27" s="338"/>
      <c r="EPE27" s="338"/>
      <c r="EPF27" s="338"/>
      <c r="EPG27" s="338"/>
      <c r="EPH27" s="338"/>
      <c r="EPI27" s="338"/>
      <c r="EPJ27" s="338"/>
      <c r="EPK27" s="338"/>
      <c r="EPL27" s="338"/>
      <c r="EPM27" s="338"/>
      <c r="EPN27" s="338"/>
      <c r="EPO27" s="338"/>
      <c r="EPP27" s="338"/>
      <c r="EPQ27" s="338"/>
      <c r="EPR27" s="338"/>
      <c r="EPS27" s="338"/>
      <c r="EPT27" s="338"/>
      <c r="EPU27" s="338"/>
      <c r="EPV27" s="338"/>
      <c r="EPW27" s="338"/>
      <c r="EPX27" s="338"/>
      <c r="EPY27" s="338"/>
      <c r="EPZ27" s="338"/>
      <c r="EQA27" s="338"/>
      <c r="EQB27" s="338"/>
      <c r="EQC27" s="338"/>
      <c r="EQD27" s="338"/>
      <c r="EQE27" s="338"/>
      <c r="EQF27" s="338"/>
      <c r="EQG27" s="338"/>
      <c r="EQH27" s="338"/>
      <c r="EQI27" s="338"/>
      <c r="EQJ27" s="338"/>
      <c r="EQK27" s="338"/>
      <c r="EQL27" s="338"/>
      <c r="EQM27" s="338"/>
      <c r="EQN27" s="338"/>
      <c r="EQO27" s="338"/>
      <c r="EQP27" s="338"/>
      <c r="EQQ27" s="338"/>
      <c r="EQR27" s="338"/>
      <c r="EQS27" s="338"/>
      <c r="EQT27" s="338"/>
      <c r="EQU27" s="338"/>
      <c r="EQV27" s="338"/>
      <c r="EQW27" s="338"/>
      <c r="EQX27" s="338"/>
      <c r="EQY27" s="338"/>
      <c r="EQZ27" s="338"/>
      <c r="ERA27" s="338"/>
      <c r="ERB27" s="338"/>
      <c r="ERC27" s="338"/>
      <c r="ERD27" s="338"/>
      <c r="ERE27" s="338"/>
      <c r="ERF27" s="338"/>
      <c r="ERG27" s="338"/>
      <c r="ERH27" s="338"/>
      <c r="ERI27" s="338"/>
      <c r="ERJ27" s="338"/>
      <c r="ERK27" s="338"/>
      <c r="ERL27" s="338"/>
      <c r="ERM27" s="338"/>
      <c r="ERN27" s="338"/>
      <c r="ERO27" s="338"/>
      <c r="ERP27" s="338"/>
      <c r="ERQ27" s="338"/>
      <c r="ERR27" s="338"/>
      <c r="ERS27" s="338"/>
      <c r="ERT27" s="338"/>
      <c r="ERU27" s="338"/>
      <c r="ERV27" s="338"/>
      <c r="ERW27" s="338"/>
      <c r="ERX27" s="338"/>
      <c r="ERY27" s="338"/>
      <c r="ERZ27" s="338"/>
      <c r="ESA27" s="338"/>
      <c r="ESB27" s="338"/>
      <c r="ESC27" s="338"/>
      <c r="ESD27" s="338"/>
      <c r="ESE27" s="338"/>
      <c r="ESF27" s="338"/>
      <c r="ESG27" s="338"/>
      <c r="ESH27" s="338"/>
      <c r="ESI27" s="338"/>
      <c r="ESJ27" s="338"/>
      <c r="ESK27" s="338"/>
      <c r="ESL27" s="338"/>
      <c r="ESM27" s="338"/>
      <c r="ESN27" s="338"/>
      <c r="ESO27" s="338"/>
      <c r="ESP27" s="338"/>
      <c r="ESQ27" s="338"/>
      <c r="ESR27" s="338"/>
      <c r="ESS27" s="338"/>
      <c r="EST27" s="338"/>
      <c r="ESU27" s="338"/>
      <c r="ESV27" s="338"/>
      <c r="ESW27" s="338"/>
      <c r="ESX27" s="338"/>
      <c r="ESY27" s="338"/>
      <c r="ESZ27" s="338"/>
      <c r="ETA27" s="338"/>
      <c r="ETB27" s="338"/>
      <c r="ETC27" s="338"/>
      <c r="ETD27" s="338"/>
      <c r="ETE27" s="338"/>
      <c r="ETF27" s="338"/>
      <c r="ETG27" s="338"/>
      <c r="ETH27" s="338"/>
      <c r="ETI27" s="338"/>
      <c r="ETJ27" s="338"/>
      <c r="ETK27" s="338"/>
      <c r="ETL27" s="338"/>
      <c r="ETM27" s="338"/>
      <c r="ETN27" s="338"/>
      <c r="ETO27" s="338"/>
      <c r="ETP27" s="338"/>
      <c r="ETQ27" s="338"/>
      <c r="ETR27" s="338"/>
      <c r="ETS27" s="338"/>
      <c r="ETT27" s="338"/>
      <c r="ETU27" s="338"/>
      <c r="ETV27" s="338"/>
      <c r="ETW27" s="338"/>
      <c r="ETX27" s="338"/>
      <c r="ETY27" s="338"/>
      <c r="ETZ27" s="338"/>
      <c r="EUA27" s="338"/>
      <c r="EUB27" s="338"/>
      <c r="EUC27" s="338"/>
      <c r="EUD27" s="338"/>
      <c r="EUE27" s="338"/>
      <c r="EUF27" s="338"/>
      <c r="EUG27" s="338"/>
      <c r="EUH27" s="338"/>
      <c r="EUI27" s="338"/>
      <c r="EUJ27" s="338"/>
      <c r="EUK27" s="338"/>
      <c r="EUL27" s="338"/>
      <c r="EUM27" s="338"/>
      <c r="EUN27" s="338"/>
      <c r="EUO27" s="338"/>
      <c r="EUP27" s="338"/>
      <c r="EUQ27" s="338"/>
      <c r="EUR27" s="338"/>
      <c r="EUS27" s="338"/>
      <c r="EUT27" s="338"/>
      <c r="EUU27" s="338"/>
      <c r="EUV27" s="338"/>
      <c r="EUW27" s="338"/>
      <c r="EUX27" s="338"/>
      <c r="EUY27" s="338"/>
      <c r="EUZ27" s="338"/>
      <c r="EVA27" s="338"/>
      <c r="EVB27" s="338"/>
      <c r="EVC27" s="338"/>
      <c r="EVD27" s="338"/>
      <c r="EVE27" s="338"/>
      <c r="EVF27" s="338"/>
      <c r="EVG27" s="338"/>
      <c r="EVH27" s="338"/>
      <c r="EVI27" s="338"/>
      <c r="EVJ27" s="338"/>
      <c r="EVK27" s="338"/>
      <c r="EVL27" s="338"/>
      <c r="EVM27" s="338"/>
      <c r="EVN27" s="338"/>
      <c r="EVO27" s="338"/>
      <c r="EVP27" s="338"/>
      <c r="EVQ27" s="338"/>
      <c r="EVR27" s="338"/>
      <c r="EVS27" s="338"/>
      <c r="EVT27" s="338"/>
      <c r="EVU27" s="338"/>
      <c r="EVV27" s="338"/>
      <c r="EVW27" s="338"/>
      <c r="EVX27" s="338"/>
      <c r="EVY27" s="338"/>
      <c r="EVZ27" s="338"/>
      <c r="EWA27" s="338"/>
      <c r="EWB27" s="338"/>
      <c r="EWC27" s="338"/>
      <c r="EWD27" s="338"/>
      <c r="EWE27" s="338"/>
      <c r="EWF27" s="338"/>
      <c r="EWG27" s="338"/>
      <c r="EWH27" s="338"/>
      <c r="EWI27" s="338"/>
      <c r="EWJ27" s="338"/>
      <c r="EWK27" s="338"/>
      <c r="EWL27" s="338"/>
      <c r="EWM27" s="338"/>
      <c r="EWN27" s="338"/>
      <c r="EWO27" s="338"/>
      <c r="EWP27" s="338"/>
      <c r="EWQ27" s="338"/>
      <c r="EWR27" s="338"/>
      <c r="EWS27" s="338"/>
      <c r="EWT27" s="338"/>
      <c r="EWU27" s="338"/>
      <c r="EWV27" s="338"/>
      <c r="EWW27" s="338"/>
      <c r="EWX27" s="338"/>
      <c r="EWY27" s="338"/>
      <c r="EWZ27" s="338"/>
      <c r="EXA27" s="338"/>
      <c r="EXB27" s="338"/>
      <c r="EXC27" s="338"/>
      <c r="EXD27" s="338"/>
      <c r="EXE27" s="338"/>
      <c r="EXF27" s="338"/>
      <c r="EXG27" s="338"/>
      <c r="EXH27" s="338"/>
      <c r="EXI27" s="338"/>
      <c r="EXJ27" s="338"/>
      <c r="EXK27" s="338"/>
      <c r="EXL27" s="338"/>
      <c r="EXM27" s="338"/>
      <c r="EXN27" s="338"/>
      <c r="EXO27" s="338"/>
      <c r="EXP27" s="338"/>
      <c r="EXQ27" s="338"/>
      <c r="EXR27" s="338"/>
      <c r="EXS27" s="338"/>
      <c r="EXT27" s="338"/>
      <c r="EXU27" s="338"/>
      <c r="EXV27" s="338"/>
      <c r="EXW27" s="338"/>
      <c r="EXX27" s="338"/>
      <c r="EXY27" s="338"/>
      <c r="EXZ27" s="338"/>
      <c r="EYA27" s="338"/>
      <c r="EYB27" s="338"/>
      <c r="EYC27" s="338"/>
      <c r="EYD27" s="338"/>
      <c r="EYE27" s="338"/>
      <c r="EYF27" s="338"/>
      <c r="EYG27" s="338"/>
      <c r="EYH27" s="338"/>
      <c r="EYI27" s="338"/>
      <c r="EYJ27" s="338"/>
      <c r="EYK27" s="338"/>
      <c r="EYL27" s="338"/>
      <c r="EYM27" s="338"/>
      <c r="EYN27" s="338"/>
      <c r="EYO27" s="338"/>
      <c r="EYP27" s="338"/>
      <c r="EYQ27" s="338"/>
      <c r="EYR27" s="338"/>
      <c r="EYS27" s="338"/>
      <c r="EYT27" s="338"/>
      <c r="EYU27" s="338"/>
      <c r="EYV27" s="338"/>
      <c r="EYW27" s="338"/>
      <c r="EYX27" s="338"/>
      <c r="EYY27" s="338"/>
      <c r="EYZ27" s="338"/>
      <c r="EZA27" s="338"/>
      <c r="EZB27" s="338"/>
      <c r="EZC27" s="338"/>
      <c r="EZD27" s="338"/>
      <c r="EZE27" s="338"/>
      <c r="EZF27" s="338"/>
      <c r="EZG27" s="338"/>
      <c r="EZH27" s="338"/>
      <c r="EZI27" s="338"/>
      <c r="EZJ27" s="338"/>
      <c r="EZK27" s="338"/>
      <c r="EZL27" s="338"/>
      <c r="EZM27" s="338"/>
      <c r="EZN27" s="338"/>
      <c r="EZO27" s="338"/>
      <c r="EZP27" s="338"/>
      <c r="EZQ27" s="338"/>
      <c r="EZR27" s="338"/>
      <c r="EZS27" s="338"/>
      <c r="EZT27" s="338"/>
      <c r="EZU27" s="338"/>
      <c r="EZV27" s="338"/>
      <c r="EZW27" s="338"/>
      <c r="EZX27" s="338"/>
      <c r="EZY27" s="338"/>
      <c r="EZZ27" s="338"/>
      <c r="FAA27" s="338"/>
      <c r="FAB27" s="338"/>
      <c r="FAC27" s="338"/>
      <c r="FAD27" s="338"/>
      <c r="FAE27" s="338"/>
      <c r="FAF27" s="338"/>
      <c r="FAG27" s="338"/>
      <c r="FAH27" s="338"/>
      <c r="FAI27" s="338"/>
      <c r="FAJ27" s="338"/>
      <c r="FAK27" s="338"/>
      <c r="FAL27" s="338"/>
      <c r="FAM27" s="338"/>
      <c r="FAN27" s="338"/>
      <c r="FAO27" s="338"/>
      <c r="FAP27" s="338"/>
      <c r="FAQ27" s="338"/>
      <c r="FAR27" s="338"/>
      <c r="FAS27" s="338"/>
      <c r="FAT27" s="338"/>
      <c r="FAU27" s="338"/>
      <c r="FAV27" s="338"/>
      <c r="FAW27" s="338"/>
      <c r="FAX27" s="338"/>
      <c r="FAY27" s="338"/>
      <c r="FAZ27" s="338"/>
      <c r="FBA27" s="338"/>
      <c r="FBB27" s="338"/>
      <c r="FBC27" s="338"/>
      <c r="FBD27" s="338"/>
      <c r="FBE27" s="338"/>
      <c r="FBF27" s="338"/>
      <c r="FBG27" s="338"/>
      <c r="FBH27" s="338"/>
      <c r="FBI27" s="338"/>
      <c r="FBJ27" s="338"/>
      <c r="FBK27" s="338"/>
      <c r="FBL27" s="338"/>
      <c r="FBM27" s="338"/>
      <c r="FBN27" s="338"/>
      <c r="FBO27" s="338"/>
      <c r="FBP27" s="338"/>
      <c r="FBQ27" s="338"/>
      <c r="FBR27" s="338"/>
      <c r="FBS27" s="338"/>
      <c r="FBT27" s="338"/>
      <c r="FBU27" s="338"/>
      <c r="FBV27" s="338"/>
      <c r="FBW27" s="338"/>
      <c r="FBX27" s="338"/>
      <c r="FBY27" s="338"/>
      <c r="FBZ27" s="338"/>
      <c r="FCA27" s="338"/>
      <c r="FCB27" s="338"/>
      <c r="FCC27" s="338"/>
      <c r="FCD27" s="338"/>
      <c r="FCE27" s="338"/>
      <c r="FCF27" s="338"/>
      <c r="FCG27" s="338"/>
      <c r="FCH27" s="338"/>
      <c r="FCI27" s="338"/>
      <c r="FCJ27" s="338"/>
      <c r="FCK27" s="338"/>
      <c r="FCL27" s="338"/>
      <c r="FCM27" s="338"/>
      <c r="FCN27" s="338"/>
      <c r="FCO27" s="338"/>
      <c r="FCP27" s="338"/>
      <c r="FCQ27" s="338"/>
      <c r="FCR27" s="338"/>
      <c r="FCS27" s="338"/>
      <c r="FCT27" s="338"/>
      <c r="FCU27" s="338"/>
      <c r="FCV27" s="338"/>
      <c r="FCW27" s="338"/>
      <c r="FCX27" s="338"/>
      <c r="FCY27" s="338"/>
      <c r="FCZ27" s="338"/>
      <c r="FDA27" s="338"/>
      <c r="FDB27" s="338"/>
      <c r="FDC27" s="338"/>
      <c r="FDD27" s="338"/>
      <c r="FDE27" s="338"/>
      <c r="FDF27" s="338"/>
      <c r="FDG27" s="338"/>
      <c r="FDH27" s="338"/>
      <c r="FDI27" s="338"/>
      <c r="FDJ27" s="338"/>
      <c r="FDK27" s="338"/>
      <c r="FDL27" s="338"/>
      <c r="FDM27" s="338"/>
      <c r="FDN27" s="338"/>
      <c r="FDO27" s="338"/>
      <c r="FDP27" s="338"/>
      <c r="FDQ27" s="338"/>
      <c r="FDR27" s="338"/>
      <c r="FDS27" s="338"/>
      <c r="FDT27" s="338"/>
      <c r="FDU27" s="338"/>
      <c r="FDV27" s="338"/>
      <c r="FDW27" s="338"/>
      <c r="FDX27" s="338"/>
      <c r="FDY27" s="338"/>
      <c r="FDZ27" s="338"/>
      <c r="FEA27" s="338"/>
      <c r="FEB27" s="338"/>
      <c r="FEC27" s="338"/>
      <c r="FED27" s="338"/>
      <c r="FEE27" s="338"/>
      <c r="FEF27" s="338"/>
      <c r="FEG27" s="338"/>
      <c r="FEH27" s="338"/>
      <c r="FEI27" s="338"/>
      <c r="FEJ27" s="338"/>
      <c r="FEK27" s="338"/>
      <c r="FEL27" s="338"/>
      <c r="FEM27" s="338"/>
      <c r="FEN27" s="338"/>
      <c r="FEO27" s="338"/>
      <c r="FEP27" s="338"/>
      <c r="FEQ27" s="338"/>
      <c r="FER27" s="338"/>
      <c r="FES27" s="338"/>
      <c r="FET27" s="338"/>
      <c r="FEU27" s="338"/>
      <c r="FEV27" s="338"/>
      <c r="FEW27" s="338"/>
      <c r="FEX27" s="338"/>
      <c r="FEY27" s="338"/>
      <c r="FEZ27" s="338"/>
      <c r="FFA27" s="338"/>
      <c r="FFB27" s="338"/>
      <c r="FFC27" s="338"/>
      <c r="FFD27" s="338"/>
      <c r="FFE27" s="338"/>
      <c r="FFF27" s="338"/>
      <c r="FFG27" s="338"/>
      <c r="FFH27" s="338"/>
      <c r="FFI27" s="338"/>
      <c r="FFJ27" s="338"/>
      <c r="FFK27" s="338"/>
      <c r="FFL27" s="338"/>
      <c r="FFM27" s="338"/>
      <c r="FFN27" s="338"/>
      <c r="FFO27" s="338"/>
      <c r="FFP27" s="338"/>
      <c r="FFQ27" s="338"/>
      <c r="FFR27" s="338"/>
      <c r="FFS27" s="338"/>
      <c r="FFT27" s="338"/>
      <c r="FFU27" s="338"/>
      <c r="FFV27" s="338"/>
      <c r="FFW27" s="338"/>
      <c r="FFX27" s="338"/>
      <c r="FFY27" s="338"/>
      <c r="FFZ27" s="338"/>
      <c r="FGA27" s="338"/>
      <c r="FGB27" s="338"/>
      <c r="FGC27" s="338"/>
      <c r="FGD27" s="338"/>
      <c r="FGE27" s="338"/>
      <c r="FGF27" s="338"/>
      <c r="FGG27" s="338"/>
      <c r="FGH27" s="338"/>
      <c r="FGI27" s="338"/>
      <c r="FGJ27" s="338"/>
      <c r="FGK27" s="338"/>
      <c r="FGL27" s="338"/>
      <c r="FGM27" s="338"/>
      <c r="FGN27" s="338"/>
      <c r="FGO27" s="338"/>
      <c r="FGP27" s="338"/>
      <c r="FGQ27" s="338"/>
      <c r="FGR27" s="338"/>
      <c r="FGS27" s="338"/>
      <c r="FGT27" s="338"/>
      <c r="FGU27" s="338"/>
      <c r="FGV27" s="338"/>
      <c r="FGW27" s="338"/>
      <c r="FGX27" s="338"/>
      <c r="FGY27" s="338"/>
      <c r="FGZ27" s="338"/>
      <c r="FHA27" s="338"/>
      <c r="FHB27" s="338"/>
      <c r="FHC27" s="338"/>
      <c r="FHD27" s="338"/>
      <c r="FHE27" s="338"/>
      <c r="FHF27" s="338"/>
      <c r="FHG27" s="338"/>
      <c r="FHH27" s="338"/>
      <c r="FHI27" s="338"/>
      <c r="FHJ27" s="338"/>
      <c r="FHK27" s="338"/>
      <c r="FHL27" s="338"/>
      <c r="FHM27" s="338"/>
      <c r="FHN27" s="338"/>
      <c r="FHO27" s="338"/>
      <c r="FHP27" s="338"/>
      <c r="FHQ27" s="338"/>
      <c r="FHR27" s="338"/>
      <c r="FHS27" s="338"/>
      <c r="FHT27" s="338"/>
      <c r="FHU27" s="338"/>
      <c r="FHV27" s="338"/>
      <c r="FHW27" s="338"/>
      <c r="FHX27" s="338"/>
      <c r="FHY27" s="338"/>
      <c r="FHZ27" s="338"/>
      <c r="FIA27" s="338"/>
      <c r="FIB27" s="338"/>
      <c r="FIC27" s="338"/>
      <c r="FID27" s="338"/>
      <c r="FIE27" s="338"/>
      <c r="FIF27" s="338"/>
      <c r="FIG27" s="338"/>
      <c r="FIH27" s="338"/>
      <c r="FII27" s="338"/>
      <c r="FIJ27" s="338"/>
      <c r="FIK27" s="338"/>
      <c r="FIL27" s="338"/>
      <c r="FIM27" s="338"/>
      <c r="FIN27" s="338"/>
      <c r="FIO27" s="338"/>
      <c r="FIP27" s="338"/>
      <c r="FIQ27" s="338"/>
      <c r="FIR27" s="338"/>
      <c r="FIS27" s="338"/>
      <c r="FIT27" s="338"/>
      <c r="FIU27" s="338"/>
      <c r="FIV27" s="338"/>
      <c r="FIW27" s="338"/>
      <c r="FIX27" s="338"/>
      <c r="FIY27" s="338"/>
      <c r="FIZ27" s="338"/>
      <c r="FJA27" s="338"/>
      <c r="FJB27" s="338"/>
      <c r="FJC27" s="338"/>
      <c r="FJD27" s="338"/>
      <c r="FJE27" s="338"/>
      <c r="FJF27" s="338"/>
      <c r="FJG27" s="338"/>
      <c r="FJH27" s="338"/>
      <c r="FJI27" s="338"/>
      <c r="FJJ27" s="338"/>
      <c r="FJK27" s="338"/>
      <c r="FJL27" s="338"/>
      <c r="FJM27" s="338"/>
      <c r="FJN27" s="338"/>
      <c r="FJO27" s="338"/>
      <c r="FJP27" s="338"/>
      <c r="FJQ27" s="338"/>
      <c r="FJR27" s="338"/>
      <c r="FJS27" s="338"/>
      <c r="FJT27" s="338"/>
      <c r="FJU27" s="338"/>
      <c r="FJV27" s="338"/>
      <c r="FJW27" s="338"/>
      <c r="FJX27" s="338"/>
      <c r="FJY27" s="338"/>
      <c r="FJZ27" s="338"/>
      <c r="FKA27" s="338"/>
      <c r="FKB27" s="338"/>
      <c r="FKC27" s="338"/>
      <c r="FKD27" s="338"/>
      <c r="FKE27" s="338"/>
      <c r="FKF27" s="338"/>
      <c r="FKG27" s="338"/>
      <c r="FKH27" s="338"/>
      <c r="FKI27" s="338"/>
      <c r="FKJ27" s="338"/>
      <c r="FKK27" s="338"/>
      <c r="FKL27" s="338"/>
      <c r="FKM27" s="338"/>
      <c r="FKN27" s="338"/>
      <c r="FKO27" s="338"/>
      <c r="FKP27" s="338"/>
      <c r="FKQ27" s="338"/>
      <c r="FKR27" s="338"/>
      <c r="FKS27" s="338"/>
      <c r="FKT27" s="338"/>
      <c r="FKU27" s="338"/>
      <c r="FKV27" s="338"/>
      <c r="FKW27" s="338"/>
      <c r="FKX27" s="338"/>
      <c r="FKY27" s="338"/>
      <c r="FKZ27" s="338"/>
      <c r="FLA27" s="338"/>
      <c r="FLB27" s="338"/>
      <c r="FLC27" s="338"/>
      <c r="FLD27" s="338"/>
      <c r="FLE27" s="338"/>
      <c r="FLF27" s="338"/>
      <c r="FLG27" s="338"/>
      <c r="FLH27" s="338"/>
      <c r="FLI27" s="338"/>
      <c r="FLJ27" s="338"/>
      <c r="FLK27" s="338"/>
      <c r="FLL27" s="338"/>
      <c r="FLM27" s="338"/>
      <c r="FLN27" s="338"/>
      <c r="FLO27" s="338"/>
      <c r="FLP27" s="338"/>
      <c r="FLQ27" s="338"/>
      <c r="FLR27" s="338"/>
      <c r="FLS27" s="338"/>
      <c r="FLT27" s="338"/>
      <c r="FLU27" s="338"/>
      <c r="FLV27" s="338"/>
      <c r="FLW27" s="338"/>
      <c r="FLX27" s="338"/>
      <c r="FLY27" s="338"/>
      <c r="FLZ27" s="338"/>
      <c r="FMA27" s="338"/>
      <c r="FMB27" s="338"/>
      <c r="FMC27" s="338"/>
      <c r="FMD27" s="338"/>
      <c r="FME27" s="338"/>
      <c r="FMF27" s="338"/>
      <c r="FMG27" s="338"/>
      <c r="FMH27" s="338"/>
      <c r="FMI27" s="338"/>
      <c r="FMJ27" s="338"/>
      <c r="FMK27" s="338"/>
      <c r="FML27" s="338"/>
      <c r="FMM27" s="338"/>
      <c r="FMN27" s="338"/>
      <c r="FMO27" s="338"/>
      <c r="FMP27" s="338"/>
      <c r="FMQ27" s="338"/>
      <c r="FMR27" s="338"/>
      <c r="FMS27" s="338"/>
      <c r="FMT27" s="338"/>
      <c r="FMU27" s="338"/>
      <c r="FMV27" s="338"/>
      <c r="FMW27" s="338"/>
      <c r="FMX27" s="338"/>
      <c r="FMY27" s="338"/>
      <c r="FMZ27" s="338"/>
      <c r="FNA27" s="338"/>
      <c r="FNB27" s="338"/>
      <c r="FNC27" s="338"/>
      <c r="FND27" s="338"/>
      <c r="FNE27" s="338"/>
      <c r="FNF27" s="338"/>
      <c r="FNG27" s="338"/>
      <c r="FNH27" s="338"/>
      <c r="FNI27" s="338"/>
      <c r="FNJ27" s="338"/>
      <c r="FNK27" s="338"/>
      <c r="FNL27" s="338"/>
      <c r="FNM27" s="338"/>
      <c r="FNN27" s="338"/>
      <c r="FNO27" s="338"/>
      <c r="FNP27" s="338"/>
      <c r="FNQ27" s="338"/>
      <c r="FNR27" s="338"/>
      <c r="FNS27" s="338"/>
      <c r="FNT27" s="338"/>
      <c r="FNU27" s="338"/>
      <c r="FNV27" s="338"/>
      <c r="FNW27" s="338"/>
      <c r="FNX27" s="338"/>
      <c r="FNY27" s="338"/>
      <c r="FNZ27" s="338"/>
      <c r="FOA27" s="338"/>
      <c r="FOB27" s="338"/>
      <c r="FOC27" s="338"/>
      <c r="FOD27" s="338"/>
      <c r="FOE27" s="338"/>
      <c r="FOF27" s="338"/>
      <c r="FOG27" s="338"/>
      <c r="FOH27" s="338"/>
      <c r="FOI27" s="338"/>
      <c r="FOJ27" s="338"/>
      <c r="FOK27" s="338"/>
      <c r="FOL27" s="338"/>
      <c r="FOM27" s="338"/>
      <c r="FON27" s="338"/>
      <c r="FOO27" s="338"/>
      <c r="FOP27" s="338"/>
      <c r="FOQ27" s="338"/>
      <c r="FOR27" s="338"/>
      <c r="FOS27" s="338"/>
      <c r="FOT27" s="338"/>
      <c r="FOU27" s="338"/>
      <c r="FOV27" s="338"/>
      <c r="FOW27" s="338"/>
      <c r="FOX27" s="338"/>
      <c r="FOY27" s="338"/>
      <c r="FOZ27" s="338"/>
      <c r="FPA27" s="338"/>
      <c r="FPB27" s="338"/>
      <c r="FPC27" s="338"/>
      <c r="FPD27" s="338"/>
      <c r="FPE27" s="338"/>
      <c r="FPF27" s="338"/>
      <c r="FPG27" s="338"/>
      <c r="FPH27" s="338"/>
      <c r="FPI27" s="338"/>
      <c r="FPJ27" s="338"/>
      <c r="FPK27" s="338"/>
      <c r="FPL27" s="338"/>
      <c r="FPM27" s="338"/>
      <c r="FPN27" s="338"/>
      <c r="FPO27" s="338"/>
      <c r="FPP27" s="338"/>
      <c r="FPQ27" s="338"/>
      <c r="FPR27" s="338"/>
      <c r="FPS27" s="338"/>
      <c r="FPT27" s="338"/>
      <c r="FPU27" s="338"/>
      <c r="FPV27" s="338"/>
      <c r="FPW27" s="338"/>
      <c r="FPX27" s="338"/>
      <c r="FPY27" s="338"/>
      <c r="FPZ27" s="338"/>
      <c r="FQA27" s="338"/>
      <c r="FQB27" s="338"/>
      <c r="FQC27" s="338"/>
      <c r="FQD27" s="338"/>
      <c r="FQE27" s="338"/>
      <c r="FQF27" s="338"/>
      <c r="FQG27" s="338"/>
      <c r="FQH27" s="338"/>
      <c r="FQI27" s="338"/>
      <c r="FQJ27" s="338"/>
      <c r="FQK27" s="338"/>
      <c r="FQL27" s="338"/>
      <c r="FQM27" s="338"/>
      <c r="FQN27" s="338"/>
      <c r="FQO27" s="338"/>
      <c r="FQP27" s="338"/>
      <c r="FQQ27" s="338"/>
      <c r="FQR27" s="338"/>
      <c r="FQS27" s="338"/>
      <c r="FQT27" s="338"/>
      <c r="FQU27" s="338"/>
      <c r="FQV27" s="338"/>
      <c r="FQW27" s="338"/>
      <c r="FQX27" s="338"/>
      <c r="FQY27" s="338"/>
      <c r="FQZ27" s="338"/>
      <c r="FRA27" s="338"/>
      <c r="FRB27" s="338"/>
      <c r="FRC27" s="338"/>
      <c r="FRD27" s="338"/>
      <c r="FRE27" s="338"/>
      <c r="FRF27" s="338"/>
      <c r="FRG27" s="338"/>
      <c r="FRH27" s="338"/>
      <c r="FRI27" s="338"/>
      <c r="FRJ27" s="338"/>
      <c r="FRK27" s="338"/>
      <c r="FRL27" s="338"/>
      <c r="FRM27" s="338"/>
      <c r="FRN27" s="338"/>
      <c r="FRO27" s="338"/>
      <c r="FRP27" s="338"/>
      <c r="FRQ27" s="338"/>
      <c r="FRR27" s="338"/>
      <c r="FRS27" s="338"/>
      <c r="FRT27" s="338"/>
      <c r="FRU27" s="338"/>
      <c r="FRV27" s="338"/>
      <c r="FRW27" s="338"/>
      <c r="FRX27" s="338"/>
      <c r="FRY27" s="338"/>
      <c r="FRZ27" s="338"/>
      <c r="FSA27" s="338"/>
      <c r="FSB27" s="338"/>
      <c r="FSC27" s="338"/>
      <c r="FSD27" s="338"/>
      <c r="FSE27" s="338"/>
      <c r="FSF27" s="338"/>
      <c r="FSG27" s="338"/>
      <c r="FSH27" s="338"/>
      <c r="FSI27" s="338"/>
      <c r="FSJ27" s="338"/>
      <c r="FSK27" s="338"/>
      <c r="FSL27" s="338"/>
      <c r="FSM27" s="338"/>
      <c r="FSN27" s="338"/>
      <c r="FSO27" s="338"/>
      <c r="FSP27" s="338"/>
      <c r="FSQ27" s="338"/>
      <c r="FSR27" s="338"/>
      <c r="FSS27" s="338"/>
      <c r="FST27" s="338"/>
      <c r="FSU27" s="338"/>
      <c r="FSV27" s="338"/>
      <c r="FSW27" s="338"/>
      <c r="FSX27" s="338"/>
      <c r="FSY27" s="338"/>
      <c r="FSZ27" s="338"/>
      <c r="FTA27" s="338"/>
      <c r="FTB27" s="338"/>
      <c r="FTC27" s="338"/>
      <c r="FTD27" s="338"/>
      <c r="FTE27" s="338"/>
      <c r="FTF27" s="338"/>
      <c r="FTG27" s="338"/>
      <c r="FTH27" s="338"/>
      <c r="FTI27" s="338"/>
      <c r="FTJ27" s="338"/>
      <c r="FTK27" s="338"/>
      <c r="FTL27" s="338"/>
      <c r="FTM27" s="338"/>
      <c r="FTN27" s="338"/>
      <c r="FTO27" s="338"/>
      <c r="FTP27" s="338"/>
      <c r="FTQ27" s="338"/>
      <c r="FTR27" s="338"/>
      <c r="FTS27" s="338"/>
      <c r="FTT27" s="338"/>
      <c r="FTU27" s="338"/>
      <c r="FTV27" s="338"/>
      <c r="FTW27" s="338"/>
      <c r="FTX27" s="338"/>
      <c r="FTY27" s="338"/>
      <c r="FTZ27" s="338"/>
      <c r="FUA27" s="338"/>
      <c r="FUB27" s="338"/>
      <c r="FUC27" s="338"/>
      <c r="FUD27" s="338"/>
      <c r="FUE27" s="338"/>
      <c r="FUF27" s="338"/>
      <c r="FUG27" s="338"/>
      <c r="FUH27" s="338"/>
      <c r="FUI27" s="338"/>
      <c r="FUJ27" s="338"/>
      <c r="FUK27" s="338"/>
      <c r="FUL27" s="338"/>
      <c r="FUM27" s="338"/>
      <c r="FUN27" s="338"/>
      <c r="FUO27" s="338"/>
      <c r="FUP27" s="338"/>
      <c r="FUQ27" s="338"/>
      <c r="FUR27" s="338"/>
      <c r="FUS27" s="338"/>
      <c r="FUT27" s="338"/>
      <c r="FUU27" s="338"/>
      <c r="FUV27" s="338"/>
      <c r="FUW27" s="338"/>
      <c r="FUX27" s="338"/>
      <c r="FUY27" s="338"/>
      <c r="FUZ27" s="338"/>
      <c r="FVA27" s="338"/>
      <c r="FVB27" s="338"/>
      <c r="FVC27" s="338"/>
      <c r="FVD27" s="338"/>
      <c r="FVE27" s="338"/>
      <c r="FVF27" s="338"/>
      <c r="FVG27" s="338"/>
      <c r="FVH27" s="338"/>
      <c r="FVI27" s="338"/>
      <c r="FVJ27" s="338"/>
      <c r="FVK27" s="338"/>
      <c r="FVL27" s="338"/>
      <c r="FVM27" s="338"/>
      <c r="FVN27" s="338"/>
      <c r="FVO27" s="338"/>
      <c r="FVP27" s="338"/>
      <c r="FVQ27" s="338"/>
      <c r="FVR27" s="338"/>
      <c r="FVS27" s="338"/>
      <c r="FVT27" s="338"/>
      <c r="FVU27" s="338"/>
      <c r="FVV27" s="338"/>
      <c r="FVW27" s="338"/>
      <c r="FVX27" s="338"/>
      <c r="FVY27" s="338"/>
      <c r="FVZ27" s="338"/>
      <c r="FWA27" s="338"/>
      <c r="FWB27" s="338"/>
      <c r="FWC27" s="338"/>
      <c r="FWD27" s="338"/>
      <c r="FWE27" s="338"/>
      <c r="FWF27" s="338"/>
      <c r="FWG27" s="338"/>
      <c r="FWH27" s="338"/>
      <c r="FWI27" s="338"/>
      <c r="FWJ27" s="338"/>
      <c r="FWK27" s="338"/>
      <c r="FWL27" s="338"/>
      <c r="FWM27" s="338"/>
      <c r="FWN27" s="338"/>
      <c r="FWO27" s="338"/>
      <c r="FWP27" s="338"/>
      <c r="FWQ27" s="338"/>
      <c r="FWR27" s="338"/>
      <c r="FWS27" s="338"/>
      <c r="FWT27" s="338"/>
      <c r="FWU27" s="338"/>
      <c r="FWV27" s="338"/>
      <c r="FWW27" s="338"/>
      <c r="FWX27" s="338"/>
      <c r="FWY27" s="338"/>
      <c r="FWZ27" s="338"/>
      <c r="FXA27" s="338"/>
      <c r="FXB27" s="338"/>
      <c r="FXC27" s="338"/>
      <c r="FXD27" s="338"/>
      <c r="FXE27" s="338"/>
      <c r="FXF27" s="338"/>
      <c r="FXG27" s="338"/>
      <c r="FXH27" s="338"/>
      <c r="FXI27" s="338"/>
      <c r="FXJ27" s="338"/>
      <c r="FXK27" s="338"/>
      <c r="FXL27" s="338"/>
      <c r="FXM27" s="338"/>
      <c r="FXN27" s="338"/>
      <c r="FXO27" s="338"/>
      <c r="FXP27" s="338"/>
      <c r="FXQ27" s="338"/>
      <c r="FXR27" s="338"/>
      <c r="FXS27" s="338"/>
      <c r="FXT27" s="338"/>
      <c r="FXU27" s="338"/>
      <c r="FXV27" s="338"/>
      <c r="FXW27" s="338"/>
      <c r="FXX27" s="338"/>
      <c r="FXY27" s="338"/>
      <c r="FXZ27" s="338"/>
      <c r="FYA27" s="338"/>
      <c r="FYB27" s="338"/>
      <c r="FYC27" s="338"/>
      <c r="FYD27" s="338"/>
      <c r="FYE27" s="338"/>
      <c r="FYF27" s="338"/>
      <c r="FYG27" s="338"/>
      <c r="FYH27" s="338"/>
      <c r="FYI27" s="338"/>
      <c r="FYJ27" s="338"/>
      <c r="FYK27" s="338"/>
      <c r="FYL27" s="338"/>
      <c r="FYM27" s="338"/>
      <c r="FYN27" s="338"/>
      <c r="FYO27" s="338"/>
      <c r="FYP27" s="338"/>
      <c r="FYQ27" s="338"/>
      <c r="FYR27" s="338"/>
      <c r="FYS27" s="338"/>
      <c r="FYT27" s="338"/>
      <c r="FYU27" s="338"/>
      <c r="FYV27" s="338"/>
      <c r="FYW27" s="338"/>
      <c r="FYX27" s="338"/>
      <c r="FYY27" s="338"/>
      <c r="FYZ27" s="338"/>
      <c r="FZA27" s="338"/>
      <c r="FZB27" s="338"/>
      <c r="FZC27" s="338"/>
      <c r="FZD27" s="338"/>
      <c r="FZE27" s="338"/>
      <c r="FZF27" s="338"/>
      <c r="FZG27" s="338"/>
      <c r="FZH27" s="338"/>
      <c r="FZI27" s="338"/>
      <c r="FZJ27" s="338"/>
      <c r="FZK27" s="338"/>
      <c r="FZL27" s="338"/>
      <c r="FZM27" s="338"/>
      <c r="FZN27" s="338"/>
      <c r="FZO27" s="338"/>
      <c r="FZP27" s="338"/>
      <c r="FZQ27" s="338"/>
      <c r="FZR27" s="338"/>
      <c r="FZS27" s="338"/>
      <c r="FZT27" s="338"/>
      <c r="FZU27" s="338"/>
      <c r="FZV27" s="338"/>
      <c r="FZW27" s="338"/>
      <c r="FZX27" s="338"/>
      <c r="FZY27" s="338"/>
      <c r="FZZ27" s="338"/>
      <c r="GAA27" s="338"/>
      <c r="GAB27" s="338"/>
      <c r="GAC27" s="338"/>
      <c r="GAD27" s="338"/>
      <c r="GAE27" s="338"/>
      <c r="GAF27" s="338"/>
      <c r="GAG27" s="338"/>
      <c r="GAH27" s="338"/>
      <c r="GAI27" s="338"/>
      <c r="GAJ27" s="338"/>
      <c r="GAK27" s="338"/>
      <c r="GAL27" s="338"/>
      <c r="GAM27" s="338"/>
      <c r="GAN27" s="338"/>
      <c r="GAO27" s="338"/>
      <c r="GAP27" s="338"/>
      <c r="GAQ27" s="338"/>
      <c r="GAR27" s="338"/>
      <c r="GAS27" s="338"/>
      <c r="GAT27" s="338"/>
      <c r="GAU27" s="338"/>
      <c r="GAV27" s="338"/>
      <c r="GAW27" s="338"/>
      <c r="GAX27" s="338"/>
      <c r="GAY27" s="338"/>
      <c r="GAZ27" s="338"/>
      <c r="GBA27" s="338"/>
      <c r="GBB27" s="338"/>
      <c r="GBC27" s="338"/>
      <c r="GBD27" s="338"/>
      <c r="GBE27" s="338"/>
      <c r="GBF27" s="338"/>
      <c r="GBG27" s="338"/>
      <c r="GBH27" s="338"/>
      <c r="GBI27" s="338"/>
      <c r="GBJ27" s="338"/>
      <c r="GBK27" s="338"/>
      <c r="GBL27" s="338"/>
      <c r="GBM27" s="338"/>
      <c r="GBN27" s="338"/>
      <c r="GBO27" s="338"/>
      <c r="GBP27" s="338"/>
      <c r="GBQ27" s="338"/>
      <c r="GBR27" s="338"/>
      <c r="GBS27" s="338"/>
      <c r="GBT27" s="338"/>
      <c r="GBU27" s="338"/>
      <c r="GBV27" s="338"/>
      <c r="GBW27" s="338"/>
      <c r="GBX27" s="338"/>
      <c r="GBY27" s="338"/>
      <c r="GBZ27" s="338"/>
      <c r="GCA27" s="338"/>
      <c r="GCB27" s="338"/>
      <c r="GCC27" s="338"/>
      <c r="GCD27" s="338"/>
      <c r="GCE27" s="338"/>
      <c r="GCF27" s="338"/>
      <c r="GCG27" s="338"/>
      <c r="GCH27" s="338"/>
      <c r="GCI27" s="338"/>
      <c r="GCJ27" s="338"/>
      <c r="GCK27" s="338"/>
      <c r="GCL27" s="338"/>
      <c r="GCM27" s="338"/>
      <c r="GCN27" s="338"/>
      <c r="GCO27" s="338"/>
      <c r="GCP27" s="338"/>
      <c r="GCQ27" s="338"/>
      <c r="GCR27" s="338"/>
      <c r="GCS27" s="338"/>
      <c r="GCT27" s="338"/>
      <c r="GCU27" s="338"/>
      <c r="GCV27" s="338"/>
      <c r="GCW27" s="338"/>
      <c r="GCX27" s="338"/>
      <c r="GCY27" s="338"/>
      <c r="GCZ27" s="338"/>
      <c r="GDA27" s="338"/>
      <c r="GDB27" s="338"/>
      <c r="GDC27" s="338"/>
      <c r="GDD27" s="338"/>
      <c r="GDE27" s="338"/>
      <c r="GDF27" s="338"/>
      <c r="GDG27" s="338"/>
      <c r="GDH27" s="338"/>
      <c r="GDI27" s="338"/>
      <c r="GDJ27" s="338"/>
      <c r="GDK27" s="338"/>
      <c r="GDL27" s="338"/>
      <c r="GDM27" s="338"/>
      <c r="GDN27" s="338"/>
      <c r="GDO27" s="338"/>
      <c r="GDP27" s="338"/>
      <c r="GDQ27" s="338"/>
      <c r="GDR27" s="338"/>
      <c r="GDS27" s="338"/>
      <c r="GDT27" s="338"/>
      <c r="GDU27" s="338"/>
      <c r="GDV27" s="338"/>
      <c r="GDW27" s="338"/>
      <c r="GDX27" s="338"/>
      <c r="GDY27" s="338"/>
      <c r="GDZ27" s="338"/>
      <c r="GEA27" s="338"/>
      <c r="GEB27" s="338"/>
      <c r="GEC27" s="338"/>
      <c r="GED27" s="338"/>
      <c r="GEE27" s="338"/>
      <c r="GEF27" s="338"/>
      <c r="GEG27" s="338"/>
      <c r="GEH27" s="338"/>
      <c r="GEI27" s="338"/>
      <c r="GEJ27" s="338"/>
      <c r="GEK27" s="338"/>
      <c r="GEL27" s="338"/>
      <c r="GEM27" s="338"/>
      <c r="GEN27" s="338"/>
      <c r="GEO27" s="338"/>
      <c r="GEP27" s="338"/>
      <c r="GEQ27" s="338"/>
      <c r="GER27" s="338"/>
      <c r="GES27" s="338"/>
      <c r="GET27" s="338"/>
      <c r="GEU27" s="338"/>
      <c r="GEV27" s="338"/>
      <c r="GEW27" s="338"/>
      <c r="GEX27" s="338"/>
      <c r="GEY27" s="338"/>
      <c r="GEZ27" s="338"/>
      <c r="GFA27" s="338"/>
      <c r="GFB27" s="338"/>
      <c r="GFC27" s="338"/>
      <c r="GFD27" s="338"/>
      <c r="GFE27" s="338"/>
      <c r="GFF27" s="338"/>
      <c r="GFG27" s="338"/>
      <c r="GFH27" s="338"/>
      <c r="GFI27" s="338"/>
      <c r="GFJ27" s="338"/>
      <c r="GFK27" s="338"/>
      <c r="GFL27" s="338"/>
      <c r="GFM27" s="338"/>
      <c r="GFN27" s="338"/>
      <c r="GFO27" s="338"/>
      <c r="GFP27" s="338"/>
      <c r="GFQ27" s="338"/>
      <c r="GFR27" s="338"/>
      <c r="GFS27" s="338"/>
      <c r="GFT27" s="338"/>
      <c r="GFU27" s="338"/>
      <c r="GFV27" s="338"/>
      <c r="GFW27" s="338"/>
      <c r="GFX27" s="338"/>
      <c r="GFY27" s="338"/>
      <c r="GFZ27" s="338"/>
      <c r="GGA27" s="338"/>
      <c r="GGB27" s="338"/>
      <c r="GGC27" s="338"/>
      <c r="GGD27" s="338"/>
      <c r="GGE27" s="338"/>
      <c r="GGF27" s="338"/>
      <c r="GGG27" s="338"/>
      <c r="GGH27" s="338"/>
      <c r="GGI27" s="338"/>
      <c r="GGJ27" s="338"/>
      <c r="GGK27" s="338"/>
      <c r="GGL27" s="338"/>
      <c r="GGM27" s="338"/>
      <c r="GGN27" s="338"/>
      <c r="GGO27" s="338"/>
      <c r="GGP27" s="338"/>
      <c r="GGQ27" s="338"/>
      <c r="GGR27" s="338"/>
      <c r="GGS27" s="338"/>
      <c r="GGT27" s="338"/>
      <c r="GGU27" s="338"/>
      <c r="GGV27" s="338"/>
      <c r="GGW27" s="338"/>
      <c r="GGX27" s="338"/>
      <c r="GGY27" s="338"/>
      <c r="GGZ27" s="338"/>
      <c r="GHA27" s="338"/>
      <c r="GHB27" s="338"/>
      <c r="GHC27" s="338"/>
      <c r="GHD27" s="338"/>
      <c r="GHE27" s="338"/>
      <c r="GHF27" s="338"/>
      <c r="GHG27" s="338"/>
      <c r="GHH27" s="338"/>
      <c r="GHI27" s="338"/>
      <c r="GHJ27" s="338"/>
      <c r="GHK27" s="338"/>
      <c r="GHL27" s="338"/>
      <c r="GHM27" s="338"/>
      <c r="GHN27" s="338"/>
      <c r="GHO27" s="338"/>
      <c r="GHP27" s="338"/>
      <c r="GHQ27" s="338"/>
      <c r="GHR27" s="338"/>
      <c r="GHS27" s="338"/>
      <c r="GHT27" s="338"/>
      <c r="GHU27" s="338"/>
      <c r="GHV27" s="338"/>
      <c r="GHW27" s="338"/>
      <c r="GHX27" s="338"/>
      <c r="GHY27" s="338"/>
      <c r="GHZ27" s="338"/>
      <c r="GIA27" s="338"/>
      <c r="GIB27" s="338"/>
      <c r="GIC27" s="338"/>
      <c r="GID27" s="338"/>
      <c r="GIE27" s="338"/>
      <c r="GIF27" s="338"/>
      <c r="GIG27" s="338"/>
      <c r="GIH27" s="338"/>
      <c r="GII27" s="338"/>
      <c r="GIJ27" s="338"/>
      <c r="GIK27" s="338"/>
      <c r="GIL27" s="338"/>
      <c r="GIM27" s="338"/>
      <c r="GIN27" s="338"/>
      <c r="GIO27" s="338"/>
      <c r="GIP27" s="338"/>
      <c r="GIQ27" s="338"/>
      <c r="GIR27" s="338"/>
      <c r="GIS27" s="338"/>
      <c r="GIT27" s="338"/>
      <c r="GIU27" s="338"/>
      <c r="GIV27" s="338"/>
      <c r="GIW27" s="338"/>
      <c r="GIX27" s="338"/>
      <c r="GIY27" s="338"/>
      <c r="GIZ27" s="338"/>
      <c r="GJA27" s="338"/>
      <c r="GJB27" s="338"/>
      <c r="GJC27" s="338"/>
      <c r="GJD27" s="338"/>
      <c r="GJE27" s="338"/>
      <c r="GJF27" s="338"/>
      <c r="GJG27" s="338"/>
      <c r="GJH27" s="338"/>
      <c r="GJI27" s="338"/>
      <c r="GJJ27" s="338"/>
      <c r="GJK27" s="338"/>
      <c r="GJL27" s="338"/>
      <c r="GJM27" s="338"/>
      <c r="GJN27" s="338"/>
      <c r="GJO27" s="338"/>
      <c r="GJP27" s="338"/>
      <c r="GJQ27" s="338"/>
      <c r="GJR27" s="338"/>
      <c r="GJS27" s="338"/>
      <c r="GJT27" s="338"/>
      <c r="GJU27" s="338"/>
      <c r="GJV27" s="338"/>
      <c r="GJW27" s="338"/>
      <c r="GJX27" s="338"/>
      <c r="GJY27" s="338"/>
      <c r="GJZ27" s="338"/>
      <c r="GKA27" s="338"/>
      <c r="GKB27" s="338"/>
      <c r="GKC27" s="338"/>
      <c r="GKD27" s="338"/>
      <c r="GKE27" s="338"/>
      <c r="GKF27" s="338"/>
      <c r="GKG27" s="338"/>
      <c r="GKH27" s="338"/>
      <c r="GKI27" s="338"/>
      <c r="GKJ27" s="338"/>
      <c r="GKK27" s="338"/>
      <c r="GKL27" s="338"/>
      <c r="GKM27" s="338"/>
      <c r="GKN27" s="338"/>
      <c r="GKO27" s="338"/>
      <c r="GKP27" s="338"/>
      <c r="GKQ27" s="338"/>
      <c r="GKR27" s="338"/>
      <c r="GKS27" s="338"/>
      <c r="GKT27" s="338"/>
      <c r="GKU27" s="338"/>
      <c r="GKV27" s="338"/>
      <c r="GKW27" s="338"/>
      <c r="GKX27" s="338"/>
      <c r="GKY27" s="338"/>
      <c r="GKZ27" s="338"/>
      <c r="GLA27" s="338"/>
      <c r="GLB27" s="338"/>
      <c r="GLC27" s="338"/>
      <c r="GLD27" s="338"/>
      <c r="GLE27" s="338"/>
      <c r="GLF27" s="338"/>
      <c r="GLG27" s="338"/>
      <c r="GLH27" s="338"/>
      <c r="GLI27" s="338"/>
      <c r="GLJ27" s="338"/>
      <c r="GLK27" s="338"/>
      <c r="GLL27" s="338"/>
      <c r="GLM27" s="338"/>
      <c r="GLN27" s="338"/>
      <c r="GLO27" s="338"/>
      <c r="GLP27" s="338"/>
      <c r="GLQ27" s="338"/>
      <c r="GLR27" s="338"/>
      <c r="GLS27" s="338"/>
      <c r="GLT27" s="338"/>
      <c r="GLU27" s="338"/>
      <c r="GLV27" s="338"/>
      <c r="GLW27" s="338"/>
      <c r="GLX27" s="338"/>
      <c r="GLY27" s="338"/>
      <c r="GLZ27" s="338"/>
      <c r="GMA27" s="338"/>
      <c r="GMB27" s="338"/>
      <c r="GMC27" s="338"/>
      <c r="GMD27" s="338"/>
      <c r="GME27" s="338"/>
      <c r="GMF27" s="338"/>
      <c r="GMG27" s="338"/>
      <c r="GMH27" s="338"/>
      <c r="GMI27" s="338"/>
      <c r="GMJ27" s="338"/>
      <c r="GMK27" s="338"/>
      <c r="GML27" s="338"/>
      <c r="GMM27" s="338"/>
      <c r="GMN27" s="338"/>
      <c r="GMO27" s="338"/>
      <c r="GMP27" s="338"/>
      <c r="GMQ27" s="338"/>
      <c r="GMR27" s="338"/>
      <c r="GMS27" s="338"/>
      <c r="GMT27" s="338"/>
      <c r="GMU27" s="338"/>
      <c r="GMV27" s="338"/>
      <c r="GMW27" s="338"/>
      <c r="GMX27" s="338"/>
      <c r="GMY27" s="338"/>
      <c r="GMZ27" s="338"/>
      <c r="GNA27" s="338"/>
      <c r="GNB27" s="338"/>
      <c r="GNC27" s="338"/>
      <c r="GND27" s="338"/>
      <c r="GNE27" s="338"/>
      <c r="GNF27" s="338"/>
      <c r="GNG27" s="338"/>
      <c r="GNH27" s="338"/>
      <c r="GNI27" s="338"/>
      <c r="GNJ27" s="338"/>
      <c r="GNK27" s="338"/>
      <c r="GNL27" s="338"/>
      <c r="GNM27" s="338"/>
      <c r="GNN27" s="338"/>
      <c r="GNO27" s="338"/>
      <c r="GNP27" s="338"/>
      <c r="GNQ27" s="338"/>
      <c r="GNR27" s="338"/>
      <c r="GNS27" s="338"/>
      <c r="GNT27" s="338"/>
      <c r="GNU27" s="338"/>
      <c r="GNV27" s="338"/>
      <c r="GNW27" s="338"/>
      <c r="GNX27" s="338"/>
      <c r="GNY27" s="338"/>
      <c r="GNZ27" s="338"/>
      <c r="GOA27" s="338"/>
      <c r="GOB27" s="338"/>
      <c r="GOC27" s="338"/>
      <c r="GOD27" s="338"/>
      <c r="GOE27" s="338"/>
      <c r="GOF27" s="338"/>
      <c r="GOG27" s="338"/>
      <c r="GOH27" s="338"/>
      <c r="GOI27" s="338"/>
      <c r="GOJ27" s="338"/>
      <c r="GOK27" s="338"/>
      <c r="GOL27" s="338"/>
      <c r="GOM27" s="338"/>
      <c r="GON27" s="338"/>
      <c r="GOO27" s="338"/>
      <c r="GOP27" s="338"/>
      <c r="GOQ27" s="338"/>
      <c r="GOR27" s="338"/>
      <c r="GOS27" s="338"/>
      <c r="GOT27" s="338"/>
      <c r="GOU27" s="338"/>
      <c r="GOV27" s="338"/>
      <c r="GOW27" s="338"/>
      <c r="GOX27" s="338"/>
      <c r="GOY27" s="338"/>
      <c r="GOZ27" s="338"/>
      <c r="GPA27" s="338"/>
      <c r="GPB27" s="338"/>
      <c r="GPC27" s="338"/>
      <c r="GPD27" s="338"/>
      <c r="GPE27" s="338"/>
      <c r="GPF27" s="338"/>
      <c r="GPG27" s="338"/>
      <c r="GPH27" s="338"/>
      <c r="GPI27" s="338"/>
      <c r="GPJ27" s="338"/>
      <c r="GPK27" s="338"/>
      <c r="GPL27" s="338"/>
      <c r="GPM27" s="338"/>
      <c r="GPN27" s="338"/>
      <c r="GPO27" s="338"/>
      <c r="GPP27" s="338"/>
      <c r="GPQ27" s="338"/>
      <c r="GPR27" s="338"/>
      <c r="GPS27" s="338"/>
      <c r="GPT27" s="338"/>
      <c r="GPU27" s="338"/>
      <c r="GPV27" s="338"/>
      <c r="GPW27" s="338"/>
      <c r="GPX27" s="338"/>
      <c r="GPY27" s="338"/>
      <c r="GPZ27" s="338"/>
      <c r="GQA27" s="338"/>
      <c r="GQB27" s="338"/>
      <c r="GQC27" s="338"/>
      <c r="GQD27" s="338"/>
      <c r="GQE27" s="338"/>
      <c r="GQF27" s="338"/>
      <c r="GQG27" s="338"/>
      <c r="GQH27" s="338"/>
      <c r="GQI27" s="338"/>
      <c r="GQJ27" s="338"/>
      <c r="GQK27" s="338"/>
      <c r="GQL27" s="338"/>
      <c r="GQM27" s="338"/>
      <c r="GQN27" s="338"/>
      <c r="GQO27" s="338"/>
      <c r="GQP27" s="338"/>
      <c r="GQQ27" s="338"/>
      <c r="GQR27" s="338"/>
      <c r="GQS27" s="338"/>
      <c r="GQT27" s="338"/>
      <c r="GQU27" s="338"/>
      <c r="GQV27" s="338"/>
      <c r="GQW27" s="338"/>
      <c r="GQX27" s="338"/>
      <c r="GQY27" s="338"/>
      <c r="GQZ27" s="338"/>
      <c r="GRA27" s="338"/>
      <c r="GRB27" s="338"/>
      <c r="GRC27" s="338"/>
      <c r="GRD27" s="338"/>
      <c r="GRE27" s="338"/>
      <c r="GRF27" s="338"/>
      <c r="GRG27" s="338"/>
      <c r="GRH27" s="338"/>
      <c r="GRI27" s="338"/>
      <c r="GRJ27" s="338"/>
      <c r="GRK27" s="338"/>
      <c r="GRL27" s="338"/>
      <c r="GRM27" s="338"/>
      <c r="GRN27" s="338"/>
      <c r="GRO27" s="338"/>
      <c r="GRP27" s="338"/>
      <c r="GRQ27" s="338"/>
      <c r="GRR27" s="338"/>
      <c r="GRS27" s="338"/>
      <c r="GRT27" s="338"/>
      <c r="GRU27" s="338"/>
      <c r="GRV27" s="338"/>
      <c r="GRW27" s="338"/>
      <c r="GRX27" s="338"/>
      <c r="GRY27" s="338"/>
      <c r="GRZ27" s="338"/>
      <c r="GSA27" s="338"/>
      <c r="GSB27" s="338"/>
      <c r="GSC27" s="338"/>
      <c r="GSD27" s="338"/>
      <c r="GSE27" s="338"/>
      <c r="GSF27" s="338"/>
      <c r="GSG27" s="338"/>
      <c r="GSH27" s="338"/>
      <c r="GSI27" s="338"/>
      <c r="GSJ27" s="338"/>
      <c r="GSK27" s="338"/>
      <c r="GSL27" s="338"/>
      <c r="GSM27" s="338"/>
      <c r="GSN27" s="338"/>
      <c r="GSO27" s="338"/>
      <c r="GSP27" s="338"/>
      <c r="GSQ27" s="338"/>
      <c r="GSR27" s="338"/>
      <c r="GSS27" s="338"/>
      <c r="GST27" s="338"/>
      <c r="GSU27" s="338"/>
      <c r="GSV27" s="338"/>
      <c r="GSW27" s="338"/>
      <c r="GSX27" s="338"/>
      <c r="GSY27" s="338"/>
      <c r="GSZ27" s="338"/>
      <c r="GTA27" s="338"/>
      <c r="GTB27" s="338"/>
      <c r="GTC27" s="338"/>
      <c r="GTD27" s="338"/>
      <c r="GTE27" s="338"/>
      <c r="GTF27" s="338"/>
      <c r="GTG27" s="338"/>
      <c r="GTH27" s="338"/>
      <c r="GTI27" s="338"/>
      <c r="GTJ27" s="338"/>
      <c r="GTK27" s="338"/>
      <c r="GTL27" s="338"/>
      <c r="GTM27" s="338"/>
      <c r="GTN27" s="338"/>
      <c r="GTO27" s="338"/>
      <c r="GTP27" s="338"/>
      <c r="GTQ27" s="338"/>
      <c r="GTR27" s="338"/>
      <c r="GTS27" s="338"/>
      <c r="GTT27" s="338"/>
      <c r="GTU27" s="338"/>
      <c r="GTV27" s="338"/>
      <c r="GTW27" s="338"/>
      <c r="GTX27" s="338"/>
      <c r="GTY27" s="338"/>
      <c r="GTZ27" s="338"/>
      <c r="GUA27" s="338"/>
      <c r="GUB27" s="338"/>
      <c r="GUC27" s="338"/>
      <c r="GUD27" s="338"/>
      <c r="GUE27" s="338"/>
      <c r="GUF27" s="338"/>
      <c r="GUG27" s="338"/>
      <c r="GUH27" s="338"/>
      <c r="GUI27" s="338"/>
      <c r="GUJ27" s="338"/>
      <c r="GUK27" s="338"/>
      <c r="GUL27" s="338"/>
      <c r="GUM27" s="338"/>
      <c r="GUN27" s="338"/>
      <c r="GUO27" s="338"/>
      <c r="GUP27" s="338"/>
      <c r="GUQ27" s="338"/>
      <c r="GUR27" s="338"/>
      <c r="GUS27" s="338"/>
      <c r="GUT27" s="338"/>
      <c r="GUU27" s="338"/>
      <c r="GUV27" s="338"/>
      <c r="GUW27" s="338"/>
      <c r="GUX27" s="338"/>
      <c r="GUY27" s="338"/>
      <c r="GUZ27" s="338"/>
      <c r="GVA27" s="338"/>
      <c r="GVB27" s="338"/>
      <c r="GVC27" s="338"/>
      <c r="GVD27" s="338"/>
      <c r="GVE27" s="338"/>
      <c r="GVF27" s="338"/>
      <c r="GVG27" s="338"/>
      <c r="GVH27" s="338"/>
      <c r="GVI27" s="338"/>
      <c r="GVJ27" s="338"/>
      <c r="GVK27" s="338"/>
      <c r="GVL27" s="338"/>
      <c r="GVM27" s="338"/>
      <c r="GVN27" s="338"/>
      <c r="GVO27" s="338"/>
      <c r="GVP27" s="338"/>
      <c r="GVQ27" s="338"/>
      <c r="GVR27" s="338"/>
      <c r="GVS27" s="338"/>
      <c r="GVT27" s="338"/>
      <c r="GVU27" s="338"/>
      <c r="GVV27" s="338"/>
      <c r="GVW27" s="338"/>
      <c r="GVX27" s="338"/>
      <c r="GVY27" s="338"/>
      <c r="GVZ27" s="338"/>
      <c r="GWA27" s="338"/>
      <c r="GWB27" s="338"/>
      <c r="GWC27" s="338"/>
      <c r="GWD27" s="338"/>
      <c r="GWE27" s="338"/>
      <c r="GWF27" s="338"/>
      <c r="GWG27" s="338"/>
      <c r="GWH27" s="338"/>
      <c r="GWI27" s="338"/>
      <c r="GWJ27" s="338"/>
      <c r="GWK27" s="338"/>
      <c r="GWL27" s="338"/>
      <c r="GWM27" s="338"/>
      <c r="GWN27" s="338"/>
      <c r="GWO27" s="338"/>
      <c r="GWP27" s="338"/>
      <c r="GWQ27" s="338"/>
      <c r="GWR27" s="338"/>
      <c r="GWS27" s="338"/>
      <c r="GWT27" s="338"/>
      <c r="GWU27" s="338"/>
      <c r="GWV27" s="338"/>
      <c r="GWW27" s="338"/>
      <c r="GWX27" s="338"/>
      <c r="GWY27" s="338"/>
      <c r="GWZ27" s="338"/>
      <c r="GXA27" s="338"/>
      <c r="GXB27" s="338"/>
      <c r="GXC27" s="338"/>
      <c r="GXD27" s="338"/>
      <c r="GXE27" s="338"/>
      <c r="GXF27" s="338"/>
      <c r="GXG27" s="338"/>
      <c r="GXH27" s="338"/>
      <c r="GXI27" s="338"/>
      <c r="GXJ27" s="338"/>
      <c r="GXK27" s="338"/>
      <c r="GXL27" s="338"/>
      <c r="GXM27" s="338"/>
      <c r="GXN27" s="338"/>
      <c r="GXO27" s="338"/>
      <c r="GXP27" s="338"/>
      <c r="GXQ27" s="338"/>
      <c r="GXR27" s="338"/>
      <c r="GXS27" s="338"/>
      <c r="GXT27" s="338"/>
      <c r="GXU27" s="338"/>
      <c r="GXV27" s="338"/>
      <c r="GXW27" s="338"/>
      <c r="GXX27" s="338"/>
      <c r="GXY27" s="338"/>
      <c r="GXZ27" s="338"/>
      <c r="GYA27" s="338"/>
      <c r="GYB27" s="338"/>
      <c r="GYC27" s="338"/>
      <c r="GYD27" s="338"/>
      <c r="GYE27" s="338"/>
      <c r="GYF27" s="338"/>
      <c r="GYG27" s="338"/>
      <c r="GYH27" s="338"/>
      <c r="GYI27" s="338"/>
      <c r="GYJ27" s="338"/>
      <c r="GYK27" s="338"/>
      <c r="GYL27" s="338"/>
      <c r="GYM27" s="338"/>
      <c r="GYN27" s="338"/>
      <c r="GYO27" s="338"/>
      <c r="GYP27" s="338"/>
      <c r="GYQ27" s="338"/>
      <c r="GYR27" s="338"/>
      <c r="GYS27" s="338"/>
      <c r="GYT27" s="338"/>
      <c r="GYU27" s="338"/>
      <c r="GYV27" s="338"/>
      <c r="GYW27" s="338"/>
      <c r="GYX27" s="338"/>
      <c r="GYY27" s="338"/>
      <c r="GYZ27" s="338"/>
      <c r="GZA27" s="338"/>
      <c r="GZB27" s="338"/>
      <c r="GZC27" s="338"/>
      <c r="GZD27" s="338"/>
      <c r="GZE27" s="338"/>
      <c r="GZF27" s="338"/>
      <c r="GZG27" s="338"/>
      <c r="GZH27" s="338"/>
      <c r="GZI27" s="338"/>
      <c r="GZJ27" s="338"/>
      <c r="GZK27" s="338"/>
      <c r="GZL27" s="338"/>
      <c r="GZM27" s="338"/>
      <c r="GZN27" s="338"/>
      <c r="GZO27" s="338"/>
      <c r="GZP27" s="338"/>
      <c r="GZQ27" s="338"/>
      <c r="GZR27" s="338"/>
      <c r="GZS27" s="338"/>
      <c r="GZT27" s="338"/>
      <c r="GZU27" s="338"/>
      <c r="GZV27" s="338"/>
      <c r="GZW27" s="338"/>
      <c r="GZX27" s="338"/>
      <c r="GZY27" s="338"/>
      <c r="GZZ27" s="338"/>
      <c r="HAA27" s="338"/>
      <c r="HAB27" s="338"/>
      <c r="HAC27" s="338"/>
      <c r="HAD27" s="338"/>
      <c r="HAE27" s="338"/>
      <c r="HAF27" s="338"/>
      <c r="HAG27" s="338"/>
      <c r="HAH27" s="338"/>
      <c r="HAI27" s="338"/>
      <c r="HAJ27" s="338"/>
      <c r="HAK27" s="338"/>
      <c r="HAL27" s="338"/>
      <c r="HAM27" s="338"/>
      <c r="HAN27" s="338"/>
      <c r="HAO27" s="338"/>
      <c r="HAP27" s="338"/>
      <c r="HAQ27" s="338"/>
      <c r="HAR27" s="338"/>
      <c r="HAS27" s="338"/>
      <c r="HAT27" s="338"/>
      <c r="HAU27" s="338"/>
      <c r="HAV27" s="338"/>
      <c r="HAW27" s="338"/>
      <c r="HAX27" s="338"/>
      <c r="HAY27" s="338"/>
      <c r="HAZ27" s="338"/>
      <c r="HBA27" s="338"/>
      <c r="HBB27" s="338"/>
      <c r="HBC27" s="338"/>
      <c r="HBD27" s="338"/>
      <c r="HBE27" s="338"/>
      <c r="HBF27" s="338"/>
      <c r="HBG27" s="338"/>
      <c r="HBH27" s="338"/>
      <c r="HBI27" s="338"/>
      <c r="HBJ27" s="338"/>
      <c r="HBK27" s="338"/>
      <c r="HBL27" s="338"/>
      <c r="HBM27" s="338"/>
      <c r="HBN27" s="338"/>
      <c r="HBO27" s="338"/>
      <c r="HBP27" s="338"/>
      <c r="HBQ27" s="338"/>
      <c r="HBR27" s="338"/>
      <c r="HBS27" s="338"/>
      <c r="HBT27" s="338"/>
      <c r="HBU27" s="338"/>
      <c r="HBV27" s="338"/>
      <c r="HBW27" s="338"/>
      <c r="HBX27" s="338"/>
      <c r="HBY27" s="338"/>
      <c r="HBZ27" s="338"/>
      <c r="HCA27" s="338"/>
      <c r="HCB27" s="338"/>
      <c r="HCC27" s="338"/>
      <c r="HCD27" s="338"/>
      <c r="HCE27" s="338"/>
      <c r="HCF27" s="338"/>
      <c r="HCG27" s="338"/>
      <c r="HCH27" s="338"/>
      <c r="HCI27" s="338"/>
      <c r="HCJ27" s="338"/>
      <c r="HCK27" s="338"/>
      <c r="HCL27" s="338"/>
      <c r="HCM27" s="338"/>
      <c r="HCN27" s="338"/>
      <c r="HCO27" s="338"/>
      <c r="HCP27" s="338"/>
      <c r="HCQ27" s="338"/>
      <c r="HCR27" s="338"/>
      <c r="HCS27" s="338"/>
      <c r="HCT27" s="338"/>
      <c r="HCU27" s="338"/>
      <c r="HCV27" s="338"/>
      <c r="HCW27" s="338"/>
      <c r="HCX27" s="338"/>
      <c r="HCY27" s="338"/>
      <c r="HCZ27" s="338"/>
      <c r="HDA27" s="338"/>
      <c r="HDB27" s="338"/>
      <c r="HDC27" s="338"/>
      <c r="HDD27" s="338"/>
      <c r="HDE27" s="338"/>
      <c r="HDF27" s="338"/>
      <c r="HDG27" s="338"/>
      <c r="HDH27" s="338"/>
      <c r="HDI27" s="338"/>
      <c r="HDJ27" s="338"/>
      <c r="HDK27" s="338"/>
      <c r="HDL27" s="338"/>
      <c r="HDM27" s="338"/>
      <c r="HDN27" s="338"/>
      <c r="HDO27" s="338"/>
      <c r="HDP27" s="338"/>
      <c r="HDQ27" s="338"/>
      <c r="HDR27" s="338"/>
      <c r="HDS27" s="338"/>
      <c r="HDT27" s="338"/>
      <c r="HDU27" s="338"/>
      <c r="HDV27" s="338"/>
      <c r="HDW27" s="338"/>
      <c r="HDX27" s="338"/>
      <c r="HDY27" s="338"/>
      <c r="HDZ27" s="338"/>
      <c r="HEA27" s="338"/>
      <c r="HEB27" s="338"/>
      <c r="HEC27" s="338"/>
      <c r="HED27" s="338"/>
      <c r="HEE27" s="338"/>
      <c r="HEF27" s="338"/>
      <c r="HEG27" s="338"/>
      <c r="HEH27" s="338"/>
      <c r="HEI27" s="338"/>
      <c r="HEJ27" s="338"/>
      <c r="HEK27" s="338"/>
      <c r="HEL27" s="338"/>
      <c r="HEM27" s="338"/>
      <c r="HEN27" s="338"/>
      <c r="HEO27" s="338"/>
      <c r="HEP27" s="338"/>
      <c r="HEQ27" s="338"/>
      <c r="HER27" s="338"/>
      <c r="HES27" s="338"/>
      <c r="HET27" s="338"/>
      <c r="HEU27" s="338"/>
      <c r="HEV27" s="338"/>
      <c r="HEW27" s="338"/>
      <c r="HEX27" s="338"/>
      <c r="HEY27" s="338"/>
      <c r="HEZ27" s="338"/>
      <c r="HFA27" s="338"/>
      <c r="HFB27" s="338"/>
      <c r="HFC27" s="338"/>
      <c r="HFD27" s="338"/>
      <c r="HFE27" s="338"/>
      <c r="HFF27" s="338"/>
      <c r="HFG27" s="338"/>
      <c r="HFH27" s="338"/>
      <c r="HFI27" s="338"/>
      <c r="HFJ27" s="338"/>
      <c r="HFK27" s="338"/>
      <c r="HFL27" s="338"/>
      <c r="HFM27" s="338"/>
      <c r="HFN27" s="338"/>
      <c r="HFO27" s="338"/>
      <c r="HFP27" s="338"/>
      <c r="HFQ27" s="338"/>
      <c r="HFR27" s="338"/>
      <c r="HFS27" s="338"/>
      <c r="HFT27" s="338"/>
      <c r="HFU27" s="338"/>
      <c r="HFV27" s="338"/>
      <c r="HFW27" s="338"/>
      <c r="HFX27" s="338"/>
      <c r="HFY27" s="338"/>
      <c r="HFZ27" s="338"/>
      <c r="HGA27" s="338"/>
      <c r="HGB27" s="338"/>
      <c r="HGC27" s="338"/>
      <c r="HGD27" s="338"/>
      <c r="HGE27" s="338"/>
      <c r="HGF27" s="338"/>
      <c r="HGG27" s="338"/>
      <c r="HGH27" s="338"/>
      <c r="HGI27" s="338"/>
      <c r="HGJ27" s="338"/>
      <c r="HGK27" s="338"/>
      <c r="HGL27" s="338"/>
      <c r="HGM27" s="338"/>
      <c r="HGN27" s="338"/>
      <c r="HGO27" s="338"/>
      <c r="HGP27" s="338"/>
      <c r="HGQ27" s="338"/>
      <c r="HGR27" s="338"/>
      <c r="HGS27" s="338"/>
      <c r="HGT27" s="338"/>
      <c r="HGU27" s="338"/>
      <c r="HGV27" s="338"/>
      <c r="HGW27" s="338"/>
      <c r="HGX27" s="338"/>
      <c r="HGY27" s="338"/>
      <c r="HGZ27" s="338"/>
      <c r="HHA27" s="338"/>
      <c r="HHB27" s="338"/>
      <c r="HHC27" s="338"/>
      <c r="HHD27" s="338"/>
      <c r="HHE27" s="338"/>
      <c r="HHF27" s="338"/>
      <c r="HHG27" s="338"/>
      <c r="HHH27" s="338"/>
      <c r="HHI27" s="338"/>
      <c r="HHJ27" s="338"/>
      <c r="HHK27" s="338"/>
      <c r="HHL27" s="338"/>
      <c r="HHM27" s="338"/>
      <c r="HHN27" s="338"/>
      <c r="HHO27" s="338"/>
      <c r="HHP27" s="338"/>
      <c r="HHQ27" s="338"/>
      <c r="HHR27" s="338"/>
      <c r="HHS27" s="338"/>
      <c r="HHT27" s="338"/>
      <c r="HHU27" s="338"/>
      <c r="HHV27" s="338"/>
      <c r="HHW27" s="338"/>
      <c r="HHX27" s="338"/>
      <c r="HHY27" s="338"/>
      <c r="HHZ27" s="338"/>
      <c r="HIA27" s="338"/>
      <c r="HIB27" s="338"/>
      <c r="HIC27" s="338"/>
      <c r="HID27" s="338"/>
      <c r="HIE27" s="338"/>
      <c r="HIF27" s="338"/>
      <c r="HIG27" s="338"/>
      <c r="HIH27" s="338"/>
      <c r="HII27" s="338"/>
      <c r="HIJ27" s="338"/>
      <c r="HIK27" s="338"/>
      <c r="HIL27" s="338"/>
      <c r="HIM27" s="338"/>
      <c r="HIN27" s="338"/>
      <c r="HIO27" s="338"/>
      <c r="HIP27" s="338"/>
      <c r="HIQ27" s="338"/>
      <c r="HIR27" s="338"/>
      <c r="HIS27" s="338"/>
      <c r="HIT27" s="338"/>
      <c r="HIU27" s="338"/>
      <c r="HIV27" s="338"/>
      <c r="HIW27" s="338"/>
      <c r="HIX27" s="338"/>
      <c r="HIY27" s="338"/>
      <c r="HIZ27" s="338"/>
      <c r="HJA27" s="338"/>
      <c r="HJB27" s="338"/>
      <c r="HJC27" s="338"/>
      <c r="HJD27" s="338"/>
      <c r="HJE27" s="338"/>
      <c r="HJF27" s="338"/>
      <c r="HJG27" s="338"/>
      <c r="HJH27" s="338"/>
      <c r="HJI27" s="338"/>
      <c r="HJJ27" s="338"/>
      <c r="HJK27" s="338"/>
      <c r="HJL27" s="338"/>
      <c r="HJM27" s="338"/>
      <c r="HJN27" s="338"/>
      <c r="HJO27" s="338"/>
      <c r="HJP27" s="338"/>
      <c r="HJQ27" s="338"/>
      <c r="HJR27" s="338"/>
      <c r="HJS27" s="338"/>
      <c r="HJT27" s="338"/>
      <c r="HJU27" s="338"/>
      <c r="HJV27" s="338"/>
      <c r="HJW27" s="338"/>
      <c r="HJX27" s="338"/>
      <c r="HJY27" s="338"/>
      <c r="HJZ27" s="338"/>
      <c r="HKA27" s="338"/>
      <c r="HKB27" s="338"/>
      <c r="HKC27" s="338"/>
      <c r="HKD27" s="338"/>
      <c r="HKE27" s="338"/>
      <c r="HKF27" s="338"/>
      <c r="HKG27" s="338"/>
      <c r="HKH27" s="338"/>
      <c r="HKI27" s="338"/>
      <c r="HKJ27" s="338"/>
      <c r="HKK27" s="338"/>
      <c r="HKL27" s="338"/>
      <c r="HKM27" s="338"/>
      <c r="HKN27" s="338"/>
      <c r="HKO27" s="338"/>
      <c r="HKP27" s="338"/>
      <c r="HKQ27" s="338"/>
      <c r="HKR27" s="338"/>
      <c r="HKS27" s="338"/>
      <c r="HKT27" s="338"/>
      <c r="HKU27" s="338"/>
      <c r="HKV27" s="338"/>
      <c r="HKW27" s="338"/>
      <c r="HKX27" s="338"/>
      <c r="HKY27" s="338"/>
      <c r="HKZ27" s="338"/>
      <c r="HLA27" s="338"/>
      <c r="HLB27" s="338"/>
      <c r="HLC27" s="338"/>
      <c r="HLD27" s="338"/>
      <c r="HLE27" s="338"/>
      <c r="HLF27" s="338"/>
      <c r="HLG27" s="338"/>
      <c r="HLH27" s="338"/>
      <c r="HLI27" s="338"/>
      <c r="HLJ27" s="338"/>
      <c r="HLK27" s="338"/>
      <c r="HLL27" s="338"/>
      <c r="HLM27" s="338"/>
      <c r="HLN27" s="338"/>
      <c r="HLO27" s="338"/>
      <c r="HLP27" s="338"/>
      <c r="HLQ27" s="338"/>
      <c r="HLR27" s="338"/>
      <c r="HLS27" s="338"/>
      <c r="HLT27" s="338"/>
      <c r="HLU27" s="338"/>
      <c r="HLV27" s="338"/>
      <c r="HLW27" s="338"/>
      <c r="HLX27" s="338"/>
      <c r="HLY27" s="338"/>
      <c r="HLZ27" s="338"/>
      <c r="HMA27" s="338"/>
      <c r="HMB27" s="338"/>
      <c r="HMC27" s="338"/>
      <c r="HMD27" s="338"/>
      <c r="HME27" s="338"/>
      <c r="HMF27" s="338"/>
      <c r="HMG27" s="338"/>
      <c r="HMH27" s="338"/>
      <c r="HMI27" s="338"/>
      <c r="HMJ27" s="338"/>
      <c r="HMK27" s="338"/>
      <c r="HML27" s="338"/>
      <c r="HMM27" s="338"/>
      <c r="HMN27" s="338"/>
      <c r="HMO27" s="338"/>
      <c r="HMP27" s="338"/>
      <c r="HMQ27" s="338"/>
      <c r="HMR27" s="338"/>
      <c r="HMS27" s="338"/>
      <c r="HMT27" s="338"/>
      <c r="HMU27" s="338"/>
      <c r="HMV27" s="338"/>
      <c r="HMW27" s="338"/>
      <c r="HMX27" s="338"/>
      <c r="HMY27" s="338"/>
      <c r="HMZ27" s="338"/>
      <c r="HNA27" s="338"/>
      <c r="HNB27" s="338"/>
      <c r="HNC27" s="338"/>
      <c r="HND27" s="338"/>
      <c r="HNE27" s="338"/>
      <c r="HNF27" s="338"/>
      <c r="HNG27" s="338"/>
      <c r="HNH27" s="338"/>
      <c r="HNI27" s="338"/>
      <c r="HNJ27" s="338"/>
      <c r="HNK27" s="338"/>
      <c r="HNL27" s="338"/>
      <c r="HNM27" s="338"/>
      <c r="HNN27" s="338"/>
      <c r="HNO27" s="338"/>
      <c r="HNP27" s="338"/>
      <c r="HNQ27" s="338"/>
      <c r="HNR27" s="338"/>
      <c r="HNS27" s="338"/>
      <c r="HNT27" s="338"/>
      <c r="HNU27" s="338"/>
      <c r="HNV27" s="338"/>
      <c r="HNW27" s="338"/>
      <c r="HNX27" s="338"/>
      <c r="HNY27" s="338"/>
      <c r="HNZ27" s="338"/>
      <c r="HOA27" s="338"/>
      <c r="HOB27" s="338"/>
      <c r="HOC27" s="338"/>
      <c r="HOD27" s="338"/>
      <c r="HOE27" s="338"/>
      <c r="HOF27" s="338"/>
      <c r="HOG27" s="338"/>
      <c r="HOH27" s="338"/>
      <c r="HOI27" s="338"/>
      <c r="HOJ27" s="338"/>
      <c r="HOK27" s="338"/>
      <c r="HOL27" s="338"/>
      <c r="HOM27" s="338"/>
      <c r="HON27" s="338"/>
      <c r="HOO27" s="338"/>
      <c r="HOP27" s="338"/>
      <c r="HOQ27" s="338"/>
      <c r="HOR27" s="338"/>
      <c r="HOS27" s="338"/>
      <c r="HOT27" s="338"/>
      <c r="HOU27" s="338"/>
      <c r="HOV27" s="338"/>
      <c r="HOW27" s="338"/>
      <c r="HOX27" s="338"/>
      <c r="HOY27" s="338"/>
      <c r="HOZ27" s="338"/>
      <c r="HPA27" s="338"/>
      <c r="HPB27" s="338"/>
      <c r="HPC27" s="338"/>
      <c r="HPD27" s="338"/>
      <c r="HPE27" s="338"/>
      <c r="HPF27" s="338"/>
      <c r="HPG27" s="338"/>
      <c r="HPH27" s="338"/>
      <c r="HPI27" s="338"/>
      <c r="HPJ27" s="338"/>
      <c r="HPK27" s="338"/>
      <c r="HPL27" s="338"/>
      <c r="HPM27" s="338"/>
      <c r="HPN27" s="338"/>
      <c r="HPO27" s="338"/>
      <c r="HPP27" s="338"/>
      <c r="HPQ27" s="338"/>
      <c r="HPR27" s="338"/>
      <c r="HPS27" s="338"/>
      <c r="HPT27" s="338"/>
      <c r="HPU27" s="338"/>
      <c r="HPV27" s="338"/>
      <c r="HPW27" s="338"/>
      <c r="HPX27" s="338"/>
      <c r="HPY27" s="338"/>
      <c r="HPZ27" s="338"/>
      <c r="HQA27" s="338"/>
      <c r="HQB27" s="338"/>
      <c r="HQC27" s="338"/>
      <c r="HQD27" s="338"/>
      <c r="HQE27" s="338"/>
      <c r="HQF27" s="338"/>
      <c r="HQG27" s="338"/>
      <c r="HQH27" s="338"/>
      <c r="HQI27" s="338"/>
      <c r="HQJ27" s="338"/>
      <c r="HQK27" s="338"/>
      <c r="HQL27" s="338"/>
      <c r="HQM27" s="338"/>
      <c r="HQN27" s="338"/>
      <c r="HQO27" s="338"/>
      <c r="HQP27" s="338"/>
      <c r="HQQ27" s="338"/>
      <c r="HQR27" s="338"/>
      <c r="HQS27" s="338"/>
      <c r="HQT27" s="338"/>
      <c r="HQU27" s="338"/>
      <c r="HQV27" s="338"/>
      <c r="HQW27" s="338"/>
      <c r="HQX27" s="338"/>
      <c r="HQY27" s="338"/>
      <c r="HQZ27" s="338"/>
      <c r="HRA27" s="338"/>
      <c r="HRB27" s="338"/>
      <c r="HRC27" s="338"/>
      <c r="HRD27" s="338"/>
      <c r="HRE27" s="338"/>
      <c r="HRF27" s="338"/>
      <c r="HRG27" s="338"/>
      <c r="HRH27" s="338"/>
      <c r="HRI27" s="338"/>
      <c r="HRJ27" s="338"/>
      <c r="HRK27" s="338"/>
      <c r="HRL27" s="338"/>
      <c r="HRM27" s="338"/>
      <c r="HRN27" s="338"/>
      <c r="HRO27" s="338"/>
      <c r="HRP27" s="338"/>
      <c r="HRQ27" s="338"/>
      <c r="HRR27" s="338"/>
      <c r="HRS27" s="338"/>
      <c r="HRT27" s="338"/>
      <c r="HRU27" s="338"/>
      <c r="HRV27" s="338"/>
      <c r="HRW27" s="338"/>
      <c r="HRX27" s="338"/>
      <c r="HRY27" s="338"/>
      <c r="HRZ27" s="338"/>
      <c r="HSA27" s="338"/>
      <c r="HSB27" s="338"/>
      <c r="HSC27" s="338"/>
      <c r="HSD27" s="338"/>
      <c r="HSE27" s="338"/>
      <c r="HSF27" s="338"/>
      <c r="HSG27" s="338"/>
      <c r="HSH27" s="338"/>
      <c r="HSI27" s="338"/>
      <c r="HSJ27" s="338"/>
      <c r="HSK27" s="338"/>
      <c r="HSL27" s="338"/>
      <c r="HSM27" s="338"/>
      <c r="HSN27" s="338"/>
      <c r="HSO27" s="338"/>
      <c r="HSP27" s="338"/>
      <c r="HSQ27" s="338"/>
      <c r="HSR27" s="338"/>
      <c r="HSS27" s="338"/>
      <c r="HST27" s="338"/>
      <c r="HSU27" s="338"/>
      <c r="HSV27" s="338"/>
      <c r="HSW27" s="338"/>
      <c r="HSX27" s="338"/>
      <c r="HSY27" s="338"/>
      <c r="HSZ27" s="338"/>
      <c r="HTA27" s="338"/>
      <c r="HTB27" s="338"/>
      <c r="HTC27" s="338"/>
      <c r="HTD27" s="338"/>
      <c r="HTE27" s="338"/>
      <c r="HTF27" s="338"/>
      <c r="HTG27" s="338"/>
      <c r="HTH27" s="338"/>
      <c r="HTI27" s="338"/>
      <c r="HTJ27" s="338"/>
      <c r="HTK27" s="338"/>
      <c r="HTL27" s="338"/>
      <c r="HTM27" s="338"/>
      <c r="HTN27" s="338"/>
      <c r="HTO27" s="338"/>
      <c r="HTP27" s="338"/>
      <c r="HTQ27" s="338"/>
      <c r="HTR27" s="338"/>
      <c r="HTS27" s="338"/>
      <c r="HTT27" s="338"/>
      <c r="HTU27" s="338"/>
      <c r="HTV27" s="338"/>
      <c r="HTW27" s="338"/>
      <c r="HTX27" s="338"/>
      <c r="HTY27" s="338"/>
      <c r="HTZ27" s="338"/>
      <c r="HUA27" s="338"/>
      <c r="HUB27" s="338"/>
      <c r="HUC27" s="338"/>
      <c r="HUD27" s="338"/>
      <c r="HUE27" s="338"/>
      <c r="HUF27" s="338"/>
      <c r="HUG27" s="338"/>
      <c r="HUH27" s="338"/>
      <c r="HUI27" s="338"/>
      <c r="HUJ27" s="338"/>
      <c r="HUK27" s="338"/>
      <c r="HUL27" s="338"/>
      <c r="HUM27" s="338"/>
      <c r="HUN27" s="338"/>
      <c r="HUO27" s="338"/>
      <c r="HUP27" s="338"/>
      <c r="HUQ27" s="338"/>
      <c r="HUR27" s="338"/>
      <c r="HUS27" s="338"/>
      <c r="HUT27" s="338"/>
      <c r="HUU27" s="338"/>
      <c r="HUV27" s="338"/>
      <c r="HUW27" s="338"/>
      <c r="HUX27" s="338"/>
      <c r="HUY27" s="338"/>
      <c r="HUZ27" s="338"/>
      <c r="HVA27" s="338"/>
      <c r="HVB27" s="338"/>
      <c r="HVC27" s="338"/>
      <c r="HVD27" s="338"/>
      <c r="HVE27" s="338"/>
      <c r="HVF27" s="338"/>
      <c r="HVG27" s="338"/>
      <c r="HVH27" s="338"/>
      <c r="HVI27" s="338"/>
      <c r="HVJ27" s="338"/>
      <c r="HVK27" s="338"/>
      <c r="HVL27" s="338"/>
      <c r="HVM27" s="338"/>
      <c r="HVN27" s="338"/>
      <c r="HVO27" s="338"/>
      <c r="HVP27" s="338"/>
      <c r="HVQ27" s="338"/>
      <c r="HVR27" s="338"/>
      <c r="HVS27" s="338"/>
      <c r="HVT27" s="338"/>
      <c r="HVU27" s="338"/>
      <c r="HVV27" s="338"/>
      <c r="HVW27" s="338"/>
      <c r="HVX27" s="338"/>
      <c r="HVY27" s="338"/>
      <c r="HVZ27" s="338"/>
      <c r="HWA27" s="338"/>
      <c r="HWB27" s="338"/>
      <c r="HWC27" s="338"/>
      <c r="HWD27" s="338"/>
      <c r="HWE27" s="338"/>
      <c r="HWF27" s="338"/>
      <c r="HWG27" s="338"/>
      <c r="HWH27" s="338"/>
      <c r="HWI27" s="338"/>
      <c r="HWJ27" s="338"/>
      <c r="HWK27" s="338"/>
      <c r="HWL27" s="338"/>
      <c r="HWM27" s="338"/>
      <c r="HWN27" s="338"/>
      <c r="HWO27" s="338"/>
      <c r="HWP27" s="338"/>
      <c r="HWQ27" s="338"/>
      <c r="HWR27" s="338"/>
      <c r="HWS27" s="338"/>
      <c r="HWT27" s="338"/>
      <c r="HWU27" s="338"/>
      <c r="HWV27" s="338"/>
      <c r="HWW27" s="338"/>
      <c r="HWX27" s="338"/>
      <c r="HWY27" s="338"/>
      <c r="HWZ27" s="338"/>
      <c r="HXA27" s="338"/>
      <c r="HXB27" s="338"/>
      <c r="HXC27" s="338"/>
      <c r="HXD27" s="338"/>
      <c r="HXE27" s="338"/>
      <c r="HXF27" s="338"/>
      <c r="HXG27" s="338"/>
      <c r="HXH27" s="338"/>
      <c r="HXI27" s="338"/>
      <c r="HXJ27" s="338"/>
      <c r="HXK27" s="338"/>
      <c r="HXL27" s="338"/>
      <c r="HXM27" s="338"/>
      <c r="HXN27" s="338"/>
      <c r="HXO27" s="338"/>
      <c r="HXP27" s="338"/>
      <c r="HXQ27" s="338"/>
      <c r="HXR27" s="338"/>
      <c r="HXS27" s="338"/>
      <c r="HXT27" s="338"/>
      <c r="HXU27" s="338"/>
      <c r="HXV27" s="338"/>
      <c r="HXW27" s="338"/>
      <c r="HXX27" s="338"/>
      <c r="HXY27" s="338"/>
      <c r="HXZ27" s="338"/>
      <c r="HYA27" s="338"/>
      <c r="HYB27" s="338"/>
      <c r="HYC27" s="338"/>
      <c r="HYD27" s="338"/>
      <c r="HYE27" s="338"/>
      <c r="HYF27" s="338"/>
      <c r="HYG27" s="338"/>
      <c r="HYH27" s="338"/>
      <c r="HYI27" s="338"/>
      <c r="HYJ27" s="338"/>
      <c r="HYK27" s="338"/>
      <c r="HYL27" s="338"/>
      <c r="HYM27" s="338"/>
      <c r="HYN27" s="338"/>
      <c r="HYO27" s="338"/>
      <c r="HYP27" s="338"/>
      <c r="HYQ27" s="338"/>
      <c r="HYR27" s="338"/>
      <c r="HYS27" s="338"/>
      <c r="HYT27" s="338"/>
      <c r="HYU27" s="338"/>
      <c r="HYV27" s="338"/>
      <c r="HYW27" s="338"/>
      <c r="HYX27" s="338"/>
      <c r="HYY27" s="338"/>
      <c r="HYZ27" s="338"/>
      <c r="HZA27" s="338"/>
      <c r="HZB27" s="338"/>
      <c r="HZC27" s="338"/>
      <c r="HZD27" s="338"/>
      <c r="HZE27" s="338"/>
      <c r="HZF27" s="338"/>
      <c r="HZG27" s="338"/>
      <c r="HZH27" s="338"/>
      <c r="HZI27" s="338"/>
      <c r="HZJ27" s="338"/>
      <c r="HZK27" s="338"/>
      <c r="HZL27" s="338"/>
      <c r="HZM27" s="338"/>
      <c r="HZN27" s="338"/>
      <c r="HZO27" s="338"/>
      <c r="HZP27" s="338"/>
      <c r="HZQ27" s="338"/>
      <c r="HZR27" s="338"/>
      <c r="HZS27" s="338"/>
      <c r="HZT27" s="338"/>
      <c r="HZU27" s="338"/>
      <c r="HZV27" s="338"/>
      <c r="HZW27" s="338"/>
      <c r="HZX27" s="338"/>
      <c r="HZY27" s="338"/>
      <c r="HZZ27" s="338"/>
      <c r="IAA27" s="338"/>
      <c r="IAB27" s="338"/>
      <c r="IAC27" s="338"/>
      <c r="IAD27" s="338"/>
      <c r="IAE27" s="338"/>
      <c r="IAF27" s="338"/>
      <c r="IAG27" s="338"/>
      <c r="IAH27" s="338"/>
      <c r="IAI27" s="338"/>
      <c r="IAJ27" s="338"/>
      <c r="IAK27" s="338"/>
      <c r="IAL27" s="338"/>
      <c r="IAM27" s="338"/>
      <c r="IAN27" s="338"/>
      <c r="IAO27" s="338"/>
      <c r="IAP27" s="338"/>
      <c r="IAQ27" s="338"/>
      <c r="IAR27" s="338"/>
      <c r="IAS27" s="338"/>
      <c r="IAT27" s="338"/>
      <c r="IAU27" s="338"/>
      <c r="IAV27" s="338"/>
      <c r="IAW27" s="338"/>
      <c r="IAX27" s="338"/>
      <c r="IAY27" s="338"/>
      <c r="IAZ27" s="338"/>
      <c r="IBA27" s="338"/>
      <c r="IBB27" s="338"/>
      <c r="IBC27" s="338"/>
      <c r="IBD27" s="338"/>
      <c r="IBE27" s="338"/>
      <c r="IBF27" s="338"/>
      <c r="IBG27" s="338"/>
      <c r="IBH27" s="338"/>
      <c r="IBI27" s="338"/>
      <c r="IBJ27" s="338"/>
      <c r="IBK27" s="338"/>
      <c r="IBL27" s="338"/>
      <c r="IBM27" s="338"/>
      <c r="IBN27" s="338"/>
      <c r="IBO27" s="338"/>
      <c r="IBP27" s="338"/>
      <c r="IBQ27" s="338"/>
      <c r="IBR27" s="338"/>
      <c r="IBS27" s="338"/>
      <c r="IBT27" s="338"/>
      <c r="IBU27" s="338"/>
      <c r="IBV27" s="338"/>
      <c r="IBW27" s="338"/>
      <c r="IBX27" s="338"/>
      <c r="IBY27" s="338"/>
      <c r="IBZ27" s="338"/>
      <c r="ICA27" s="338"/>
      <c r="ICB27" s="338"/>
      <c r="ICC27" s="338"/>
      <c r="ICD27" s="338"/>
      <c r="ICE27" s="338"/>
      <c r="ICF27" s="338"/>
      <c r="ICG27" s="338"/>
      <c r="ICH27" s="338"/>
      <c r="ICI27" s="338"/>
      <c r="ICJ27" s="338"/>
      <c r="ICK27" s="338"/>
      <c r="ICL27" s="338"/>
      <c r="ICM27" s="338"/>
      <c r="ICN27" s="338"/>
      <c r="ICO27" s="338"/>
      <c r="ICP27" s="338"/>
      <c r="ICQ27" s="338"/>
      <c r="ICR27" s="338"/>
      <c r="ICS27" s="338"/>
      <c r="ICT27" s="338"/>
      <c r="ICU27" s="338"/>
      <c r="ICV27" s="338"/>
      <c r="ICW27" s="338"/>
      <c r="ICX27" s="338"/>
      <c r="ICY27" s="338"/>
      <c r="ICZ27" s="338"/>
      <c r="IDA27" s="338"/>
      <c r="IDB27" s="338"/>
      <c r="IDC27" s="338"/>
      <c r="IDD27" s="338"/>
      <c r="IDE27" s="338"/>
      <c r="IDF27" s="338"/>
      <c r="IDG27" s="338"/>
      <c r="IDH27" s="338"/>
      <c r="IDI27" s="338"/>
      <c r="IDJ27" s="338"/>
      <c r="IDK27" s="338"/>
      <c r="IDL27" s="338"/>
      <c r="IDM27" s="338"/>
      <c r="IDN27" s="338"/>
      <c r="IDO27" s="338"/>
      <c r="IDP27" s="338"/>
      <c r="IDQ27" s="338"/>
      <c r="IDR27" s="338"/>
      <c r="IDS27" s="338"/>
      <c r="IDT27" s="338"/>
      <c r="IDU27" s="338"/>
      <c r="IDV27" s="338"/>
      <c r="IDW27" s="338"/>
      <c r="IDX27" s="338"/>
      <c r="IDY27" s="338"/>
      <c r="IDZ27" s="338"/>
      <c r="IEA27" s="338"/>
      <c r="IEB27" s="338"/>
      <c r="IEC27" s="338"/>
      <c r="IED27" s="338"/>
      <c r="IEE27" s="338"/>
      <c r="IEF27" s="338"/>
      <c r="IEG27" s="338"/>
      <c r="IEH27" s="338"/>
      <c r="IEI27" s="338"/>
      <c r="IEJ27" s="338"/>
      <c r="IEK27" s="338"/>
      <c r="IEL27" s="338"/>
      <c r="IEM27" s="338"/>
      <c r="IEN27" s="338"/>
      <c r="IEO27" s="338"/>
      <c r="IEP27" s="338"/>
      <c r="IEQ27" s="338"/>
      <c r="IER27" s="338"/>
      <c r="IES27" s="338"/>
      <c r="IET27" s="338"/>
      <c r="IEU27" s="338"/>
      <c r="IEV27" s="338"/>
      <c r="IEW27" s="338"/>
      <c r="IEX27" s="338"/>
      <c r="IEY27" s="338"/>
      <c r="IEZ27" s="338"/>
      <c r="IFA27" s="338"/>
      <c r="IFB27" s="338"/>
      <c r="IFC27" s="338"/>
      <c r="IFD27" s="338"/>
      <c r="IFE27" s="338"/>
      <c r="IFF27" s="338"/>
      <c r="IFG27" s="338"/>
      <c r="IFH27" s="338"/>
      <c r="IFI27" s="338"/>
      <c r="IFJ27" s="338"/>
      <c r="IFK27" s="338"/>
      <c r="IFL27" s="338"/>
      <c r="IFM27" s="338"/>
      <c r="IFN27" s="338"/>
      <c r="IFO27" s="338"/>
      <c r="IFP27" s="338"/>
      <c r="IFQ27" s="338"/>
      <c r="IFR27" s="338"/>
      <c r="IFS27" s="338"/>
      <c r="IFT27" s="338"/>
      <c r="IFU27" s="338"/>
      <c r="IFV27" s="338"/>
      <c r="IFW27" s="338"/>
      <c r="IFX27" s="338"/>
      <c r="IFY27" s="338"/>
      <c r="IFZ27" s="338"/>
      <c r="IGA27" s="338"/>
      <c r="IGB27" s="338"/>
      <c r="IGC27" s="338"/>
      <c r="IGD27" s="338"/>
      <c r="IGE27" s="338"/>
      <c r="IGF27" s="338"/>
      <c r="IGG27" s="338"/>
      <c r="IGH27" s="338"/>
      <c r="IGI27" s="338"/>
      <c r="IGJ27" s="338"/>
      <c r="IGK27" s="338"/>
      <c r="IGL27" s="338"/>
      <c r="IGM27" s="338"/>
      <c r="IGN27" s="338"/>
      <c r="IGO27" s="338"/>
      <c r="IGP27" s="338"/>
      <c r="IGQ27" s="338"/>
      <c r="IGR27" s="338"/>
      <c r="IGS27" s="338"/>
      <c r="IGT27" s="338"/>
      <c r="IGU27" s="338"/>
      <c r="IGV27" s="338"/>
      <c r="IGW27" s="338"/>
      <c r="IGX27" s="338"/>
      <c r="IGY27" s="338"/>
      <c r="IGZ27" s="338"/>
      <c r="IHA27" s="338"/>
      <c r="IHB27" s="338"/>
      <c r="IHC27" s="338"/>
      <c r="IHD27" s="338"/>
      <c r="IHE27" s="338"/>
      <c r="IHF27" s="338"/>
      <c r="IHG27" s="338"/>
      <c r="IHH27" s="338"/>
      <c r="IHI27" s="338"/>
      <c r="IHJ27" s="338"/>
      <c r="IHK27" s="338"/>
      <c r="IHL27" s="338"/>
      <c r="IHM27" s="338"/>
      <c r="IHN27" s="338"/>
      <c r="IHO27" s="338"/>
      <c r="IHP27" s="338"/>
      <c r="IHQ27" s="338"/>
      <c r="IHR27" s="338"/>
      <c r="IHS27" s="338"/>
      <c r="IHT27" s="338"/>
      <c r="IHU27" s="338"/>
      <c r="IHV27" s="338"/>
      <c r="IHW27" s="338"/>
      <c r="IHX27" s="338"/>
      <c r="IHY27" s="338"/>
      <c r="IHZ27" s="338"/>
      <c r="IIA27" s="338"/>
      <c r="IIB27" s="338"/>
      <c r="IIC27" s="338"/>
      <c r="IID27" s="338"/>
      <c r="IIE27" s="338"/>
      <c r="IIF27" s="338"/>
      <c r="IIG27" s="338"/>
      <c r="IIH27" s="338"/>
      <c r="III27" s="338"/>
      <c r="IIJ27" s="338"/>
      <c r="IIK27" s="338"/>
      <c r="IIL27" s="338"/>
      <c r="IIM27" s="338"/>
      <c r="IIN27" s="338"/>
      <c r="IIO27" s="338"/>
      <c r="IIP27" s="338"/>
      <c r="IIQ27" s="338"/>
      <c r="IIR27" s="338"/>
      <c r="IIS27" s="338"/>
      <c r="IIT27" s="338"/>
      <c r="IIU27" s="338"/>
      <c r="IIV27" s="338"/>
      <c r="IIW27" s="338"/>
      <c r="IIX27" s="338"/>
      <c r="IIY27" s="338"/>
      <c r="IIZ27" s="338"/>
      <c r="IJA27" s="338"/>
      <c r="IJB27" s="338"/>
      <c r="IJC27" s="338"/>
      <c r="IJD27" s="338"/>
      <c r="IJE27" s="338"/>
      <c r="IJF27" s="338"/>
      <c r="IJG27" s="338"/>
      <c r="IJH27" s="338"/>
      <c r="IJI27" s="338"/>
      <c r="IJJ27" s="338"/>
      <c r="IJK27" s="338"/>
      <c r="IJL27" s="338"/>
      <c r="IJM27" s="338"/>
      <c r="IJN27" s="338"/>
      <c r="IJO27" s="338"/>
      <c r="IJP27" s="338"/>
      <c r="IJQ27" s="338"/>
      <c r="IJR27" s="338"/>
      <c r="IJS27" s="338"/>
      <c r="IJT27" s="338"/>
      <c r="IJU27" s="338"/>
      <c r="IJV27" s="338"/>
      <c r="IJW27" s="338"/>
      <c r="IJX27" s="338"/>
      <c r="IJY27" s="338"/>
      <c r="IJZ27" s="338"/>
      <c r="IKA27" s="338"/>
      <c r="IKB27" s="338"/>
      <c r="IKC27" s="338"/>
      <c r="IKD27" s="338"/>
      <c r="IKE27" s="338"/>
      <c r="IKF27" s="338"/>
      <c r="IKG27" s="338"/>
      <c r="IKH27" s="338"/>
      <c r="IKI27" s="338"/>
      <c r="IKJ27" s="338"/>
      <c r="IKK27" s="338"/>
      <c r="IKL27" s="338"/>
      <c r="IKM27" s="338"/>
      <c r="IKN27" s="338"/>
      <c r="IKO27" s="338"/>
      <c r="IKP27" s="338"/>
      <c r="IKQ27" s="338"/>
      <c r="IKR27" s="338"/>
      <c r="IKS27" s="338"/>
      <c r="IKT27" s="338"/>
      <c r="IKU27" s="338"/>
      <c r="IKV27" s="338"/>
      <c r="IKW27" s="338"/>
      <c r="IKX27" s="338"/>
      <c r="IKY27" s="338"/>
      <c r="IKZ27" s="338"/>
      <c r="ILA27" s="338"/>
      <c r="ILB27" s="338"/>
      <c r="ILC27" s="338"/>
      <c r="ILD27" s="338"/>
      <c r="ILE27" s="338"/>
      <c r="ILF27" s="338"/>
      <c r="ILG27" s="338"/>
      <c r="ILH27" s="338"/>
      <c r="ILI27" s="338"/>
      <c r="ILJ27" s="338"/>
      <c r="ILK27" s="338"/>
      <c r="ILL27" s="338"/>
      <c r="ILM27" s="338"/>
      <c r="ILN27" s="338"/>
      <c r="ILO27" s="338"/>
      <c r="ILP27" s="338"/>
      <c r="ILQ27" s="338"/>
      <c r="ILR27" s="338"/>
      <c r="ILS27" s="338"/>
      <c r="ILT27" s="338"/>
      <c r="ILU27" s="338"/>
      <c r="ILV27" s="338"/>
      <c r="ILW27" s="338"/>
      <c r="ILX27" s="338"/>
      <c r="ILY27" s="338"/>
      <c r="ILZ27" s="338"/>
      <c r="IMA27" s="338"/>
      <c r="IMB27" s="338"/>
      <c r="IMC27" s="338"/>
      <c r="IMD27" s="338"/>
      <c r="IME27" s="338"/>
      <c r="IMF27" s="338"/>
      <c r="IMG27" s="338"/>
      <c r="IMH27" s="338"/>
      <c r="IMI27" s="338"/>
      <c r="IMJ27" s="338"/>
      <c r="IMK27" s="338"/>
      <c r="IML27" s="338"/>
      <c r="IMM27" s="338"/>
      <c r="IMN27" s="338"/>
      <c r="IMO27" s="338"/>
      <c r="IMP27" s="338"/>
      <c r="IMQ27" s="338"/>
      <c r="IMR27" s="338"/>
      <c r="IMS27" s="338"/>
      <c r="IMT27" s="338"/>
      <c r="IMU27" s="338"/>
      <c r="IMV27" s="338"/>
      <c r="IMW27" s="338"/>
      <c r="IMX27" s="338"/>
      <c r="IMY27" s="338"/>
      <c r="IMZ27" s="338"/>
      <c r="INA27" s="338"/>
      <c r="INB27" s="338"/>
      <c r="INC27" s="338"/>
      <c r="IND27" s="338"/>
      <c r="INE27" s="338"/>
      <c r="INF27" s="338"/>
      <c r="ING27" s="338"/>
      <c r="INH27" s="338"/>
      <c r="INI27" s="338"/>
      <c r="INJ27" s="338"/>
      <c r="INK27" s="338"/>
      <c r="INL27" s="338"/>
      <c r="INM27" s="338"/>
      <c r="INN27" s="338"/>
      <c r="INO27" s="338"/>
      <c r="INP27" s="338"/>
      <c r="INQ27" s="338"/>
      <c r="INR27" s="338"/>
      <c r="INS27" s="338"/>
      <c r="INT27" s="338"/>
      <c r="INU27" s="338"/>
      <c r="INV27" s="338"/>
      <c r="INW27" s="338"/>
      <c r="INX27" s="338"/>
      <c r="INY27" s="338"/>
      <c r="INZ27" s="338"/>
      <c r="IOA27" s="338"/>
      <c r="IOB27" s="338"/>
      <c r="IOC27" s="338"/>
      <c r="IOD27" s="338"/>
      <c r="IOE27" s="338"/>
      <c r="IOF27" s="338"/>
      <c r="IOG27" s="338"/>
      <c r="IOH27" s="338"/>
      <c r="IOI27" s="338"/>
      <c r="IOJ27" s="338"/>
      <c r="IOK27" s="338"/>
      <c r="IOL27" s="338"/>
      <c r="IOM27" s="338"/>
      <c r="ION27" s="338"/>
      <c r="IOO27" s="338"/>
      <c r="IOP27" s="338"/>
      <c r="IOQ27" s="338"/>
      <c r="IOR27" s="338"/>
      <c r="IOS27" s="338"/>
      <c r="IOT27" s="338"/>
      <c r="IOU27" s="338"/>
      <c r="IOV27" s="338"/>
      <c r="IOW27" s="338"/>
      <c r="IOX27" s="338"/>
      <c r="IOY27" s="338"/>
      <c r="IOZ27" s="338"/>
      <c r="IPA27" s="338"/>
      <c r="IPB27" s="338"/>
      <c r="IPC27" s="338"/>
      <c r="IPD27" s="338"/>
      <c r="IPE27" s="338"/>
      <c r="IPF27" s="338"/>
      <c r="IPG27" s="338"/>
      <c r="IPH27" s="338"/>
      <c r="IPI27" s="338"/>
      <c r="IPJ27" s="338"/>
      <c r="IPK27" s="338"/>
      <c r="IPL27" s="338"/>
      <c r="IPM27" s="338"/>
      <c r="IPN27" s="338"/>
      <c r="IPO27" s="338"/>
      <c r="IPP27" s="338"/>
      <c r="IPQ27" s="338"/>
      <c r="IPR27" s="338"/>
      <c r="IPS27" s="338"/>
      <c r="IPT27" s="338"/>
      <c r="IPU27" s="338"/>
      <c r="IPV27" s="338"/>
      <c r="IPW27" s="338"/>
      <c r="IPX27" s="338"/>
      <c r="IPY27" s="338"/>
      <c r="IPZ27" s="338"/>
      <c r="IQA27" s="338"/>
      <c r="IQB27" s="338"/>
      <c r="IQC27" s="338"/>
      <c r="IQD27" s="338"/>
      <c r="IQE27" s="338"/>
      <c r="IQF27" s="338"/>
      <c r="IQG27" s="338"/>
      <c r="IQH27" s="338"/>
      <c r="IQI27" s="338"/>
      <c r="IQJ27" s="338"/>
      <c r="IQK27" s="338"/>
      <c r="IQL27" s="338"/>
      <c r="IQM27" s="338"/>
      <c r="IQN27" s="338"/>
      <c r="IQO27" s="338"/>
      <c r="IQP27" s="338"/>
      <c r="IQQ27" s="338"/>
      <c r="IQR27" s="338"/>
      <c r="IQS27" s="338"/>
      <c r="IQT27" s="338"/>
      <c r="IQU27" s="338"/>
      <c r="IQV27" s="338"/>
      <c r="IQW27" s="338"/>
      <c r="IQX27" s="338"/>
      <c r="IQY27" s="338"/>
      <c r="IQZ27" s="338"/>
      <c r="IRA27" s="338"/>
      <c r="IRB27" s="338"/>
      <c r="IRC27" s="338"/>
      <c r="IRD27" s="338"/>
      <c r="IRE27" s="338"/>
      <c r="IRF27" s="338"/>
      <c r="IRG27" s="338"/>
      <c r="IRH27" s="338"/>
      <c r="IRI27" s="338"/>
      <c r="IRJ27" s="338"/>
      <c r="IRK27" s="338"/>
      <c r="IRL27" s="338"/>
      <c r="IRM27" s="338"/>
      <c r="IRN27" s="338"/>
      <c r="IRO27" s="338"/>
      <c r="IRP27" s="338"/>
      <c r="IRQ27" s="338"/>
      <c r="IRR27" s="338"/>
      <c r="IRS27" s="338"/>
      <c r="IRT27" s="338"/>
      <c r="IRU27" s="338"/>
      <c r="IRV27" s="338"/>
      <c r="IRW27" s="338"/>
      <c r="IRX27" s="338"/>
      <c r="IRY27" s="338"/>
      <c r="IRZ27" s="338"/>
      <c r="ISA27" s="338"/>
      <c r="ISB27" s="338"/>
      <c r="ISC27" s="338"/>
      <c r="ISD27" s="338"/>
      <c r="ISE27" s="338"/>
      <c r="ISF27" s="338"/>
      <c r="ISG27" s="338"/>
      <c r="ISH27" s="338"/>
      <c r="ISI27" s="338"/>
      <c r="ISJ27" s="338"/>
      <c r="ISK27" s="338"/>
      <c r="ISL27" s="338"/>
      <c r="ISM27" s="338"/>
      <c r="ISN27" s="338"/>
      <c r="ISO27" s="338"/>
      <c r="ISP27" s="338"/>
      <c r="ISQ27" s="338"/>
      <c r="ISR27" s="338"/>
      <c r="ISS27" s="338"/>
      <c r="IST27" s="338"/>
      <c r="ISU27" s="338"/>
      <c r="ISV27" s="338"/>
      <c r="ISW27" s="338"/>
      <c r="ISX27" s="338"/>
      <c r="ISY27" s="338"/>
      <c r="ISZ27" s="338"/>
      <c r="ITA27" s="338"/>
      <c r="ITB27" s="338"/>
      <c r="ITC27" s="338"/>
      <c r="ITD27" s="338"/>
      <c r="ITE27" s="338"/>
      <c r="ITF27" s="338"/>
      <c r="ITG27" s="338"/>
      <c r="ITH27" s="338"/>
      <c r="ITI27" s="338"/>
      <c r="ITJ27" s="338"/>
      <c r="ITK27" s="338"/>
      <c r="ITL27" s="338"/>
      <c r="ITM27" s="338"/>
      <c r="ITN27" s="338"/>
      <c r="ITO27" s="338"/>
      <c r="ITP27" s="338"/>
      <c r="ITQ27" s="338"/>
      <c r="ITR27" s="338"/>
      <c r="ITS27" s="338"/>
      <c r="ITT27" s="338"/>
      <c r="ITU27" s="338"/>
      <c r="ITV27" s="338"/>
      <c r="ITW27" s="338"/>
      <c r="ITX27" s="338"/>
      <c r="ITY27" s="338"/>
      <c r="ITZ27" s="338"/>
      <c r="IUA27" s="338"/>
      <c r="IUB27" s="338"/>
      <c r="IUC27" s="338"/>
      <c r="IUD27" s="338"/>
      <c r="IUE27" s="338"/>
      <c r="IUF27" s="338"/>
      <c r="IUG27" s="338"/>
      <c r="IUH27" s="338"/>
      <c r="IUI27" s="338"/>
      <c r="IUJ27" s="338"/>
      <c r="IUK27" s="338"/>
      <c r="IUL27" s="338"/>
      <c r="IUM27" s="338"/>
      <c r="IUN27" s="338"/>
      <c r="IUO27" s="338"/>
      <c r="IUP27" s="338"/>
      <c r="IUQ27" s="338"/>
      <c r="IUR27" s="338"/>
      <c r="IUS27" s="338"/>
      <c r="IUT27" s="338"/>
      <c r="IUU27" s="338"/>
      <c r="IUV27" s="338"/>
      <c r="IUW27" s="338"/>
      <c r="IUX27" s="338"/>
      <c r="IUY27" s="338"/>
      <c r="IUZ27" s="338"/>
      <c r="IVA27" s="338"/>
      <c r="IVB27" s="338"/>
      <c r="IVC27" s="338"/>
      <c r="IVD27" s="338"/>
      <c r="IVE27" s="338"/>
      <c r="IVF27" s="338"/>
      <c r="IVG27" s="338"/>
      <c r="IVH27" s="338"/>
      <c r="IVI27" s="338"/>
      <c r="IVJ27" s="338"/>
      <c r="IVK27" s="338"/>
      <c r="IVL27" s="338"/>
      <c r="IVM27" s="338"/>
      <c r="IVN27" s="338"/>
      <c r="IVO27" s="338"/>
      <c r="IVP27" s="338"/>
      <c r="IVQ27" s="338"/>
      <c r="IVR27" s="338"/>
      <c r="IVS27" s="338"/>
      <c r="IVT27" s="338"/>
      <c r="IVU27" s="338"/>
      <c r="IVV27" s="338"/>
      <c r="IVW27" s="338"/>
      <c r="IVX27" s="338"/>
      <c r="IVY27" s="338"/>
      <c r="IVZ27" s="338"/>
      <c r="IWA27" s="338"/>
      <c r="IWB27" s="338"/>
      <c r="IWC27" s="338"/>
      <c r="IWD27" s="338"/>
      <c r="IWE27" s="338"/>
      <c r="IWF27" s="338"/>
      <c r="IWG27" s="338"/>
      <c r="IWH27" s="338"/>
      <c r="IWI27" s="338"/>
      <c r="IWJ27" s="338"/>
      <c r="IWK27" s="338"/>
      <c r="IWL27" s="338"/>
      <c r="IWM27" s="338"/>
      <c r="IWN27" s="338"/>
      <c r="IWO27" s="338"/>
      <c r="IWP27" s="338"/>
      <c r="IWQ27" s="338"/>
      <c r="IWR27" s="338"/>
      <c r="IWS27" s="338"/>
      <c r="IWT27" s="338"/>
      <c r="IWU27" s="338"/>
      <c r="IWV27" s="338"/>
      <c r="IWW27" s="338"/>
      <c r="IWX27" s="338"/>
      <c r="IWY27" s="338"/>
      <c r="IWZ27" s="338"/>
      <c r="IXA27" s="338"/>
      <c r="IXB27" s="338"/>
      <c r="IXC27" s="338"/>
      <c r="IXD27" s="338"/>
      <c r="IXE27" s="338"/>
      <c r="IXF27" s="338"/>
      <c r="IXG27" s="338"/>
      <c r="IXH27" s="338"/>
      <c r="IXI27" s="338"/>
      <c r="IXJ27" s="338"/>
      <c r="IXK27" s="338"/>
      <c r="IXL27" s="338"/>
      <c r="IXM27" s="338"/>
      <c r="IXN27" s="338"/>
      <c r="IXO27" s="338"/>
      <c r="IXP27" s="338"/>
      <c r="IXQ27" s="338"/>
      <c r="IXR27" s="338"/>
      <c r="IXS27" s="338"/>
      <c r="IXT27" s="338"/>
      <c r="IXU27" s="338"/>
      <c r="IXV27" s="338"/>
      <c r="IXW27" s="338"/>
      <c r="IXX27" s="338"/>
      <c r="IXY27" s="338"/>
      <c r="IXZ27" s="338"/>
      <c r="IYA27" s="338"/>
      <c r="IYB27" s="338"/>
      <c r="IYC27" s="338"/>
      <c r="IYD27" s="338"/>
      <c r="IYE27" s="338"/>
      <c r="IYF27" s="338"/>
      <c r="IYG27" s="338"/>
      <c r="IYH27" s="338"/>
      <c r="IYI27" s="338"/>
      <c r="IYJ27" s="338"/>
      <c r="IYK27" s="338"/>
      <c r="IYL27" s="338"/>
      <c r="IYM27" s="338"/>
      <c r="IYN27" s="338"/>
      <c r="IYO27" s="338"/>
      <c r="IYP27" s="338"/>
      <c r="IYQ27" s="338"/>
      <c r="IYR27" s="338"/>
      <c r="IYS27" s="338"/>
      <c r="IYT27" s="338"/>
      <c r="IYU27" s="338"/>
      <c r="IYV27" s="338"/>
      <c r="IYW27" s="338"/>
      <c r="IYX27" s="338"/>
      <c r="IYY27" s="338"/>
      <c r="IYZ27" s="338"/>
      <c r="IZA27" s="338"/>
      <c r="IZB27" s="338"/>
      <c r="IZC27" s="338"/>
      <c r="IZD27" s="338"/>
      <c r="IZE27" s="338"/>
      <c r="IZF27" s="338"/>
      <c r="IZG27" s="338"/>
      <c r="IZH27" s="338"/>
      <c r="IZI27" s="338"/>
      <c r="IZJ27" s="338"/>
      <c r="IZK27" s="338"/>
      <c r="IZL27" s="338"/>
      <c r="IZM27" s="338"/>
      <c r="IZN27" s="338"/>
      <c r="IZO27" s="338"/>
      <c r="IZP27" s="338"/>
      <c r="IZQ27" s="338"/>
      <c r="IZR27" s="338"/>
      <c r="IZS27" s="338"/>
      <c r="IZT27" s="338"/>
      <c r="IZU27" s="338"/>
      <c r="IZV27" s="338"/>
      <c r="IZW27" s="338"/>
      <c r="IZX27" s="338"/>
      <c r="IZY27" s="338"/>
      <c r="IZZ27" s="338"/>
      <c r="JAA27" s="338"/>
      <c r="JAB27" s="338"/>
      <c r="JAC27" s="338"/>
      <c r="JAD27" s="338"/>
      <c r="JAE27" s="338"/>
      <c r="JAF27" s="338"/>
      <c r="JAG27" s="338"/>
      <c r="JAH27" s="338"/>
      <c r="JAI27" s="338"/>
      <c r="JAJ27" s="338"/>
      <c r="JAK27" s="338"/>
      <c r="JAL27" s="338"/>
      <c r="JAM27" s="338"/>
      <c r="JAN27" s="338"/>
      <c r="JAO27" s="338"/>
      <c r="JAP27" s="338"/>
      <c r="JAQ27" s="338"/>
      <c r="JAR27" s="338"/>
      <c r="JAS27" s="338"/>
      <c r="JAT27" s="338"/>
      <c r="JAU27" s="338"/>
      <c r="JAV27" s="338"/>
      <c r="JAW27" s="338"/>
      <c r="JAX27" s="338"/>
      <c r="JAY27" s="338"/>
      <c r="JAZ27" s="338"/>
      <c r="JBA27" s="338"/>
      <c r="JBB27" s="338"/>
      <c r="JBC27" s="338"/>
      <c r="JBD27" s="338"/>
      <c r="JBE27" s="338"/>
      <c r="JBF27" s="338"/>
      <c r="JBG27" s="338"/>
      <c r="JBH27" s="338"/>
      <c r="JBI27" s="338"/>
      <c r="JBJ27" s="338"/>
      <c r="JBK27" s="338"/>
      <c r="JBL27" s="338"/>
      <c r="JBM27" s="338"/>
      <c r="JBN27" s="338"/>
      <c r="JBO27" s="338"/>
      <c r="JBP27" s="338"/>
      <c r="JBQ27" s="338"/>
      <c r="JBR27" s="338"/>
      <c r="JBS27" s="338"/>
      <c r="JBT27" s="338"/>
      <c r="JBU27" s="338"/>
      <c r="JBV27" s="338"/>
      <c r="JBW27" s="338"/>
      <c r="JBX27" s="338"/>
      <c r="JBY27" s="338"/>
      <c r="JBZ27" s="338"/>
      <c r="JCA27" s="338"/>
      <c r="JCB27" s="338"/>
      <c r="JCC27" s="338"/>
      <c r="JCD27" s="338"/>
      <c r="JCE27" s="338"/>
      <c r="JCF27" s="338"/>
      <c r="JCG27" s="338"/>
      <c r="JCH27" s="338"/>
      <c r="JCI27" s="338"/>
      <c r="JCJ27" s="338"/>
      <c r="JCK27" s="338"/>
      <c r="JCL27" s="338"/>
      <c r="JCM27" s="338"/>
      <c r="JCN27" s="338"/>
      <c r="JCO27" s="338"/>
      <c r="JCP27" s="338"/>
      <c r="JCQ27" s="338"/>
      <c r="JCR27" s="338"/>
      <c r="JCS27" s="338"/>
      <c r="JCT27" s="338"/>
      <c r="JCU27" s="338"/>
      <c r="JCV27" s="338"/>
      <c r="JCW27" s="338"/>
      <c r="JCX27" s="338"/>
      <c r="JCY27" s="338"/>
      <c r="JCZ27" s="338"/>
      <c r="JDA27" s="338"/>
      <c r="JDB27" s="338"/>
      <c r="JDC27" s="338"/>
      <c r="JDD27" s="338"/>
      <c r="JDE27" s="338"/>
      <c r="JDF27" s="338"/>
      <c r="JDG27" s="338"/>
      <c r="JDH27" s="338"/>
      <c r="JDI27" s="338"/>
      <c r="JDJ27" s="338"/>
      <c r="JDK27" s="338"/>
      <c r="JDL27" s="338"/>
      <c r="JDM27" s="338"/>
      <c r="JDN27" s="338"/>
      <c r="JDO27" s="338"/>
      <c r="JDP27" s="338"/>
      <c r="JDQ27" s="338"/>
      <c r="JDR27" s="338"/>
      <c r="JDS27" s="338"/>
      <c r="JDT27" s="338"/>
      <c r="JDU27" s="338"/>
      <c r="JDV27" s="338"/>
      <c r="JDW27" s="338"/>
      <c r="JDX27" s="338"/>
      <c r="JDY27" s="338"/>
      <c r="JDZ27" s="338"/>
      <c r="JEA27" s="338"/>
      <c r="JEB27" s="338"/>
      <c r="JEC27" s="338"/>
      <c r="JED27" s="338"/>
      <c r="JEE27" s="338"/>
      <c r="JEF27" s="338"/>
      <c r="JEG27" s="338"/>
      <c r="JEH27" s="338"/>
      <c r="JEI27" s="338"/>
      <c r="JEJ27" s="338"/>
      <c r="JEK27" s="338"/>
      <c r="JEL27" s="338"/>
      <c r="JEM27" s="338"/>
      <c r="JEN27" s="338"/>
      <c r="JEO27" s="338"/>
      <c r="JEP27" s="338"/>
      <c r="JEQ27" s="338"/>
      <c r="JER27" s="338"/>
      <c r="JES27" s="338"/>
      <c r="JET27" s="338"/>
      <c r="JEU27" s="338"/>
      <c r="JEV27" s="338"/>
      <c r="JEW27" s="338"/>
      <c r="JEX27" s="338"/>
      <c r="JEY27" s="338"/>
      <c r="JEZ27" s="338"/>
      <c r="JFA27" s="338"/>
      <c r="JFB27" s="338"/>
      <c r="JFC27" s="338"/>
      <c r="JFD27" s="338"/>
      <c r="JFE27" s="338"/>
      <c r="JFF27" s="338"/>
      <c r="JFG27" s="338"/>
      <c r="JFH27" s="338"/>
      <c r="JFI27" s="338"/>
      <c r="JFJ27" s="338"/>
      <c r="JFK27" s="338"/>
      <c r="JFL27" s="338"/>
      <c r="JFM27" s="338"/>
      <c r="JFN27" s="338"/>
      <c r="JFO27" s="338"/>
      <c r="JFP27" s="338"/>
      <c r="JFQ27" s="338"/>
      <c r="JFR27" s="338"/>
      <c r="JFS27" s="338"/>
      <c r="JFT27" s="338"/>
      <c r="JFU27" s="338"/>
      <c r="JFV27" s="338"/>
      <c r="JFW27" s="338"/>
      <c r="JFX27" s="338"/>
      <c r="JFY27" s="338"/>
      <c r="JFZ27" s="338"/>
      <c r="JGA27" s="338"/>
      <c r="JGB27" s="338"/>
      <c r="JGC27" s="338"/>
      <c r="JGD27" s="338"/>
      <c r="JGE27" s="338"/>
      <c r="JGF27" s="338"/>
      <c r="JGG27" s="338"/>
      <c r="JGH27" s="338"/>
      <c r="JGI27" s="338"/>
      <c r="JGJ27" s="338"/>
      <c r="JGK27" s="338"/>
      <c r="JGL27" s="338"/>
      <c r="JGM27" s="338"/>
      <c r="JGN27" s="338"/>
      <c r="JGO27" s="338"/>
      <c r="JGP27" s="338"/>
      <c r="JGQ27" s="338"/>
      <c r="JGR27" s="338"/>
      <c r="JGS27" s="338"/>
      <c r="JGT27" s="338"/>
      <c r="JGU27" s="338"/>
      <c r="JGV27" s="338"/>
      <c r="JGW27" s="338"/>
      <c r="JGX27" s="338"/>
      <c r="JGY27" s="338"/>
      <c r="JGZ27" s="338"/>
      <c r="JHA27" s="338"/>
      <c r="JHB27" s="338"/>
      <c r="JHC27" s="338"/>
      <c r="JHD27" s="338"/>
      <c r="JHE27" s="338"/>
      <c r="JHF27" s="338"/>
      <c r="JHG27" s="338"/>
      <c r="JHH27" s="338"/>
      <c r="JHI27" s="338"/>
      <c r="JHJ27" s="338"/>
      <c r="JHK27" s="338"/>
      <c r="JHL27" s="338"/>
      <c r="JHM27" s="338"/>
      <c r="JHN27" s="338"/>
      <c r="JHO27" s="338"/>
      <c r="JHP27" s="338"/>
      <c r="JHQ27" s="338"/>
      <c r="JHR27" s="338"/>
      <c r="JHS27" s="338"/>
      <c r="JHT27" s="338"/>
      <c r="JHU27" s="338"/>
      <c r="JHV27" s="338"/>
      <c r="JHW27" s="338"/>
      <c r="JHX27" s="338"/>
      <c r="JHY27" s="338"/>
      <c r="JHZ27" s="338"/>
      <c r="JIA27" s="338"/>
      <c r="JIB27" s="338"/>
      <c r="JIC27" s="338"/>
      <c r="JID27" s="338"/>
      <c r="JIE27" s="338"/>
      <c r="JIF27" s="338"/>
      <c r="JIG27" s="338"/>
      <c r="JIH27" s="338"/>
      <c r="JII27" s="338"/>
      <c r="JIJ27" s="338"/>
      <c r="JIK27" s="338"/>
      <c r="JIL27" s="338"/>
      <c r="JIM27" s="338"/>
      <c r="JIN27" s="338"/>
      <c r="JIO27" s="338"/>
      <c r="JIP27" s="338"/>
      <c r="JIQ27" s="338"/>
      <c r="JIR27" s="338"/>
      <c r="JIS27" s="338"/>
      <c r="JIT27" s="338"/>
      <c r="JIU27" s="338"/>
      <c r="JIV27" s="338"/>
      <c r="JIW27" s="338"/>
      <c r="JIX27" s="338"/>
      <c r="JIY27" s="338"/>
      <c r="JIZ27" s="338"/>
      <c r="JJA27" s="338"/>
      <c r="JJB27" s="338"/>
      <c r="JJC27" s="338"/>
      <c r="JJD27" s="338"/>
      <c r="JJE27" s="338"/>
      <c r="JJF27" s="338"/>
      <c r="JJG27" s="338"/>
      <c r="JJH27" s="338"/>
      <c r="JJI27" s="338"/>
      <c r="JJJ27" s="338"/>
      <c r="JJK27" s="338"/>
      <c r="JJL27" s="338"/>
      <c r="JJM27" s="338"/>
      <c r="JJN27" s="338"/>
      <c r="JJO27" s="338"/>
      <c r="JJP27" s="338"/>
      <c r="JJQ27" s="338"/>
      <c r="JJR27" s="338"/>
      <c r="JJS27" s="338"/>
      <c r="JJT27" s="338"/>
      <c r="JJU27" s="338"/>
      <c r="JJV27" s="338"/>
      <c r="JJW27" s="338"/>
      <c r="JJX27" s="338"/>
      <c r="JJY27" s="338"/>
      <c r="JJZ27" s="338"/>
      <c r="JKA27" s="338"/>
      <c r="JKB27" s="338"/>
      <c r="JKC27" s="338"/>
      <c r="JKD27" s="338"/>
      <c r="JKE27" s="338"/>
      <c r="JKF27" s="338"/>
      <c r="JKG27" s="338"/>
      <c r="JKH27" s="338"/>
      <c r="JKI27" s="338"/>
      <c r="JKJ27" s="338"/>
      <c r="JKK27" s="338"/>
      <c r="JKL27" s="338"/>
      <c r="JKM27" s="338"/>
      <c r="JKN27" s="338"/>
      <c r="JKO27" s="338"/>
      <c r="JKP27" s="338"/>
      <c r="JKQ27" s="338"/>
      <c r="JKR27" s="338"/>
      <c r="JKS27" s="338"/>
      <c r="JKT27" s="338"/>
      <c r="JKU27" s="338"/>
      <c r="JKV27" s="338"/>
      <c r="JKW27" s="338"/>
      <c r="JKX27" s="338"/>
      <c r="JKY27" s="338"/>
      <c r="JKZ27" s="338"/>
      <c r="JLA27" s="338"/>
      <c r="JLB27" s="338"/>
      <c r="JLC27" s="338"/>
      <c r="JLD27" s="338"/>
      <c r="JLE27" s="338"/>
      <c r="JLF27" s="338"/>
      <c r="JLG27" s="338"/>
      <c r="JLH27" s="338"/>
      <c r="JLI27" s="338"/>
      <c r="JLJ27" s="338"/>
      <c r="JLK27" s="338"/>
      <c r="JLL27" s="338"/>
      <c r="JLM27" s="338"/>
      <c r="JLN27" s="338"/>
      <c r="JLO27" s="338"/>
      <c r="JLP27" s="338"/>
      <c r="JLQ27" s="338"/>
      <c r="JLR27" s="338"/>
      <c r="JLS27" s="338"/>
      <c r="JLT27" s="338"/>
      <c r="JLU27" s="338"/>
      <c r="JLV27" s="338"/>
      <c r="JLW27" s="338"/>
      <c r="JLX27" s="338"/>
      <c r="JLY27" s="338"/>
      <c r="JLZ27" s="338"/>
      <c r="JMA27" s="338"/>
      <c r="JMB27" s="338"/>
      <c r="JMC27" s="338"/>
      <c r="JMD27" s="338"/>
      <c r="JME27" s="338"/>
      <c r="JMF27" s="338"/>
      <c r="JMG27" s="338"/>
      <c r="JMH27" s="338"/>
      <c r="JMI27" s="338"/>
      <c r="JMJ27" s="338"/>
      <c r="JMK27" s="338"/>
      <c r="JML27" s="338"/>
      <c r="JMM27" s="338"/>
      <c r="JMN27" s="338"/>
      <c r="JMO27" s="338"/>
      <c r="JMP27" s="338"/>
      <c r="JMQ27" s="338"/>
      <c r="JMR27" s="338"/>
      <c r="JMS27" s="338"/>
      <c r="JMT27" s="338"/>
      <c r="JMU27" s="338"/>
      <c r="JMV27" s="338"/>
      <c r="JMW27" s="338"/>
      <c r="JMX27" s="338"/>
      <c r="JMY27" s="338"/>
      <c r="JMZ27" s="338"/>
      <c r="JNA27" s="338"/>
      <c r="JNB27" s="338"/>
      <c r="JNC27" s="338"/>
      <c r="JND27" s="338"/>
      <c r="JNE27" s="338"/>
      <c r="JNF27" s="338"/>
      <c r="JNG27" s="338"/>
      <c r="JNH27" s="338"/>
      <c r="JNI27" s="338"/>
      <c r="JNJ27" s="338"/>
      <c r="JNK27" s="338"/>
      <c r="JNL27" s="338"/>
      <c r="JNM27" s="338"/>
      <c r="JNN27" s="338"/>
      <c r="JNO27" s="338"/>
      <c r="JNP27" s="338"/>
      <c r="JNQ27" s="338"/>
      <c r="JNR27" s="338"/>
      <c r="JNS27" s="338"/>
      <c r="JNT27" s="338"/>
      <c r="JNU27" s="338"/>
      <c r="JNV27" s="338"/>
      <c r="JNW27" s="338"/>
      <c r="JNX27" s="338"/>
      <c r="JNY27" s="338"/>
      <c r="JNZ27" s="338"/>
      <c r="JOA27" s="338"/>
      <c r="JOB27" s="338"/>
      <c r="JOC27" s="338"/>
      <c r="JOD27" s="338"/>
      <c r="JOE27" s="338"/>
      <c r="JOF27" s="338"/>
      <c r="JOG27" s="338"/>
      <c r="JOH27" s="338"/>
      <c r="JOI27" s="338"/>
      <c r="JOJ27" s="338"/>
      <c r="JOK27" s="338"/>
      <c r="JOL27" s="338"/>
      <c r="JOM27" s="338"/>
      <c r="JON27" s="338"/>
      <c r="JOO27" s="338"/>
      <c r="JOP27" s="338"/>
      <c r="JOQ27" s="338"/>
      <c r="JOR27" s="338"/>
      <c r="JOS27" s="338"/>
      <c r="JOT27" s="338"/>
      <c r="JOU27" s="338"/>
      <c r="JOV27" s="338"/>
      <c r="JOW27" s="338"/>
      <c r="JOX27" s="338"/>
      <c r="JOY27" s="338"/>
      <c r="JOZ27" s="338"/>
      <c r="JPA27" s="338"/>
      <c r="JPB27" s="338"/>
      <c r="JPC27" s="338"/>
      <c r="JPD27" s="338"/>
      <c r="JPE27" s="338"/>
      <c r="JPF27" s="338"/>
      <c r="JPG27" s="338"/>
      <c r="JPH27" s="338"/>
      <c r="JPI27" s="338"/>
      <c r="JPJ27" s="338"/>
      <c r="JPK27" s="338"/>
      <c r="JPL27" s="338"/>
      <c r="JPM27" s="338"/>
      <c r="JPN27" s="338"/>
      <c r="JPO27" s="338"/>
      <c r="JPP27" s="338"/>
      <c r="JPQ27" s="338"/>
      <c r="JPR27" s="338"/>
      <c r="JPS27" s="338"/>
      <c r="JPT27" s="338"/>
      <c r="JPU27" s="338"/>
      <c r="JPV27" s="338"/>
      <c r="JPW27" s="338"/>
      <c r="JPX27" s="338"/>
      <c r="JPY27" s="338"/>
      <c r="JPZ27" s="338"/>
      <c r="JQA27" s="338"/>
      <c r="JQB27" s="338"/>
      <c r="JQC27" s="338"/>
      <c r="JQD27" s="338"/>
      <c r="JQE27" s="338"/>
      <c r="JQF27" s="338"/>
      <c r="JQG27" s="338"/>
      <c r="JQH27" s="338"/>
      <c r="JQI27" s="338"/>
      <c r="JQJ27" s="338"/>
      <c r="JQK27" s="338"/>
      <c r="JQL27" s="338"/>
      <c r="JQM27" s="338"/>
      <c r="JQN27" s="338"/>
      <c r="JQO27" s="338"/>
      <c r="JQP27" s="338"/>
      <c r="JQQ27" s="338"/>
      <c r="JQR27" s="338"/>
      <c r="JQS27" s="338"/>
      <c r="JQT27" s="338"/>
      <c r="JQU27" s="338"/>
      <c r="JQV27" s="338"/>
      <c r="JQW27" s="338"/>
      <c r="JQX27" s="338"/>
      <c r="JQY27" s="338"/>
      <c r="JQZ27" s="338"/>
      <c r="JRA27" s="338"/>
      <c r="JRB27" s="338"/>
      <c r="JRC27" s="338"/>
      <c r="JRD27" s="338"/>
      <c r="JRE27" s="338"/>
      <c r="JRF27" s="338"/>
      <c r="JRG27" s="338"/>
      <c r="JRH27" s="338"/>
      <c r="JRI27" s="338"/>
      <c r="JRJ27" s="338"/>
      <c r="JRK27" s="338"/>
      <c r="JRL27" s="338"/>
      <c r="JRM27" s="338"/>
      <c r="JRN27" s="338"/>
      <c r="JRO27" s="338"/>
      <c r="JRP27" s="338"/>
      <c r="JRQ27" s="338"/>
      <c r="JRR27" s="338"/>
      <c r="JRS27" s="338"/>
      <c r="JRT27" s="338"/>
      <c r="JRU27" s="338"/>
      <c r="JRV27" s="338"/>
      <c r="JRW27" s="338"/>
      <c r="JRX27" s="338"/>
      <c r="JRY27" s="338"/>
      <c r="JRZ27" s="338"/>
      <c r="JSA27" s="338"/>
      <c r="JSB27" s="338"/>
      <c r="JSC27" s="338"/>
      <c r="JSD27" s="338"/>
      <c r="JSE27" s="338"/>
      <c r="JSF27" s="338"/>
      <c r="JSG27" s="338"/>
      <c r="JSH27" s="338"/>
      <c r="JSI27" s="338"/>
      <c r="JSJ27" s="338"/>
      <c r="JSK27" s="338"/>
      <c r="JSL27" s="338"/>
      <c r="JSM27" s="338"/>
      <c r="JSN27" s="338"/>
      <c r="JSO27" s="338"/>
      <c r="JSP27" s="338"/>
      <c r="JSQ27" s="338"/>
      <c r="JSR27" s="338"/>
      <c r="JSS27" s="338"/>
      <c r="JST27" s="338"/>
      <c r="JSU27" s="338"/>
      <c r="JSV27" s="338"/>
      <c r="JSW27" s="338"/>
      <c r="JSX27" s="338"/>
      <c r="JSY27" s="338"/>
      <c r="JSZ27" s="338"/>
      <c r="JTA27" s="338"/>
      <c r="JTB27" s="338"/>
      <c r="JTC27" s="338"/>
      <c r="JTD27" s="338"/>
      <c r="JTE27" s="338"/>
      <c r="JTF27" s="338"/>
      <c r="JTG27" s="338"/>
      <c r="JTH27" s="338"/>
      <c r="JTI27" s="338"/>
      <c r="JTJ27" s="338"/>
      <c r="JTK27" s="338"/>
      <c r="JTL27" s="338"/>
      <c r="JTM27" s="338"/>
      <c r="JTN27" s="338"/>
      <c r="JTO27" s="338"/>
      <c r="JTP27" s="338"/>
      <c r="JTQ27" s="338"/>
      <c r="JTR27" s="338"/>
      <c r="JTS27" s="338"/>
      <c r="JTT27" s="338"/>
      <c r="JTU27" s="338"/>
      <c r="JTV27" s="338"/>
      <c r="JTW27" s="338"/>
      <c r="JTX27" s="338"/>
      <c r="JTY27" s="338"/>
      <c r="JTZ27" s="338"/>
      <c r="JUA27" s="338"/>
      <c r="JUB27" s="338"/>
      <c r="JUC27" s="338"/>
      <c r="JUD27" s="338"/>
      <c r="JUE27" s="338"/>
      <c r="JUF27" s="338"/>
      <c r="JUG27" s="338"/>
      <c r="JUH27" s="338"/>
      <c r="JUI27" s="338"/>
      <c r="JUJ27" s="338"/>
      <c r="JUK27" s="338"/>
      <c r="JUL27" s="338"/>
      <c r="JUM27" s="338"/>
      <c r="JUN27" s="338"/>
      <c r="JUO27" s="338"/>
      <c r="JUP27" s="338"/>
      <c r="JUQ27" s="338"/>
      <c r="JUR27" s="338"/>
      <c r="JUS27" s="338"/>
      <c r="JUT27" s="338"/>
      <c r="JUU27" s="338"/>
      <c r="JUV27" s="338"/>
      <c r="JUW27" s="338"/>
      <c r="JUX27" s="338"/>
      <c r="JUY27" s="338"/>
      <c r="JUZ27" s="338"/>
      <c r="JVA27" s="338"/>
      <c r="JVB27" s="338"/>
      <c r="JVC27" s="338"/>
      <c r="JVD27" s="338"/>
      <c r="JVE27" s="338"/>
      <c r="JVF27" s="338"/>
      <c r="JVG27" s="338"/>
      <c r="JVH27" s="338"/>
      <c r="JVI27" s="338"/>
      <c r="JVJ27" s="338"/>
      <c r="JVK27" s="338"/>
      <c r="JVL27" s="338"/>
      <c r="JVM27" s="338"/>
      <c r="JVN27" s="338"/>
      <c r="JVO27" s="338"/>
      <c r="JVP27" s="338"/>
      <c r="JVQ27" s="338"/>
      <c r="JVR27" s="338"/>
      <c r="JVS27" s="338"/>
      <c r="JVT27" s="338"/>
      <c r="JVU27" s="338"/>
      <c r="JVV27" s="338"/>
      <c r="JVW27" s="338"/>
      <c r="JVX27" s="338"/>
      <c r="JVY27" s="338"/>
      <c r="JVZ27" s="338"/>
      <c r="JWA27" s="338"/>
      <c r="JWB27" s="338"/>
      <c r="JWC27" s="338"/>
      <c r="JWD27" s="338"/>
      <c r="JWE27" s="338"/>
      <c r="JWF27" s="338"/>
      <c r="JWG27" s="338"/>
      <c r="JWH27" s="338"/>
      <c r="JWI27" s="338"/>
      <c r="JWJ27" s="338"/>
      <c r="JWK27" s="338"/>
      <c r="JWL27" s="338"/>
      <c r="JWM27" s="338"/>
      <c r="JWN27" s="338"/>
      <c r="JWO27" s="338"/>
      <c r="JWP27" s="338"/>
      <c r="JWQ27" s="338"/>
      <c r="JWR27" s="338"/>
      <c r="JWS27" s="338"/>
      <c r="JWT27" s="338"/>
      <c r="JWU27" s="338"/>
      <c r="JWV27" s="338"/>
      <c r="JWW27" s="338"/>
      <c r="JWX27" s="338"/>
      <c r="JWY27" s="338"/>
      <c r="JWZ27" s="338"/>
      <c r="JXA27" s="338"/>
      <c r="JXB27" s="338"/>
      <c r="JXC27" s="338"/>
      <c r="JXD27" s="338"/>
      <c r="JXE27" s="338"/>
      <c r="JXF27" s="338"/>
      <c r="JXG27" s="338"/>
      <c r="JXH27" s="338"/>
      <c r="JXI27" s="338"/>
      <c r="JXJ27" s="338"/>
      <c r="JXK27" s="338"/>
      <c r="JXL27" s="338"/>
      <c r="JXM27" s="338"/>
      <c r="JXN27" s="338"/>
      <c r="JXO27" s="338"/>
      <c r="JXP27" s="338"/>
      <c r="JXQ27" s="338"/>
      <c r="JXR27" s="338"/>
      <c r="JXS27" s="338"/>
      <c r="JXT27" s="338"/>
      <c r="JXU27" s="338"/>
      <c r="JXV27" s="338"/>
      <c r="JXW27" s="338"/>
      <c r="JXX27" s="338"/>
      <c r="JXY27" s="338"/>
      <c r="JXZ27" s="338"/>
      <c r="JYA27" s="338"/>
      <c r="JYB27" s="338"/>
      <c r="JYC27" s="338"/>
      <c r="JYD27" s="338"/>
      <c r="JYE27" s="338"/>
      <c r="JYF27" s="338"/>
      <c r="JYG27" s="338"/>
      <c r="JYH27" s="338"/>
      <c r="JYI27" s="338"/>
      <c r="JYJ27" s="338"/>
      <c r="JYK27" s="338"/>
      <c r="JYL27" s="338"/>
      <c r="JYM27" s="338"/>
      <c r="JYN27" s="338"/>
      <c r="JYO27" s="338"/>
      <c r="JYP27" s="338"/>
      <c r="JYQ27" s="338"/>
      <c r="JYR27" s="338"/>
      <c r="JYS27" s="338"/>
      <c r="JYT27" s="338"/>
      <c r="JYU27" s="338"/>
      <c r="JYV27" s="338"/>
      <c r="JYW27" s="338"/>
      <c r="JYX27" s="338"/>
      <c r="JYY27" s="338"/>
      <c r="JYZ27" s="338"/>
      <c r="JZA27" s="338"/>
      <c r="JZB27" s="338"/>
      <c r="JZC27" s="338"/>
      <c r="JZD27" s="338"/>
      <c r="JZE27" s="338"/>
      <c r="JZF27" s="338"/>
      <c r="JZG27" s="338"/>
      <c r="JZH27" s="338"/>
      <c r="JZI27" s="338"/>
      <c r="JZJ27" s="338"/>
      <c r="JZK27" s="338"/>
      <c r="JZL27" s="338"/>
      <c r="JZM27" s="338"/>
      <c r="JZN27" s="338"/>
      <c r="JZO27" s="338"/>
      <c r="JZP27" s="338"/>
      <c r="JZQ27" s="338"/>
      <c r="JZR27" s="338"/>
      <c r="JZS27" s="338"/>
      <c r="JZT27" s="338"/>
      <c r="JZU27" s="338"/>
      <c r="JZV27" s="338"/>
      <c r="JZW27" s="338"/>
      <c r="JZX27" s="338"/>
      <c r="JZY27" s="338"/>
      <c r="JZZ27" s="338"/>
      <c r="KAA27" s="338"/>
      <c r="KAB27" s="338"/>
      <c r="KAC27" s="338"/>
      <c r="KAD27" s="338"/>
      <c r="KAE27" s="338"/>
      <c r="KAF27" s="338"/>
      <c r="KAG27" s="338"/>
      <c r="KAH27" s="338"/>
      <c r="KAI27" s="338"/>
      <c r="KAJ27" s="338"/>
      <c r="KAK27" s="338"/>
      <c r="KAL27" s="338"/>
      <c r="KAM27" s="338"/>
      <c r="KAN27" s="338"/>
      <c r="KAO27" s="338"/>
      <c r="KAP27" s="338"/>
      <c r="KAQ27" s="338"/>
      <c r="KAR27" s="338"/>
      <c r="KAS27" s="338"/>
      <c r="KAT27" s="338"/>
      <c r="KAU27" s="338"/>
      <c r="KAV27" s="338"/>
      <c r="KAW27" s="338"/>
      <c r="KAX27" s="338"/>
      <c r="KAY27" s="338"/>
      <c r="KAZ27" s="338"/>
      <c r="KBA27" s="338"/>
      <c r="KBB27" s="338"/>
      <c r="KBC27" s="338"/>
      <c r="KBD27" s="338"/>
      <c r="KBE27" s="338"/>
      <c r="KBF27" s="338"/>
      <c r="KBG27" s="338"/>
      <c r="KBH27" s="338"/>
      <c r="KBI27" s="338"/>
      <c r="KBJ27" s="338"/>
      <c r="KBK27" s="338"/>
      <c r="KBL27" s="338"/>
      <c r="KBM27" s="338"/>
      <c r="KBN27" s="338"/>
      <c r="KBO27" s="338"/>
      <c r="KBP27" s="338"/>
      <c r="KBQ27" s="338"/>
      <c r="KBR27" s="338"/>
      <c r="KBS27" s="338"/>
      <c r="KBT27" s="338"/>
      <c r="KBU27" s="338"/>
      <c r="KBV27" s="338"/>
      <c r="KBW27" s="338"/>
      <c r="KBX27" s="338"/>
      <c r="KBY27" s="338"/>
      <c r="KBZ27" s="338"/>
      <c r="KCA27" s="338"/>
      <c r="KCB27" s="338"/>
      <c r="KCC27" s="338"/>
      <c r="KCD27" s="338"/>
      <c r="KCE27" s="338"/>
      <c r="KCF27" s="338"/>
      <c r="KCG27" s="338"/>
      <c r="KCH27" s="338"/>
      <c r="KCI27" s="338"/>
      <c r="KCJ27" s="338"/>
      <c r="KCK27" s="338"/>
      <c r="KCL27" s="338"/>
      <c r="KCM27" s="338"/>
      <c r="KCN27" s="338"/>
      <c r="KCO27" s="338"/>
      <c r="KCP27" s="338"/>
      <c r="KCQ27" s="338"/>
      <c r="KCR27" s="338"/>
      <c r="KCS27" s="338"/>
      <c r="KCT27" s="338"/>
      <c r="KCU27" s="338"/>
      <c r="KCV27" s="338"/>
      <c r="KCW27" s="338"/>
      <c r="KCX27" s="338"/>
      <c r="KCY27" s="338"/>
      <c r="KCZ27" s="338"/>
      <c r="KDA27" s="338"/>
      <c r="KDB27" s="338"/>
      <c r="KDC27" s="338"/>
      <c r="KDD27" s="338"/>
      <c r="KDE27" s="338"/>
      <c r="KDF27" s="338"/>
      <c r="KDG27" s="338"/>
      <c r="KDH27" s="338"/>
      <c r="KDI27" s="338"/>
      <c r="KDJ27" s="338"/>
      <c r="KDK27" s="338"/>
      <c r="KDL27" s="338"/>
      <c r="KDM27" s="338"/>
      <c r="KDN27" s="338"/>
      <c r="KDO27" s="338"/>
      <c r="KDP27" s="338"/>
      <c r="KDQ27" s="338"/>
      <c r="KDR27" s="338"/>
      <c r="KDS27" s="338"/>
      <c r="KDT27" s="338"/>
      <c r="KDU27" s="338"/>
      <c r="KDV27" s="338"/>
      <c r="KDW27" s="338"/>
      <c r="KDX27" s="338"/>
      <c r="KDY27" s="338"/>
      <c r="KDZ27" s="338"/>
      <c r="KEA27" s="338"/>
      <c r="KEB27" s="338"/>
      <c r="KEC27" s="338"/>
      <c r="KED27" s="338"/>
      <c r="KEE27" s="338"/>
      <c r="KEF27" s="338"/>
      <c r="KEG27" s="338"/>
      <c r="KEH27" s="338"/>
      <c r="KEI27" s="338"/>
      <c r="KEJ27" s="338"/>
      <c r="KEK27" s="338"/>
      <c r="KEL27" s="338"/>
      <c r="KEM27" s="338"/>
      <c r="KEN27" s="338"/>
      <c r="KEO27" s="338"/>
      <c r="KEP27" s="338"/>
      <c r="KEQ27" s="338"/>
      <c r="KER27" s="338"/>
      <c r="KES27" s="338"/>
      <c r="KET27" s="338"/>
      <c r="KEU27" s="338"/>
      <c r="KEV27" s="338"/>
      <c r="KEW27" s="338"/>
      <c r="KEX27" s="338"/>
      <c r="KEY27" s="338"/>
      <c r="KEZ27" s="338"/>
      <c r="KFA27" s="338"/>
      <c r="KFB27" s="338"/>
      <c r="KFC27" s="338"/>
      <c r="KFD27" s="338"/>
      <c r="KFE27" s="338"/>
      <c r="KFF27" s="338"/>
      <c r="KFG27" s="338"/>
      <c r="KFH27" s="338"/>
      <c r="KFI27" s="338"/>
      <c r="KFJ27" s="338"/>
      <c r="KFK27" s="338"/>
      <c r="KFL27" s="338"/>
      <c r="KFM27" s="338"/>
      <c r="KFN27" s="338"/>
      <c r="KFO27" s="338"/>
      <c r="KFP27" s="338"/>
      <c r="KFQ27" s="338"/>
      <c r="KFR27" s="338"/>
      <c r="KFS27" s="338"/>
      <c r="KFT27" s="338"/>
      <c r="KFU27" s="338"/>
      <c r="KFV27" s="338"/>
      <c r="KFW27" s="338"/>
      <c r="KFX27" s="338"/>
      <c r="KFY27" s="338"/>
      <c r="KFZ27" s="338"/>
      <c r="KGA27" s="338"/>
      <c r="KGB27" s="338"/>
      <c r="KGC27" s="338"/>
      <c r="KGD27" s="338"/>
      <c r="KGE27" s="338"/>
      <c r="KGF27" s="338"/>
      <c r="KGG27" s="338"/>
      <c r="KGH27" s="338"/>
      <c r="KGI27" s="338"/>
      <c r="KGJ27" s="338"/>
      <c r="KGK27" s="338"/>
      <c r="KGL27" s="338"/>
      <c r="KGM27" s="338"/>
      <c r="KGN27" s="338"/>
      <c r="KGO27" s="338"/>
      <c r="KGP27" s="338"/>
      <c r="KGQ27" s="338"/>
      <c r="KGR27" s="338"/>
      <c r="KGS27" s="338"/>
      <c r="KGT27" s="338"/>
      <c r="KGU27" s="338"/>
      <c r="KGV27" s="338"/>
      <c r="KGW27" s="338"/>
      <c r="KGX27" s="338"/>
      <c r="KGY27" s="338"/>
      <c r="KGZ27" s="338"/>
      <c r="KHA27" s="338"/>
      <c r="KHB27" s="338"/>
      <c r="KHC27" s="338"/>
      <c r="KHD27" s="338"/>
      <c r="KHE27" s="338"/>
      <c r="KHF27" s="338"/>
      <c r="KHG27" s="338"/>
      <c r="KHH27" s="338"/>
      <c r="KHI27" s="338"/>
      <c r="KHJ27" s="338"/>
      <c r="KHK27" s="338"/>
      <c r="KHL27" s="338"/>
      <c r="KHM27" s="338"/>
      <c r="KHN27" s="338"/>
      <c r="KHO27" s="338"/>
      <c r="KHP27" s="338"/>
      <c r="KHQ27" s="338"/>
      <c r="KHR27" s="338"/>
      <c r="KHS27" s="338"/>
      <c r="KHT27" s="338"/>
      <c r="KHU27" s="338"/>
      <c r="KHV27" s="338"/>
      <c r="KHW27" s="338"/>
      <c r="KHX27" s="338"/>
      <c r="KHY27" s="338"/>
      <c r="KHZ27" s="338"/>
      <c r="KIA27" s="338"/>
      <c r="KIB27" s="338"/>
      <c r="KIC27" s="338"/>
      <c r="KID27" s="338"/>
      <c r="KIE27" s="338"/>
      <c r="KIF27" s="338"/>
      <c r="KIG27" s="338"/>
      <c r="KIH27" s="338"/>
      <c r="KII27" s="338"/>
      <c r="KIJ27" s="338"/>
      <c r="KIK27" s="338"/>
      <c r="KIL27" s="338"/>
      <c r="KIM27" s="338"/>
      <c r="KIN27" s="338"/>
      <c r="KIO27" s="338"/>
      <c r="KIP27" s="338"/>
      <c r="KIQ27" s="338"/>
      <c r="KIR27" s="338"/>
      <c r="KIS27" s="338"/>
      <c r="KIT27" s="338"/>
      <c r="KIU27" s="338"/>
      <c r="KIV27" s="338"/>
      <c r="KIW27" s="338"/>
      <c r="KIX27" s="338"/>
      <c r="KIY27" s="338"/>
      <c r="KIZ27" s="338"/>
      <c r="KJA27" s="338"/>
      <c r="KJB27" s="338"/>
      <c r="KJC27" s="338"/>
      <c r="KJD27" s="338"/>
      <c r="KJE27" s="338"/>
      <c r="KJF27" s="338"/>
      <c r="KJG27" s="338"/>
      <c r="KJH27" s="338"/>
      <c r="KJI27" s="338"/>
      <c r="KJJ27" s="338"/>
      <c r="KJK27" s="338"/>
      <c r="KJL27" s="338"/>
      <c r="KJM27" s="338"/>
      <c r="KJN27" s="338"/>
      <c r="KJO27" s="338"/>
      <c r="KJP27" s="338"/>
      <c r="KJQ27" s="338"/>
      <c r="KJR27" s="338"/>
      <c r="KJS27" s="338"/>
      <c r="KJT27" s="338"/>
      <c r="KJU27" s="338"/>
      <c r="KJV27" s="338"/>
      <c r="KJW27" s="338"/>
      <c r="KJX27" s="338"/>
      <c r="KJY27" s="338"/>
      <c r="KJZ27" s="338"/>
      <c r="KKA27" s="338"/>
      <c r="KKB27" s="338"/>
      <c r="KKC27" s="338"/>
      <c r="KKD27" s="338"/>
      <c r="KKE27" s="338"/>
      <c r="KKF27" s="338"/>
      <c r="KKG27" s="338"/>
      <c r="KKH27" s="338"/>
      <c r="KKI27" s="338"/>
      <c r="KKJ27" s="338"/>
      <c r="KKK27" s="338"/>
      <c r="KKL27" s="338"/>
      <c r="KKM27" s="338"/>
      <c r="KKN27" s="338"/>
      <c r="KKO27" s="338"/>
      <c r="KKP27" s="338"/>
      <c r="KKQ27" s="338"/>
      <c r="KKR27" s="338"/>
      <c r="KKS27" s="338"/>
      <c r="KKT27" s="338"/>
      <c r="KKU27" s="338"/>
      <c r="KKV27" s="338"/>
      <c r="KKW27" s="338"/>
      <c r="KKX27" s="338"/>
      <c r="KKY27" s="338"/>
      <c r="KKZ27" s="338"/>
      <c r="KLA27" s="338"/>
      <c r="KLB27" s="338"/>
      <c r="KLC27" s="338"/>
      <c r="KLD27" s="338"/>
      <c r="KLE27" s="338"/>
      <c r="KLF27" s="338"/>
      <c r="KLG27" s="338"/>
      <c r="KLH27" s="338"/>
      <c r="KLI27" s="338"/>
      <c r="KLJ27" s="338"/>
      <c r="KLK27" s="338"/>
      <c r="KLL27" s="338"/>
      <c r="KLM27" s="338"/>
      <c r="KLN27" s="338"/>
      <c r="KLO27" s="338"/>
      <c r="KLP27" s="338"/>
      <c r="KLQ27" s="338"/>
      <c r="KLR27" s="338"/>
      <c r="KLS27" s="338"/>
      <c r="KLT27" s="338"/>
      <c r="KLU27" s="338"/>
      <c r="KLV27" s="338"/>
      <c r="KLW27" s="338"/>
      <c r="KLX27" s="338"/>
      <c r="KLY27" s="338"/>
      <c r="KLZ27" s="338"/>
      <c r="KMA27" s="338"/>
      <c r="KMB27" s="338"/>
      <c r="KMC27" s="338"/>
      <c r="KMD27" s="338"/>
      <c r="KME27" s="338"/>
      <c r="KMF27" s="338"/>
      <c r="KMG27" s="338"/>
      <c r="KMH27" s="338"/>
      <c r="KMI27" s="338"/>
      <c r="KMJ27" s="338"/>
      <c r="KMK27" s="338"/>
      <c r="KML27" s="338"/>
      <c r="KMM27" s="338"/>
      <c r="KMN27" s="338"/>
      <c r="KMO27" s="338"/>
      <c r="KMP27" s="338"/>
      <c r="KMQ27" s="338"/>
      <c r="KMR27" s="338"/>
      <c r="KMS27" s="338"/>
      <c r="KMT27" s="338"/>
      <c r="KMU27" s="338"/>
      <c r="KMV27" s="338"/>
      <c r="KMW27" s="338"/>
      <c r="KMX27" s="338"/>
      <c r="KMY27" s="338"/>
      <c r="KMZ27" s="338"/>
      <c r="KNA27" s="338"/>
      <c r="KNB27" s="338"/>
      <c r="KNC27" s="338"/>
      <c r="KND27" s="338"/>
      <c r="KNE27" s="338"/>
      <c r="KNF27" s="338"/>
      <c r="KNG27" s="338"/>
      <c r="KNH27" s="338"/>
      <c r="KNI27" s="338"/>
      <c r="KNJ27" s="338"/>
      <c r="KNK27" s="338"/>
      <c r="KNL27" s="338"/>
      <c r="KNM27" s="338"/>
      <c r="KNN27" s="338"/>
      <c r="KNO27" s="338"/>
      <c r="KNP27" s="338"/>
      <c r="KNQ27" s="338"/>
      <c r="KNR27" s="338"/>
      <c r="KNS27" s="338"/>
      <c r="KNT27" s="338"/>
      <c r="KNU27" s="338"/>
      <c r="KNV27" s="338"/>
      <c r="KNW27" s="338"/>
      <c r="KNX27" s="338"/>
      <c r="KNY27" s="338"/>
      <c r="KNZ27" s="338"/>
      <c r="KOA27" s="338"/>
      <c r="KOB27" s="338"/>
      <c r="KOC27" s="338"/>
      <c r="KOD27" s="338"/>
      <c r="KOE27" s="338"/>
      <c r="KOF27" s="338"/>
      <c r="KOG27" s="338"/>
      <c r="KOH27" s="338"/>
      <c r="KOI27" s="338"/>
      <c r="KOJ27" s="338"/>
      <c r="KOK27" s="338"/>
      <c r="KOL27" s="338"/>
      <c r="KOM27" s="338"/>
      <c r="KON27" s="338"/>
      <c r="KOO27" s="338"/>
      <c r="KOP27" s="338"/>
      <c r="KOQ27" s="338"/>
      <c r="KOR27" s="338"/>
      <c r="KOS27" s="338"/>
      <c r="KOT27" s="338"/>
      <c r="KOU27" s="338"/>
      <c r="KOV27" s="338"/>
      <c r="KOW27" s="338"/>
      <c r="KOX27" s="338"/>
      <c r="KOY27" s="338"/>
      <c r="KOZ27" s="338"/>
      <c r="KPA27" s="338"/>
      <c r="KPB27" s="338"/>
      <c r="KPC27" s="338"/>
      <c r="KPD27" s="338"/>
      <c r="KPE27" s="338"/>
      <c r="KPF27" s="338"/>
      <c r="KPG27" s="338"/>
      <c r="KPH27" s="338"/>
      <c r="KPI27" s="338"/>
      <c r="KPJ27" s="338"/>
      <c r="KPK27" s="338"/>
      <c r="KPL27" s="338"/>
      <c r="KPM27" s="338"/>
      <c r="KPN27" s="338"/>
      <c r="KPO27" s="338"/>
      <c r="KPP27" s="338"/>
      <c r="KPQ27" s="338"/>
      <c r="KPR27" s="338"/>
      <c r="KPS27" s="338"/>
      <c r="KPT27" s="338"/>
      <c r="KPU27" s="338"/>
      <c r="KPV27" s="338"/>
      <c r="KPW27" s="338"/>
      <c r="KPX27" s="338"/>
      <c r="KPY27" s="338"/>
      <c r="KPZ27" s="338"/>
      <c r="KQA27" s="338"/>
      <c r="KQB27" s="338"/>
      <c r="KQC27" s="338"/>
      <c r="KQD27" s="338"/>
      <c r="KQE27" s="338"/>
      <c r="KQF27" s="338"/>
      <c r="KQG27" s="338"/>
      <c r="KQH27" s="338"/>
      <c r="KQI27" s="338"/>
      <c r="KQJ27" s="338"/>
      <c r="KQK27" s="338"/>
      <c r="KQL27" s="338"/>
      <c r="KQM27" s="338"/>
      <c r="KQN27" s="338"/>
      <c r="KQO27" s="338"/>
      <c r="KQP27" s="338"/>
      <c r="KQQ27" s="338"/>
      <c r="KQR27" s="338"/>
      <c r="KQS27" s="338"/>
      <c r="KQT27" s="338"/>
      <c r="KQU27" s="338"/>
      <c r="KQV27" s="338"/>
      <c r="KQW27" s="338"/>
      <c r="KQX27" s="338"/>
      <c r="KQY27" s="338"/>
      <c r="KQZ27" s="338"/>
      <c r="KRA27" s="338"/>
      <c r="KRB27" s="338"/>
      <c r="KRC27" s="338"/>
      <c r="KRD27" s="338"/>
      <c r="KRE27" s="338"/>
      <c r="KRF27" s="338"/>
      <c r="KRG27" s="338"/>
      <c r="KRH27" s="338"/>
      <c r="KRI27" s="338"/>
      <c r="KRJ27" s="338"/>
      <c r="KRK27" s="338"/>
      <c r="KRL27" s="338"/>
      <c r="KRM27" s="338"/>
      <c r="KRN27" s="338"/>
      <c r="KRO27" s="338"/>
      <c r="KRP27" s="338"/>
      <c r="KRQ27" s="338"/>
      <c r="KRR27" s="338"/>
      <c r="KRS27" s="338"/>
      <c r="KRT27" s="338"/>
      <c r="KRU27" s="338"/>
      <c r="KRV27" s="338"/>
      <c r="KRW27" s="338"/>
      <c r="KRX27" s="338"/>
      <c r="KRY27" s="338"/>
      <c r="KRZ27" s="338"/>
      <c r="KSA27" s="338"/>
      <c r="KSB27" s="338"/>
      <c r="KSC27" s="338"/>
      <c r="KSD27" s="338"/>
      <c r="KSE27" s="338"/>
      <c r="KSF27" s="338"/>
      <c r="KSG27" s="338"/>
      <c r="KSH27" s="338"/>
      <c r="KSI27" s="338"/>
      <c r="KSJ27" s="338"/>
      <c r="KSK27" s="338"/>
      <c r="KSL27" s="338"/>
      <c r="KSM27" s="338"/>
      <c r="KSN27" s="338"/>
      <c r="KSO27" s="338"/>
      <c r="KSP27" s="338"/>
      <c r="KSQ27" s="338"/>
      <c r="KSR27" s="338"/>
      <c r="KSS27" s="338"/>
      <c r="KST27" s="338"/>
      <c r="KSU27" s="338"/>
      <c r="KSV27" s="338"/>
      <c r="KSW27" s="338"/>
      <c r="KSX27" s="338"/>
      <c r="KSY27" s="338"/>
      <c r="KSZ27" s="338"/>
      <c r="KTA27" s="338"/>
      <c r="KTB27" s="338"/>
      <c r="KTC27" s="338"/>
      <c r="KTD27" s="338"/>
      <c r="KTE27" s="338"/>
      <c r="KTF27" s="338"/>
      <c r="KTG27" s="338"/>
      <c r="KTH27" s="338"/>
      <c r="KTI27" s="338"/>
      <c r="KTJ27" s="338"/>
      <c r="KTK27" s="338"/>
      <c r="KTL27" s="338"/>
      <c r="KTM27" s="338"/>
      <c r="KTN27" s="338"/>
      <c r="KTO27" s="338"/>
      <c r="KTP27" s="338"/>
      <c r="KTQ27" s="338"/>
      <c r="KTR27" s="338"/>
      <c r="KTS27" s="338"/>
      <c r="KTT27" s="338"/>
      <c r="KTU27" s="338"/>
      <c r="KTV27" s="338"/>
      <c r="KTW27" s="338"/>
      <c r="KTX27" s="338"/>
      <c r="KTY27" s="338"/>
      <c r="KTZ27" s="338"/>
      <c r="KUA27" s="338"/>
      <c r="KUB27" s="338"/>
      <c r="KUC27" s="338"/>
      <c r="KUD27" s="338"/>
      <c r="KUE27" s="338"/>
      <c r="KUF27" s="338"/>
      <c r="KUG27" s="338"/>
      <c r="KUH27" s="338"/>
      <c r="KUI27" s="338"/>
      <c r="KUJ27" s="338"/>
      <c r="KUK27" s="338"/>
      <c r="KUL27" s="338"/>
      <c r="KUM27" s="338"/>
      <c r="KUN27" s="338"/>
      <c r="KUO27" s="338"/>
      <c r="KUP27" s="338"/>
      <c r="KUQ27" s="338"/>
      <c r="KUR27" s="338"/>
      <c r="KUS27" s="338"/>
      <c r="KUT27" s="338"/>
      <c r="KUU27" s="338"/>
      <c r="KUV27" s="338"/>
      <c r="KUW27" s="338"/>
      <c r="KUX27" s="338"/>
      <c r="KUY27" s="338"/>
      <c r="KUZ27" s="338"/>
      <c r="KVA27" s="338"/>
      <c r="KVB27" s="338"/>
      <c r="KVC27" s="338"/>
      <c r="KVD27" s="338"/>
      <c r="KVE27" s="338"/>
      <c r="KVF27" s="338"/>
      <c r="KVG27" s="338"/>
      <c r="KVH27" s="338"/>
      <c r="KVI27" s="338"/>
      <c r="KVJ27" s="338"/>
      <c r="KVK27" s="338"/>
      <c r="KVL27" s="338"/>
      <c r="KVM27" s="338"/>
      <c r="KVN27" s="338"/>
      <c r="KVO27" s="338"/>
      <c r="KVP27" s="338"/>
      <c r="KVQ27" s="338"/>
      <c r="KVR27" s="338"/>
      <c r="KVS27" s="338"/>
      <c r="KVT27" s="338"/>
      <c r="KVU27" s="338"/>
      <c r="KVV27" s="338"/>
      <c r="KVW27" s="338"/>
      <c r="KVX27" s="338"/>
      <c r="KVY27" s="338"/>
      <c r="KVZ27" s="338"/>
      <c r="KWA27" s="338"/>
      <c r="KWB27" s="338"/>
      <c r="KWC27" s="338"/>
      <c r="KWD27" s="338"/>
      <c r="KWE27" s="338"/>
      <c r="KWF27" s="338"/>
      <c r="KWG27" s="338"/>
      <c r="KWH27" s="338"/>
      <c r="KWI27" s="338"/>
      <c r="KWJ27" s="338"/>
      <c r="KWK27" s="338"/>
      <c r="KWL27" s="338"/>
      <c r="KWM27" s="338"/>
      <c r="KWN27" s="338"/>
      <c r="KWO27" s="338"/>
      <c r="KWP27" s="338"/>
      <c r="KWQ27" s="338"/>
      <c r="KWR27" s="338"/>
      <c r="KWS27" s="338"/>
      <c r="KWT27" s="338"/>
      <c r="KWU27" s="338"/>
      <c r="KWV27" s="338"/>
      <c r="KWW27" s="338"/>
      <c r="KWX27" s="338"/>
      <c r="KWY27" s="338"/>
      <c r="KWZ27" s="338"/>
      <c r="KXA27" s="338"/>
      <c r="KXB27" s="338"/>
      <c r="KXC27" s="338"/>
      <c r="KXD27" s="338"/>
      <c r="KXE27" s="338"/>
      <c r="KXF27" s="338"/>
      <c r="KXG27" s="338"/>
      <c r="KXH27" s="338"/>
      <c r="KXI27" s="338"/>
      <c r="KXJ27" s="338"/>
      <c r="KXK27" s="338"/>
      <c r="KXL27" s="338"/>
      <c r="KXM27" s="338"/>
      <c r="KXN27" s="338"/>
      <c r="KXO27" s="338"/>
      <c r="KXP27" s="338"/>
      <c r="KXQ27" s="338"/>
      <c r="KXR27" s="338"/>
      <c r="KXS27" s="338"/>
      <c r="KXT27" s="338"/>
      <c r="KXU27" s="338"/>
      <c r="KXV27" s="338"/>
      <c r="KXW27" s="338"/>
      <c r="KXX27" s="338"/>
      <c r="KXY27" s="338"/>
      <c r="KXZ27" s="338"/>
      <c r="KYA27" s="338"/>
      <c r="KYB27" s="338"/>
      <c r="KYC27" s="338"/>
      <c r="KYD27" s="338"/>
      <c r="KYE27" s="338"/>
      <c r="KYF27" s="338"/>
      <c r="KYG27" s="338"/>
      <c r="KYH27" s="338"/>
      <c r="KYI27" s="338"/>
      <c r="KYJ27" s="338"/>
      <c r="KYK27" s="338"/>
      <c r="KYL27" s="338"/>
      <c r="KYM27" s="338"/>
      <c r="KYN27" s="338"/>
      <c r="KYO27" s="338"/>
      <c r="KYP27" s="338"/>
      <c r="KYQ27" s="338"/>
      <c r="KYR27" s="338"/>
      <c r="KYS27" s="338"/>
      <c r="KYT27" s="338"/>
      <c r="KYU27" s="338"/>
      <c r="KYV27" s="338"/>
      <c r="KYW27" s="338"/>
      <c r="KYX27" s="338"/>
      <c r="KYY27" s="338"/>
      <c r="KYZ27" s="338"/>
      <c r="KZA27" s="338"/>
      <c r="KZB27" s="338"/>
      <c r="KZC27" s="338"/>
      <c r="KZD27" s="338"/>
      <c r="KZE27" s="338"/>
      <c r="KZF27" s="338"/>
      <c r="KZG27" s="338"/>
      <c r="KZH27" s="338"/>
      <c r="KZI27" s="338"/>
      <c r="KZJ27" s="338"/>
      <c r="KZK27" s="338"/>
      <c r="KZL27" s="338"/>
      <c r="KZM27" s="338"/>
      <c r="KZN27" s="338"/>
      <c r="KZO27" s="338"/>
      <c r="KZP27" s="338"/>
      <c r="KZQ27" s="338"/>
      <c r="KZR27" s="338"/>
      <c r="KZS27" s="338"/>
      <c r="KZT27" s="338"/>
      <c r="KZU27" s="338"/>
      <c r="KZV27" s="338"/>
      <c r="KZW27" s="338"/>
      <c r="KZX27" s="338"/>
      <c r="KZY27" s="338"/>
      <c r="KZZ27" s="338"/>
      <c r="LAA27" s="338"/>
      <c r="LAB27" s="338"/>
      <c r="LAC27" s="338"/>
      <c r="LAD27" s="338"/>
      <c r="LAE27" s="338"/>
      <c r="LAF27" s="338"/>
      <c r="LAG27" s="338"/>
      <c r="LAH27" s="338"/>
      <c r="LAI27" s="338"/>
      <c r="LAJ27" s="338"/>
      <c r="LAK27" s="338"/>
      <c r="LAL27" s="338"/>
      <c r="LAM27" s="338"/>
      <c r="LAN27" s="338"/>
      <c r="LAO27" s="338"/>
      <c r="LAP27" s="338"/>
      <c r="LAQ27" s="338"/>
      <c r="LAR27" s="338"/>
      <c r="LAS27" s="338"/>
      <c r="LAT27" s="338"/>
      <c r="LAU27" s="338"/>
      <c r="LAV27" s="338"/>
      <c r="LAW27" s="338"/>
      <c r="LAX27" s="338"/>
      <c r="LAY27" s="338"/>
      <c r="LAZ27" s="338"/>
      <c r="LBA27" s="338"/>
      <c r="LBB27" s="338"/>
      <c r="LBC27" s="338"/>
      <c r="LBD27" s="338"/>
      <c r="LBE27" s="338"/>
      <c r="LBF27" s="338"/>
      <c r="LBG27" s="338"/>
      <c r="LBH27" s="338"/>
      <c r="LBI27" s="338"/>
      <c r="LBJ27" s="338"/>
      <c r="LBK27" s="338"/>
      <c r="LBL27" s="338"/>
      <c r="LBM27" s="338"/>
      <c r="LBN27" s="338"/>
      <c r="LBO27" s="338"/>
      <c r="LBP27" s="338"/>
      <c r="LBQ27" s="338"/>
      <c r="LBR27" s="338"/>
      <c r="LBS27" s="338"/>
      <c r="LBT27" s="338"/>
      <c r="LBU27" s="338"/>
      <c r="LBV27" s="338"/>
      <c r="LBW27" s="338"/>
      <c r="LBX27" s="338"/>
      <c r="LBY27" s="338"/>
      <c r="LBZ27" s="338"/>
      <c r="LCA27" s="338"/>
      <c r="LCB27" s="338"/>
      <c r="LCC27" s="338"/>
      <c r="LCD27" s="338"/>
      <c r="LCE27" s="338"/>
      <c r="LCF27" s="338"/>
      <c r="LCG27" s="338"/>
      <c r="LCH27" s="338"/>
      <c r="LCI27" s="338"/>
      <c r="LCJ27" s="338"/>
      <c r="LCK27" s="338"/>
      <c r="LCL27" s="338"/>
      <c r="LCM27" s="338"/>
      <c r="LCN27" s="338"/>
      <c r="LCO27" s="338"/>
      <c r="LCP27" s="338"/>
      <c r="LCQ27" s="338"/>
      <c r="LCR27" s="338"/>
      <c r="LCS27" s="338"/>
      <c r="LCT27" s="338"/>
      <c r="LCU27" s="338"/>
      <c r="LCV27" s="338"/>
      <c r="LCW27" s="338"/>
      <c r="LCX27" s="338"/>
      <c r="LCY27" s="338"/>
      <c r="LCZ27" s="338"/>
      <c r="LDA27" s="338"/>
      <c r="LDB27" s="338"/>
      <c r="LDC27" s="338"/>
      <c r="LDD27" s="338"/>
      <c r="LDE27" s="338"/>
      <c r="LDF27" s="338"/>
      <c r="LDG27" s="338"/>
      <c r="LDH27" s="338"/>
      <c r="LDI27" s="338"/>
      <c r="LDJ27" s="338"/>
      <c r="LDK27" s="338"/>
      <c r="LDL27" s="338"/>
      <c r="LDM27" s="338"/>
      <c r="LDN27" s="338"/>
      <c r="LDO27" s="338"/>
      <c r="LDP27" s="338"/>
      <c r="LDQ27" s="338"/>
      <c r="LDR27" s="338"/>
      <c r="LDS27" s="338"/>
      <c r="LDT27" s="338"/>
      <c r="LDU27" s="338"/>
      <c r="LDV27" s="338"/>
      <c r="LDW27" s="338"/>
      <c r="LDX27" s="338"/>
      <c r="LDY27" s="338"/>
      <c r="LDZ27" s="338"/>
      <c r="LEA27" s="338"/>
      <c r="LEB27" s="338"/>
      <c r="LEC27" s="338"/>
      <c r="LED27" s="338"/>
      <c r="LEE27" s="338"/>
      <c r="LEF27" s="338"/>
      <c r="LEG27" s="338"/>
      <c r="LEH27" s="338"/>
      <c r="LEI27" s="338"/>
      <c r="LEJ27" s="338"/>
      <c r="LEK27" s="338"/>
      <c r="LEL27" s="338"/>
      <c r="LEM27" s="338"/>
      <c r="LEN27" s="338"/>
      <c r="LEO27" s="338"/>
      <c r="LEP27" s="338"/>
      <c r="LEQ27" s="338"/>
      <c r="LER27" s="338"/>
      <c r="LES27" s="338"/>
      <c r="LET27" s="338"/>
      <c r="LEU27" s="338"/>
      <c r="LEV27" s="338"/>
      <c r="LEW27" s="338"/>
      <c r="LEX27" s="338"/>
      <c r="LEY27" s="338"/>
      <c r="LEZ27" s="338"/>
      <c r="LFA27" s="338"/>
      <c r="LFB27" s="338"/>
      <c r="LFC27" s="338"/>
      <c r="LFD27" s="338"/>
      <c r="LFE27" s="338"/>
      <c r="LFF27" s="338"/>
      <c r="LFG27" s="338"/>
      <c r="LFH27" s="338"/>
      <c r="LFI27" s="338"/>
      <c r="LFJ27" s="338"/>
      <c r="LFK27" s="338"/>
      <c r="LFL27" s="338"/>
      <c r="LFM27" s="338"/>
      <c r="LFN27" s="338"/>
      <c r="LFO27" s="338"/>
      <c r="LFP27" s="338"/>
      <c r="LFQ27" s="338"/>
      <c r="LFR27" s="338"/>
      <c r="LFS27" s="338"/>
      <c r="LFT27" s="338"/>
      <c r="LFU27" s="338"/>
      <c r="LFV27" s="338"/>
      <c r="LFW27" s="338"/>
      <c r="LFX27" s="338"/>
      <c r="LFY27" s="338"/>
      <c r="LFZ27" s="338"/>
      <c r="LGA27" s="338"/>
      <c r="LGB27" s="338"/>
      <c r="LGC27" s="338"/>
      <c r="LGD27" s="338"/>
      <c r="LGE27" s="338"/>
      <c r="LGF27" s="338"/>
      <c r="LGG27" s="338"/>
      <c r="LGH27" s="338"/>
      <c r="LGI27" s="338"/>
      <c r="LGJ27" s="338"/>
      <c r="LGK27" s="338"/>
      <c r="LGL27" s="338"/>
      <c r="LGM27" s="338"/>
      <c r="LGN27" s="338"/>
      <c r="LGO27" s="338"/>
      <c r="LGP27" s="338"/>
      <c r="LGQ27" s="338"/>
      <c r="LGR27" s="338"/>
      <c r="LGS27" s="338"/>
      <c r="LGT27" s="338"/>
      <c r="LGU27" s="338"/>
      <c r="LGV27" s="338"/>
      <c r="LGW27" s="338"/>
      <c r="LGX27" s="338"/>
      <c r="LGY27" s="338"/>
      <c r="LGZ27" s="338"/>
      <c r="LHA27" s="338"/>
      <c r="LHB27" s="338"/>
      <c r="LHC27" s="338"/>
      <c r="LHD27" s="338"/>
      <c r="LHE27" s="338"/>
      <c r="LHF27" s="338"/>
      <c r="LHG27" s="338"/>
      <c r="LHH27" s="338"/>
      <c r="LHI27" s="338"/>
      <c r="LHJ27" s="338"/>
      <c r="LHK27" s="338"/>
      <c r="LHL27" s="338"/>
      <c r="LHM27" s="338"/>
      <c r="LHN27" s="338"/>
      <c r="LHO27" s="338"/>
      <c r="LHP27" s="338"/>
      <c r="LHQ27" s="338"/>
      <c r="LHR27" s="338"/>
      <c r="LHS27" s="338"/>
      <c r="LHT27" s="338"/>
      <c r="LHU27" s="338"/>
      <c r="LHV27" s="338"/>
      <c r="LHW27" s="338"/>
      <c r="LHX27" s="338"/>
      <c r="LHY27" s="338"/>
      <c r="LHZ27" s="338"/>
      <c r="LIA27" s="338"/>
      <c r="LIB27" s="338"/>
      <c r="LIC27" s="338"/>
      <c r="LID27" s="338"/>
      <c r="LIE27" s="338"/>
      <c r="LIF27" s="338"/>
      <c r="LIG27" s="338"/>
      <c r="LIH27" s="338"/>
      <c r="LII27" s="338"/>
      <c r="LIJ27" s="338"/>
      <c r="LIK27" s="338"/>
      <c r="LIL27" s="338"/>
      <c r="LIM27" s="338"/>
      <c r="LIN27" s="338"/>
      <c r="LIO27" s="338"/>
      <c r="LIP27" s="338"/>
      <c r="LIQ27" s="338"/>
      <c r="LIR27" s="338"/>
      <c r="LIS27" s="338"/>
      <c r="LIT27" s="338"/>
      <c r="LIU27" s="338"/>
      <c r="LIV27" s="338"/>
      <c r="LIW27" s="338"/>
      <c r="LIX27" s="338"/>
      <c r="LIY27" s="338"/>
      <c r="LIZ27" s="338"/>
      <c r="LJA27" s="338"/>
      <c r="LJB27" s="338"/>
      <c r="LJC27" s="338"/>
      <c r="LJD27" s="338"/>
      <c r="LJE27" s="338"/>
      <c r="LJF27" s="338"/>
      <c r="LJG27" s="338"/>
      <c r="LJH27" s="338"/>
      <c r="LJI27" s="338"/>
      <c r="LJJ27" s="338"/>
      <c r="LJK27" s="338"/>
      <c r="LJL27" s="338"/>
      <c r="LJM27" s="338"/>
      <c r="LJN27" s="338"/>
      <c r="LJO27" s="338"/>
      <c r="LJP27" s="338"/>
      <c r="LJQ27" s="338"/>
      <c r="LJR27" s="338"/>
      <c r="LJS27" s="338"/>
      <c r="LJT27" s="338"/>
      <c r="LJU27" s="338"/>
      <c r="LJV27" s="338"/>
      <c r="LJW27" s="338"/>
      <c r="LJX27" s="338"/>
      <c r="LJY27" s="338"/>
      <c r="LJZ27" s="338"/>
      <c r="LKA27" s="338"/>
      <c r="LKB27" s="338"/>
      <c r="LKC27" s="338"/>
      <c r="LKD27" s="338"/>
      <c r="LKE27" s="338"/>
      <c r="LKF27" s="338"/>
      <c r="LKG27" s="338"/>
      <c r="LKH27" s="338"/>
      <c r="LKI27" s="338"/>
      <c r="LKJ27" s="338"/>
      <c r="LKK27" s="338"/>
      <c r="LKL27" s="338"/>
      <c r="LKM27" s="338"/>
      <c r="LKN27" s="338"/>
      <c r="LKO27" s="338"/>
      <c r="LKP27" s="338"/>
      <c r="LKQ27" s="338"/>
      <c r="LKR27" s="338"/>
      <c r="LKS27" s="338"/>
      <c r="LKT27" s="338"/>
      <c r="LKU27" s="338"/>
      <c r="LKV27" s="338"/>
      <c r="LKW27" s="338"/>
      <c r="LKX27" s="338"/>
      <c r="LKY27" s="338"/>
      <c r="LKZ27" s="338"/>
      <c r="LLA27" s="338"/>
      <c r="LLB27" s="338"/>
      <c r="LLC27" s="338"/>
      <c r="LLD27" s="338"/>
      <c r="LLE27" s="338"/>
      <c r="LLF27" s="338"/>
      <c r="LLG27" s="338"/>
      <c r="LLH27" s="338"/>
      <c r="LLI27" s="338"/>
      <c r="LLJ27" s="338"/>
      <c r="LLK27" s="338"/>
      <c r="LLL27" s="338"/>
      <c r="LLM27" s="338"/>
      <c r="LLN27" s="338"/>
      <c r="LLO27" s="338"/>
      <c r="LLP27" s="338"/>
      <c r="LLQ27" s="338"/>
      <c r="LLR27" s="338"/>
      <c r="LLS27" s="338"/>
      <c r="LLT27" s="338"/>
      <c r="LLU27" s="338"/>
      <c r="LLV27" s="338"/>
      <c r="LLW27" s="338"/>
      <c r="LLX27" s="338"/>
      <c r="LLY27" s="338"/>
      <c r="LLZ27" s="338"/>
      <c r="LMA27" s="338"/>
      <c r="LMB27" s="338"/>
      <c r="LMC27" s="338"/>
      <c r="LMD27" s="338"/>
      <c r="LME27" s="338"/>
      <c r="LMF27" s="338"/>
      <c r="LMG27" s="338"/>
      <c r="LMH27" s="338"/>
      <c r="LMI27" s="338"/>
      <c r="LMJ27" s="338"/>
      <c r="LMK27" s="338"/>
      <c r="LML27" s="338"/>
      <c r="LMM27" s="338"/>
      <c r="LMN27" s="338"/>
      <c r="LMO27" s="338"/>
      <c r="LMP27" s="338"/>
      <c r="LMQ27" s="338"/>
      <c r="LMR27" s="338"/>
      <c r="LMS27" s="338"/>
      <c r="LMT27" s="338"/>
      <c r="LMU27" s="338"/>
      <c r="LMV27" s="338"/>
      <c r="LMW27" s="338"/>
      <c r="LMX27" s="338"/>
      <c r="LMY27" s="338"/>
      <c r="LMZ27" s="338"/>
      <c r="LNA27" s="338"/>
      <c r="LNB27" s="338"/>
      <c r="LNC27" s="338"/>
      <c r="LND27" s="338"/>
      <c r="LNE27" s="338"/>
      <c r="LNF27" s="338"/>
      <c r="LNG27" s="338"/>
      <c r="LNH27" s="338"/>
      <c r="LNI27" s="338"/>
      <c r="LNJ27" s="338"/>
      <c r="LNK27" s="338"/>
      <c r="LNL27" s="338"/>
      <c r="LNM27" s="338"/>
      <c r="LNN27" s="338"/>
      <c r="LNO27" s="338"/>
      <c r="LNP27" s="338"/>
      <c r="LNQ27" s="338"/>
      <c r="LNR27" s="338"/>
      <c r="LNS27" s="338"/>
      <c r="LNT27" s="338"/>
      <c r="LNU27" s="338"/>
      <c r="LNV27" s="338"/>
      <c r="LNW27" s="338"/>
      <c r="LNX27" s="338"/>
      <c r="LNY27" s="338"/>
      <c r="LNZ27" s="338"/>
      <c r="LOA27" s="338"/>
      <c r="LOB27" s="338"/>
      <c r="LOC27" s="338"/>
      <c r="LOD27" s="338"/>
      <c r="LOE27" s="338"/>
      <c r="LOF27" s="338"/>
      <c r="LOG27" s="338"/>
      <c r="LOH27" s="338"/>
      <c r="LOI27" s="338"/>
      <c r="LOJ27" s="338"/>
      <c r="LOK27" s="338"/>
      <c r="LOL27" s="338"/>
      <c r="LOM27" s="338"/>
      <c r="LON27" s="338"/>
      <c r="LOO27" s="338"/>
      <c r="LOP27" s="338"/>
      <c r="LOQ27" s="338"/>
      <c r="LOR27" s="338"/>
      <c r="LOS27" s="338"/>
      <c r="LOT27" s="338"/>
      <c r="LOU27" s="338"/>
      <c r="LOV27" s="338"/>
      <c r="LOW27" s="338"/>
      <c r="LOX27" s="338"/>
      <c r="LOY27" s="338"/>
      <c r="LOZ27" s="338"/>
      <c r="LPA27" s="338"/>
      <c r="LPB27" s="338"/>
      <c r="LPC27" s="338"/>
      <c r="LPD27" s="338"/>
      <c r="LPE27" s="338"/>
      <c r="LPF27" s="338"/>
      <c r="LPG27" s="338"/>
      <c r="LPH27" s="338"/>
      <c r="LPI27" s="338"/>
      <c r="LPJ27" s="338"/>
      <c r="LPK27" s="338"/>
      <c r="LPL27" s="338"/>
      <c r="LPM27" s="338"/>
      <c r="LPN27" s="338"/>
      <c r="LPO27" s="338"/>
      <c r="LPP27" s="338"/>
      <c r="LPQ27" s="338"/>
      <c r="LPR27" s="338"/>
      <c r="LPS27" s="338"/>
      <c r="LPT27" s="338"/>
      <c r="LPU27" s="338"/>
      <c r="LPV27" s="338"/>
      <c r="LPW27" s="338"/>
      <c r="LPX27" s="338"/>
      <c r="LPY27" s="338"/>
      <c r="LPZ27" s="338"/>
      <c r="LQA27" s="338"/>
      <c r="LQB27" s="338"/>
      <c r="LQC27" s="338"/>
      <c r="LQD27" s="338"/>
      <c r="LQE27" s="338"/>
      <c r="LQF27" s="338"/>
      <c r="LQG27" s="338"/>
      <c r="LQH27" s="338"/>
      <c r="LQI27" s="338"/>
      <c r="LQJ27" s="338"/>
      <c r="LQK27" s="338"/>
      <c r="LQL27" s="338"/>
      <c r="LQM27" s="338"/>
      <c r="LQN27" s="338"/>
      <c r="LQO27" s="338"/>
      <c r="LQP27" s="338"/>
      <c r="LQQ27" s="338"/>
      <c r="LQR27" s="338"/>
      <c r="LQS27" s="338"/>
      <c r="LQT27" s="338"/>
      <c r="LQU27" s="338"/>
      <c r="LQV27" s="338"/>
      <c r="LQW27" s="338"/>
      <c r="LQX27" s="338"/>
      <c r="LQY27" s="338"/>
      <c r="LQZ27" s="338"/>
      <c r="LRA27" s="338"/>
      <c r="LRB27" s="338"/>
      <c r="LRC27" s="338"/>
      <c r="LRD27" s="338"/>
      <c r="LRE27" s="338"/>
      <c r="LRF27" s="338"/>
      <c r="LRG27" s="338"/>
      <c r="LRH27" s="338"/>
      <c r="LRI27" s="338"/>
      <c r="LRJ27" s="338"/>
      <c r="LRK27" s="338"/>
      <c r="LRL27" s="338"/>
      <c r="LRM27" s="338"/>
      <c r="LRN27" s="338"/>
      <c r="LRO27" s="338"/>
      <c r="LRP27" s="338"/>
      <c r="LRQ27" s="338"/>
      <c r="LRR27" s="338"/>
      <c r="LRS27" s="338"/>
      <c r="LRT27" s="338"/>
      <c r="LRU27" s="338"/>
      <c r="LRV27" s="338"/>
      <c r="LRW27" s="338"/>
      <c r="LRX27" s="338"/>
      <c r="LRY27" s="338"/>
      <c r="LRZ27" s="338"/>
      <c r="LSA27" s="338"/>
      <c r="LSB27" s="338"/>
      <c r="LSC27" s="338"/>
      <c r="LSD27" s="338"/>
      <c r="LSE27" s="338"/>
      <c r="LSF27" s="338"/>
      <c r="LSG27" s="338"/>
      <c r="LSH27" s="338"/>
      <c r="LSI27" s="338"/>
      <c r="LSJ27" s="338"/>
      <c r="LSK27" s="338"/>
      <c r="LSL27" s="338"/>
      <c r="LSM27" s="338"/>
      <c r="LSN27" s="338"/>
      <c r="LSO27" s="338"/>
      <c r="LSP27" s="338"/>
      <c r="LSQ27" s="338"/>
      <c r="LSR27" s="338"/>
      <c r="LSS27" s="338"/>
      <c r="LST27" s="338"/>
      <c r="LSU27" s="338"/>
      <c r="LSV27" s="338"/>
      <c r="LSW27" s="338"/>
      <c r="LSX27" s="338"/>
      <c r="LSY27" s="338"/>
      <c r="LSZ27" s="338"/>
      <c r="LTA27" s="338"/>
      <c r="LTB27" s="338"/>
      <c r="LTC27" s="338"/>
      <c r="LTD27" s="338"/>
      <c r="LTE27" s="338"/>
      <c r="LTF27" s="338"/>
      <c r="LTG27" s="338"/>
      <c r="LTH27" s="338"/>
      <c r="LTI27" s="338"/>
      <c r="LTJ27" s="338"/>
      <c r="LTK27" s="338"/>
      <c r="LTL27" s="338"/>
      <c r="LTM27" s="338"/>
      <c r="LTN27" s="338"/>
      <c r="LTO27" s="338"/>
      <c r="LTP27" s="338"/>
      <c r="LTQ27" s="338"/>
      <c r="LTR27" s="338"/>
      <c r="LTS27" s="338"/>
      <c r="LTT27" s="338"/>
      <c r="LTU27" s="338"/>
      <c r="LTV27" s="338"/>
      <c r="LTW27" s="338"/>
      <c r="LTX27" s="338"/>
      <c r="LTY27" s="338"/>
      <c r="LTZ27" s="338"/>
      <c r="LUA27" s="338"/>
      <c r="LUB27" s="338"/>
      <c r="LUC27" s="338"/>
      <c r="LUD27" s="338"/>
      <c r="LUE27" s="338"/>
      <c r="LUF27" s="338"/>
      <c r="LUG27" s="338"/>
      <c r="LUH27" s="338"/>
      <c r="LUI27" s="338"/>
      <c r="LUJ27" s="338"/>
      <c r="LUK27" s="338"/>
      <c r="LUL27" s="338"/>
      <c r="LUM27" s="338"/>
      <c r="LUN27" s="338"/>
      <c r="LUO27" s="338"/>
      <c r="LUP27" s="338"/>
      <c r="LUQ27" s="338"/>
      <c r="LUR27" s="338"/>
      <c r="LUS27" s="338"/>
      <c r="LUT27" s="338"/>
      <c r="LUU27" s="338"/>
      <c r="LUV27" s="338"/>
      <c r="LUW27" s="338"/>
      <c r="LUX27" s="338"/>
      <c r="LUY27" s="338"/>
      <c r="LUZ27" s="338"/>
      <c r="LVA27" s="338"/>
      <c r="LVB27" s="338"/>
      <c r="LVC27" s="338"/>
      <c r="LVD27" s="338"/>
      <c r="LVE27" s="338"/>
      <c r="LVF27" s="338"/>
      <c r="LVG27" s="338"/>
      <c r="LVH27" s="338"/>
      <c r="LVI27" s="338"/>
      <c r="LVJ27" s="338"/>
      <c r="LVK27" s="338"/>
      <c r="LVL27" s="338"/>
      <c r="LVM27" s="338"/>
      <c r="LVN27" s="338"/>
      <c r="LVO27" s="338"/>
      <c r="LVP27" s="338"/>
      <c r="LVQ27" s="338"/>
      <c r="LVR27" s="338"/>
      <c r="LVS27" s="338"/>
      <c r="LVT27" s="338"/>
      <c r="LVU27" s="338"/>
      <c r="LVV27" s="338"/>
      <c r="LVW27" s="338"/>
      <c r="LVX27" s="338"/>
      <c r="LVY27" s="338"/>
      <c r="LVZ27" s="338"/>
      <c r="LWA27" s="338"/>
      <c r="LWB27" s="338"/>
      <c r="LWC27" s="338"/>
      <c r="LWD27" s="338"/>
      <c r="LWE27" s="338"/>
      <c r="LWF27" s="338"/>
      <c r="LWG27" s="338"/>
      <c r="LWH27" s="338"/>
      <c r="LWI27" s="338"/>
      <c r="LWJ27" s="338"/>
      <c r="LWK27" s="338"/>
      <c r="LWL27" s="338"/>
      <c r="LWM27" s="338"/>
      <c r="LWN27" s="338"/>
      <c r="LWO27" s="338"/>
      <c r="LWP27" s="338"/>
      <c r="LWQ27" s="338"/>
      <c r="LWR27" s="338"/>
      <c r="LWS27" s="338"/>
      <c r="LWT27" s="338"/>
      <c r="LWU27" s="338"/>
      <c r="LWV27" s="338"/>
      <c r="LWW27" s="338"/>
      <c r="LWX27" s="338"/>
      <c r="LWY27" s="338"/>
      <c r="LWZ27" s="338"/>
      <c r="LXA27" s="338"/>
      <c r="LXB27" s="338"/>
      <c r="LXC27" s="338"/>
      <c r="LXD27" s="338"/>
      <c r="LXE27" s="338"/>
      <c r="LXF27" s="338"/>
      <c r="LXG27" s="338"/>
      <c r="LXH27" s="338"/>
      <c r="LXI27" s="338"/>
      <c r="LXJ27" s="338"/>
      <c r="LXK27" s="338"/>
      <c r="LXL27" s="338"/>
      <c r="LXM27" s="338"/>
      <c r="LXN27" s="338"/>
      <c r="LXO27" s="338"/>
      <c r="LXP27" s="338"/>
      <c r="LXQ27" s="338"/>
      <c r="LXR27" s="338"/>
      <c r="LXS27" s="338"/>
      <c r="LXT27" s="338"/>
      <c r="LXU27" s="338"/>
      <c r="LXV27" s="338"/>
      <c r="LXW27" s="338"/>
      <c r="LXX27" s="338"/>
      <c r="LXY27" s="338"/>
      <c r="LXZ27" s="338"/>
      <c r="LYA27" s="338"/>
      <c r="LYB27" s="338"/>
      <c r="LYC27" s="338"/>
      <c r="LYD27" s="338"/>
      <c r="LYE27" s="338"/>
      <c r="LYF27" s="338"/>
      <c r="LYG27" s="338"/>
      <c r="LYH27" s="338"/>
      <c r="LYI27" s="338"/>
      <c r="LYJ27" s="338"/>
      <c r="LYK27" s="338"/>
      <c r="LYL27" s="338"/>
      <c r="LYM27" s="338"/>
      <c r="LYN27" s="338"/>
      <c r="LYO27" s="338"/>
      <c r="LYP27" s="338"/>
      <c r="LYQ27" s="338"/>
      <c r="LYR27" s="338"/>
      <c r="LYS27" s="338"/>
      <c r="LYT27" s="338"/>
      <c r="LYU27" s="338"/>
      <c r="LYV27" s="338"/>
      <c r="LYW27" s="338"/>
      <c r="LYX27" s="338"/>
      <c r="LYY27" s="338"/>
      <c r="LYZ27" s="338"/>
      <c r="LZA27" s="338"/>
      <c r="LZB27" s="338"/>
      <c r="LZC27" s="338"/>
      <c r="LZD27" s="338"/>
      <c r="LZE27" s="338"/>
      <c r="LZF27" s="338"/>
      <c r="LZG27" s="338"/>
      <c r="LZH27" s="338"/>
      <c r="LZI27" s="338"/>
      <c r="LZJ27" s="338"/>
      <c r="LZK27" s="338"/>
      <c r="LZL27" s="338"/>
      <c r="LZM27" s="338"/>
      <c r="LZN27" s="338"/>
      <c r="LZO27" s="338"/>
      <c r="LZP27" s="338"/>
      <c r="LZQ27" s="338"/>
      <c r="LZR27" s="338"/>
      <c r="LZS27" s="338"/>
      <c r="LZT27" s="338"/>
      <c r="LZU27" s="338"/>
      <c r="LZV27" s="338"/>
      <c r="LZW27" s="338"/>
      <c r="LZX27" s="338"/>
      <c r="LZY27" s="338"/>
      <c r="LZZ27" s="338"/>
      <c r="MAA27" s="338"/>
      <c r="MAB27" s="338"/>
      <c r="MAC27" s="338"/>
      <c r="MAD27" s="338"/>
      <c r="MAE27" s="338"/>
      <c r="MAF27" s="338"/>
      <c r="MAG27" s="338"/>
      <c r="MAH27" s="338"/>
      <c r="MAI27" s="338"/>
      <c r="MAJ27" s="338"/>
      <c r="MAK27" s="338"/>
      <c r="MAL27" s="338"/>
      <c r="MAM27" s="338"/>
      <c r="MAN27" s="338"/>
      <c r="MAO27" s="338"/>
      <c r="MAP27" s="338"/>
      <c r="MAQ27" s="338"/>
      <c r="MAR27" s="338"/>
      <c r="MAS27" s="338"/>
      <c r="MAT27" s="338"/>
      <c r="MAU27" s="338"/>
      <c r="MAV27" s="338"/>
      <c r="MAW27" s="338"/>
      <c r="MAX27" s="338"/>
      <c r="MAY27" s="338"/>
      <c r="MAZ27" s="338"/>
      <c r="MBA27" s="338"/>
      <c r="MBB27" s="338"/>
      <c r="MBC27" s="338"/>
      <c r="MBD27" s="338"/>
      <c r="MBE27" s="338"/>
      <c r="MBF27" s="338"/>
      <c r="MBG27" s="338"/>
      <c r="MBH27" s="338"/>
      <c r="MBI27" s="338"/>
      <c r="MBJ27" s="338"/>
      <c r="MBK27" s="338"/>
      <c r="MBL27" s="338"/>
      <c r="MBM27" s="338"/>
      <c r="MBN27" s="338"/>
      <c r="MBO27" s="338"/>
      <c r="MBP27" s="338"/>
      <c r="MBQ27" s="338"/>
      <c r="MBR27" s="338"/>
      <c r="MBS27" s="338"/>
      <c r="MBT27" s="338"/>
      <c r="MBU27" s="338"/>
      <c r="MBV27" s="338"/>
      <c r="MBW27" s="338"/>
      <c r="MBX27" s="338"/>
      <c r="MBY27" s="338"/>
      <c r="MBZ27" s="338"/>
      <c r="MCA27" s="338"/>
      <c r="MCB27" s="338"/>
      <c r="MCC27" s="338"/>
      <c r="MCD27" s="338"/>
      <c r="MCE27" s="338"/>
      <c r="MCF27" s="338"/>
      <c r="MCG27" s="338"/>
      <c r="MCH27" s="338"/>
      <c r="MCI27" s="338"/>
      <c r="MCJ27" s="338"/>
      <c r="MCK27" s="338"/>
      <c r="MCL27" s="338"/>
      <c r="MCM27" s="338"/>
      <c r="MCN27" s="338"/>
      <c r="MCO27" s="338"/>
      <c r="MCP27" s="338"/>
      <c r="MCQ27" s="338"/>
      <c r="MCR27" s="338"/>
      <c r="MCS27" s="338"/>
      <c r="MCT27" s="338"/>
      <c r="MCU27" s="338"/>
      <c r="MCV27" s="338"/>
      <c r="MCW27" s="338"/>
      <c r="MCX27" s="338"/>
      <c r="MCY27" s="338"/>
      <c r="MCZ27" s="338"/>
      <c r="MDA27" s="338"/>
      <c r="MDB27" s="338"/>
      <c r="MDC27" s="338"/>
      <c r="MDD27" s="338"/>
      <c r="MDE27" s="338"/>
      <c r="MDF27" s="338"/>
      <c r="MDG27" s="338"/>
      <c r="MDH27" s="338"/>
      <c r="MDI27" s="338"/>
      <c r="MDJ27" s="338"/>
      <c r="MDK27" s="338"/>
      <c r="MDL27" s="338"/>
      <c r="MDM27" s="338"/>
      <c r="MDN27" s="338"/>
      <c r="MDO27" s="338"/>
      <c r="MDP27" s="338"/>
      <c r="MDQ27" s="338"/>
      <c r="MDR27" s="338"/>
      <c r="MDS27" s="338"/>
      <c r="MDT27" s="338"/>
      <c r="MDU27" s="338"/>
      <c r="MDV27" s="338"/>
      <c r="MDW27" s="338"/>
      <c r="MDX27" s="338"/>
      <c r="MDY27" s="338"/>
      <c r="MDZ27" s="338"/>
      <c r="MEA27" s="338"/>
      <c r="MEB27" s="338"/>
      <c r="MEC27" s="338"/>
      <c r="MED27" s="338"/>
      <c r="MEE27" s="338"/>
      <c r="MEF27" s="338"/>
      <c r="MEG27" s="338"/>
      <c r="MEH27" s="338"/>
      <c r="MEI27" s="338"/>
      <c r="MEJ27" s="338"/>
      <c r="MEK27" s="338"/>
      <c r="MEL27" s="338"/>
      <c r="MEM27" s="338"/>
      <c r="MEN27" s="338"/>
      <c r="MEO27" s="338"/>
      <c r="MEP27" s="338"/>
      <c r="MEQ27" s="338"/>
      <c r="MER27" s="338"/>
      <c r="MES27" s="338"/>
      <c r="MET27" s="338"/>
      <c r="MEU27" s="338"/>
      <c r="MEV27" s="338"/>
      <c r="MEW27" s="338"/>
      <c r="MEX27" s="338"/>
      <c r="MEY27" s="338"/>
      <c r="MEZ27" s="338"/>
      <c r="MFA27" s="338"/>
      <c r="MFB27" s="338"/>
      <c r="MFC27" s="338"/>
      <c r="MFD27" s="338"/>
      <c r="MFE27" s="338"/>
      <c r="MFF27" s="338"/>
      <c r="MFG27" s="338"/>
      <c r="MFH27" s="338"/>
      <c r="MFI27" s="338"/>
      <c r="MFJ27" s="338"/>
      <c r="MFK27" s="338"/>
      <c r="MFL27" s="338"/>
      <c r="MFM27" s="338"/>
      <c r="MFN27" s="338"/>
      <c r="MFO27" s="338"/>
      <c r="MFP27" s="338"/>
      <c r="MFQ27" s="338"/>
      <c r="MFR27" s="338"/>
      <c r="MFS27" s="338"/>
      <c r="MFT27" s="338"/>
      <c r="MFU27" s="338"/>
      <c r="MFV27" s="338"/>
      <c r="MFW27" s="338"/>
      <c r="MFX27" s="338"/>
      <c r="MFY27" s="338"/>
      <c r="MFZ27" s="338"/>
      <c r="MGA27" s="338"/>
      <c r="MGB27" s="338"/>
      <c r="MGC27" s="338"/>
      <c r="MGD27" s="338"/>
      <c r="MGE27" s="338"/>
      <c r="MGF27" s="338"/>
      <c r="MGG27" s="338"/>
      <c r="MGH27" s="338"/>
      <c r="MGI27" s="338"/>
      <c r="MGJ27" s="338"/>
      <c r="MGK27" s="338"/>
      <c r="MGL27" s="338"/>
      <c r="MGM27" s="338"/>
      <c r="MGN27" s="338"/>
      <c r="MGO27" s="338"/>
      <c r="MGP27" s="338"/>
      <c r="MGQ27" s="338"/>
      <c r="MGR27" s="338"/>
      <c r="MGS27" s="338"/>
      <c r="MGT27" s="338"/>
      <c r="MGU27" s="338"/>
      <c r="MGV27" s="338"/>
      <c r="MGW27" s="338"/>
      <c r="MGX27" s="338"/>
      <c r="MGY27" s="338"/>
      <c r="MGZ27" s="338"/>
      <c r="MHA27" s="338"/>
      <c r="MHB27" s="338"/>
      <c r="MHC27" s="338"/>
      <c r="MHD27" s="338"/>
      <c r="MHE27" s="338"/>
      <c r="MHF27" s="338"/>
      <c r="MHG27" s="338"/>
      <c r="MHH27" s="338"/>
      <c r="MHI27" s="338"/>
      <c r="MHJ27" s="338"/>
      <c r="MHK27" s="338"/>
      <c r="MHL27" s="338"/>
      <c r="MHM27" s="338"/>
      <c r="MHN27" s="338"/>
      <c r="MHO27" s="338"/>
      <c r="MHP27" s="338"/>
      <c r="MHQ27" s="338"/>
      <c r="MHR27" s="338"/>
      <c r="MHS27" s="338"/>
      <c r="MHT27" s="338"/>
      <c r="MHU27" s="338"/>
      <c r="MHV27" s="338"/>
      <c r="MHW27" s="338"/>
      <c r="MHX27" s="338"/>
      <c r="MHY27" s="338"/>
      <c r="MHZ27" s="338"/>
      <c r="MIA27" s="338"/>
      <c r="MIB27" s="338"/>
      <c r="MIC27" s="338"/>
      <c r="MID27" s="338"/>
      <c r="MIE27" s="338"/>
      <c r="MIF27" s="338"/>
      <c r="MIG27" s="338"/>
      <c r="MIH27" s="338"/>
      <c r="MII27" s="338"/>
      <c r="MIJ27" s="338"/>
      <c r="MIK27" s="338"/>
      <c r="MIL27" s="338"/>
      <c r="MIM27" s="338"/>
      <c r="MIN27" s="338"/>
      <c r="MIO27" s="338"/>
      <c r="MIP27" s="338"/>
      <c r="MIQ27" s="338"/>
      <c r="MIR27" s="338"/>
      <c r="MIS27" s="338"/>
      <c r="MIT27" s="338"/>
      <c r="MIU27" s="338"/>
      <c r="MIV27" s="338"/>
      <c r="MIW27" s="338"/>
      <c r="MIX27" s="338"/>
      <c r="MIY27" s="338"/>
      <c r="MIZ27" s="338"/>
      <c r="MJA27" s="338"/>
      <c r="MJB27" s="338"/>
      <c r="MJC27" s="338"/>
      <c r="MJD27" s="338"/>
      <c r="MJE27" s="338"/>
      <c r="MJF27" s="338"/>
      <c r="MJG27" s="338"/>
      <c r="MJH27" s="338"/>
      <c r="MJI27" s="338"/>
      <c r="MJJ27" s="338"/>
      <c r="MJK27" s="338"/>
      <c r="MJL27" s="338"/>
      <c r="MJM27" s="338"/>
      <c r="MJN27" s="338"/>
      <c r="MJO27" s="338"/>
      <c r="MJP27" s="338"/>
      <c r="MJQ27" s="338"/>
      <c r="MJR27" s="338"/>
      <c r="MJS27" s="338"/>
      <c r="MJT27" s="338"/>
      <c r="MJU27" s="338"/>
      <c r="MJV27" s="338"/>
      <c r="MJW27" s="338"/>
      <c r="MJX27" s="338"/>
      <c r="MJY27" s="338"/>
      <c r="MJZ27" s="338"/>
      <c r="MKA27" s="338"/>
      <c r="MKB27" s="338"/>
      <c r="MKC27" s="338"/>
      <c r="MKD27" s="338"/>
      <c r="MKE27" s="338"/>
      <c r="MKF27" s="338"/>
      <c r="MKG27" s="338"/>
      <c r="MKH27" s="338"/>
      <c r="MKI27" s="338"/>
      <c r="MKJ27" s="338"/>
      <c r="MKK27" s="338"/>
      <c r="MKL27" s="338"/>
      <c r="MKM27" s="338"/>
      <c r="MKN27" s="338"/>
      <c r="MKO27" s="338"/>
      <c r="MKP27" s="338"/>
      <c r="MKQ27" s="338"/>
      <c r="MKR27" s="338"/>
      <c r="MKS27" s="338"/>
      <c r="MKT27" s="338"/>
      <c r="MKU27" s="338"/>
      <c r="MKV27" s="338"/>
      <c r="MKW27" s="338"/>
      <c r="MKX27" s="338"/>
      <c r="MKY27" s="338"/>
      <c r="MKZ27" s="338"/>
      <c r="MLA27" s="338"/>
      <c r="MLB27" s="338"/>
      <c r="MLC27" s="338"/>
      <c r="MLD27" s="338"/>
      <c r="MLE27" s="338"/>
      <c r="MLF27" s="338"/>
      <c r="MLG27" s="338"/>
      <c r="MLH27" s="338"/>
      <c r="MLI27" s="338"/>
      <c r="MLJ27" s="338"/>
      <c r="MLK27" s="338"/>
      <c r="MLL27" s="338"/>
      <c r="MLM27" s="338"/>
      <c r="MLN27" s="338"/>
      <c r="MLO27" s="338"/>
      <c r="MLP27" s="338"/>
      <c r="MLQ27" s="338"/>
      <c r="MLR27" s="338"/>
      <c r="MLS27" s="338"/>
      <c r="MLT27" s="338"/>
      <c r="MLU27" s="338"/>
      <c r="MLV27" s="338"/>
      <c r="MLW27" s="338"/>
      <c r="MLX27" s="338"/>
      <c r="MLY27" s="338"/>
      <c r="MLZ27" s="338"/>
      <c r="MMA27" s="338"/>
      <c r="MMB27" s="338"/>
      <c r="MMC27" s="338"/>
      <c r="MMD27" s="338"/>
      <c r="MME27" s="338"/>
      <c r="MMF27" s="338"/>
      <c r="MMG27" s="338"/>
      <c r="MMH27" s="338"/>
      <c r="MMI27" s="338"/>
      <c r="MMJ27" s="338"/>
      <c r="MMK27" s="338"/>
      <c r="MML27" s="338"/>
      <c r="MMM27" s="338"/>
      <c r="MMN27" s="338"/>
      <c r="MMO27" s="338"/>
      <c r="MMP27" s="338"/>
      <c r="MMQ27" s="338"/>
      <c r="MMR27" s="338"/>
      <c r="MMS27" s="338"/>
      <c r="MMT27" s="338"/>
      <c r="MMU27" s="338"/>
      <c r="MMV27" s="338"/>
      <c r="MMW27" s="338"/>
      <c r="MMX27" s="338"/>
      <c r="MMY27" s="338"/>
      <c r="MMZ27" s="338"/>
      <c r="MNA27" s="338"/>
      <c r="MNB27" s="338"/>
      <c r="MNC27" s="338"/>
      <c r="MND27" s="338"/>
      <c r="MNE27" s="338"/>
      <c r="MNF27" s="338"/>
      <c r="MNG27" s="338"/>
      <c r="MNH27" s="338"/>
      <c r="MNI27" s="338"/>
      <c r="MNJ27" s="338"/>
      <c r="MNK27" s="338"/>
      <c r="MNL27" s="338"/>
      <c r="MNM27" s="338"/>
      <c r="MNN27" s="338"/>
      <c r="MNO27" s="338"/>
      <c r="MNP27" s="338"/>
      <c r="MNQ27" s="338"/>
      <c r="MNR27" s="338"/>
      <c r="MNS27" s="338"/>
      <c r="MNT27" s="338"/>
      <c r="MNU27" s="338"/>
      <c r="MNV27" s="338"/>
      <c r="MNW27" s="338"/>
      <c r="MNX27" s="338"/>
      <c r="MNY27" s="338"/>
      <c r="MNZ27" s="338"/>
      <c r="MOA27" s="338"/>
      <c r="MOB27" s="338"/>
      <c r="MOC27" s="338"/>
      <c r="MOD27" s="338"/>
      <c r="MOE27" s="338"/>
      <c r="MOF27" s="338"/>
      <c r="MOG27" s="338"/>
      <c r="MOH27" s="338"/>
      <c r="MOI27" s="338"/>
      <c r="MOJ27" s="338"/>
      <c r="MOK27" s="338"/>
      <c r="MOL27" s="338"/>
      <c r="MOM27" s="338"/>
      <c r="MON27" s="338"/>
      <c r="MOO27" s="338"/>
      <c r="MOP27" s="338"/>
      <c r="MOQ27" s="338"/>
      <c r="MOR27" s="338"/>
      <c r="MOS27" s="338"/>
      <c r="MOT27" s="338"/>
      <c r="MOU27" s="338"/>
      <c r="MOV27" s="338"/>
      <c r="MOW27" s="338"/>
      <c r="MOX27" s="338"/>
      <c r="MOY27" s="338"/>
      <c r="MOZ27" s="338"/>
      <c r="MPA27" s="338"/>
      <c r="MPB27" s="338"/>
      <c r="MPC27" s="338"/>
      <c r="MPD27" s="338"/>
      <c r="MPE27" s="338"/>
      <c r="MPF27" s="338"/>
      <c r="MPG27" s="338"/>
      <c r="MPH27" s="338"/>
      <c r="MPI27" s="338"/>
      <c r="MPJ27" s="338"/>
      <c r="MPK27" s="338"/>
      <c r="MPL27" s="338"/>
      <c r="MPM27" s="338"/>
      <c r="MPN27" s="338"/>
      <c r="MPO27" s="338"/>
      <c r="MPP27" s="338"/>
      <c r="MPQ27" s="338"/>
      <c r="MPR27" s="338"/>
      <c r="MPS27" s="338"/>
      <c r="MPT27" s="338"/>
      <c r="MPU27" s="338"/>
      <c r="MPV27" s="338"/>
      <c r="MPW27" s="338"/>
      <c r="MPX27" s="338"/>
      <c r="MPY27" s="338"/>
      <c r="MPZ27" s="338"/>
      <c r="MQA27" s="338"/>
      <c r="MQB27" s="338"/>
      <c r="MQC27" s="338"/>
      <c r="MQD27" s="338"/>
      <c r="MQE27" s="338"/>
      <c r="MQF27" s="338"/>
      <c r="MQG27" s="338"/>
      <c r="MQH27" s="338"/>
      <c r="MQI27" s="338"/>
      <c r="MQJ27" s="338"/>
      <c r="MQK27" s="338"/>
      <c r="MQL27" s="338"/>
      <c r="MQM27" s="338"/>
      <c r="MQN27" s="338"/>
      <c r="MQO27" s="338"/>
      <c r="MQP27" s="338"/>
      <c r="MQQ27" s="338"/>
      <c r="MQR27" s="338"/>
      <c r="MQS27" s="338"/>
      <c r="MQT27" s="338"/>
      <c r="MQU27" s="338"/>
      <c r="MQV27" s="338"/>
      <c r="MQW27" s="338"/>
      <c r="MQX27" s="338"/>
      <c r="MQY27" s="338"/>
      <c r="MQZ27" s="338"/>
      <c r="MRA27" s="338"/>
      <c r="MRB27" s="338"/>
      <c r="MRC27" s="338"/>
      <c r="MRD27" s="338"/>
      <c r="MRE27" s="338"/>
      <c r="MRF27" s="338"/>
      <c r="MRG27" s="338"/>
      <c r="MRH27" s="338"/>
      <c r="MRI27" s="338"/>
      <c r="MRJ27" s="338"/>
      <c r="MRK27" s="338"/>
      <c r="MRL27" s="338"/>
      <c r="MRM27" s="338"/>
      <c r="MRN27" s="338"/>
      <c r="MRO27" s="338"/>
      <c r="MRP27" s="338"/>
      <c r="MRQ27" s="338"/>
      <c r="MRR27" s="338"/>
      <c r="MRS27" s="338"/>
      <c r="MRT27" s="338"/>
      <c r="MRU27" s="338"/>
      <c r="MRV27" s="338"/>
      <c r="MRW27" s="338"/>
      <c r="MRX27" s="338"/>
      <c r="MRY27" s="338"/>
      <c r="MRZ27" s="338"/>
      <c r="MSA27" s="338"/>
      <c r="MSB27" s="338"/>
      <c r="MSC27" s="338"/>
      <c r="MSD27" s="338"/>
      <c r="MSE27" s="338"/>
      <c r="MSF27" s="338"/>
      <c r="MSG27" s="338"/>
      <c r="MSH27" s="338"/>
      <c r="MSI27" s="338"/>
      <c r="MSJ27" s="338"/>
      <c r="MSK27" s="338"/>
      <c r="MSL27" s="338"/>
      <c r="MSM27" s="338"/>
      <c r="MSN27" s="338"/>
      <c r="MSO27" s="338"/>
      <c r="MSP27" s="338"/>
      <c r="MSQ27" s="338"/>
      <c r="MSR27" s="338"/>
      <c r="MSS27" s="338"/>
      <c r="MST27" s="338"/>
      <c r="MSU27" s="338"/>
      <c r="MSV27" s="338"/>
      <c r="MSW27" s="338"/>
      <c r="MSX27" s="338"/>
      <c r="MSY27" s="338"/>
      <c r="MSZ27" s="338"/>
      <c r="MTA27" s="338"/>
      <c r="MTB27" s="338"/>
      <c r="MTC27" s="338"/>
      <c r="MTD27" s="338"/>
      <c r="MTE27" s="338"/>
      <c r="MTF27" s="338"/>
      <c r="MTG27" s="338"/>
      <c r="MTH27" s="338"/>
      <c r="MTI27" s="338"/>
      <c r="MTJ27" s="338"/>
      <c r="MTK27" s="338"/>
      <c r="MTL27" s="338"/>
      <c r="MTM27" s="338"/>
      <c r="MTN27" s="338"/>
      <c r="MTO27" s="338"/>
      <c r="MTP27" s="338"/>
      <c r="MTQ27" s="338"/>
      <c r="MTR27" s="338"/>
      <c r="MTS27" s="338"/>
      <c r="MTT27" s="338"/>
      <c r="MTU27" s="338"/>
      <c r="MTV27" s="338"/>
      <c r="MTW27" s="338"/>
      <c r="MTX27" s="338"/>
      <c r="MTY27" s="338"/>
      <c r="MTZ27" s="338"/>
      <c r="MUA27" s="338"/>
      <c r="MUB27" s="338"/>
      <c r="MUC27" s="338"/>
      <c r="MUD27" s="338"/>
      <c r="MUE27" s="338"/>
      <c r="MUF27" s="338"/>
      <c r="MUG27" s="338"/>
      <c r="MUH27" s="338"/>
      <c r="MUI27" s="338"/>
      <c r="MUJ27" s="338"/>
      <c r="MUK27" s="338"/>
      <c r="MUL27" s="338"/>
      <c r="MUM27" s="338"/>
      <c r="MUN27" s="338"/>
      <c r="MUO27" s="338"/>
      <c r="MUP27" s="338"/>
      <c r="MUQ27" s="338"/>
      <c r="MUR27" s="338"/>
      <c r="MUS27" s="338"/>
      <c r="MUT27" s="338"/>
      <c r="MUU27" s="338"/>
      <c r="MUV27" s="338"/>
      <c r="MUW27" s="338"/>
      <c r="MUX27" s="338"/>
      <c r="MUY27" s="338"/>
      <c r="MUZ27" s="338"/>
      <c r="MVA27" s="338"/>
      <c r="MVB27" s="338"/>
      <c r="MVC27" s="338"/>
      <c r="MVD27" s="338"/>
      <c r="MVE27" s="338"/>
      <c r="MVF27" s="338"/>
      <c r="MVG27" s="338"/>
      <c r="MVH27" s="338"/>
      <c r="MVI27" s="338"/>
      <c r="MVJ27" s="338"/>
      <c r="MVK27" s="338"/>
      <c r="MVL27" s="338"/>
      <c r="MVM27" s="338"/>
      <c r="MVN27" s="338"/>
      <c r="MVO27" s="338"/>
      <c r="MVP27" s="338"/>
      <c r="MVQ27" s="338"/>
      <c r="MVR27" s="338"/>
      <c r="MVS27" s="338"/>
      <c r="MVT27" s="338"/>
      <c r="MVU27" s="338"/>
      <c r="MVV27" s="338"/>
      <c r="MVW27" s="338"/>
      <c r="MVX27" s="338"/>
      <c r="MVY27" s="338"/>
      <c r="MVZ27" s="338"/>
      <c r="MWA27" s="338"/>
      <c r="MWB27" s="338"/>
      <c r="MWC27" s="338"/>
      <c r="MWD27" s="338"/>
      <c r="MWE27" s="338"/>
      <c r="MWF27" s="338"/>
      <c r="MWG27" s="338"/>
      <c r="MWH27" s="338"/>
      <c r="MWI27" s="338"/>
      <c r="MWJ27" s="338"/>
      <c r="MWK27" s="338"/>
      <c r="MWL27" s="338"/>
      <c r="MWM27" s="338"/>
      <c r="MWN27" s="338"/>
      <c r="MWO27" s="338"/>
      <c r="MWP27" s="338"/>
      <c r="MWQ27" s="338"/>
      <c r="MWR27" s="338"/>
      <c r="MWS27" s="338"/>
      <c r="MWT27" s="338"/>
      <c r="MWU27" s="338"/>
      <c r="MWV27" s="338"/>
      <c r="MWW27" s="338"/>
      <c r="MWX27" s="338"/>
      <c r="MWY27" s="338"/>
      <c r="MWZ27" s="338"/>
      <c r="MXA27" s="338"/>
      <c r="MXB27" s="338"/>
      <c r="MXC27" s="338"/>
      <c r="MXD27" s="338"/>
      <c r="MXE27" s="338"/>
      <c r="MXF27" s="338"/>
      <c r="MXG27" s="338"/>
      <c r="MXH27" s="338"/>
      <c r="MXI27" s="338"/>
      <c r="MXJ27" s="338"/>
      <c r="MXK27" s="338"/>
      <c r="MXL27" s="338"/>
      <c r="MXM27" s="338"/>
      <c r="MXN27" s="338"/>
      <c r="MXO27" s="338"/>
      <c r="MXP27" s="338"/>
      <c r="MXQ27" s="338"/>
      <c r="MXR27" s="338"/>
      <c r="MXS27" s="338"/>
      <c r="MXT27" s="338"/>
      <c r="MXU27" s="338"/>
      <c r="MXV27" s="338"/>
      <c r="MXW27" s="338"/>
      <c r="MXX27" s="338"/>
      <c r="MXY27" s="338"/>
      <c r="MXZ27" s="338"/>
      <c r="MYA27" s="338"/>
      <c r="MYB27" s="338"/>
      <c r="MYC27" s="338"/>
      <c r="MYD27" s="338"/>
      <c r="MYE27" s="338"/>
      <c r="MYF27" s="338"/>
      <c r="MYG27" s="338"/>
      <c r="MYH27" s="338"/>
      <c r="MYI27" s="338"/>
      <c r="MYJ27" s="338"/>
      <c r="MYK27" s="338"/>
      <c r="MYL27" s="338"/>
      <c r="MYM27" s="338"/>
      <c r="MYN27" s="338"/>
      <c r="MYO27" s="338"/>
      <c r="MYP27" s="338"/>
      <c r="MYQ27" s="338"/>
      <c r="MYR27" s="338"/>
      <c r="MYS27" s="338"/>
      <c r="MYT27" s="338"/>
      <c r="MYU27" s="338"/>
      <c r="MYV27" s="338"/>
      <c r="MYW27" s="338"/>
      <c r="MYX27" s="338"/>
      <c r="MYY27" s="338"/>
      <c r="MYZ27" s="338"/>
      <c r="MZA27" s="338"/>
      <c r="MZB27" s="338"/>
      <c r="MZC27" s="338"/>
      <c r="MZD27" s="338"/>
      <c r="MZE27" s="338"/>
      <c r="MZF27" s="338"/>
      <c r="MZG27" s="338"/>
      <c r="MZH27" s="338"/>
      <c r="MZI27" s="338"/>
      <c r="MZJ27" s="338"/>
      <c r="MZK27" s="338"/>
      <c r="MZL27" s="338"/>
      <c r="MZM27" s="338"/>
      <c r="MZN27" s="338"/>
      <c r="MZO27" s="338"/>
      <c r="MZP27" s="338"/>
      <c r="MZQ27" s="338"/>
      <c r="MZR27" s="338"/>
      <c r="MZS27" s="338"/>
      <c r="MZT27" s="338"/>
      <c r="MZU27" s="338"/>
      <c r="MZV27" s="338"/>
      <c r="MZW27" s="338"/>
      <c r="MZX27" s="338"/>
      <c r="MZY27" s="338"/>
      <c r="MZZ27" s="338"/>
      <c r="NAA27" s="338"/>
      <c r="NAB27" s="338"/>
      <c r="NAC27" s="338"/>
      <c r="NAD27" s="338"/>
      <c r="NAE27" s="338"/>
      <c r="NAF27" s="338"/>
      <c r="NAG27" s="338"/>
      <c r="NAH27" s="338"/>
      <c r="NAI27" s="338"/>
      <c r="NAJ27" s="338"/>
      <c r="NAK27" s="338"/>
      <c r="NAL27" s="338"/>
      <c r="NAM27" s="338"/>
      <c r="NAN27" s="338"/>
      <c r="NAO27" s="338"/>
      <c r="NAP27" s="338"/>
      <c r="NAQ27" s="338"/>
      <c r="NAR27" s="338"/>
      <c r="NAS27" s="338"/>
      <c r="NAT27" s="338"/>
      <c r="NAU27" s="338"/>
      <c r="NAV27" s="338"/>
      <c r="NAW27" s="338"/>
      <c r="NAX27" s="338"/>
      <c r="NAY27" s="338"/>
      <c r="NAZ27" s="338"/>
      <c r="NBA27" s="338"/>
      <c r="NBB27" s="338"/>
      <c r="NBC27" s="338"/>
      <c r="NBD27" s="338"/>
      <c r="NBE27" s="338"/>
      <c r="NBF27" s="338"/>
      <c r="NBG27" s="338"/>
      <c r="NBH27" s="338"/>
      <c r="NBI27" s="338"/>
      <c r="NBJ27" s="338"/>
      <c r="NBK27" s="338"/>
      <c r="NBL27" s="338"/>
      <c r="NBM27" s="338"/>
      <c r="NBN27" s="338"/>
      <c r="NBO27" s="338"/>
      <c r="NBP27" s="338"/>
      <c r="NBQ27" s="338"/>
      <c r="NBR27" s="338"/>
      <c r="NBS27" s="338"/>
      <c r="NBT27" s="338"/>
      <c r="NBU27" s="338"/>
      <c r="NBV27" s="338"/>
      <c r="NBW27" s="338"/>
      <c r="NBX27" s="338"/>
      <c r="NBY27" s="338"/>
      <c r="NBZ27" s="338"/>
      <c r="NCA27" s="338"/>
      <c r="NCB27" s="338"/>
      <c r="NCC27" s="338"/>
      <c r="NCD27" s="338"/>
      <c r="NCE27" s="338"/>
      <c r="NCF27" s="338"/>
      <c r="NCG27" s="338"/>
      <c r="NCH27" s="338"/>
      <c r="NCI27" s="338"/>
      <c r="NCJ27" s="338"/>
      <c r="NCK27" s="338"/>
      <c r="NCL27" s="338"/>
      <c r="NCM27" s="338"/>
      <c r="NCN27" s="338"/>
      <c r="NCO27" s="338"/>
      <c r="NCP27" s="338"/>
      <c r="NCQ27" s="338"/>
      <c r="NCR27" s="338"/>
      <c r="NCS27" s="338"/>
      <c r="NCT27" s="338"/>
      <c r="NCU27" s="338"/>
      <c r="NCV27" s="338"/>
      <c r="NCW27" s="338"/>
      <c r="NCX27" s="338"/>
      <c r="NCY27" s="338"/>
      <c r="NCZ27" s="338"/>
      <c r="NDA27" s="338"/>
      <c r="NDB27" s="338"/>
      <c r="NDC27" s="338"/>
      <c r="NDD27" s="338"/>
      <c r="NDE27" s="338"/>
      <c r="NDF27" s="338"/>
      <c r="NDG27" s="338"/>
      <c r="NDH27" s="338"/>
      <c r="NDI27" s="338"/>
      <c r="NDJ27" s="338"/>
      <c r="NDK27" s="338"/>
      <c r="NDL27" s="338"/>
      <c r="NDM27" s="338"/>
      <c r="NDN27" s="338"/>
      <c r="NDO27" s="338"/>
      <c r="NDP27" s="338"/>
      <c r="NDQ27" s="338"/>
      <c r="NDR27" s="338"/>
      <c r="NDS27" s="338"/>
      <c r="NDT27" s="338"/>
      <c r="NDU27" s="338"/>
      <c r="NDV27" s="338"/>
      <c r="NDW27" s="338"/>
      <c r="NDX27" s="338"/>
      <c r="NDY27" s="338"/>
      <c r="NDZ27" s="338"/>
      <c r="NEA27" s="338"/>
      <c r="NEB27" s="338"/>
      <c r="NEC27" s="338"/>
      <c r="NED27" s="338"/>
      <c r="NEE27" s="338"/>
      <c r="NEF27" s="338"/>
      <c r="NEG27" s="338"/>
      <c r="NEH27" s="338"/>
      <c r="NEI27" s="338"/>
      <c r="NEJ27" s="338"/>
      <c r="NEK27" s="338"/>
      <c r="NEL27" s="338"/>
      <c r="NEM27" s="338"/>
      <c r="NEN27" s="338"/>
      <c r="NEO27" s="338"/>
      <c r="NEP27" s="338"/>
      <c r="NEQ27" s="338"/>
      <c r="NER27" s="338"/>
      <c r="NES27" s="338"/>
      <c r="NET27" s="338"/>
      <c r="NEU27" s="338"/>
      <c r="NEV27" s="338"/>
      <c r="NEW27" s="338"/>
      <c r="NEX27" s="338"/>
      <c r="NEY27" s="338"/>
      <c r="NEZ27" s="338"/>
      <c r="NFA27" s="338"/>
      <c r="NFB27" s="338"/>
      <c r="NFC27" s="338"/>
      <c r="NFD27" s="338"/>
      <c r="NFE27" s="338"/>
      <c r="NFF27" s="338"/>
      <c r="NFG27" s="338"/>
      <c r="NFH27" s="338"/>
      <c r="NFI27" s="338"/>
      <c r="NFJ27" s="338"/>
      <c r="NFK27" s="338"/>
      <c r="NFL27" s="338"/>
      <c r="NFM27" s="338"/>
      <c r="NFN27" s="338"/>
      <c r="NFO27" s="338"/>
      <c r="NFP27" s="338"/>
      <c r="NFQ27" s="338"/>
      <c r="NFR27" s="338"/>
      <c r="NFS27" s="338"/>
      <c r="NFT27" s="338"/>
      <c r="NFU27" s="338"/>
      <c r="NFV27" s="338"/>
      <c r="NFW27" s="338"/>
      <c r="NFX27" s="338"/>
      <c r="NFY27" s="338"/>
      <c r="NFZ27" s="338"/>
      <c r="NGA27" s="338"/>
      <c r="NGB27" s="338"/>
      <c r="NGC27" s="338"/>
      <c r="NGD27" s="338"/>
      <c r="NGE27" s="338"/>
      <c r="NGF27" s="338"/>
      <c r="NGG27" s="338"/>
      <c r="NGH27" s="338"/>
      <c r="NGI27" s="338"/>
      <c r="NGJ27" s="338"/>
      <c r="NGK27" s="338"/>
      <c r="NGL27" s="338"/>
      <c r="NGM27" s="338"/>
      <c r="NGN27" s="338"/>
      <c r="NGO27" s="338"/>
      <c r="NGP27" s="338"/>
      <c r="NGQ27" s="338"/>
      <c r="NGR27" s="338"/>
      <c r="NGS27" s="338"/>
      <c r="NGT27" s="338"/>
      <c r="NGU27" s="338"/>
      <c r="NGV27" s="338"/>
      <c r="NGW27" s="338"/>
      <c r="NGX27" s="338"/>
      <c r="NGY27" s="338"/>
      <c r="NGZ27" s="338"/>
      <c r="NHA27" s="338"/>
      <c r="NHB27" s="338"/>
      <c r="NHC27" s="338"/>
      <c r="NHD27" s="338"/>
      <c r="NHE27" s="338"/>
      <c r="NHF27" s="338"/>
      <c r="NHG27" s="338"/>
      <c r="NHH27" s="338"/>
      <c r="NHI27" s="338"/>
      <c r="NHJ27" s="338"/>
      <c r="NHK27" s="338"/>
      <c r="NHL27" s="338"/>
      <c r="NHM27" s="338"/>
      <c r="NHN27" s="338"/>
      <c r="NHO27" s="338"/>
      <c r="NHP27" s="338"/>
      <c r="NHQ27" s="338"/>
      <c r="NHR27" s="338"/>
      <c r="NHS27" s="338"/>
      <c r="NHT27" s="338"/>
      <c r="NHU27" s="338"/>
      <c r="NHV27" s="338"/>
      <c r="NHW27" s="338"/>
      <c r="NHX27" s="338"/>
      <c r="NHY27" s="338"/>
      <c r="NHZ27" s="338"/>
      <c r="NIA27" s="338"/>
      <c r="NIB27" s="338"/>
      <c r="NIC27" s="338"/>
      <c r="NID27" s="338"/>
      <c r="NIE27" s="338"/>
      <c r="NIF27" s="338"/>
      <c r="NIG27" s="338"/>
      <c r="NIH27" s="338"/>
      <c r="NII27" s="338"/>
      <c r="NIJ27" s="338"/>
      <c r="NIK27" s="338"/>
      <c r="NIL27" s="338"/>
      <c r="NIM27" s="338"/>
      <c r="NIN27" s="338"/>
      <c r="NIO27" s="338"/>
      <c r="NIP27" s="338"/>
      <c r="NIQ27" s="338"/>
      <c r="NIR27" s="338"/>
      <c r="NIS27" s="338"/>
      <c r="NIT27" s="338"/>
      <c r="NIU27" s="338"/>
      <c r="NIV27" s="338"/>
      <c r="NIW27" s="338"/>
      <c r="NIX27" s="338"/>
      <c r="NIY27" s="338"/>
      <c r="NIZ27" s="338"/>
      <c r="NJA27" s="338"/>
      <c r="NJB27" s="338"/>
      <c r="NJC27" s="338"/>
      <c r="NJD27" s="338"/>
      <c r="NJE27" s="338"/>
      <c r="NJF27" s="338"/>
      <c r="NJG27" s="338"/>
      <c r="NJH27" s="338"/>
      <c r="NJI27" s="338"/>
      <c r="NJJ27" s="338"/>
      <c r="NJK27" s="338"/>
      <c r="NJL27" s="338"/>
      <c r="NJM27" s="338"/>
      <c r="NJN27" s="338"/>
      <c r="NJO27" s="338"/>
      <c r="NJP27" s="338"/>
      <c r="NJQ27" s="338"/>
      <c r="NJR27" s="338"/>
      <c r="NJS27" s="338"/>
      <c r="NJT27" s="338"/>
      <c r="NJU27" s="338"/>
      <c r="NJV27" s="338"/>
      <c r="NJW27" s="338"/>
      <c r="NJX27" s="338"/>
      <c r="NJY27" s="338"/>
      <c r="NJZ27" s="338"/>
      <c r="NKA27" s="338"/>
      <c r="NKB27" s="338"/>
      <c r="NKC27" s="338"/>
      <c r="NKD27" s="338"/>
      <c r="NKE27" s="338"/>
      <c r="NKF27" s="338"/>
      <c r="NKG27" s="338"/>
      <c r="NKH27" s="338"/>
      <c r="NKI27" s="338"/>
      <c r="NKJ27" s="338"/>
      <c r="NKK27" s="338"/>
      <c r="NKL27" s="338"/>
      <c r="NKM27" s="338"/>
      <c r="NKN27" s="338"/>
      <c r="NKO27" s="338"/>
      <c r="NKP27" s="338"/>
      <c r="NKQ27" s="338"/>
      <c r="NKR27" s="338"/>
      <c r="NKS27" s="338"/>
      <c r="NKT27" s="338"/>
      <c r="NKU27" s="338"/>
      <c r="NKV27" s="338"/>
      <c r="NKW27" s="338"/>
      <c r="NKX27" s="338"/>
      <c r="NKY27" s="338"/>
      <c r="NKZ27" s="338"/>
      <c r="NLA27" s="338"/>
      <c r="NLB27" s="338"/>
      <c r="NLC27" s="338"/>
      <c r="NLD27" s="338"/>
      <c r="NLE27" s="338"/>
      <c r="NLF27" s="338"/>
      <c r="NLG27" s="338"/>
      <c r="NLH27" s="338"/>
      <c r="NLI27" s="338"/>
      <c r="NLJ27" s="338"/>
      <c r="NLK27" s="338"/>
      <c r="NLL27" s="338"/>
      <c r="NLM27" s="338"/>
      <c r="NLN27" s="338"/>
      <c r="NLO27" s="338"/>
      <c r="NLP27" s="338"/>
      <c r="NLQ27" s="338"/>
      <c r="NLR27" s="338"/>
      <c r="NLS27" s="338"/>
      <c r="NLT27" s="338"/>
      <c r="NLU27" s="338"/>
      <c r="NLV27" s="338"/>
      <c r="NLW27" s="338"/>
      <c r="NLX27" s="338"/>
      <c r="NLY27" s="338"/>
      <c r="NLZ27" s="338"/>
      <c r="NMA27" s="338"/>
      <c r="NMB27" s="338"/>
      <c r="NMC27" s="338"/>
      <c r="NMD27" s="338"/>
      <c r="NME27" s="338"/>
      <c r="NMF27" s="338"/>
      <c r="NMG27" s="338"/>
      <c r="NMH27" s="338"/>
      <c r="NMI27" s="338"/>
      <c r="NMJ27" s="338"/>
      <c r="NMK27" s="338"/>
      <c r="NML27" s="338"/>
      <c r="NMM27" s="338"/>
      <c r="NMN27" s="338"/>
      <c r="NMO27" s="338"/>
      <c r="NMP27" s="338"/>
      <c r="NMQ27" s="338"/>
      <c r="NMR27" s="338"/>
      <c r="NMS27" s="338"/>
      <c r="NMT27" s="338"/>
      <c r="NMU27" s="338"/>
      <c r="NMV27" s="338"/>
      <c r="NMW27" s="338"/>
      <c r="NMX27" s="338"/>
      <c r="NMY27" s="338"/>
      <c r="NMZ27" s="338"/>
      <c r="NNA27" s="338"/>
      <c r="NNB27" s="338"/>
      <c r="NNC27" s="338"/>
      <c r="NND27" s="338"/>
      <c r="NNE27" s="338"/>
      <c r="NNF27" s="338"/>
      <c r="NNG27" s="338"/>
      <c r="NNH27" s="338"/>
      <c r="NNI27" s="338"/>
      <c r="NNJ27" s="338"/>
      <c r="NNK27" s="338"/>
      <c r="NNL27" s="338"/>
      <c r="NNM27" s="338"/>
      <c r="NNN27" s="338"/>
      <c r="NNO27" s="338"/>
      <c r="NNP27" s="338"/>
      <c r="NNQ27" s="338"/>
      <c r="NNR27" s="338"/>
      <c r="NNS27" s="338"/>
      <c r="NNT27" s="338"/>
      <c r="NNU27" s="338"/>
      <c r="NNV27" s="338"/>
      <c r="NNW27" s="338"/>
      <c r="NNX27" s="338"/>
      <c r="NNY27" s="338"/>
      <c r="NNZ27" s="338"/>
      <c r="NOA27" s="338"/>
      <c r="NOB27" s="338"/>
      <c r="NOC27" s="338"/>
      <c r="NOD27" s="338"/>
      <c r="NOE27" s="338"/>
      <c r="NOF27" s="338"/>
      <c r="NOG27" s="338"/>
      <c r="NOH27" s="338"/>
      <c r="NOI27" s="338"/>
      <c r="NOJ27" s="338"/>
      <c r="NOK27" s="338"/>
      <c r="NOL27" s="338"/>
      <c r="NOM27" s="338"/>
      <c r="NON27" s="338"/>
      <c r="NOO27" s="338"/>
      <c r="NOP27" s="338"/>
      <c r="NOQ27" s="338"/>
      <c r="NOR27" s="338"/>
      <c r="NOS27" s="338"/>
      <c r="NOT27" s="338"/>
      <c r="NOU27" s="338"/>
      <c r="NOV27" s="338"/>
      <c r="NOW27" s="338"/>
      <c r="NOX27" s="338"/>
      <c r="NOY27" s="338"/>
      <c r="NOZ27" s="338"/>
      <c r="NPA27" s="338"/>
      <c r="NPB27" s="338"/>
      <c r="NPC27" s="338"/>
      <c r="NPD27" s="338"/>
      <c r="NPE27" s="338"/>
      <c r="NPF27" s="338"/>
      <c r="NPG27" s="338"/>
      <c r="NPH27" s="338"/>
      <c r="NPI27" s="338"/>
      <c r="NPJ27" s="338"/>
      <c r="NPK27" s="338"/>
      <c r="NPL27" s="338"/>
      <c r="NPM27" s="338"/>
      <c r="NPN27" s="338"/>
      <c r="NPO27" s="338"/>
      <c r="NPP27" s="338"/>
      <c r="NPQ27" s="338"/>
      <c r="NPR27" s="338"/>
      <c r="NPS27" s="338"/>
      <c r="NPT27" s="338"/>
      <c r="NPU27" s="338"/>
      <c r="NPV27" s="338"/>
      <c r="NPW27" s="338"/>
      <c r="NPX27" s="338"/>
      <c r="NPY27" s="338"/>
      <c r="NPZ27" s="338"/>
      <c r="NQA27" s="338"/>
      <c r="NQB27" s="338"/>
      <c r="NQC27" s="338"/>
      <c r="NQD27" s="338"/>
      <c r="NQE27" s="338"/>
      <c r="NQF27" s="338"/>
      <c r="NQG27" s="338"/>
      <c r="NQH27" s="338"/>
      <c r="NQI27" s="338"/>
      <c r="NQJ27" s="338"/>
      <c r="NQK27" s="338"/>
      <c r="NQL27" s="338"/>
      <c r="NQM27" s="338"/>
      <c r="NQN27" s="338"/>
      <c r="NQO27" s="338"/>
      <c r="NQP27" s="338"/>
      <c r="NQQ27" s="338"/>
      <c r="NQR27" s="338"/>
      <c r="NQS27" s="338"/>
      <c r="NQT27" s="338"/>
      <c r="NQU27" s="338"/>
      <c r="NQV27" s="338"/>
      <c r="NQW27" s="338"/>
      <c r="NQX27" s="338"/>
      <c r="NQY27" s="338"/>
      <c r="NQZ27" s="338"/>
      <c r="NRA27" s="338"/>
      <c r="NRB27" s="338"/>
      <c r="NRC27" s="338"/>
      <c r="NRD27" s="338"/>
      <c r="NRE27" s="338"/>
      <c r="NRF27" s="338"/>
      <c r="NRG27" s="338"/>
      <c r="NRH27" s="338"/>
      <c r="NRI27" s="338"/>
      <c r="NRJ27" s="338"/>
      <c r="NRK27" s="338"/>
      <c r="NRL27" s="338"/>
      <c r="NRM27" s="338"/>
      <c r="NRN27" s="338"/>
      <c r="NRO27" s="338"/>
      <c r="NRP27" s="338"/>
      <c r="NRQ27" s="338"/>
      <c r="NRR27" s="338"/>
      <c r="NRS27" s="338"/>
      <c r="NRT27" s="338"/>
      <c r="NRU27" s="338"/>
      <c r="NRV27" s="338"/>
      <c r="NRW27" s="338"/>
      <c r="NRX27" s="338"/>
      <c r="NRY27" s="338"/>
      <c r="NRZ27" s="338"/>
      <c r="NSA27" s="338"/>
      <c r="NSB27" s="338"/>
      <c r="NSC27" s="338"/>
      <c r="NSD27" s="338"/>
      <c r="NSE27" s="338"/>
      <c r="NSF27" s="338"/>
      <c r="NSG27" s="338"/>
      <c r="NSH27" s="338"/>
      <c r="NSI27" s="338"/>
      <c r="NSJ27" s="338"/>
      <c r="NSK27" s="338"/>
      <c r="NSL27" s="338"/>
      <c r="NSM27" s="338"/>
      <c r="NSN27" s="338"/>
      <c r="NSO27" s="338"/>
      <c r="NSP27" s="338"/>
      <c r="NSQ27" s="338"/>
      <c r="NSR27" s="338"/>
      <c r="NSS27" s="338"/>
      <c r="NST27" s="338"/>
      <c r="NSU27" s="338"/>
      <c r="NSV27" s="338"/>
      <c r="NSW27" s="338"/>
      <c r="NSX27" s="338"/>
      <c r="NSY27" s="338"/>
      <c r="NSZ27" s="338"/>
      <c r="NTA27" s="338"/>
      <c r="NTB27" s="338"/>
      <c r="NTC27" s="338"/>
      <c r="NTD27" s="338"/>
      <c r="NTE27" s="338"/>
      <c r="NTF27" s="338"/>
      <c r="NTG27" s="338"/>
      <c r="NTH27" s="338"/>
      <c r="NTI27" s="338"/>
      <c r="NTJ27" s="338"/>
      <c r="NTK27" s="338"/>
      <c r="NTL27" s="338"/>
      <c r="NTM27" s="338"/>
      <c r="NTN27" s="338"/>
      <c r="NTO27" s="338"/>
      <c r="NTP27" s="338"/>
      <c r="NTQ27" s="338"/>
      <c r="NTR27" s="338"/>
      <c r="NTS27" s="338"/>
      <c r="NTT27" s="338"/>
      <c r="NTU27" s="338"/>
      <c r="NTV27" s="338"/>
      <c r="NTW27" s="338"/>
      <c r="NTX27" s="338"/>
      <c r="NTY27" s="338"/>
      <c r="NTZ27" s="338"/>
      <c r="NUA27" s="338"/>
      <c r="NUB27" s="338"/>
      <c r="NUC27" s="338"/>
      <c r="NUD27" s="338"/>
      <c r="NUE27" s="338"/>
      <c r="NUF27" s="338"/>
      <c r="NUG27" s="338"/>
      <c r="NUH27" s="338"/>
      <c r="NUI27" s="338"/>
      <c r="NUJ27" s="338"/>
      <c r="NUK27" s="338"/>
      <c r="NUL27" s="338"/>
      <c r="NUM27" s="338"/>
      <c r="NUN27" s="338"/>
      <c r="NUO27" s="338"/>
      <c r="NUP27" s="338"/>
      <c r="NUQ27" s="338"/>
      <c r="NUR27" s="338"/>
      <c r="NUS27" s="338"/>
      <c r="NUT27" s="338"/>
      <c r="NUU27" s="338"/>
      <c r="NUV27" s="338"/>
      <c r="NUW27" s="338"/>
      <c r="NUX27" s="338"/>
      <c r="NUY27" s="338"/>
      <c r="NUZ27" s="338"/>
      <c r="NVA27" s="338"/>
      <c r="NVB27" s="338"/>
      <c r="NVC27" s="338"/>
      <c r="NVD27" s="338"/>
      <c r="NVE27" s="338"/>
      <c r="NVF27" s="338"/>
      <c r="NVG27" s="338"/>
      <c r="NVH27" s="338"/>
      <c r="NVI27" s="338"/>
      <c r="NVJ27" s="338"/>
      <c r="NVK27" s="338"/>
      <c r="NVL27" s="338"/>
      <c r="NVM27" s="338"/>
      <c r="NVN27" s="338"/>
      <c r="NVO27" s="338"/>
      <c r="NVP27" s="338"/>
      <c r="NVQ27" s="338"/>
      <c r="NVR27" s="338"/>
      <c r="NVS27" s="338"/>
      <c r="NVT27" s="338"/>
      <c r="NVU27" s="338"/>
      <c r="NVV27" s="338"/>
      <c r="NVW27" s="338"/>
      <c r="NVX27" s="338"/>
      <c r="NVY27" s="338"/>
      <c r="NVZ27" s="338"/>
      <c r="NWA27" s="338"/>
      <c r="NWB27" s="338"/>
      <c r="NWC27" s="338"/>
      <c r="NWD27" s="338"/>
      <c r="NWE27" s="338"/>
      <c r="NWF27" s="338"/>
      <c r="NWG27" s="338"/>
      <c r="NWH27" s="338"/>
      <c r="NWI27" s="338"/>
      <c r="NWJ27" s="338"/>
      <c r="NWK27" s="338"/>
      <c r="NWL27" s="338"/>
      <c r="NWM27" s="338"/>
      <c r="NWN27" s="338"/>
      <c r="NWO27" s="338"/>
      <c r="NWP27" s="338"/>
      <c r="NWQ27" s="338"/>
      <c r="NWR27" s="338"/>
      <c r="NWS27" s="338"/>
      <c r="NWT27" s="338"/>
      <c r="NWU27" s="338"/>
      <c r="NWV27" s="338"/>
      <c r="NWW27" s="338"/>
      <c r="NWX27" s="338"/>
      <c r="NWY27" s="338"/>
      <c r="NWZ27" s="338"/>
      <c r="NXA27" s="338"/>
      <c r="NXB27" s="338"/>
      <c r="NXC27" s="338"/>
      <c r="NXD27" s="338"/>
      <c r="NXE27" s="338"/>
      <c r="NXF27" s="338"/>
      <c r="NXG27" s="338"/>
      <c r="NXH27" s="338"/>
      <c r="NXI27" s="338"/>
      <c r="NXJ27" s="338"/>
      <c r="NXK27" s="338"/>
      <c r="NXL27" s="338"/>
      <c r="NXM27" s="338"/>
      <c r="NXN27" s="338"/>
      <c r="NXO27" s="338"/>
      <c r="NXP27" s="338"/>
      <c r="NXQ27" s="338"/>
      <c r="NXR27" s="338"/>
      <c r="NXS27" s="338"/>
      <c r="NXT27" s="338"/>
      <c r="NXU27" s="338"/>
      <c r="NXV27" s="338"/>
      <c r="NXW27" s="338"/>
      <c r="NXX27" s="338"/>
      <c r="NXY27" s="338"/>
      <c r="NXZ27" s="338"/>
      <c r="NYA27" s="338"/>
      <c r="NYB27" s="338"/>
      <c r="NYC27" s="338"/>
      <c r="NYD27" s="338"/>
      <c r="NYE27" s="338"/>
      <c r="NYF27" s="338"/>
      <c r="NYG27" s="338"/>
      <c r="NYH27" s="338"/>
      <c r="NYI27" s="338"/>
      <c r="NYJ27" s="338"/>
      <c r="NYK27" s="338"/>
      <c r="NYL27" s="338"/>
      <c r="NYM27" s="338"/>
      <c r="NYN27" s="338"/>
      <c r="NYO27" s="338"/>
      <c r="NYP27" s="338"/>
      <c r="NYQ27" s="338"/>
      <c r="NYR27" s="338"/>
      <c r="NYS27" s="338"/>
      <c r="NYT27" s="338"/>
      <c r="NYU27" s="338"/>
      <c r="NYV27" s="338"/>
      <c r="NYW27" s="338"/>
      <c r="NYX27" s="338"/>
      <c r="NYY27" s="338"/>
      <c r="NYZ27" s="338"/>
      <c r="NZA27" s="338"/>
      <c r="NZB27" s="338"/>
      <c r="NZC27" s="338"/>
      <c r="NZD27" s="338"/>
      <c r="NZE27" s="338"/>
      <c r="NZF27" s="338"/>
      <c r="NZG27" s="338"/>
      <c r="NZH27" s="338"/>
      <c r="NZI27" s="338"/>
      <c r="NZJ27" s="338"/>
      <c r="NZK27" s="338"/>
      <c r="NZL27" s="338"/>
      <c r="NZM27" s="338"/>
      <c r="NZN27" s="338"/>
      <c r="NZO27" s="338"/>
      <c r="NZP27" s="338"/>
      <c r="NZQ27" s="338"/>
      <c r="NZR27" s="338"/>
      <c r="NZS27" s="338"/>
      <c r="NZT27" s="338"/>
      <c r="NZU27" s="338"/>
      <c r="NZV27" s="338"/>
      <c r="NZW27" s="338"/>
      <c r="NZX27" s="338"/>
      <c r="NZY27" s="338"/>
      <c r="NZZ27" s="338"/>
      <c r="OAA27" s="338"/>
      <c r="OAB27" s="338"/>
      <c r="OAC27" s="338"/>
      <c r="OAD27" s="338"/>
      <c r="OAE27" s="338"/>
      <c r="OAF27" s="338"/>
      <c r="OAG27" s="338"/>
      <c r="OAH27" s="338"/>
      <c r="OAI27" s="338"/>
      <c r="OAJ27" s="338"/>
      <c r="OAK27" s="338"/>
      <c r="OAL27" s="338"/>
      <c r="OAM27" s="338"/>
      <c r="OAN27" s="338"/>
      <c r="OAO27" s="338"/>
      <c r="OAP27" s="338"/>
      <c r="OAQ27" s="338"/>
      <c r="OAR27" s="338"/>
      <c r="OAS27" s="338"/>
      <c r="OAT27" s="338"/>
      <c r="OAU27" s="338"/>
      <c r="OAV27" s="338"/>
      <c r="OAW27" s="338"/>
      <c r="OAX27" s="338"/>
      <c r="OAY27" s="338"/>
      <c r="OAZ27" s="338"/>
      <c r="OBA27" s="338"/>
      <c r="OBB27" s="338"/>
      <c r="OBC27" s="338"/>
      <c r="OBD27" s="338"/>
      <c r="OBE27" s="338"/>
      <c r="OBF27" s="338"/>
      <c r="OBG27" s="338"/>
      <c r="OBH27" s="338"/>
      <c r="OBI27" s="338"/>
      <c r="OBJ27" s="338"/>
      <c r="OBK27" s="338"/>
      <c r="OBL27" s="338"/>
      <c r="OBM27" s="338"/>
      <c r="OBN27" s="338"/>
      <c r="OBO27" s="338"/>
      <c r="OBP27" s="338"/>
      <c r="OBQ27" s="338"/>
      <c r="OBR27" s="338"/>
      <c r="OBS27" s="338"/>
      <c r="OBT27" s="338"/>
      <c r="OBU27" s="338"/>
      <c r="OBV27" s="338"/>
      <c r="OBW27" s="338"/>
      <c r="OBX27" s="338"/>
      <c r="OBY27" s="338"/>
      <c r="OBZ27" s="338"/>
      <c r="OCA27" s="338"/>
      <c r="OCB27" s="338"/>
      <c r="OCC27" s="338"/>
      <c r="OCD27" s="338"/>
      <c r="OCE27" s="338"/>
      <c r="OCF27" s="338"/>
      <c r="OCG27" s="338"/>
      <c r="OCH27" s="338"/>
      <c r="OCI27" s="338"/>
      <c r="OCJ27" s="338"/>
      <c r="OCK27" s="338"/>
      <c r="OCL27" s="338"/>
      <c r="OCM27" s="338"/>
      <c r="OCN27" s="338"/>
      <c r="OCO27" s="338"/>
      <c r="OCP27" s="338"/>
      <c r="OCQ27" s="338"/>
      <c r="OCR27" s="338"/>
      <c r="OCS27" s="338"/>
      <c r="OCT27" s="338"/>
      <c r="OCU27" s="338"/>
      <c r="OCV27" s="338"/>
      <c r="OCW27" s="338"/>
      <c r="OCX27" s="338"/>
      <c r="OCY27" s="338"/>
      <c r="OCZ27" s="338"/>
      <c r="ODA27" s="338"/>
      <c r="ODB27" s="338"/>
      <c r="ODC27" s="338"/>
      <c r="ODD27" s="338"/>
      <c r="ODE27" s="338"/>
      <c r="ODF27" s="338"/>
      <c r="ODG27" s="338"/>
      <c r="ODH27" s="338"/>
      <c r="ODI27" s="338"/>
      <c r="ODJ27" s="338"/>
      <c r="ODK27" s="338"/>
      <c r="ODL27" s="338"/>
      <c r="ODM27" s="338"/>
      <c r="ODN27" s="338"/>
      <c r="ODO27" s="338"/>
      <c r="ODP27" s="338"/>
      <c r="ODQ27" s="338"/>
      <c r="ODR27" s="338"/>
      <c r="ODS27" s="338"/>
      <c r="ODT27" s="338"/>
      <c r="ODU27" s="338"/>
      <c r="ODV27" s="338"/>
      <c r="ODW27" s="338"/>
      <c r="ODX27" s="338"/>
      <c r="ODY27" s="338"/>
      <c r="ODZ27" s="338"/>
      <c r="OEA27" s="338"/>
      <c r="OEB27" s="338"/>
      <c r="OEC27" s="338"/>
      <c r="OED27" s="338"/>
      <c r="OEE27" s="338"/>
      <c r="OEF27" s="338"/>
      <c r="OEG27" s="338"/>
      <c r="OEH27" s="338"/>
      <c r="OEI27" s="338"/>
      <c r="OEJ27" s="338"/>
      <c r="OEK27" s="338"/>
      <c r="OEL27" s="338"/>
      <c r="OEM27" s="338"/>
      <c r="OEN27" s="338"/>
      <c r="OEO27" s="338"/>
      <c r="OEP27" s="338"/>
      <c r="OEQ27" s="338"/>
      <c r="OER27" s="338"/>
      <c r="OES27" s="338"/>
      <c r="OET27" s="338"/>
      <c r="OEU27" s="338"/>
      <c r="OEV27" s="338"/>
      <c r="OEW27" s="338"/>
      <c r="OEX27" s="338"/>
      <c r="OEY27" s="338"/>
      <c r="OEZ27" s="338"/>
      <c r="OFA27" s="338"/>
      <c r="OFB27" s="338"/>
      <c r="OFC27" s="338"/>
      <c r="OFD27" s="338"/>
      <c r="OFE27" s="338"/>
      <c r="OFF27" s="338"/>
      <c r="OFG27" s="338"/>
      <c r="OFH27" s="338"/>
      <c r="OFI27" s="338"/>
      <c r="OFJ27" s="338"/>
      <c r="OFK27" s="338"/>
      <c r="OFL27" s="338"/>
      <c r="OFM27" s="338"/>
      <c r="OFN27" s="338"/>
      <c r="OFO27" s="338"/>
      <c r="OFP27" s="338"/>
      <c r="OFQ27" s="338"/>
      <c r="OFR27" s="338"/>
      <c r="OFS27" s="338"/>
      <c r="OFT27" s="338"/>
      <c r="OFU27" s="338"/>
      <c r="OFV27" s="338"/>
      <c r="OFW27" s="338"/>
      <c r="OFX27" s="338"/>
      <c r="OFY27" s="338"/>
      <c r="OFZ27" s="338"/>
      <c r="OGA27" s="338"/>
      <c r="OGB27" s="338"/>
      <c r="OGC27" s="338"/>
      <c r="OGD27" s="338"/>
      <c r="OGE27" s="338"/>
      <c r="OGF27" s="338"/>
      <c r="OGG27" s="338"/>
      <c r="OGH27" s="338"/>
      <c r="OGI27" s="338"/>
      <c r="OGJ27" s="338"/>
      <c r="OGK27" s="338"/>
      <c r="OGL27" s="338"/>
      <c r="OGM27" s="338"/>
      <c r="OGN27" s="338"/>
      <c r="OGO27" s="338"/>
      <c r="OGP27" s="338"/>
      <c r="OGQ27" s="338"/>
      <c r="OGR27" s="338"/>
      <c r="OGS27" s="338"/>
      <c r="OGT27" s="338"/>
      <c r="OGU27" s="338"/>
      <c r="OGV27" s="338"/>
      <c r="OGW27" s="338"/>
      <c r="OGX27" s="338"/>
      <c r="OGY27" s="338"/>
      <c r="OGZ27" s="338"/>
      <c r="OHA27" s="338"/>
      <c r="OHB27" s="338"/>
      <c r="OHC27" s="338"/>
      <c r="OHD27" s="338"/>
      <c r="OHE27" s="338"/>
      <c r="OHF27" s="338"/>
      <c r="OHG27" s="338"/>
      <c r="OHH27" s="338"/>
      <c r="OHI27" s="338"/>
      <c r="OHJ27" s="338"/>
      <c r="OHK27" s="338"/>
      <c r="OHL27" s="338"/>
      <c r="OHM27" s="338"/>
      <c r="OHN27" s="338"/>
      <c r="OHO27" s="338"/>
      <c r="OHP27" s="338"/>
      <c r="OHQ27" s="338"/>
      <c r="OHR27" s="338"/>
      <c r="OHS27" s="338"/>
      <c r="OHT27" s="338"/>
      <c r="OHU27" s="338"/>
      <c r="OHV27" s="338"/>
      <c r="OHW27" s="338"/>
      <c r="OHX27" s="338"/>
      <c r="OHY27" s="338"/>
      <c r="OHZ27" s="338"/>
      <c r="OIA27" s="338"/>
      <c r="OIB27" s="338"/>
      <c r="OIC27" s="338"/>
      <c r="OID27" s="338"/>
      <c r="OIE27" s="338"/>
      <c r="OIF27" s="338"/>
      <c r="OIG27" s="338"/>
      <c r="OIH27" s="338"/>
      <c r="OII27" s="338"/>
      <c r="OIJ27" s="338"/>
      <c r="OIK27" s="338"/>
      <c r="OIL27" s="338"/>
      <c r="OIM27" s="338"/>
      <c r="OIN27" s="338"/>
      <c r="OIO27" s="338"/>
      <c r="OIP27" s="338"/>
      <c r="OIQ27" s="338"/>
      <c r="OIR27" s="338"/>
      <c r="OIS27" s="338"/>
      <c r="OIT27" s="338"/>
      <c r="OIU27" s="338"/>
      <c r="OIV27" s="338"/>
      <c r="OIW27" s="338"/>
      <c r="OIX27" s="338"/>
      <c r="OIY27" s="338"/>
      <c r="OIZ27" s="338"/>
      <c r="OJA27" s="338"/>
      <c r="OJB27" s="338"/>
      <c r="OJC27" s="338"/>
      <c r="OJD27" s="338"/>
      <c r="OJE27" s="338"/>
      <c r="OJF27" s="338"/>
      <c r="OJG27" s="338"/>
      <c r="OJH27" s="338"/>
      <c r="OJI27" s="338"/>
      <c r="OJJ27" s="338"/>
      <c r="OJK27" s="338"/>
      <c r="OJL27" s="338"/>
      <c r="OJM27" s="338"/>
      <c r="OJN27" s="338"/>
      <c r="OJO27" s="338"/>
      <c r="OJP27" s="338"/>
      <c r="OJQ27" s="338"/>
      <c r="OJR27" s="338"/>
      <c r="OJS27" s="338"/>
      <c r="OJT27" s="338"/>
      <c r="OJU27" s="338"/>
      <c r="OJV27" s="338"/>
      <c r="OJW27" s="338"/>
      <c r="OJX27" s="338"/>
      <c r="OJY27" s="338"/>
      <c r="OJZ27" s="338"/>
      <c r="OKA27" s="338"/>
      <c r="OKB27" s="338"/>
      <c r="OKC27" s="338"/>
      <c r="OKD27" s="338"/>
      <c r="OKE27" s="338"/>
      <c r="OKF27" s="338"/>
      <c r="OKG27" s="338"/>
      <c r="OKH27" s="338"/>
      <c r="OKI27" s="338"/>
      <c r="OKJ27" s="338"/>
      <c r="OKK27" s="338"/>
      <c r="OKL27" s="338"/>
      <c r="OKM27" s="338"/>
      <c r="OKN27" s="338"/>
      <c r="OKO27" s="338"/>
      <c r="OKP27" s="338"/>
      <c r="OKQ27" s="338"/>
      <c r="OKR27" s="338"/>
      <c r="OKS27" s="338"/>
      <c r="OKT27" s="338"/>
      <c r="OKU27" s="338"/>
      <c r="OKV27" s="338"/>
      <c r="OKW27" s="338"/>
      <c r="OKX27" s="338"/>
      <c r="OKY27" s="338"/>
      <c r="OKZ27" s="338"/>
      <c r="OLA27" s="338"/>
      <c r="OLB27" s="338"/>
      <c r="OLC27" s="338"/>
      <c r="OLD27" s="338"/>
      <c r="OLE27" s="338"/>
      <c r="OLF27" s="338"/>
      <c r="OLG27" s="338"/>
      <c r="OLH27" s="338"/>
      <c r="OLI27" s="338"/>
      <c r="OLJ27" s="338"/>
      <c r="OLK27" s="338"/>
      <c r="OLL27" s="338"/>
      <c r="OLM27" s="338"/>
      <c r="OLN27" s="338"/>
      <c r="OLO27" s="338"/>
      <c r="OLP27" s="338"/>
      <c r="OLQ27" s="338"/>
      <c r="OLR27" s="338"/>
      <c r="OLS27" s="338"/>
      <c r="OLT27" s="338"/>
      <c r="OLU27" s="338"/>
      <c r="OLV27" s="338"/>
      <c r="OLW27" s="338"/>
      <c r="OLX27" s="338"/>
      <c r="OLY27" s="338"/>
      <c r="OLZ27" s="338"/>
      <c r="OMA27" s="338"/>
      <c r="OMB27" s="338"/>
      <c r="OMC27" s="338"/>
      <c r="OMD27" s="338"/>
      <c r="OME27" s="338"/>
      <c r="OMF27" s="338"/>
      <c r="OMG27" s="338"/>
      <c r="OMH27" s="338"/>
      <c r="OMI27" s="338"/>
      <c r="OMJ27" s="338"/>
      <c r="OMK27" s="338"/>
      <c r="OML27" s="338"/>
      <c r="OMM27" s="338"/>
      <c r="OMN27" s="338"/>
      <c r="OMO27" s="338"/>
      <c r="OMP27" s="338"/>
      <c r="OMQ27" s="338"/>
      <c r="OMR27" s="338"/>
      <c r="OMS27" s="338"/>
      <c r="OMT27" s="338"/>
      <c r="OMU27" s="338"/>
      <c r="OMV27" s="338"/>
      <c r="OMW27" s="338"/>
      <c r="OMX27" s="338"/>
      <c r="OMY27" s="338"/>
      <c r="OMZ27" s="338"/>
      <c r="ONA27" s="338"/>
      <c r="ONB27" s="338"/>
      <c r="ONC27" s="338"/>
      <c r="OND27" s="338"/>
      <c r="ONE27" s="338"/>
      <c r="ONF27" s="338"/>
      <c r="ONG27" s="338"/>
      <c r="ONH27" s="338"/>
      <c r="ONI27" s="338"/>
      <c r="ONJ27" s="338"/>
      <c r="ONK27" s="338"/>
      <c r="ONL27" s="338"/>
      <c r="ONM27" s="338"/>
      <c r="ONN27" s="338"/>
      <c r="ONO27" s="338"/>
      <c r="ONP27" s="338"/>
      <c r="ONQ27" s="338"/>
      <c r="ONR27" s="338"/>
      <c r="ONS27" s="338"/>
      <c r="ONT27" s="338"/>
      <c r="ONU27" s="338"/>
      <c r="ONV27" s="338"/>
      <c r="ONW27" s="338"/>
      <c r="ONX27" s="338"/>
      <c r="ONY27" s="338"/>
      <c r="ONZ27" s="338"/>
      <c r="OOA27" s="338"/>
      <c r="OOB27" s="338"/>
      <c r="OOC27" s="338"/>
      <c r="OOD27" s="338"/>
      <c r="OOE27" s="338"/>
      <c r="OOF27" s="338"/>
      <c r="OOG27" s="338"/>
      <c r="OOH27" s="338"/>
      <c r="OOI27" s="338"/>
      <c r="OOJ27" s="338"/>
      <c r="OOK27" s="338"/>
      <c r="OOL27" s="338"/>
      <c r="OOM27" s="338"/>
      <c r="OON27" s="338"/>
      <c r="OOO27" s="338"/>
      <c r="OOP27" s="338"/>
      <c r="OOQ27" s="338"/>
      <c r="OOR27" s="338"/>
      <c r="OOS27" s="338"/>
      <c r="OOT27" s="338"/>
      <c r="OOU27" s="338"/>
      <c r="OOV27" s="338"/>
      <c r="OOW27" s="338"/>
      <c r="OOX27" s="338"/>
      <c r="OOY27" s="338"/>
      <c r="OOZ27" s="338"/>
      <c r="OPA27" s="338"/>
      <c r="OPB27" s="338"/>
      <c r="OPC27" s="338"/>
      <c r="OPD27" s="338"/>
      <c r="OPE27" s="338"/>
      <c r="OPF27" s="338"/>
      <c r="OPG27" s="338"/>
      <c r="OPH27" s="338"/>
      <c r="OPI27" s="338"/>
      <c r="OPJ27" s="338"/>
      <c r="OPK27" s="338"/>
      <c r="OPL27" s="338"/>
      <c r="OPM27" s="338"/>
      <c r="OPN27" s="338"/>
      <c r="OPO27" s="338"/>
      <c r="OPP27" s="338"/>
      <c r="OPQ27" s="338"/>
      <c r="OPR27" s="338"/>
      <c r="OPS27" s="338"/>
      <c r="OPT27" s="338"/>
      <c r="OPU27" s="338"/>
      <c r="OPV27" s="338"/>
      <c r="OPW27" s="338"/>
      <c r="OPX27" s="338"/>
      <c r="OPY27" s="338"/>
      <c r="OPZ27" s="338"/>
      <c r="OQA27" s="338"/>
      <c r="OQB27" s="338"/>
      <c r="OQC27" s="338"/>
      <c r="OQD27" s="338"/>
      <c r="OQE27" s="338"/>
      <c r="OQF27" s="338"/>
      <c r="OQG27" s="338"/>
      <c r="OQH27" s="338"/>
      <c r="OQI27" s="338"/>
      <c r="OQJ27" s="338"/>
      <c r="OQK27" s="338"/>
      <c r="OQL27" s="338"/>
      <c r="OQM27" s="338"/>
      <c r="OQN27" s="338"/>
      <c r="OQO27" s="338"/>
      <c r="OQP27" s="338"/>
      <c r="OQQ27" s="338"/>
      <c r="OQR27" s="338"/>
      <c r="OQS27" s="338"/>
      <c r="OQT27" s="338"/>
      <c r="OQU27" s="338"/>
      <c r="OQV27" s="338"/>
      <c r="OQW27" s="338"/>
      <c r="OQX27" s="338"/>
      <c r="OQY27" s="338"/>
      <c r="OQZ27" s="338"/>
      <c r="ORA27" s="338"/>
      <c r="ORB27" s="338"/>
      <c r="ORC27" s="338"/>
      <c r="ORD27" s="338"/>
      <c r="ORE27" s="338"/>
      <c r="ORF27" s="338"/>
      <c r="ORG27" s="338"/>
      <c r="ORH27" s="338"/>
      <c r="ORI27" s="338"/>
      <c r="ORJ27" s="338"/>
      <c r="ORK27" s="338"/>
      <c r="ORL27" s="338"/>
      <c r="ORM27" s="338"/>
      <c r="ORN27" s="338"/>
      <c r="ORO27" s="338"/>
      <c r="ORP27" s="338"/>
      <c r="ORQ27" s="338"/>
      <c r="ORR27" s="338"/>
      <c r="ORS27" s="338"/>
      <c r="ORT27" s="338"/>
      <c r="ORU27" s="338"/>
      <c r="ORV27" s="338"/>
      <c r="ORW27" s="338"/>
      <c r="ORX27" s="338"/>
      <c r="ORY27" s="338"/>
      <c r="ORZ27" s="338"/>
      <c r="OSA27" s="338"/>
      <c r="OSB27" s="338"/>
      <c r="OSC27" s="338"/>
      <c r="OSD27" s="338"/>
      <c r="OSE27" s="338"/>
      <c r="OSF27" s="338"/>
      <c r="OSG27" s="338"/>
      <c r="OSH27" s="338"/>
      <c r="OSI27" s="338"/>
      <c r="OSJ27" s="338"/>
      <c r="OSK27" s="338"/>
      <c r="OSL27" s="338"/>
      <c r="OSM27" s="338"/>
      <c r="OSN27" s="338"/>
      <c r="OSO27" s="338"/>
      <c r="OSP27" s="338"/>
      <c r="OSQ27" s="338"/>
      <c r="OSR27" s="338"/>
      <c r="OSS27" s="338"/>
      <c r="OST27" s="338"/>
      <c r="OSU27" s="338"/>
      <c r="OSV27" s="338"/>
      <c r="OSW27" s="338"/>
      <c r="OSX27" s="338"/>
      <c r="OSY27" s="338"/>
      <c r="OSZ27" s="338"/>
      <c r="OTA27" s="338"/>
      <c r="OTB27" s="338"/>
      <c r="OTC27" s="338"/>
      <c r="OTD27" s="338"/>
      <c r="OTE27" s="338"/>
      <c r="OTF27" s="338"/>
      <c r="OTG27" s="338"/>
      <c r="OTH27" s="338"/>
      <c r="OTI27" s="338"/>
      <c r="OTJ27" s="338"/>
      <c r="OTK27" s="338"/>
      <c r="OTL27" s="338"/>
      <c r="OTM27" s="338"/>
      <c r="OTN27" s="338"/>
      <c r="OTO27" s="338"/>
      <c r="OTP27" s="338"/>
      <c r="OTQ27" s="338"/>
      <c r="OTR27" s="338"/>
      <c r="OTS27" s="338"/>
      <c r="OTT27" s="338"/>
      <c r="OTU27" s="338"/>
      <c r="OTV27" s="338"/>
      <c r="OTW27" s="338"/>
      <c r="OTX27" s="338"/>
      <c r="OTY27" s="338"/>
      <c r="OTZ27" s="338"/>
      <c r="OUA27" s="338"/>
      <c r="OUB27" s="338"/>
      <c r="OUC27" s="338"/>
      <c r="OUD27" s="338"/>
      <c r="OUE27" s="338"/>
      <c r="OUF27" s="338"/>
      <c r="OUG27" s="338"/>
      <c r="OUH27" s="338"/>
      <c r="OUI27" s="338"/>
      <c r="OUJ27" s="338"/>
      <c r="OUK27" s="338"/>
      <c r="OUL27" s="338"/>
      <c r="OUM27" s="338"/>
      <c r="OUN27" s="338"/>
      <c r="OUO27" s="338"/>
      <c r="OUP27" s="338"/>
      <c r="OUQ27" s="338"/>
      <c r="OUR27" s="338"/>
      <c r="OUS27" s="338"/>
      <c r="OUT27" s="338"/>
      <c r="OUU27" s="338"/>
      <c r="OUV27" s="338"/>
      <c r="OUW27" s="338"/>
      <c r="OUX27" s="338"/>
      <c r="OUY27" s="338"/>
      <c r="OUZ27" s="338"/>
      <c r="OVA27" s="338"/>
      <c r="OVB27" s="338"/>
      <c r="OVC27" s="338"/>
      <c r="OVD27" s="338"/>
      <c r="OVE27" s="338"/>
      <c r="OVF27" s="338"/>
      <c r="OVG27" s="338"/>
      <c r="OVH27" s="338"/>
      <c r="OVI27" s="338"/>
      <c r="OVJ27" s="338"/>
      <c r="OVK27" s="338"/>
      <c r="OVL27" s="338"/>
      <c r="OVM27" s="338"/>
      <c r="OVN27" s="338"/>
      <c r="OVO27" s="338"/>
      <c r="OVP27" s="338"/>
      <c r="OVQ27" s="338"/>
      <c r="OVR27" s="338"/>
      <c r="OVS27" s="338"/>
      <c r="OVT27" s="338"/>
      <c r="OVU27" s="338"/>
      <c r="OVV27" s="338"/>
      <c r="OVW27" s="338"/>
      <c r="OVX27" s="338"/>
      <c r="OVY27" s="338"/>
      <c r="OVZ27" s="338"/>
      <c r="OWA27" s="338"/>
      <c r="OWB27" s="338"/>
      <c r="OWC27" s="338"/>
      <c r="OWD27" s="338"/>
      <c r="OWE27" s="338"/>
      <c r="OWF27" s="338"/>
      <c r="OWG27" s="338"/>
      <c r="OWH27" s="338"/>
      <c r="OWI27" s="338"/>
      <c r="OWJ27" s="338"/>
      <c r="OWK27" s="338"/>
      <c r="OWL27" s="338"/>
      <c r="OWM27" s="338"/>
      <c r="OWN27" s="338"/>
      <c r="OWO27" s="338"/>
      <c r="OWP27" s="338"/>
      <c r="OWQ27" s="338"/>
      <c r="OWR27" s="338"/>
      <c r="OWS27" s="338"/>
      <c r="OWT27" s="338"/>
      <c r="OWU27" s="338"/>
      <c r="OWV27" s="338"/>
      <c r="OWW27" s="338"/>
      <c r="OWX27" s="338"/>
      <c r="OWY27" s="338"/>
      <c r="OWZ27" s="338"/>
      <c r="OXA27" s="338"/>
      <c r="OXB27" s="338"/>
      <c r="OXC27" s="338"/>
      <c r="OXD27" s="338"/>
      <c r="OXE27" s="338"/>
      <c r="OXF27" s="338"/>
      <c r="OXG27" s="338"/>
      <c r="OXH27" s="338"/>
      <c r="OXI27" s="338"/>
      <c r="OXJ27" s="338"/>
      <c r="OXK27" s="338"/>
      <c r="OXL27" s="338"/>
      <c r="OXM27" s="338"/>
      <c r="OXN27" s="338"/>
      <c r="OXO27" s="338"/>
      <c r="OXP27" s="338"/>
      <c r="OXQ27" s="338"/>
      <c r="OXR27" s="338"/>
      <c r="OXS27" s="338"/>
      <c r="OXT27" s="338"/>
      <c r="OXU27" s="338"/>
      <c r="OXV27" s="338"/>
      <c r="OXW27" s="338"/>
      <c r="OXX27" s="338"/>
      <c r="OXY27" s="338"/>
      <c r="OXZ27" s="338"/>
      <c r="OYA27" s="338"/>
      <c r="OYB27" s="338"/>
      <c r="OYC27" s="338"/>
      <c r="OYD27" s="338"/>
      <c r="OYE27" s="338"/>
      <c r="OYF27" s="338"/>
      <c r="OYG27" s="338"/>
      <c r="OYH27" s="338"/>
      <c r="OYI27" s="338"/>
      <c r="OYJ27" s="338"/>
      <c r="OYK27" s="338"/>
      <c r="OYL27" s="338"/>
      <c r="OYM27" s="338"/>
      <c r="OYN27" s="338"/>
      <c r="OYO27" s="338"/>
      <c r="OYP27" s="338"/>
      <c r="OYQ27" s="338"/>
      <c r="OYR27" s="338"/>
      <c r="OYS27" s="338"/>
      <c r="OYT27" s="338"/>
      <c r="OYU27" s="338"/>
      <c r="OYV27" s="338"/>
      <c r="OYW27" s="338"/>
      <c r="OYX27" s="338"/>
      <c r="OYY27" s="338"/>
      <c r="OYZ27" s="338"/>
      <c r="OZA27" s="338"/>
      <c r="OZB27" s="338"/>
      <c r="OZC27" s="338"/>
      <c r="OZD27" s="338"/>
      <c r="OZE27" s="338"/>
      <c r="OZF27" s="338"/>
      <c r="OZG27" s="338"/>
      <c r="OZH27" s="338"/>
      <c r="OZI27" s="338"/>
      <c r="OZJ27" s="338"/>
      <c r="OZK27" s="338"/>
      <c r="OZL27" s="338"/>
      <c r="OZM27" s="338"/>
      <c r="OZN27" s="338"/>
      <c r="OZO27" s="338"/>
      <c r="OZP27" s="338"/>
      <c r="OZQ27" s="338"/>
      <c r="OZR27" s="338"/>
      <c r="OZS27" s="338"/>
      <c r="OZT27" s="338"/>
      <c r="OZU27" s="338"/>
      <c r="OZV27" s="338"/>
      <c r="OZW27" s="338"/>
      <c r="OZX27" s="338"/>
      <c r="OZY27" s="338"/>
      <c r="OZZ27" s="338"/>
      <c r="PAA27" s="338"/>
      <c r="PAB27" s="338"/>
      <c r="PAC27" s="338"/>
      <c r="PAD27" s="338"/>
      <c r="PAE27" s="338"/>
      <c r="PAF27" s="338"/>
      <c r="PAG27" s="338"/>
      <c r="PAH27" s="338"/>
      <c r="PAI27" s="338"/>
      <c r="PAJ27" s="338"/>
      <c r="PAK27" s="338"/>
      <c r="PAL27" s="338"/>
      <c r="PAM27" s="338"/>
      <c r="PAN27" s="338"/>
      <c r="PAO27" s="338"/>
      <c r="PAP27" s="338"/>
      <c r="PAQ27" s="338"/>
      <c r="PAR27" s="338"/>
      <c r="PAS27" s="338"/>
      <c r="PAT27" s="338"/>
      <c r="PAU27" s="338"/>
      <c r="PAV27" s="338"/>
      <c r="PAW27" s="338"/>
      <c r="PAX27" s="338"/>
      <c r="PAY27" s="338"/>
      <c r="PAZ27" s="338"/>
      <c r="PBA27" s="338"/>
      <c r="PBB27" s="338"/>
      <c r="PBC27" s="338"/>
      <c r="PBD27" s="338"/>
      <c r="PBE27" s="338"/>
      <c r="PBF27" s="338"/>
      <c r="PBG27" s="338"/>
      <c r="PBH27" s="338"/>
      <c r="PBI27" s="338"/>
      <c r="PBJ27" s="338"/>
      <c r="PBK27" s="338"/>
      <c r="PBL27" s="338"/>
      <c r="PBM27" s="338"/>
      <c r="PBN27" s="338"/>
      <c r="PBO27" s="338"/>
      <c r="PBP27" s="338"/>
      <c r="PBQ27" s="338"/>
      <c r="PBR27" s="338"/>
      <c r="PBS27" s="338"/>
      <c r="PBT27" s="338"/>
      <c r="PBU27" s="338"/>
      <c r="PBV27" s="338"/>
      <c r="PBW27" s="338"/>
      <c r="PBX27" s="338"/>
      <c r="PBY27" s="338"/>
      <c r="PBZ27" s="338"/>
      <c r="PCA27" s="338"/>
      <c r="PCB27" s="338"/>
      <c r="PCC27" s="338"/>
      <c r="PCD27" s="338"/>
      <c r="PCE27" s="338"/>
      <c r="PCF27" s="338"/>
      <c r="PCG27" s="338"/>
      <c r="PCH27" s="338"/>
      <c r="PCI27" s="338"/>
      <c r="PCJ27" s="338"/>
      <c r="PCK27" s="338"/>
      <c r="PCL27" s="338"/>
      <c r="PCM27" s="338"/>
      <c r="PCN27" s="338"/>
      <c r="PCO27" s="338"/>
      <c r="PCP27" s="338"/>
      <c r="PCQ27" s="338"/>
      <c r="PCR27" s="338"/>
      <c r="PCS27" s="338"/>
      <c r="PCT27" s="338"/>
      <c r="PCU27" s="338"/>
      <c r="PCV27" s="338"/>
      <c r="PCW27" s="338"/>
      <c r="PCX27" s="338"/>
      <c r="PCY27" s="338"/>
      <c r="PCZ27" s="338"/>
      <c r="PDA27" s="338"/>
      <c r="PDB27" s="338"/>
      <c r="PDC27" s="338"/>
      <c r="PDD27" s="338"/>
      <c r="PDE27" s="338"/>
      <c r="PDF27" s="338"/>
      <c r="PDG27" s="338"/>
      <c r="PDH27" s="338"/>
      <c r="PDI27" s="338"/>
      <c r="PDJ27" s="338"/>
      <c r="PDK27" s="338"/>
      <c r="PDL27" s="338"/>
      <c r="PDM27" s="338"/>
      <c r="PDN27" s="338"/>
      <c r="PDO27" s="338"/>
      <c r="PDP27" s="338"/>
      <c r="PDQ27" s="338"/>
      <c r="PDR27" s="338"/>
      <c r="PDS27" s="338"/>
      <c r="PDT27" s="338"/>
      <c r="PDU27" s="338"/>
      <c r="PDV27" s="338"/>
      <c r="PDW27" s="338"/>
      <c r="PDX27" s="338"/>
      <c r="PDY27" s="338"/>
      <c r="PDZ27" s="338"/>
      <c r="PEA27" s="338"/>
      <c r="PEB27" s="338"/>
      <c r="PEC27" s="338"/>
      <c r="PED27" s="338"/>
      <c r="PEE27" s="338"/>
      <c r="PEF27" s="338"/>
      <c r="PEG27" s="338"/>
      <c r="PEH27" s="338"/>
      <c r="PEI27" s="338"/>
      <c r="PEJ27" s="338"/>
      <c r="PEK27" s="338"/>
      <c r="PEL27" s="338"/>
      <c r="PEM27" s="338"/>
      <c r="PEN27" s="338"/>
      <c r="PEO27" s="338"/>
      <c r="PEP27" s="338"/>
      <c r="PEQ27" s="338"/>
      <c r="PER27" s="338"/>
      <c r="PES27" s="338"/>
      <c r="PET27" s="338"/>
      <c r="PEU27" s="338"/>
      <c r="PEV27" s="338"/>
      <c r="PEW27" s="338"/>
      <c r="PEX27" s="338"/>
      <c r="PEY27" s="338"/>
      <c r="PEZ27" s="338"/>
      <c r="PFA27" s="338"/>
      <c r="PFB27" s="338"/>
      <c r="PFC27" s="338"/>
      <c r="PFD27" s="338"/>
      <c r="PFE27" s="338"/>
      <c r="PFF27" s="338"/>
      <c r="PFG27" s="338"/>
      <c r="PFH27" s="338"/>
      <c r="PFI27" s="338"/>
      <c r="PFJ27" s="338"/>
      <c r="PFK27" s="338"/>
      <c r="PFL27" s="338"/>
      <c r="PFM27" s="338"/>
      <c r="PFN27" s="338"/>
      <c r="PFO27" s="338"/>
      <c r="PFP27" s="338"/>
      <c r="PFQ27" s="338"/>
      <c r="PFR27" s="338"/>
      <c r="PFS27" s="338"/>
      <c r="PFT27" s="338"/>
      <c r="PFU27" s="338"/>
      <c r="PFV27" s="338"/>
      <c r="PFW27" s="338"/>
      <c r="PFX27" s="338"/>
      <c r="PFY27" s="338"/>
      <c r="PFZ27" s="338"/>
      <c r="PGA27" s="338"/>
      <c r="PGB27" s="338"/>
      <c r="PGC27" s="338"/>
      <c r="PGD27" s="338"/>
      <c r="PGE27" s="338"/>
      <c r="PGF27" s="338"/>
      <c r="PGG27" s="338"/>
      <c r="PGH27" s="338"/>
      <c r="PGI27" s="338"/>
      <c r="PGJ27" s="338"/>
      <c r="PGK27" s="338"/>
      <c r="PGL27" s="338"/>
      <c r="PGM27" s="338"/>
      <c r="PGN27" s="338"/>
      <c r="PGO27" s="338"/>
      <c r="PGP27" s="338"/>
      <c r="PGQ27" s="338"/>
      <c r="PGR27" s="338"/>
      <c r="PGS27" s="338"/>
      <c r="PGT27" s="338"/>
      <c r="PGU27" s="338"/>
      <c r="PGV27" s="338"/>
      <c r="PGW27" s="338"/>
      <c r="PGX27" s="338"/>
      <c r="PGY27" s="338"/>
      <c r="PGZ27" s="338"/>
      <c r="PHA27" s="338"/>
      <c r="PHB27" s="338"/>
      <c r="PHC27" s="338"/>
      <c r="PHD27" s="338"/>
      <c r="PHE27" s="338"/>
      <c r="PHF27" s="338"/>
      <c r="PHG27" s="338"/>
      <c r="PHH27" s="338"/>
      <c r="PHI27" s="338"/>
      <c r="PHJ27" s="338"/>
      <c r="PHK27" s="338"/>
      <c r="PHL27" s="338"/>
      <c r="PHM27" s="338"/>
      <c r="PHN27" s="338"/>
      <c r="PHO27" s="338"/>
      <c r="PHP27" s="338"/>
      <c r="PHQ27" s="338"/>
      <c r="PHR27" s="338"/>
      <c r="PHS27" s="338"/>
      <c r="PHT27" s="338"/>
      <c r="PHU27" s="338"/>
      <c r="PHV27" s="338"/>
      <c r="PHW27" s="338"/>
      <c r="PHX27" s="338"/>
      <c r="PHY27" s="338"/>
      <c r="PHZ27" s="338"/>
      <c r="PIA27" s="338"/>
      <c r="PIB27" s="338"/>
      <c r="PIC27" s="338"/>
      <c r="PID27" s="338"/>
      <c r="PIE27" s="338"/>
      <c r="PIF27" s="338"/>
      <c r="PIG27" s="338"/>
      <c r="PIH27" s="338"/>
      <c r="PII27" s="338"/>
      <c r="PIJ27" s="338"/>
      <c r="PIK27" s="338"/>
      <c r="PIL27" s="338"/>
      <c r="PIM27" s="338"/>
      <c r="PIN27" s="338"/>
      <c r="PIO27" s="338"/>
      <c r="PIP27" s="338"/>
      <c r="PIQ27" s="338"/>
      <c r="PIR27" s="338"/>
      <c r="PIS27" s="338"/>
      <c r="PIT27" s="338"/>
      <c r="PIU27" s="338"/>
      <c r="PIV27" s="338"/>
      <c r="PIW27" s="338"/>
      <c r="PIX27" s="338"/>
      <c r="PIY27" s="338"/>
      <c r="PIZ27" s="338"/>
      <c r="PJA27" s="338"/>
      <c r="PJB27" s="338"/>
      <c r="PJC27" s="338"/>
      <c r="PJD27" s="338"/>
      <c r="PJE27" s="338"/>
      <c r="PJF27" s="338"/>
      <c r="PJG27" s="338"/>
      <c r="PJH27" s="338"/>
      <c r="PJI27" s="338"/>
      <c r="PJJ27" s="338"/>
      <c r="PJK27" s="338"/>
      <c r="PJL27" s="338"/>
      <c r="PJM27" s="338"/>
      <c r="PJN27" s="338"/>
      <c r="PJO27" s="338"/>
      <c r="PJP27" s="338"/>
      <c r="PJQ27" s="338"/>
      <c r="PJR27" s="338"/>
      <c r="PJS27" s="338"/>
      <c r="PJT27" s="338"/>
      <c r="PJU27" s="338"/>
      <c r="PJV27" s="338"/>
      <c r="PJW27" s="338"/>
      <c r="PJX27" s="338"/>
      <c r="PJY27" s="338"/>
      <c r="PJZ27" s="338"/>
      <c r="PKA27" s="338"/>
      <c r="PKB27" s="338"/>
      <c r="PKC27" s="338"/>
      <c r="PKD27" s="338"/>
      <c r="PKE27" s="338"/>
      <c r="PKF27" s="338"/>
      <c r="PKG27" s="338"/>
      <c r="PKH27" s="338"/>
      <c r="PKI27" s="338"/>
      <c r="PKJ27" s="338"/>
      <c r="PKK27" s="338"/>
      <c r="PKL27" s="338"/>
      <c r="PKM27" s="338"/>
      <c r="PKN27" s="338"/>
      <c r="PKO27" s="338"/>
      <c r="PKP27" s="338"/>
      <c r="PKQ27" s="338"/>
      <c r="PKR27" s="338"/>
      <c r="PKS27" s="338"/>
      <c r="PKT27" s="338"/>
      <c r="PKU27" s="338"/>
      <c r="PKV27" s="338"/>
      <c r="PKW27" s="338"/>
      <c r="PKX27" s="338"/>
      <c r="PKY27" s="338"/>
      <c r="PKZ27" s="338"/>
      <c r="PLA27" s="338"/>
      <c r="PLB27" s="338"/>
      <c r="PLC27" s="338"/>
      <c r="PLD27" s="338"/>
      <c r="PLE27" s="338"/>
      <c r="PLF27" s="338"/>
      <c r="PLG27" s="338"/>
      <c r="PLH27" s="338"/>
      <c r="PLI27" s="338"/>
      <c r="PLJ27" s="338"/>
      <c r="PLK27" s="338"/>
      <c r="PLL27" s="338"/>
      <c r="PLM27" s="338"/>
      <c r="PLN27" s="338"/>
      <c r="PLO27" s="338"/>
      <c r="PLP27" s="338"/>
      <c r="PLQ27" s="338"/>
      <c r="PLR27" s="338"/>
      <c r="PLS27" s="338"/>
      <c r="PLT27" s="338"/>
      <c r="PLU27" s="338"/>
      <c r="PLV27" s="338"/>
      <c r="PLW27" s="338"/>
      <c r="PLX27" s="338"/>
      <c r="PLY27" s="338"/>
      <c r="PLZ27" s="338"/>
      <c r="PMA27" s="338"/>
      <c r="PMB27" s="338"/>
      <c r="PMC27" s="338"/>
      <c r="PMD27" s="338"/>
      <c r="PME27" s="338"/>
      <c r="PMF27" s="338"/>
      <c r="PMG27" s="338"/>
      <c r="PMH27" s="338"/>
      <c r="PMI27" s="338"/>
      <c r="PMJ27" s="338"/>
      <c r="PMK27" s="338"/>
      <c r="PML27" s="338"/>
      <c r="PMM27" s="338"/>
      <c r="PMN27" s="338"/>
      <c r="PMO27" s="338"/>
      <c r="PMP27" s="338"/>
      <c r="PMQ27" s="338"/>
      <c r="PMR27" s="338"/>
      <c r="PMS27" s="338"/>
      <c r="PMT27" s="338"/>
      <c r="PMU27" s="338"/>
      <c r="PMV27" s="338"/>
      <c r="PMW27" s="338"/>
      <c r="PMX27" s="338"/>
      <c r="PMY27" s="338"/>
      <c r="PMZ27" s="338"/>
      <c r="PNA27" s="338"/>
      <c r="PNB27" s="338"/>
      <c r="PNC27" s="338"/>
      <c r="PND27" s="338"/>
      <c r="PNE27" s="338"/>
      <c r="PNF27" s="338"/>
      <c r="PNG27" s="338"/>
      <c r="PNH27" s="338"/>
      <c r="PNI27" s="338"/>
      <c r="PNJ27" s="338"/>
      <c r="PNK27" s="338"/>
      <c r="PNL27" s="338"/>
      <c r="PNM27" s="338"/>
      <c r="PNN27" s="338"/>
      <c r="PNO27" s="338"/>
      <c r="PNP27" s="338"/>
      <c r="PNQ27" s="338"/>
      <c r="PNR27" s="338"/>
      <c r="PNS27" s="338"/>
      <c r="PNT27" s="338"/>
      <c r="PNU27" s="338"/>
      <c r="PNV27" s="338"/>
      <c r="PNW27" s="338"/>
      <c r="PNX27" s="338"/>
      <c r="PNY27" s="338"/>
      <c r="PNZ27" s="338"/>
      <c r="POA27" s="338"/>
      <c r="POB27" s="338"/>
      <c r="POC27" s="338"/>
      <c r="POD27" s="338"/>
      <c r="POE27" s="338"/>
      <c r="POF27" s="338"/>
      <c r="POG27" s="338"/>
      <c r="POH27" s="338"/>
      <c r="POI27" s="338"/>
      <c r="POJ27" s="338"/>
      <c r="POK27" s="338"/>
      <c r="POL27" s="338"/>
      <c r="POM27" s="338"/>
      <c r="PON27" s="338"/>
      <c r="POO27" s="338"/>
      <c r="POP27" s="338"/>
      <c r="POQ27" s="338"/>
      <c r="POR27" s="338"/>
      <c r="POS27" s="338"/>
      <c r="POT27" s="338"/>
      <c r="POU27" s="338"/>
      <c r="POV27" s="338"/>
      <c r="POW27" s="338"/>
      <c r="POX27" s="338"/>
      <c r="POY27" s="338"/>
      <c r="POZ27" s="338"/>
      <c r="PPA27" s="338"/>
      <c r="PPB27" s="338"/>
      <c r="PPC27" s="338"/>
      <c r="PPD27" s="338"/>
      <c r="PPE27" s="338"/>
      <c r="PPF27" s="338"/>
      <c r="PPG27" s="338"/>
      <c r="PPH27" s="338"/>
      <c r="PPI27" s="338"/>
      <c r="PPJ27" s="338"/>
      <c r="PPK27" s="338"/>
      <c r="PPL27" s="338"/>
      <c r="PPM27" s="338"/>
      <c r="PPN27" s="338"/>
      <c r="PPO27" s="338"/>
      <c r="PPP27" s="338"/>
      <c r="PPQ27" s="338"/>
      <c r="PPR27" s="338"/>
      <c r="PPS27" s="338"/>
      <c r="PPT27" s="338"/>
      <c r="PPU27" s="338"/>
      <c r="PPV27" s="338"/>
      <c r="PPW27" s="338"/>
      <c r="PPX27" s="338"/>
      <c r="PPY27" s="338"/>
      <c r="PPZ27" s="338"/>
      <c r="PQA27" s="338"/>
      <c r="PQB27" s="338"/>
      <c r="PQC27" s="338"/>
      <c r="PQD27" s="338"/>
      <c r="PQE27" s="338"/>
      <c r="PQF27" s="338"/>
      <c r="PQG27" s="338"/>
      <c r="PQH27" s="338"/>
      <c r="PQI27" s="338"/>
      <c r="PQJ27" s="338"/>
      <c r="PQK27" s="338"/>
      <c r="PQL27" s="338"/>
      <c r="PQM27" s="338"/>
      <c r="PQN27" s="338"/>
      <c r="PQO27" s="338"/>
      <c r="PQP27" s="338"/>
      <c r="PQQ27" s="338"/>
      <c r="PQR27" s="338"/>
      <c r="PQS27" s="338"/>
      <c r="PQT27" s="338"/>
      <c r="PQU27" s="338"/>
      <c r="PQV27" s="338"/>
      <c r="PQW27" s="338"/>
      <c r="PQX27" s="338"/>
      <c r="PQY27" s="338"/>
      <c r="PQZ27" s="338"/>
      <c r="PRA27" s="338"/>
      <c r="PRB27" s="338"/>
      <c r="PRC27" s="338"/>
      <c r="PRD27" s="338"/>
      <c r="PRE27" s="338"/>
      <c r="PRF27" s="338"/>
      <c r="PRG27" s="338"/>
      <c r="PRH27" s="338"/>
      <c r="PRI27" s="338"/>
      <c r="PRJ27" s="338"/>
      <c r="PRK27" s="338"/>
      <c r="PRL27" s="338"/>
      <c r="PRM27" s="338"/>
      <c r="PRN27" s="338"/>
      <c r="PRO27" s="338"/>
      <c r="PRP27" s="338"/>
      <c r="PRQ27" s="338"/>
      <c r="PRR27" s="338"/>
      <c r="PRS27" s="338"/>
      <c r="PRT27" s="338"/>
      <c r="PRU27" s="338"/>
      <c r="PRV27" s="338"/>
      <c r="PRW27" s="338"/>
      <c r="PRX27" s="338"/>
      <c r="PRY27" s="338"/>
      <c r="PRZ27" s="338"/>
      <c r="PSA27" s="338"/>
      <c r="PSB27" s="338"/>
      <c r="PSC27" s="338"/>
      <c r="PSD27" s="338"/>
      <c r="PSE27" s="338"/>
      <c r="PSF27" s="338"/>
      <c r="PSG27" s="338"/>
      <c r="PSH27" s="338"/>
      <c r="PSI27" s="338"/>
      <c r="PSJ27" s="338"/>
      <c r="PSK27" s="338"/>
      <c r="PSL27" s="338"/>
      <c r="PSM27" s="338"/>
      <c r="PSN27" s="338"/>
      <c r="PSO27" s="338"/>
      <c r="PSP27" s="338"/>
      <c r="PSQ27" s="338"/>
      <c r="PSR27" s="338"/>
      <c r="PSS27" s="338"/>
      <c r="PST27" s="338"/>
      <c r="PSU27" s="338"/>
      <c r="PSV27" s="338"/>
      <c r="PSW27" s="338"/>
      <c r="PSX27" s="338"/>
      <c r="PSY27" s="338"/>
      <c r="PSZ27" s="338"/>
      <c r="PTA27" s="338"/>
      <c r="PTB27" s="338"/>
      <c r="PTC27" s="338"/>
      <c r="PTD27" s="338"/>
      <c r="PTE27" s="338"/>
      <c r="PTF27" s="338"/>
      <c r="PTG27" s="338"/>
      <c r="PTH27" s="338"/>
      <c r="PTI27" s="338"/>
      <c r="PTJ27" s="338"/>
      <c r="PTK27" s="338"/>
      <c r="PTL27" s="338"/>
      <c r="PTM27" s="338"/>
      <c r="PTN27" s="338"/>
      <c r="PTO27" s="338"/>
      <c r="PTP27" s="338"/>
      <c r="PTQ27" s="338"/>
      <c r="PTR27" s="338"/>
      <c r="PTS27" s="338"/>
      <c r="PTT27" s="338"/>
      <c r="PTU27" s="338"/>
      <c r="PTV27" s="338"/>
      <c r="PTW27" s="338"/>
      <c r="PTX27" s="338"/>
      <c r="PTY27" s="338"/>
      <c r="PTZ27" s="338"/>
      <c r="PUA27" s="338"/>
      <c r="PUB27" s="338"/>
      <c r="PUC27" s="338"/>
      <c r="PUD27" s="338"/>
      <c r="PUE27" s="338"/>
      <c r="PUF27" s="338"/>
      <c r="PUG27" s="338"/>
      <c r="PUH27" s="338"/>
      <c r="PUI27" s="338"/>
      <c r="PUJ27" s="338"/>
      <c r="PUK27" s="338"/>
      <c r="PUL27" s="338"/>
      <c r="PUM27" s="338"/>
      <c r="PUN27" s="338"/>
      <c r="PUO27" s="338"/>
      <c r="PUP27" s="338"/>
      <c r="PUQ27" s="338"/>
      <c r="PUR27" s="338"/>
      <c r="PUS27" s="338"/>
      <c r="PUT27" s="338"/>
      <c r="PUU27" s="338"/>
      <c r="PUV27" s="338"/>
      <c r="PUW27" s="338"/>
      <c r="PUX27" s="338"/>
      <c r="PUY27" s="338"/>
      <c r="PUZ27" s="338"/>
      <c r="PVA27" s="338"/>
      <c r="PVB27" s="338"/>
      <c r="PVC27" s="338"/>
      <c r="PVD27" s="338"/>
      <c r="PVE27" s="338"/>
      <c r="PVF27" s="338"/>
      <c r="PVG27" s="338"/>
      <c r="PVH27" s="338"/>
      <c r="PVI27" s="338"/>
      <c r="PVJ27" s="338"/>
      <c r="PVK27" s="338"/>
      <c r="PVL27" s="338"/>
      <c r="PVM27" s="338"/>
      <c r="PVN27" s="338"/>
      <c r="PVO27" s="338"/>
      <c r="PVP27" s="338"/>
      <c r="PVQ27" s="338"/>
      <c r="PVR27" s="338"/>
      <c r="PVS27" s="338"/>
      <c r="PVT27" s="338"/>
      <c r="PVU27" s="338"/>
      <c r="PVV27" s="338"/>
      <c r="PVW27" s="338"/>
      <c r="PVX27" s="338"/>
      <c r="PVY27" s="338"/>
      <c r="PVZ27" s="338"/>
      <c r="PWA27" s="338"/>
      <c r="PWB27" s="338"/>
      <c r="PWC27" s="338"/>
      <c r="PWD27" s="338"/>
      <c r="PWE27" s="338"/>
      <c r="PWF27" s="338"/>
      <c r="PWG27" s="338"/>
      <c r="PWH27" s="338"/>
      <c r="PWI27" s="338"/>
      <c r="PWJ27" s="338"/>
      <c r="PWK27" s="338"/>
      <c r="PWL27" s="338"/>
      <c r="PWM27" s="338"/>
      <c r="PWN27" s="338"/>
      <c r="PWO27" s="338"/>
      <c r="PWP27" s="338"/>
      <c r="PWQ27" s="338"/>
      <c r="PWR27" s="338"/>
      <c r="PWS27" s="338"/>
      <c r="PWT27" s="338"/>
      <c r="PWU27" s="338"/>
      <c r="PWV27" s="338"/>
      <c r="PWW27" s="338"/>
      <c r="PWX27" s="338"/>
      <c r="PWY27" s="338"/>
      <c r="PWZ27" s="338"/>
      <c r="PXA27" s="338"/>
      <c r="PXB27" s="338"/>
      <c r="PXC27" s="338"/>
      <c r="PXD27" s="338"/>
      <c r="PXE27" s="338"/>
      <c r="PXF27" s="338"/>
      <c r="PXG27" s="338"/>
      <c r="PXH27" s="338"/>
      <c r="PXI27" s="338"/>
      <c r="PXJ27" s="338"/>
      <c r="PXK27" s="338"/>
      <c r="PXL27" s="338"/>
      <c r="PXM27" s="338"/>
      <c r="PXN27" s="338"/>
      <c r="PXO27" s="338"/>
      <c r="PXP27" s="338"/>
      <c r="PXQ27" s="338"/>
      <c r="PXR27" s="338"/>
      <c r="PXS27" s="338"/>
      <c r="PXT27" s="338"/>
      <c r="PXU27" s="338"/>
      <c r="PXV27" s="338"/>
      <c r="PXW27" s="338"/>
      <c r="PXX27" s="338"/>
      <c r="PXY27" s="338"/>
      <c r="PXZ27" s="338"/>
      <c r="PYA27" s="338"/>
      <c r="PYB27" s="338"/>
      <c r="PYC27" s="338"/>
      <c r="PYD27" s="338"/>
      <c r="PYE27" s="338"/>
      <c r="PYF27" s="338"/>
      <c r="PYG27" s="338"/>
      <c r="PYH27" s="338"/>
      <c r="PYI27" s="338"/>
      <c r="PYJ27" s="338"/>
      <c r="PYK27" s="338"/>
      <c r="PYL27" s="338"/>
      <c r="PYM27" s="338"/>
      <c r="PYN27" s="338"/>
      <c r="PYO27" s="338"/>
      <c r="PYP27" s="338"/>
      <c r="PYQ27" s="338"/>
      <c r="PYR27" s="338"/>
      <c r="PYS27" s="338"/>
      <c r="PYT27" s="338"/>
      <c r="PYU27" s="338"/>
      <c r="PYV27" s="338"/>
      <c r="PYW27" s="338"/>
      <c r="PYX27" s="338"/>
      <c r="PYY27" s="338"/>
      <c r="PYZ27" s="338"/>
      <c r="PZA27" s="338"/>
      <c r="PZB27" s="338"/>
      <c r="PZC27" s="338"/>
      <c r="PZD27" s="338"/>
      <c r="PZE27" s="338"/>
      <c r="PZF27" s="338"/>
      <c r="PZG27" s="338"/>
      <c r="PZH27" s="338"/>
      <c r="PZI27" s="338"/>
      <c r="PZJ27" s="338"/>
      <c r="PZK27" s="338"/>
      <c r="PZL27" s="338"/>
      <c r="PZM27" s="338"/>
      <c r="PZN27" s="338"/>
      <c r="PZO27" s="338"/>
      <c r="PZP27" s="338"/>
      <c r="PZQ27" s="338"/>
      <c r="PZR27" s="338"/>
      <c r="PZS27" s="338"/>
      <c r="PZT27" s="338"/>
      <c r="PZU27" s="338"/>
      <c r="PZV27" s="338"/>
      <c r="PZW27" s="338"/>
      <c r="PZX27" s="338"/>
      <c r="PZY27" s="338"/>
      <c r="PZZ27" s="338"/>
      <c r="QAA27" s="338"/>
      <c r="QAB27" s="338"/>
      <c r="QAC27" s="338"/>
      <c r="QAD27" s="338"/>
      <c r="QAE27" s="338"/>
      <c r="QAF27" s="338"/>
      <c r="QAG27" s="338"/>
      <c r="QAH27" s="338"/>
      <c r="QAI27" s="338"/>
      <c r="QAJ27" s="338"/>
      <c r="QAK27" s="338"/>
      <c r="QAL27" s="338"/>
      <c r="QAM27" s="338"/>
      <c r="QAN27" s="338"/>
      <c r="QAO27" s="338"/>
      <c r="QAP27" s="338"/>
      <c r="QAQ27" s="338"/>
      <c r="QAR27" s="338"/>
      <c r="QAS27" s="338"/>
      <c r="QAT27" s="338"/>
      <c r="QAU27" s="338"/>
      <c r="QAV27" s="338"/>
      <c r="QAW27" s="338"/>
      <c r="QAX27" s="338"/>
      <c r="QAY27" s="338"/>
      <c r="QAZ27" s="338"/>
      <c r="QBA27" s="338"/>
      <c r="QBB27" s="338"/>
      <c r="QBC27" s="338"/>
      <c r="QBD27" s="338"/>
      <c r="QBE27" s="338"/>
      <c r="QBF27" s="338"/>
      <c r="QBG27" s="338"/>
      <c r="QBH27" s="338"/>
      <c r="QBI27" s="338"/>
      <c r="QBJ27" s="338"/>
      <c r="QBK27" s="338"/>
      <c r="QBL27" s="338"/>
      <c r="QBM27" s="338"/>
      <c r="QBN27" s="338"/>
      <c r="QBO27" s="338"/>
      <c r="QBP27" s="338"/>
      <c r="QBQ27" s="338"/>
      <c r="QBR27" s="338"/>
      <c r="QBS27" s="338"/>
      <c r="QBT27" s="338"/>
      <c r="QBU27" s="338"/>
      <c r="QBV27" s="338"/>
      <c r="QBW27" s="338"/>
      <c r="QBX27" s="338"/>
      <c r="QBY27" s="338"/>
      <c r="QBZ27" s="338"/>
      <c r="QCA27" s="338"/>
      <c r="QCB27" s="338"/>
      <c r="QCC27" s="338"/>
      <c r="QCD27" s="338"/>
      <c r="QCE27" s="338"/>
      <c r="QCF27" s="338"/>
      <c r="QCG27" s="338"/>
      <c r="QCH27" s="338"/>
      <c r="QCI27" s="338"/>
      <c r="QCJ27" s="338"/>
      <c r="QCK27" s="338"/>
      <c r="QCL27" s="338"/>
      <c r="QCM27" s="338"/>
      <c r="QCN27" s="338"/>
      <c r="QCO27" s="338"/>
      <c r="QCP27" s="338"/>
      <c r="QCQ27" s="338"/>
      <c r="QCR27" s="338"/>
      <c r="QCS27" s="338"/>
      <c r="QCT27" s="338"/>
      <c r="QCU27" s="338"/>
      <c r="QCV27" s="338"/>
      <c r="QCW27" s="338"/>
      <c r="QCX27" s="338"/>
      <c r="QCY27" s="338"/>
      <c r="QCZ27" s="338"/>
      <c r="QDA27" s="338"/>
      <c r="QDB27" s="338"/>
      <c r="QDC27" s="338"/>
      <c r="QDD27" s="338"/>
      <c r="QDE27" s="338"/>
      <c r="QDF27" s="338"/>
      <c r="QDG27" s="338"/>
      <c r="QDH27" s="338"/>
      <c r="QDI27" s="338"/>
      <c r="QDJ27" s="338"/>
      <c r="QDK27" s="338"/>
      <c r="QDL27" s="338"/>
      <c r="QDM27" s="338"/>
      <c r="QDN27" s="338"/>
      <c r="QDO27" s="338"/>
      <c r="QDP27" s="338"/>
      <c r="QDQ27" s="338"/>
      <c r="QDR27" s="338"/>
      <c r="QDS27" s="338"/>
      <c r="QDT27" s="338"/>
      <c r="QDU27" s="338"/>
      <c r="QDV27" s="338"/>
      <c r="QDW27" s="338"/>
      <c r="QDX27" s="338"/>
      <c r="QDY27" s="338"/>
      <c r="QDZ27" s="338"/>
      <c r="QEA27" s="338"/>
      <c r="QEB27" s="338"/>
      <c r="QEC27" s="338"/>
      <c r="QED27" s="338"/>
      <c r="QEE27" s="338"/>
      <c r="QEF27" s="338"/>
      <c r="QEG27" s="338"/>
      <c r="QEH27" s="338"/>
      <c r="QEI27" s="338"/>
      <c r="QEJ27" s="338"/>
      <c r="QEK27" s="338"/>
      <c r="QEL27" s="338"/>
      <c r="QEM27" s="338"/>
      <c r="QEN27" s="338"/>
      <c r="QEO27" s="338"/>
      <c r="QEP27" s="338"/>
      <c r="QEQ27" s="338"/>
      <c r="QER27" s="338"/>
      <c r="QES27" s="338"/>
      <c r="QET27" s="338"/>
      <c r="QEU27" s="338"/>
      <c r="QEV27" s="338"/>
      <c r="QEW27" s="338"/>
      <c r="QEX27" s="338"/>
      <c r="QEY27" s="338"/>
      <c r="QEZ27" s="338"/>
      <c r="QFA27" s="338"/>
      <c r="QFB27" s="338"/>
      <c r="QFC27" s="338"/>
      <c r="QFD27" s="338"/>
      <c r="QFE27" s="338"/>
      <c r="QFF27" s="338"/>
      <c r="QFG27" s="338"/>
      <c r="QFH27" s="338"/>
      <c r="QFI27" s="338"/>
      <c r="QFJ27" s="338"/>
      <c r="QFK27" s="338"/>
      <c r="QFL27" s="338"/>
      <c r="QFM27" s="338"/>
      <c r="QFN27" s="338"/>
      <c r="QFO27" s="338"/>
      <c r="QFP27" s="338"/>
      <c r="QFQ27" s="338"/>
      <c r="QFR27" s="338"/>
      <c r="QFS27" s="338"/>
      <c r="QFT27" s="338"/>
      <c r="QFU27" s="338"/>
      <c r="QFV27" s="338"/>
      <c r="QFW27" s="338"/>
      <c r="QFX27" s="338"/>
      <c r="QFY27" s="338"/>
      <c r="QFZ27" s="338"/>
      <c r="QGA27" s="338"/>
      <c r="QGB27" s="338"/>
      <c r="QGC27" s="338"/>
      <c r="QGD27" s="338"/>
      <c r="QGE27" s="338"/>
      <c r="QGF27" s="338"/>
      <c r="QGG27" s="338"/>
      <c r="QGH27" s="338"/>
      <c r="QGI27" s="338"/>
      <c r="QGJ27" s="338"/>
      <c r="QGK27" s="338"/>
      <c r="QGL27" s="338"/>
      <c r="QGM27" s="338"/>
      <c r="QGN27" s="338"/>
      <c r="QGO27" s="338"/>
      <c r="QGP27" s="338"/>
      <c r="QGQ27" s="338"/>
      <c r="QGR27" s="338"/>
      <c r="QGS27" s="338"/>
      <c r="QGT27" s="338"/>
      <c r="QGU27" s="338"/>
      <c r="QGV27" s="338"/>
      <c r="QGW27" s="338"/>
      <c r="QGX27" s="338"/>
      <c r="QGY27" s="338"/>
      <c r="QGZ27" s="338"/>
      <c r="QHA27" s="338"/>
      <c r="QHB27" s="338"/>
      <c r="QHC27" s="338"/>
      <c r="QHD27" s="338"/>
      <c r="QHE27" s="338"/>
      <c r="QHF27" s="338"/>
      <c r="QHG27" s="338"/>
      <c r="QHH27" s="338"/>
      <c r="QHI27" s="338"/>
      <c r="QHJ27" s="338"/>
      <c r="QHK27" s="338"/>
      <c r="QHL27" s="338"/>
      <c r="QHM27" s="338"/>
      <c r="QHN27" s="338"/>
      <c r="QHO27" s="338"/>
      <c r="QHP27" s="338"/>
      <c r="QHQ27" s="338"/>
      <c r="QHR27" s="338"/>
      <c r="QHS27" s="338"/>
      <c r="QHT27" s="338"/>
      <c r="QHU27" s="338"/>
      <c r="QHV27" s="338"/>
      <c r="QHW27" s="338"/>
      <c r="QHX27" s="338"/>
      <c r="QHY27" s="338"/>
      <c r="QHZ27" s="338"/>
      <c r="QIA27" s="338"/>
      <c r="QIB27" s="338"/>
      <c r="QIC27" s="338"/>
      <c r="QID27" s="338"/>
      <c r="QIE27" s="338"/>
      <c r="QIF27" s="338"/>
      <c r="QIG27" s="338"/>
      <c r="QIH27" s="338"/>
      <c r="QII27" s="338"/>
      <c r="QIJ27" s="338"/>
      <c r="QIK27" s="338"/>
      <c r="QIL27" s="338"/>
      <c r="QIM27" s="338"/>
      <c r="QIN27" s="338"/>
      <c r="QIO27" s="338"/>
      <c r="QIP27" s="338"/>
      <c r="QIQ27" s="338"/>
      <c r="QIR27" s="338"/>
      <c r="QIS27" s="338"/>
      <c r="QIT27" s="338"/>
      <c r="QIU27" s="338"/>
      <c r="QIV27" s="338"/>
      <c r="QIW27" s="338"/>
      <c r="QIX27" s="338"/>
      <c r="QIY27" s="338"/>
      <c r="QIZ27" s="338"/>
      <c r="QJA27" s="338"/>
      <c r="QJB27" s="338"/>
      <c r="QJC27" s="338"/>
      <c r="QJD27" s="338"/>
      <c r="QJE27" s="338"/>
      <c r="QJF27" s="338"/>
      <c r="QJG27" s="338"/>
      <c r="QJH27" s="338"/>
      <c r="QJI27" s="338"/>
      <c r="QJJ27" s="338"/>
      <c r="QJK27" s="338"/>
      <c r="QJL27" s="338"/>
      <c r="QJM27" s="338"/>
      <c r="QJN27" s="338"/>
      <c r="QJO27" s="338"/>
      <c r="QJP27" s="338"/>
      <c r="QJQ27" s="338"/>
      <c r="QJR27" s="338"/>
      <c r="QJS27" s="338"/>
      <c r="QJT27" s="338"/>
      <c r="QJU27" s="338"/>
      <c r="QJV27" s="338"/>
      <c r="QJW27" s="338"/>
      <c r="QJX27" s="338"/>
      <c r="QJY27" s="338"/>
      <c r="QJZ27" s="338"/>
      <c r="QKA27" s="338"/>
      <c r="QKB27" s="338"/>
      <c r="QKC27" s="338"/>
      <c r="QKD27" s="338"/>
      <c r="QKE27" s="338"/>
      <c r="QKF27" s="338"/>
      <c r="QKG27" s="338"/>
      <c r="QKH27" s="338"/>
      <c r="QKI27" s="338"/>
      <c r="QKJ27" s="338"/>
      <c r="QKK27" s="338"/>
      <c r="QKL27" s="338"/>
      <c r="QKM27" s="338"/>
      <c r="QKN27" s="338"/>
      <c r="QKO27" s="338"/>
      <c r="QKP27" s="338"/>
      <c r="QKQ27" s="338"/>
      <c r="QKR27" s="338"/>
      <c r="QKS27" s="338"/>
      <c r="QKT27" s="338"/>
      <c r="QKU27" s="338"/>
      <c r="QKV27" s="338"/>
      <c r="QKW27" s="338"/>
      <c r="QKX27" s="338"/>
      <c r="QKY27" s="338"/>
      <c r="QKZ27" s="338"/>
      <c r="QLA27" s="338"/>
      <c r="QLB27" s="338"/>
      <c r="QLC27" s="338"/>
      <c r="QLD27" s="338"/>
      <c r="QLE27" s="338"/>
      <c r="QLF27" s="338"/>
      <c r="QLG27" s="338"/>
      <c r="QLH27" s="338"/>
      <c r="QLI27" s="338"/>
      <c r="QLJ27" s="338"/>
      <c r="QLK27" s="338"/>
      <c r="QLL27" s="338"/>
      <c r="QLM27" s="338"/>
      <c r="QLN27" s="338"/>
      <c r="QLO27" s="338"/>
      <c r="QLP27" s="338"/>
      <c r="QLQ27" s="338"/>
      <c r="QLR27" s="338"/>
      <c r="QLS27" s="338"/>
      <c r="QLT27" s="338"/>
      <c r="QLU27" s="338"/>
      <c r="QLV27" s="338"/>
      <c r="QLW27" s="338"/>
      <c r="QLX27" s="338"/>
      <c r="QLY27" s="338"/>
      <c r="QLZ27" s="338"/>
      <c r="QMA27" s="338"/>
      <c r="QMB27" s="338"/>
      <c r="QMC27" s="338"/>
      <c r="QMD27" s="338"/>
      <c r="QME27" s="338"/>
      <c r="QMF27" s="338"/>
      <c r="QMG27" s="338"/>
      <c r="QMH27" s="338"/>
      <c r="QMI27" s="338"/>
      <c r="QMJ27" s="338"/>
      <c r="QMK27" s="338"/>
      <c r="QML27" s="338"/>
      <c r="QMM27" s="338"/>
      <c r="QMN27" s="338"/>
      <c r="QMO27" s="338"/>
      <c r="QMP27" s="338"/>
      <c r="QMQ27" s="338"/>
      <c r="QMR27" s="338"/>
      <c r="QMS27" s="338"/>
      <c r="QMT27" s="338"/>
      <c r="QMU27" s="338"/>
      <c r="QMV27" s="338"/>
      <c r="QMW27" s="338"/>
      <c r="QMX27" s="338"/>
      <c r="QMY27" s="338"/>
      <c r="QMZ27" s="338"/>
      <c r="QNA27" s="338"/>
      <c r="QNB27" s="338"/>
      <c r="QNC27" s="338"/>
      <c r="QND27" s="338"/>
      <c r="QNE27" s="338"/>
      <c r="QNF27" s="338"/>
      <c r="QNG27" s="338"/>
      <c r="QNH27" s="338"/>
      <c r="QNI27" s="338"/>
      <c r="QNJ27" s="338"/>
      <c r="QNK27" s="338"/>
      <c r="QNL27" s="338"/>
      <c r="QNM27" s="338"/>
      <c r="QNN27" s="338"/>
      <c r="QNO27" s="338"/>
      <c r="QNP27" s="338"/>
      <c r="QNQ27" s="338"/>
      <c r="QNR27" s="338"/>
      <c r="QNS27" s="338"/>
      <c r="QNT27" s="338"/>
      <c r="QNU27" s="338"/>
      <c r="QNV27" s="338"/>
      <c r="QNW27" s="338"/>
      <c r="QNX27" s="338"/>
      <c r="QNY27" s="338"/>
      <c r="QNZ27" s="338"/>
      <c r="QOA27" s="338"/>
      <c r="QOB27" s="338"/>
      <c r="QOC27" s="338"/>
      <c r="QOD27" s="338"/>
      <c r="QOE27" s="338"/>
      <c r="QOF27" s="338"/>
      <c r="QOG27" s="338"/>
      <c r="QOH27" s="338"/>
      <c r="QOI27" s="338"/>
      <c r="QOJ27" s="338"/>
      <c r="QOK27" s="338"/>
      <c r="QOL27" s="338"/>
      <c r="QOM27" s="338"/>
      <c r="QON27" s="338"/>
      <c r="QOO27" s="338"/>
      <c r="QOP27" s="338"/>
      <c r="QOQ27" s="338"/>
      <c r="QOR27" s="338"/>
      <c r="QOS27" s="338"/>
      <c r="QOT27" s="338"/>
      <c r="QOU27" s="338"/>
      <c r="QOV27" s="338"/>
      <c r="QOW27" s="338"/>
      <c r="QOX27" s="338"/>
      <c r="QOY27" s="338"/>
      <c r="QOZ27" s="338"/>
      <c r="QPA27" s="338"/>
      <c r="QPB27" s="338"/>
      <c r="QPC27" s="338"/>
      <c r="QPD27" s="338"/>
      <c r="QPE27" s="338"/>
      <c r="QPF27" s="338"/>
      <c r="QPG27" s="338"/>
      <c r="QPH27" s="338"/>
      <c r="QPI27" s="338"/>
      <c r="QPJ27" s="338"/>
      <c r="QPK27" s="338"/>
      <c r="QPL27" s="338"/>
      <c r="QPM27" s="338"/>
      <c r="QPN27" s="338"/>
      <c r="QPO27" s="338"/>
      <c r="QPP27" s="338"/>
      <c r="QPQ27" s="338"/>
      <c r="QPR27" s="338"/>
      <c r="QPS27" s="338"/>
      <c r="QPT27" s="338"/>
      <c r="QPU27" s="338"/>
      <c r="QPV27" s="338"/>
      <c r="QPW27" s="338"/>
      <c r="QPX27" s="338"/>
      <c r="QPY27" s="338"/>
      <c r="QPZ27" s="338"/>
      <c r="QQA27" s="338"/>
      <c r="QQB27" s="338"/>
      <c r="QQC27" s="338"/>
      <c r="QQD27" s="338"/>
      <c r="QQE27" s="338"/>
      <c r="QQF27" s="338"/>
      <c r="QQG27" s="338"/>
      <c r="QQH27" s="338"/>
      <c r="QQI27" s="338"/>
      <c r="QQJ27" s="338"/>
      <c r="QQK27" s="338"/>
      <c r="QQL27" s="338"/>
      <c r="QQM27" s="338"/>
      <c r="QQN27" s="338"/>
      <c r="QQO27" s="338"/>
      <c r="QQP27" s="338"/>
      <c r="QQQ27" s="338"/>
      <c r="QQR27" s="338"/>
      <c r="QQS27" s="338"/>
      <c r="QQT27" s="338"/>
      <c r="QQU27" s="338"/>
      <c r="QQV27" s="338"/>
      <c r="QQW27" s="338"/>
      <c r="QQX27" s="338"/>
      <c r="QQY27" s="338"/>
      <c r="QQZ27" s="338"/>
      <c r="QRA27" s="338"/>
      <c r="QRB27" s="338"/>
      <c r="QRC27" s="338"/>
      <c r="QRD27" s="338"/>
      <c r="QRE27" s="338"/>
      <c r="QRF27" s="338"/>
      <c r="QRG27" s="338"/>
      <c r="QRH27" s="338"/>
      <c r="QRI27" s="338"/>
      <c r="QRJ27" s="338"/>
      <c r="QRK27" s="338"/>
      <c r="QRL27" s="338"/>
      <c r="QRM27" s="338"/>
      <c r="QRN27" s="338"/>
      <c r="QRO27" s="338"/>
      <c r="QRP27" s="338"/>
      <c r="QRQ27" s="338"/>
      <c r="QRR27" s="338"/>
      <c r="QRS27" s="338"/>
      <c r="QRT27" s="338"/>
      <c r="QRU27" s="338"/>
      <c r="QRV27" s="338"/>
      <c r="QRW27" s="338"/>
      <c r="QRX27" s="338"/>
      <c r="QRY27" s="338"/>
      <c r="QRZ27" s="338"/>
      <c r="QSA27" s="338"/>
      <c r="QSB27" s="338"/>
      <c r="QSC27" s="338"/>
      <c r="QSD27" s="338"/>
      <c r="QSE27" s="338"/>
      <c r="QSF27" s="338"/>
      <c r="QSG27" s="338"/>
      <c r="QSH27" s="338"/>
      <c r="QSI27" s="338"/>
      <c r="QSJ27" s="338"/>
      <c r="QSK27" s="338"/>
      <c r="QSL27" s="338"/>
      <c r="QSM27" s="338"/>
      <c r="QSN27" s="338"/>
      <c r="QSO27" s="338"/>
      <c r="QSP27" s="338"/>
      <c r="QSQ27" s="338"/>
      <c r="QSR27" s="338"/>
      <c r="QSS27" s="338"/>
      <c r="QST27" s="338"/>
      <c r="QSU27" s="338"/>
      <c r="QSV27" s="338"/>
      <c r="QSW27" s="338"/>
      <c r="QSX27" s="338"/>
      <c r="QSY27" s="338"/>
      <c r="QSZ27" s="338"/>
      <c r="QTA27" s="338"/>
      <c r="QTB27" s="338"/>
      <c r="QTC27" s="338"/>
      <c r="QTD27" s="338"/>
      <c r="QTE27" s="338"/>
      <c r="QTF27" s="338"/>
      <c r="QTG27" s="338"/>
      <c r="QTH27" s="338"/>
      <c r="QTI27" s="338"/>
      <c r="QTJ27" s="338"/>
      <c r="QTK27" s="338"/>
      <c r="QTL27" s="338"/>
      <c r="QTM27" s="338"/>
      <c r="QTN27" s="338"/>
      <c r="QTO27" s="338"/>
      <c r="QTP27" s="338"/>
      <c r="QTQ27" s="338"/>
      <c r="QTR27" s="338"/>
      <c r="QTS27" s="338"/>
      <c r="QTT27" s="338"/>
      <c r="QTU27" s="338"/>
      <c r="QTV27" s="338"/>
      <c r="QTW27" s="338"/>
      <c r="QTX27" s="338"/>
      <c r="QTY27" s="338"/>
      <c r="QTZ27" s="338"/>
      <c r="QUA27" s="338"/>
      <c r="QUB27" s="338"/>
      <c r="QUC27" s="338"/>
      <c r="QUD27" s="338"/>
      <c r="QUE27" s="338"/>
      <c r="QUF27" s="338"/>
      <c r="QUG27" s="338"/>
      <c r="QUH27" s="338"/>
      <c r="QUI27" s="338"/>
      <c r="QUJ27" s="338"/>
      <c r="QUK27" s="338"/>
      <c r="QUL27" s="338"/>
      <c r="QUM27" s="338"/>
      <c r="QUN27" s="338"/>
      <c r="QUO27" s="338"/>
      <c r="QUP27" s="338"/>
      <c r="QUQ27" s="338"/>
      <c r="QUR27" s="338"/>
      <c r="QUS27" s="338"/>
      <c r="QUT27" s="338"/>
      <c r="QUU27" s="338"/>
      <c r="QUV27" s="338"/>
      <c r="QUW27" s="338"/>
      <c r="QUX27" s="338"/>
      <c r="QUY27" s="338"/>
      <c r="QUZ27" s="338"/>
      <c r="QVA27" s="338"/>
      <c r="QVB27" s="338"/>
      <c r="QVC27" s="338"/>
      <c r="QVD27" s="338"/>
      <c r="QVE27" s="338"/>
      <c r="QVF27" s="338"/>
      <c r="QVG27" s="338"/>
      <c r="QVH27" s="338"/>
      <c r="QVI27" s="338"/>
      <c r="QVJ27" s="338"/>
      <c r="QVK27" s="338"/>
      <c r="QVL27" s="338"/>
      <c r="QVM27" s="338"/>
      <c r="QVN27" s="338"/>
      <c r="QVO27" s="338"/>
      <c r="QVP27" s="338"/>
      <c r="QVQ27" s="338"/>
      <c r="QVR27" s="338"/>
      <c r="QVS27" s="338"/>
      <c r="QVT27" s="338"/>
      <c r="QVU27" s="338"/>
      <c r="QVV27" s="338"/>
      <c r="QVW27" s="338"/>
      <c r="QVX27" s="338"/>
      <c r="QVY27" s="338"/>
      <c r="QVZ27" s="338"/>
      <c r="QWA27" s="338"/>
      <c r="QWB27" s="338"/>
      <c r="QWC27" s="338"/>
      <c r="QWD27" s="338"/>
      <c r="QWE27" s="338"/>
      <c r="QWF27" s="338"/>
      <c r="QWG27" s="338"/>
      <c r="QWH27" s="338"/>
      <c r="QWI27" s="338"/>
      <c r="QWJ27" s="338"/>
      <c r="QWK27" s="338"/>
      <c r="QWL27" s="338"/>
      <c r="QWM27" s="338"/>
      <c r="QWN27" s="338"/>
      <c r="QWO27" s="338"/>
      <c r="QWP27" s="338"/>
      <c r="QWQ27" s="338"/>
      <c r="QWR27" s="338"/>
      <c r="QWS27" s="338"/>
      <c r="QWT27" s="338"/>
      <c r="QWU27" s="338"/>
      <c r="QWV27" s="338"/>
      <c r="QWW27" s="338"/>
      <c r="QWX27" s="338"/>
      <c r="QWY27" s="338"/>
      <c r="QWZ27" s="338"/>
      <c r="QXA27" s="338"/>
      <c r="QXB27" s="338"/>
      <c r="QXC27" s="338"/>
      <c r="QXD27" s="338"/>
      <c r="QXE27" s="338"/>
      <c r="QXF27" s="338"/>
      <c r="QXG27" s="338"/>
      <c r="QXH27" s="338"/>
      <c r="QXI27" s="338"/>
      <c r="QXJ27" s="338"/>
      <c r="QXK27" s="338"/>
      <c r="QXL27" s="338"/>
      <c r="QXM27" s="338"/>
      <c r="QXN27" s="338"/>
      <c r="QXO27" s="338"/>
      <c r="QXP27" s="338"/>
      <c r="QXQ27" s="338"/>
      <c r="QXR27" s="338"/>
      <c r="QXS27" s="338"/>
      <c r="QXT27" s="338"/>
      <c r="QXU27" s="338"/>
      <c r="QXV27" s="338"/>
      <c r="QXW27" s="338"/>
      <c r="QXX27" s="338"/>
      <c r="QXY27" s="338"/>
      <c r="QXZ27" s="338"/>
      <c r="QYA27" s="338"/>
      <c r="QYB27" s="338"/>
      <c r="QYC27" s="338"/>
      <c r="QYD27" s="338"/>
      <c r="QYE27" s="338"/>
      <c r="QYF27" s="338"/>
      <c r="QYG27" s="338"/>
      <c r="QYH27" s="338"/>
      <c r="QYI27" s="338"/>
      <c r="QYJ27" s="338"/>
      <c r="QYK27" s="338"/>
      <c r="QYL27" s="338"/>
      <c r="QYM27" s="338"/>
      <c r="QYN27" s="338"/>
      <c r="QYO27" s="338"/>
      <c r="QYP27" s="338"/>
      <c r="QYQ27" s="338"/>
      <c r="QYR27" s="338"/>
      <c r="QYS27" s="338"/>
      <c r="QYT27" s="338"/>
      <c r="QYU27" s="338"/>
      <c r="QYV27" s="338"/>
      <c r="QYW27" s="338"/>
      <c r="QYX27" s="338"/>
      <c r="QYY27" s="338"/>
      <c r="QYZ27" s="338"/>
      <c r="QZA27" s="338"/>
      <c r="QZB27" s="338"/>
      <c r="QZC27" s="338"/>
      <c r="QZD27" s="338"/>
      <c r="QZE27" s="338"/>
      <c r="QZF27" s="338"/>
      <c r="QZG27" s="338"/>
      <c r="QZH27" s="338"/>
      <c r="QZI27" s="338"/>
      <c r="QZJ27" s="338"/>
      <c r="QZK27" s="338"/>
      <c r="QZL27" s="338"/>
      <c r="QZM27" s="338"/>
      <c r="QZN27" s="338"/>
      <c r="QZO27" s="338"/>
      <c r="QZP27" s="338"/>
      <c r="QZQ27" s="338"/>
      <c r="QZR27" s="338"/>
      <c r="QZS27" s="338"/>
      <c r="QZT27" s="338"/>
      <c r="QZU27" s="338"/>
      <c r="QZV27" s="338"/>
      <c r="QZW27" s="338"/>
      <c r="QZX27" s="338"/>
      <c r="QZY27" s="338"/>
      <c r="QZZ27" s="338"/>
      <c r="RAA27" s="338"/>
      <c r="RAB27" s="338"/>
      <c r="RAC27" s="338"/>
      <c r="RAD27" s="338"/>
      <c r="RAE27" s="338"/>
      <c r="RAF27" s="338"/>
      <c r="RAG27" s="338"/>
      <c r="RAH27" s="338"/>
      <c r="RAI27" s="338"/>
      <c r="RAJ27" s="338"/>
      <c r="RAK27" s="338"/>
      <c r="RAL27" s="338"/>
      <c r="RAM27" s="338"/>
      <c r="RAN27" s="338"/>
      <c r="RAO27" s="338"/>
      <c r="RAP27" s="338"/>
      <c r="RAQ27" s="338"/>
      <c r="RAR27" s="338"/>
      <c r="RAS27" s="338"/>
      <c r="RAT27" s="338"/>
      <c r="RAU27" s="338"/>
      <c r="RAV27" s="338"/>
      <c r="RAW27" s="338"/>
      <c r="RAX27" s="338"/>
      <c r="RAY27" s="338"/>
      <c r="RAZ27" s="338"/>
      <c r="RBA27" s="338"/>
      <c r="RBB27" s="338"/>
      <c r="RBC27" s="338"/>
      <c r="RBD27" s="338"/>
      <c r="RBE27" s="338"/>
      <c r="RBF27" s="338"/>
      <c r="RBG27" s="338"/>
      <c r="RBH27" s="338"/>
      <c r="RBI27" s="338"/>
      <c r="RBJ27" s="338"/>
      <c r="RBK27" s="338"/>
      <c r="RBL27" s="338"/>
      <c r="RBM27" s="338"/>
      <c r="RBN27" s="338"/>
      <c r="RBO27" s="338"/>
      <c r="RBP27" s="338"/>
      <c r="RBQ27" s="338"/>
      <c r="RBR27" s="338"/>
      <c r="RBS27" s="338"/>
      <c r="RBT27" s="338"/>
      <c r="RBU27" s="338"/>
      <c r="RBV27" s="338"/>
      <c r="RBW27" s="338"/>
      <c r="RBX27" s="338"/>
      <c r="RBY27" s="338"/>
      <c r="RBZ27" s="338"/>
      <c r="RCA27" s="338"/>
      <c r="RCB27" s="338"/>
      <c r="RCC27" s="338"/>
      <c r="RCD27" s="338"/>
      <c r="RCE27" s="338"/>
      <c r="RCF27" s="338"/>
      <c r="RCG27" s="338"/>
      <c r="RCH27" s="338"/>
      <c r="RCI27" s="338"/>
      <c r="RCJ27" s="338"/>
      <c r="RCK27" s="338"/>
      <c r="RCL27" s="338"/>
      <c r="RCM27" s="338"/>
      <c r="RCN27" s="338"/>
      <c r="RCO27" s="338"/>
      <c r="RCP27" s="338"/>
      <c r="RCQ27" s="338"/>
      <c r="RCR27" s="338"/>
      <c r="RCS27" s="338"/>
      <c r="RCT27" s="338"/>
      <c r="RCU27" s="338"/>
      <c r="RCV27" s="338"/>
      <c r="RCW27" s="338"/>
      <c r="RCX27" s="338"/>
      <c r="RCY27" s="338"/>
      <c r="RCZ27" s="338"/>
      <c r="RDA27" s="338"/>
      <c r="RDB27" s="338"/>
      <c r="RDC27" s="338"/>
      <c r="RDD27" s="338"/>
      <c r="RDE27" s="338"/>
      <c r="RDF27" s="338"/>
      <c r="RDG27" s="338"/>
      <c r="RDH27" s="338"/>
      <c r="RDI27" s="338"/>
      <c r="RDJ27" s="338"/>
      <c r="RDK27" s="338"/>
      <c r="RDL27" s="338"/>
      <c r="RDM27" s="338"/>
      <c r="RDN27" s="338"/>
      <c r="RDO27" s="338"/>
      <c r="RDP27" s="338"/>
      <c r="RDQ27" s="338"/>
      <c r="RDR27" s="338"/>
      <c r="RDS27" s="338"/>
      <c r="RDT27" s="338"/>
      <c r="RDU27" s="338"/>
      <c r="RDV27" s="338"/>
      <c r="RDW27" s="338"/>
      <c r="RDX27" s="338"/>
      <c r="RDY27" s="338"/>
      <c r="RDZ27" s="338"/>
      <c r="REA27" s="338"/>
      <c r="REB27" s="338"/>
      <c r="REC27" s="338"/>
      <c r="RED27" s="338"/>
      <c r="REE27" s="338"/>
      <c r="REF27" s="338"/>
      <c r="REG27" s="338"/>
      <c r="REH27" s="338"/>
      <c r="REI27" s="338"/>
      <c r="REJ27" s="338"/>
      <c r="REK27" s="338"/>
      <c r="REL27" s="338"/>
      <c r="REM27" s="338"/>
      <c r="REN27" s="338"/>
      <c r="REO27" s="338"/>
      <c r="REP27" s="338"/>
      <c r="REQ27" s="338"/>
      <c r="RER27" s="338"/>
      <c r="RES27" s="338"/>
      <c r="RET27" s="338"/>
      <c r="REU27" s="338"/>
      <c r="REV27" s="338"/>
      <c r="REW27" s="338"/>
      <c r="REX27" s="338"/>
      <c r="REY27" s="338"/>
      <c r="REZ27" s="338"/>
      <c r="RFA27" s="338"/>
      <c r="RFB27" s="338"/>
      <c r="RFC27" s="338"/>
      <c r="RFD27" s="338"/>
      <c r="RFE27" s="338"/>
      <c r="RFF27" s="338"/>
      <c r="RFG27" s="338"/>
      <c r="RFH27" s="338"/>
      <c r="RFI27" s="338"/>
      <c r="RFJ27" s="338"/>
      <c r="RFK27" s="338"/>
      <c r="RFL27" s="338"/>
      <c r="RFM27" s="338"/>
      <c r="RFN27" s="338"/>
      <c r="RFO27" s="338"/>
      <c r="RFP27" s="338"/>
      <c r="RFQ27" s="338"/>
      <c r="RFR27" s="338"/>
      <c r="RFS27" s="338"/>
      <c r="RFT27" s="338"/>
      <c r="RFU27" s="338"/>
      <c r="RFV27" s="338"/>
      <c r="RFW27" s="338"/>
      <c r="RFX27" s="338"/>
      <c r="RFY27" s="338"/>
      <c r="RFZ27" s="338"/>
      <c r="RGA27" s="338"/>
      <c r="RGB27" s="338"/>
      <c r="RGC27" s="338"/>
      <c r="RGD27" s="338"/>
      <c r="RGE27" s="338"/>
      <c r="RGF27" s="338"/>
      <c r="RGG27" s="338"/>
      <c r="RGH27" s="338"/>
      <c r="RGI27" s="338"/>
      <c r="RGJ27" s="338"/>
      <c r="RGK27" s="338"/>
      <c r="RGL27" s="338"/>
      <c r="RGM27" s="338"/>
      <c r="RGN27" s="338"/>
      <c r="RGO27" s="338"/>
      <c r="RGP27" s="338"/>
      <c r="RGQ27" s="338"/>
      <c r="RGR27" s="338"/>
      <c r="RGS27" s="338"/>
      <c r="RGT27" s="338"/>
      <c r="RGU27" s="338"/>
      <c r="RGV27" s="338"/>
      <c r="RGW27" s="338"/>
      <c r="RGX27" s="338"/>
      <c r="RGY27" s="338"/>
      <c r="RGZ27" s="338"/>
      <c r="RHA27" s="338"/>
      <c r="RHB27" s="338"/>
      <c r="RHC27" s="338"/>
      <c r="RHD27" s="338"/>
      <c r="RHE27" s="338"/>
      <c r="RHF27" s="338"/>
      <c r="RHG27" s="338"/>
      <c r="RHH27" s="338"/>
      <c r="RHI27" s="338"/>
      <c r="RHJ27" s="338"/>
      <c r="RHK27" s="338"/>
      <c r="RHL27" s="338"/>
      <c r="RHM27" s="338"/>
      <c r="RHN27" s="338"/>
      <c r="RHO27" s="338"/>
      <c r="RHP27" s="338"/>
      <c r="RHQ27" s="338"/>
      <c r="RHR27" s="338"/>
      <c r="RHS27" s="338"/>
      <c r="RHT27" s="338"/>
      <c r="RHU27" s="338"/>
      <c r="RHV27" s="338"/>
      <c r="RHW27" s="338"/>
      <c r="RHX27" s="338"/>
      <c r="RHY27" s="338"/>
      <c r="RHZ27" s="338"/>
      <c r="RIA27" s="338"/>
      <c r="RIB27" s="338"/>
      <c r="RIC27" s="338"/>
      <c r="RID27" s="338"/>
      <c r="RIE27" s="338"/>
      <c r="RIF27" s="338"/>
      <c r="RIG27" s="338"/>
      <c r="RIH27" s="338"/>
      <c r="RII27" s="338"/>
      <c r="RIJ27" s="338"/>
      <c r="RIK27" s="338"/>
      <c r="RIL27" s="338"/>
      <c r="RIM27" s="338"/>
      <c r="RIN27" s="338"/>
      <c r="RIO27" s="338"/>
      <c r="RIP27" s="338"/>
      <c r="RIQ27" s="338"/>
      <c r="RIR27" s="338"/>
      <c r="RIS27" s="338"/>
      <c r="RIT27" s="338"/>
      <c r="RIU27" s="338"/>
      <c r="RIV27" s="338"/>
      <c r="RIW27" s="338"/>
      <c r="RIX27" s="338"/>
      <c r="RIY27" s="338"/>
      <c r="RIZ27" s="338"/>
      <c r="RJA27" s="338"/>
      <c r="RJB27" s="338"/>
      <c r="RJC27" s="338"/>
      <c r="RJD27" s="338"/>
      <c r="RJE27" s="338"/>
      <c r="RJF27" s="338"/>
      <c r="RJG27" s="338"/>
      <c r="RJH27" s="338"/>
      <c r="RJI27" s="338"/>
      <c r="RJJ27" s="338"/>
      <c r="RJK27" s="338"/>
      <c r="RJL27" s="338"/>
      <c r="RJM27" s="338"/>
      <c r="RJN27" s="338"/>
      <c r="RJO27" s="338"/>
      <c r="RJP27" s="338"/>
      <c r="RJQ27" s="338"/>
      <c r="RJR27" s="338"/>
      <c r="RJS27" s="338"/>
      <c r="RJT27" s="338"/>
      <c r="RJU27" s="338"/>
      <c r="RJV27" s="338"/>
      <c r="RJW27" s="338"/>
      <c r="RJX27" s="338"/>
      <c r="RJY27" s="338"/>
      <c r="RJZ27" s="338"/>
      <c r="RKA27" s="338"/>
      <c r="RKB27" s="338"/>
      <c r="RKC27" s="338"/>
      <c r="RKD27" s="338"/>
      <c r="RKE27" s="338"/>
      <c r="RKF27" s="338"/>
      <c r="RKG27" s="338"/>
      <c r="RKH27" s="338"/>
      <c r="RKI27" s="338"/>
      <c r="RKJ27" s="338"/>
      <c r="RKK27" s="338"/>
      <c r="RKL27" s="338"/>
      <c r="RKM27" s="338"/>
      <c r="RKN27" s="338"/>
      <c r="RKO27" s="338"/>
      <c r="RKP27" s="338"/>
      <c r="RKQ27" s="338"/>
      <c r="RKR27" s="338"/>
      <c r="RKS27" s="338"/>
      <c r="RKT27" s="338"/>
      <c r="RKU27" s="338"/>
      <c r="RKV27" s="338"/>
      <c r="RKW27" s="338"/>
      <c r="RKX27" s="338"/>
      <c r="RKY27" s="338"/>
      <c r="RKZ27" s="338"/>
      <c r="RLA27" s="338"/>
      <c r="RLB27" s="338"/>
      <c r="RLC27" s="338"/>
      <c r="RLD27" s="338"/>
      <c r="RLE27" s="338"/>
      <c r="RLF27" s="338"/>
      <c r="RLG27" s="338"/>
      <c r="RLH27" s="338"/>
      <c r="RLI27" s="338"/>
      <c r="RLJ27" s="338"/>
      <c r="RLK27" s="338"/>
      <c r="RLL27" s="338"/>
      <c r="RLM27" s="338"/>
      <c r="RLN27" s="338"/>
      <c r="RLO27" s="338"/>
      <c r="RLP27" s="338"/>
      <c r="RLQ27" s="338"/>
      <c r="RLR27" s="338"/>
      <c r="RLS27" s="338"/>
      <c r="RLT27" s="338"/>
      <c r="RLU27" s="338"/>
      <c r="RLV27" s="338"/>
      <c r="RLW27" s="338"/>
      <c r="RLX27" s="338"/>
      <c r="RLY27" s="338"/>
      <c r="RLZ27" s="338"/>
      <c r="RMA27" s="338"/>
      <c r="RMB27" s="338"/>
      <c r="RMC27" s="338"/>
      <c r="RMD27" s="338"/>
      <c r="RME27" s="338"/>
      <c r="RMF27" s="338"/>
      <c r="RMG27" s="338"/>
      <c r="RMH27" s="338"/>
      <c r="RMI27" s="338"/>
      <c r="RMJ27" s="338"/>
      <c r="RMK27" s="338"/>
      <c r="RML27" s="338"/>
      <c r="RMM27" s="338"/>
      <c r="RMN27" s="338"/>
      <c r="RMO27" s="338"/>
      <c r="RMP27" s="338"/>
      <c r="RMQ27" s="338"/>
      <c r="RMR27" s="338"/>
      <c r="RMS27" s="338"/>
      <c r="RMT27" s="338"/>
      <c r="RMU27" s="338"/>
      <c r="RMV27" s="338"/>
      <c r="RMW27" s="338"/>
      <c r="RMX27" s="338"/>
      <c r="RMY27" s="338"/>
      <c r="RMZ27" s="338"/>
      <c r="RNA27" s="338"/>
      <c r="RNB27" s="338"/>
      <c r="RNC27" s="338"/>
      <c r="RND27" s="338"/>
      <c r="RNE27" s="338"/>
      <c r="RNF27" s="338"/>
      <c r="RNG27" s="338"/>
      <c r="RNH27" s="338"/>
      <c r="RNI27" s="338"/>
      <c r="RNJ27" s="338"/>
      <c r="RNK27" s="338"/>
      <c r="RNL27" s="338"/>
      <c r="RNM27" s="338"/>
      <c r="RNN27" s="338"/>
      <c r="RNO27" s="338"/>
      <c r="RNP27" s="338"/>
      <c r="RNQ27" s="338"/>
      <c r="RNR27" s="338"/>
      <c r="RNS27" s="338"/>
      <c r="RNT27" s="338"/>
      <c r="RNU27" s="338"/>
      <c r="RNV27" s="338"/>
      <c r="RNW27" s="338"/>
      <c r="RNX27" s="338"/>
      <c r="RNY27" s="338"/>
      <c r="RNZ27" s="338"/>
      <c r="ROA27" s="338"/>
      <c r="ROB27" s="338"/>
      <c r="ROC27" s="338"/>
      <c r="ROD27" s="338"/>
      <c r="ROE27" s="338"/>
      <c r="ROF27" s="338"/>
      <c r="ROG27" s="338"/>
      <c r="ROH27" s="338"/>
      <c r="ROI27" s="338"/>
      <c r="ROJ27" s="338"/>
      <c r="ROK27" s="338"/>
      <c r="ROL27" s="338"/>
      <c r="ROM27" s="338"/>
      <c r="RON27" s="338"/>
      <c r="ROO27" s="338"/>
      <c r="ROP27" s="338"/>
      <c r="ROQ27" s="338"/>
      <c r="ROR27" s="338"/>
      <c r="ROS27" s="338"/>
      <c r="ROT27" s="338"/>
      <c r="ROU27" s="338"/>
      <c r="ROV27" s="338"/>
      <c r="ROW27" s="338"/>
      <c r="ROX27" s="338"/>
      <c r="ROY27" s="338"/>
      <c r="ROZ27" s="338"/>
      <c r="RPA27" s="338"/>
      <c r="RPB27" s="338"/>
      <c r="RPC27" s="338"/>
      <c r="RPD27" s="338"/>
      <c r="RPE27" s="338"/>
      <c r="RPF27" s="338"/>
      <c r="RPG27" s="338"/>
      <c r="RPH27" s="338"/>
      <c r="RPI27" s="338"/>
      <c r="RPJ27" s="338"/>
      <c r="RPK27" s="338"/>
      <c r="RPL27" s="338"/>
      <c r="RPM27" s="338"/>
      <c r="RPN27" s="338"/>
      <c r="RPO27" s="338"/>
      <c r="RPP27" s="338"/>
      <c r="RPQ27" s="338"/>
      <c r="RPR27" s="338"/>
      <c r="RPS27" s="338"/>
      <c r="RPT27" s="338"/>
      <c r="RPU27" s="338"/>
      <c r="RPV27" s="338"/>
      <c r="RPW27" s="338"/>
      <c r="RPX27" s="338"/>
      <c r="RPY27" s="338"/>
      <c r="RPZ27" s="338"/>
      <c r="RQA27" s="338"/>
      <c r="RQB27" s="338"/>
      <c r="RQC27" s="338"/>
      <c r="RQD27" s="338"/>
      <c r="RQE27" s="338"/>
      <c r="RQF27" s="338"/>
      <c r="RQG27" s="338"/>
      <c r="RQH27" s="338"/>
      <c r="RQI27" s="338"/>
      <c r="RQJ27" s="338"/>
      <c r="RQK27" s="338"/>
      <c r="RQL27" s="338"/>
      <c r="RQM27" s="338"/>
      <c r="RQN27" s="338"/>
      <c r="RQO27" s="338"/>
      <c r="RQP27" s="338"/>
      <c r="RQQ27" s="338"/>
      <c r="RQR27" s="338"/>
      <c r="RQS27" s="338"/>
      <c r="RQT27" s="338"/>
      <c r="RQU27" s="338"/>
      <c r="RQV27" s="338"/>
      <c r="RQW27" s="338"/>
      <c r="RQX27" s="338"/>
      <c r="RQY27" s="338"/>
      <c r="RQZ27" s="338"/>
      <c r="RRA27" s="338"/>
      <c r="RRB27" s="338"/>
      <c r="RRC27" s="338"/>
      <c r="RRD27" s="338"/>
      <c r="RRE27" s="338"/>
      <c r="RRF27" s="338"/>
      <c r="RRG27" s="338"/>
      <c r="RRH27" s="338"/>
      <c r="RRI27" s="338"/>
      <c r="RRJ27" s="338"/>
      <c r="RRK27" s="338"/>
      <c r="RRL27" s="338"/>
      <c r="RRM27" s="338"/>
      <c r="RRN27" s="338"/>
      <c r="RRO27" s="338"/>
      <c r="RRP27" s="338"/>
      <c r="RRQ27" s="338"/>
      <c r="RRR27" s="338"/>
      <c r="RRS27" s="338"/>
      <c r="RRT27" s="338"/>
      <c r="RRU27" s="338"/>
      <c r="RRV27" s="338"/>
      <c r="RRW27" s="338"/>
      <c r="RRX27" s="338"/>
      <c r="RRY27" s="338"/>
      <c r="RRZ27" s="338"/>
      <c r="RSA27" s="338"/>
      <c r="RSB27" s="338"/>
      <c r="RSC27" s="338"/>
      <c r="RSD27" s="338"/>
      <c r="RSE27" s="338"/>
      <c r="RSF27" s="338"/>
      <c r="RSG27" s="338"/>
      <c r="RSH27" s="338"/>
      <c r="RSI27" s="338"/>
      <c r="RSJ27" s="338"/>
      <c r="RSK27" s="338"/>
      <c r="RSL27" s="338"/>
      <c r="RSM27" s="338"/>
      <c r="RSN27" s="338"/>
      <c r="RSO27" s="338"/>
      <c r="RSP27" s="338"/>
      <c r="RSQ27" s="338"/>
      <c r="RSR27" s="338"/>
      <c r="RSS27" s="338"/>
      <c r="RST27" s="338"/>
      <c r="RSU27" s="338"/>
      <c r="RSV27" s="338"/>
      <c r="RSW27" s="338"/>
      <c r="RSX27" s="338"/>
      <c r="RSY27" s="338"/>
      <c r="RSZ27" s="338"/>
      <c r="RTA27" s="338"/>
      <c r="RTB27" s="338"/>
      <c r="RTC27" s="338"/>
      <c r="RTD27" s="338"/>
      <c r="RTE27" s="338"/>
      <c r="RTF27" s="338"/>
      <c r="RTG27" s="338"/>
      <c r="RTH27" s="338"/>
      <c r="RTI27" s="338"/>
      <c r="RTJ27" s="338"/>
      <c r="RTK27" s="338"/>
      <c r="RTL27" s="338"/>
      <c r="RTM27" s="338"/>
      <c r="RTN27" s="338"/>
      <c r="RTO27" s="338"/>
      <c r="RTP27" s="338"/>
      <c r="RTQ27" s="338"/>
      <c r="RTR27" s="338"/>
      <c r="RTS27" s="338"/>
      <c r="RTT27" s="338"/>
      <c r="RTU27" s="338"/>
      <c r="RTV27" s="338"/>
      <c r="RTW27" s="338"/>
      <c r="RTX27" s="338"/>
      <c r="RTY27" s="338"/>
      <c r="RTZ27" s="338"/>
      <c r="RUA27" s="338"/>
      <c r="RUB27" s="338"/>
      <c r="RUC27" s="338"/>
      <c r="RUD27" s="338"/>
      <c r="RUE27" s="338"/>
      <c r="RUF27" s="338"/>
      <c r="RUG27" s="338"/>
      <c r="RUH27" s="338"/>
      <c r="RUI27" s="338"/>
      <c r="RUJ27" s="338"/>
      <c r="RUK27" s="338"/>
      <c r="RUL27" s="338"/>
      <c r="RUM27" s="338"/>
      <c r="RUN27" s="338"/>
      <c r="RUO27" s="338"/>
      <c r="RUP27" s="338"/>
      <c r="RUQ27" s="338"/>
      <c r="RUR27" s="338"/>
      <c r="RUS27" s="338"/>
      <c r="RUT27" s="338"/>
      <c r="RUU27" s="338"/>
      <c r="RUV27" s="338"/>
      <c r="RUW27" s="338"/>
      <c r="RUX27" s="338"/>
      <c r="RUY27" s="338"/>
      <c r="RUZ27" s="338"/>
      <c r="RVA27" s="338"/>
      <c r="RVB27" s="338"/>
      <c r="RVC27" s="338"/>
      <c r="RVD27" s="338"/>
      <c r="RVE27" s="338"/>
      <c r="RVF27" s="338"/>
      <c r="RVG27" s="338"/>
      <c r="RVH27" s="338"/>
      <c r="RVI27" s="338"/>
      <c r="RVJ27" s="338"/>
      <c r="RVK27" s="338"/>
      <c r="RVL27" s="338"/>
      <c r="RVM27" s="338"/>
      <c r="RVN27" s="338"/>
      <c r="RVO27" s="338"/>
      <c r="RVP27" s="338"/>
      <c r="RVQ27" s="338"/>
      <c r="RVR27" s="338"/>
      <c r="RVS27" s="338"/>
      <c r="RVT27" s="338"/>
      <c r="RVU27" s="338"/>
      <c r="RVV27" s="338"/>
      <c r="RVW27" s="338"/>
      <c r="RVX27" s="338"/>
      <c r="RVY27" s="338"/>
      <c r="RVZ27" s="338"/>
      <c r="RWA27" s="338"/>
      <c r="RWB27" s="338"/>
      <c r="RWC27" s="338"/>
      <c r="RWD27" s="338"/>
      <c r="RWE27" s="338"/>
      <c r="RWF27" s="338"/>
      <c r="RWG27" s="338"/>
      <c r="RWH27" s="338"/>
      <c r="RWI27" s="338"/>
      <c r="RWJ27" s="338"/>
      <c r="RWK27" s="338"/>
      <c r="RWL27" s="338"/>
      <c r="RWM27" s="338"/>
      <c r="RWN27" s="338"/>
      <c r="RWO27" s="338"/>
      <c r="RWP27" s="338"/>
      <c r="RWQ27" s="338"/>
      <c r="RWR27" s="338"/>
      <c r="RWS27" s="338"/>
      <c r="RWT27" s="338"/>
      <c r="RWU27" s="338"/>
      <c r="RWV27" s="338"/>
      <c r="RWW27" s="338"/>
      <c r="RWX27" s="338"/>
      <c r="RWY27" s="338"/>
      <c r="RWZ27" s="338"/>
      <c r="RXA27" s="338"/>
      <c r="RXB27" s="338"/>
      <c r="RXC27" s="338"/>
      <c r="RXD27" s="338"/>
      <c r="RXE27" s="338"/>
      <c r="RXF27" s="338"/>
      <c r="RXG27" s="338"/>
      <c r="RXH27" s="338"/>
      <c r="RXI27" s="338"/>
      <c r="RXJ27" s="338"/>
      <c r="RXK27" s="338"/>
      <c r="RXL27" s="338"/>
      <c r="RXM27" s="338"/>
      <c r="RXN27" s="338"/>
      <c r="RXO27" s="338"/>
      <c r="RXP27" s="338"/>
      <c r="RXQ27" s="338"/>
      <c r="RXR27" s="338"/>
      <c r="RXS27" s="338"/>
      <c r="RXT27" s="338"/>
      <c r="RXU27" s="338"/>
      <c r="RXV27" s="338"/>
      <c r="RXW27" s="338"/>
      <c r="RXX27" s="338"/>
      <c r="RXY27" s="338"/>
      <c r="RXZ27" s="338"/>
      <c r="RYA27" s="338"/>
      <c r="RYB27" s="338"/>
      <c r="RYC27" s="338"/>
      <c r="RYD27" s="338"/>
      <c r="RYE27" s="338"/>
      <c r="RYF27" s="338"/>
      <c r="RYG27" s="338"/>
      <c r="RYH27" s="338"/>
      <c r="RYI27" s="338"/>
      <c r="RYJ27" s="338"/>
      <c r="RYK27" s="338"/>
      <c r="RYL27" s="338"/>
      <c r="RYM27" s="338"/>
      <c r="RYN27" s="338"/>
      <c r="RYO27" s="338"/>
      <c r="RYP27" s="338"/>
      <c r="RYQ27" s="338"/>
      <c r="RYR27" s="338"/>
      <c r="RYS27" s="338"/>
      <c r="RYT27" s="338"/>
      <c r="RYU27" s="338"/>
      <c r="RYV27" s="338"/>
      <c r="RYW27" s="338"/>
      <c r="RYX27" s="338"/>
      <c r="RYY27" s="338"/>
      <c r="RYZ27" s="338"/>
      <c r="RZA27" s="338"/>
      <c r="RZB27" s="338"/>
      <c r="RZC27" s="338"/>
      <c r="RZD27" s="338"/>
      <c r="RZE27" s="338"/>
      <c r="RZF27" s="338"/>
      <c r="RZG27" s="338"/>
      <c r="RZH27" s="338"/>
      <c r="RZI27" s="338"/>
      <c r="RZJ27" s="338"/>
      <c r="RZK27" s="338"/>
      <c r="RZL27" s="338"/>
      <c r="RZM27" s="338"/>
      <c r="RZN27" s="338"/>
      <c r="RZO27" s="338"/>
      <c r="RZP27" s="338"/>
      <c r="RZQ27" s="338"/>
      <c r="RZR27" s="338"/>
      <c r="RZS27" s="338"/>
      <c r="RZT27" s="338"/>
      <c r="RZU27" s="338"/>
      <c r="RZV27" s="338"/>
      <c r="RZW27" s="338"/>
      <c r="RZX27" s="338"/>
      <c r="RZY27" s="338"/>
      <c r="RZZ27" s="338"/>
      <c r="SAA27" s="338"/>
      <c r="SAB27" s="338"/>
      <c r="SAC27" s="338"/>
      <c r="SAD27" s="338"/>
      <c r="SAE27" s="338"/>
      <c r="SAF27" s="338"/>
      <c r="SAG27" s="338"/>
      <c r="SAH27" s="338"/>
      <c r="SAI27" s="338"/>
      <c r="SAJ27" s="338"/>
      <c r="SAK27" s="338"/>
      <c r="SAL27" s="338"/>
      <c r="SAM27" s="338"/>
      <c r="SAN27" s="338"/>
      <c r="SAO27" s="338"/>
      <c r="SAP27" s="338"/>
      <c r="SAQ27" s="338"/>
      <c r="SAR27" s="338"/>
      <c r="SAS27" s="338"/>
      <c r="SAT27" s="338"/>
      <c r="SAU27" s="338"/>
      <c r="SAV27" s="338"/>
      <c r="SAW27" s="338"/>
      <c r="SAX27" s="338"/>
      <c r="SAY27" s="338"/>
      <c r="SAZ27" s="338"/>
      <c r="SBA27" s="338"/>
      <c r="SBB27" s="338"/>
      <c r="SBC27" s="338"/>
      <c r="SBD27" s="338"/>
      <c r="SBE27" s="338"/>
      <c r="SBF27" s="338"/>
      <c r="SBG27" s="338"/>
      <c r="SBH27" s="338"/>
      <c r="SBI27" s="338"/>
      <c r="SBJ27" s="338"/>
      <c r="SBK27" s="338"/>
      <c r="SBL27" s="338"/>
      <c r="SBM27" s="338"/>
      <c r="SBN27" s="338"/>
      <c r="SBO27" s="338"/>
      <c r="SBP27" s="338"/>
      <c r="SBQ27" s="338"/>
      <c r="SBR27" s="338"/>
      <c r="SBS27" s="338"/>
      <c r="SBT27" s="338"/>
      <c r="SBU27" s="338"/>
      <c r="SBV27" s="338"/>
      <c r="SBW27" s="338"/>
      <c r="SBX27" s="338"/>
      <c r="SBY27" s="338"/>
      <c r="SBZ27" s="338"/>
      <c r="SCA27" s="338"/>
      <c r="SCB27" s="338"/>
      <c r="SCC27" s="338"/>
      <c r="SCD27" s="338"/>
      <c r="SCE27" s="338"/>
      <c r="SCF27" s="338"/>
      <c r="SCG27" s="338"/>
      <c r="SCH27" s="338"/>
      <c r="SCI27" s="338"/>
      <c r="SCJ27" s="338"/>
      <c r="SCK27" s="338"/>
      <c r="SCL27" s="338"/>
      <c r="SCM27" s="338"/>
      <c r="SCN27" s="338"/>
      <c r="SCO27" s="338"/>
      <c r="SCP27" s="338"/>
      <c r="SCQ27" s="338"/>
      <c r="SCR27" s="338"/>
      <c r="SCS27" s="338"/>
      <c r="SCT27" s="338"/>
      <c r="SCU27" s="338"/>
      <c r="SCV27" s="338"/>
      <c r="SCW27" s="338"/>
      <c r="SCX27" s="338"/>
      <c r="SCY27" s="338"/>
      <c r="SCZ27" s="338"/>
      <c r="SDA27" s="338"/>
      <c r="SDB27" s="338"/>
      <c r="SDC27" s="338"/>
      <c r="SDD27" s="338"/>
      <c r="SDE27" s="338"/>
      <c r="SDF27" s="338"/>
      <c r="SDG27" s="338"/>
      <c r="SDH27" s="338"/>
      <c r="SDI27" s="338"/>
      <c r="SDJ27" s="338"/>
      <c r="SDK27" s="338"/>
      <c r="SDL27" s="338"/>
      <c r="SDM27" s="338"/>
      <c r="SDN27" s="338"/>
      <c r="SDO27" s="338"/>
      <c r="SDP27" s="338"/>
      <c r="SDQ27" s="338"/>
      <c r="SDR27" s="338"/>
      <c r="SDS27" s="338"/>
      <c r="SDT27" s="338"/>
      <c r="SDU27" s="338"/>
      <c r="SDV27" s="338"/>
      <c r="SDW27" s="338"/>
      <c r="SDX27" s="338"/>
      <c r="SDY27" s="338"/>
      <c r="SDZ27" s="338"/>
      <c r="SEA27" s="338"/>
      <c r="SEB27" s="338"/>
      <c r="SEC27" s="338"/>
      <c r="SED27" s="338"/>
      <c r="SEE27" s="338"/>
      <c r="SEF27" s="338"/>
      <c r="SEG27" s="338"/>
      <c r="SEH27" s="338"/>
      <c r="SEI27" s="338"/>
      <c r="SEJ27" s="338"/>
      <c r="SEK27" s="338"/>
      <c r="SEL27" s="338"/>
      <c r="SEM27" s="338"/>
      <c r="SEN27" s="338"/>
      <c r="SEO27" s="338"/>
      <c r="SEP27" s="338"/>
      <c r="SEQ27" s="338"/>
      <c r="SER27" s="338"/>
      <c r="SES27" s="338"/>
      <c r="SET27" s="338"/>
      <c r="SEU27" s="338"/>
      <c r="SEV27" s="338"/>
      <c r="SEW27" s="338"/>
      <c r="SEX27" s="338"/>
      <c r="SEY27" s="338"/>
      <c r="SEZ27" s="338"/>
      <c r="SFA27" s="338"/>
      <c r="SFB27" s="338"/>
      <c r="SFC27" s="338"/>
      <c r="SFD27" s="338"/>
      <c r="SFE27" s="338"/>
      <c r="SFF27" s="338"/>
      <c r="SFG27" s="338"/>
      <c r="SFH27" s="338"/>
      <c r="SFI27" s="338"/>
      <c r="SFJ27" s="338"/>
      <c r="SFK27" s="338"/>
      <c r="SFL27" s="338"/>
      <c r="SFM27" s="338"/>
      <c r="SFN27" s="338"/>
      <c r="SFO27" s="338"/>
      <c r="SFP27" s="338"/>
      <c r="SFQ27" s="338"/>
      <c r="SFR27" s="338"/>
      <c r="SFS27" s="338"/>
      <c r="SFT27" s="338"/>
      <c r="SFU27" s="338"/>
      <c r="SFV27" s="338"/>
      <c r="SFW27" s="338"/>
      <c r="SFX27" s="338"/>
      <c r="SFY27" s="338"/>
      <c r="SFZ27" s="338"/>
      <c r="SGA27" s="338"/>
      <c r="SGB27" s="338"/>
      <c r="SGC27" s="338"/>
      <c r="SGD27" s="338"/>
      <c r="SGE27" s="338"/>
      <c r="SGF27" s="338"/>
      <c r="SGG27" s="338"/>
      <c r="SGH27" s="338"/>
      <c r="SGI27" s="338"/>
      <c r="SGJ27" s="338"/>
      <c r="SGK27" s="338"/>
      <c r="SGL27" s="338"/>
      <c r="SGM27" s="338"/>
      <c r="SGN27" s="338"/>
      <c r="SGO27" s="338"/>
      <c r="SGP27" s="338"/>
      <c r="SGQ27" s="338"/>
      <c r="SGR27" s="338"/>
      <c r="SGS27" s="338"/>
      <c r="SGT27" s="338"/>
      <c r="SGU27" s="338"/>
      <c r="SGV27" s="338"/>
      <c r="SGW27" s="338"/>
      <c r="SGX27" s="338"/>
      <c r="SGY27" s="338"/>
      <c r="SGZ27" s="338"/>
      <c r="SHA27" s="338"/>
      <c r="SHB27" s="338"/>
      <c r="SHC27" s="338"/>
      <c r="SHD27" s="338"/>
      <c r="SHE27" s="338"/>
      <c r="SHF27" s="338"/>
      <c r="SHG27" s="338"/>
      <c r="SHH27" s="338"/>
      <c r="SHI27" s="338"/>
      <c r="SHJ27" s="338"/>
      <c r="SHK27" s="338"/>
      <c r="SHL27" s="338"/>
      <c r="SHM27" s="338"/>
      <c r="SHN27" s="338"/>
      <c r="SHO27" s="338"/>
      <c r="SHP27" s="338"/>
      <c r="SHQ27" s="338"/>
      <c r="SHR27" s="338"/>
      <c r="SHS27" s="338"/>
      <c r="SHT27" s="338"/>
      <c r="SHU27" s="338"/>
      <c r="SHV27" s="338"/>
      <c r="SHW27" s="338"/>
      <c r="SHX27" s="338"/>
      <c r="SHY27" s="338"/>
      <c r="SHZ27" s="338"/>
      <c r="SIA27" s="338"/>
      <c r="SIB27" s="338"/>
      <c r="SIC27" s="338"/>
      <c r="SID27" s="338"/>
      <c r="SIE27" s="338"/>
      <c r="SIF27" s="338"/>
      <c r="SIG27" s="338"/>
      <c r="SIH27" s="338"/>
      <c r="SII27" s="338"/>
      <c r="SIJ27" s="338"/>
      <c r="SIK27" s="338"/>
      <c r="SIL27" s="338"/>
      <c r="SIM27" s="338"/>
      <c r="SIN27" s="338"/>
      <c r="SIO27" s="338"/>
      <c r="SIP27" s="338"/>
      <c r="SIQ27" s="338"/>
      <c r="SIR27" s="338"/>
      <c r="SIS27" s="338"/>
      <c r="SIT27" s="338"/>
      <c r="SIU27" s="338"/>
      <c r="SIV27" s="338"/>
      <c r="SIW27" s="338"/>
      <c r="SIX27" s="338"/>
      <c r="SIY27" s="338"/>
      <c r="SIZ27" s="338"/>
      <c r="SJA27" s="338"/>
      <c r="SJB27" s="338"/>
      <c r="SJC27" s="338"/>
      <c r="SJD27" s="338"/>
      <c r="SJE27" s="338"/>
      <c r="SJF27" s="338"/>
      <c r="SJG27" s="338"/>
      <c r="SJH27" s="338"/>
      <c r="SJI27" s="338"/>
      <c r="SJJ27" s="338"/>
      <c r="SJK27" s="338"/>
      <c r="SJL27" s="338"/>
      <c r="SJM27" s="338"/>
      <c r="SJN27" s="338"/>
      <c r="SJO27" s="338"/>
      <c r="SJP27" s="338"/>
      <c r="SJQ27" s="338"/>
      <c r="SJR27" s="338"/>
      <c r="SJS27" s="338"/>
      <c r="SJT27" s="338"/>
      <c r="SJU27" s="338"/>
      <c r="SJV27" s="338"/>
      <c r="SJW27" s="338"/>
      <c r="SJX27" s="338"/>
      <c r="SJY27" s="338"/>
      <c r="SJZ27" s="338"/>
      <c r="SKA27" s="338"/>
      <c r="SKB27" s="338"/>
      <c r="SKC27" s="338"/>
      <c r="SKD27" s="338"/>
      <c r="SKE27" s="338"/>
      <c r="SKF27" s="338"/>
      <c r="SKG27" s="338"/>
      <c r="SKH27" s="338"/>
      <c r="SKI27" s="338"/>
      <c r="SKJ27" s="338"/>
      <c r="SKK27" s="338"/>
      <c r="SKL27" s="338"/>
      <c r="SKM27" s="338"/>
      <c r="SKN27" s="338"/>
      <c r="SKO27" s="338"/>
      <c r="SKP27" s="338"/>
      <c r="SKQ27" s="338"/>
      <c r="SKR27" s="338"/>
      <c r="SKS27" s="338"/>
      <c r="SKT27" s="338"/>
      <c r="SKU27" s="338"/>
      <c r="SKV27" s="338"/>
      <c r="SKW27" s="338"/>
      <c r="SKX27" s="338"/>
      <c r="SKY27" s="338"/>
      <c r="SKZ27" s="338"/>
      <c r="SLA27" s="338"/>
      <c r="SLB27" s="338"/>
      <c r="SLC27" s="338"/>
      <c r="SLD27" s="338"/>
      <c r="SLE27" s="338"/>
      <c r="SLF27" s="338"/>
      <c r="SLG27" s="338"/>
      <c r="SLH27" s="338"/>
      <c r="SLI27" s="338"/>
      <c r="SLJ27" s="338"/>
      <c r="SLK27" s="338"/>
      <c r="SLL27" s="338"/>
      <c r="SLM27" s="338"/>
      <c r="SLN27" s="338"/>
      <c r="SLO27" s="338"/>
      <c r="SLP27" s="338"/>
      <c r="SLQ27" s="338"/>
      <c r="SLR27" s="338"/>
      <c r="SLS27" s="338"/>
      <c r="SLT27" s="338"/>
      <c r="SLU27" s="338"/>
      <c r="SLV27" s="338"/>
      <c r="SLW27" s="338"/>
      <c r="SLX27" s="338"/>
      <c r="SLY27" s="338"/>
      <c r="SLZ27" s="338"/>
      <c r="SMA27" s="338"/>
      <c r="SMB27" s="338"/>
      <c r="SMC27" s="338"/>
      <c r="SMD27" s="338"/>
      <c r="SME27" s="338"/>
      <c r="SMF27" s="338"/>
      <c r="SMG27" s="338"/>
      <c r="SMH27" s="338"/>
      <c r="SMI27" s="338"/>
      <c r="SMJ27" s="338"/>
      <c r="SMK27" s="338"/>
      <c r="SML27" s="338"/>
      <c r="SMM27" s="338"/>
      <c r="SMN27" s="338"/>
      <c r="SMO27" s="338"/>
      <c r="SMP27" s="338"/>
      <c r="SMQ27" s="338"/>
      <c r="SMR27" s="338"/>
      <c r="SMS27" s="338"/>
      <c r="SMT27" s="338"/>
      <c r="SMU27" s="338"/>
      <c r="SMV27" s="338"/>
      <c r="SMW27" s="338"/>
      <c r="SMX27" s="338"/>
      <c r="SMY27" s="338"/>
      <c r="SMZ27" s="338"/>
      <c r="SNA27" s="338"/>
      <c r="SNB27" s="338"/>
      <c r="SNC27" s="338"/>
      <c r="SND27" s="338"/>
      <c r="SNE27" s="338"/>
      <c r="SNF27" s="338"/>
      <c r="SNG27" s="338"/>
      <c r="SNH27" s="338"/>
      <c r="SNI27" s="338"/>
      <c r="SNJ27" s="338"/>
      <c r="SNK27" s="338"/>
      <c r="SNL27" s="338"/>
      <c r="SNM27" s="338"/>
      <c r="SNN27" s="338"/>
      <c r="SNO27" s="338"/>
      <c r="SNP27" s="338"/>
      <c r="SNQ27" s="338"/>
      <c r="SNR27" s="338"/>
      <c r="SNS27" s="338"/>
      <c r="SNT27" s="338"/>
      <c r="SNU27" s="338"/>
      <c r="SNV27" s="338"/>
      <c r="SNW27" s="338"/>
      <c r="SNX27" s="338"/>
      <c r="SNY27" s="338"/>
      <c r="SNZ27" s="338"/>
      <c r="SOA27" s="338"/>
      <c r="SOB27" s="338"/>
      <c r="SOC27" s="338"/>
      <c r="SOD27" s="338"/>
      <c r="SOE27" s="338"/>
      <c r="SOF27" s="338"/>
      <c r="SOG27" s="338"/>
      <c r="SOH27" s="338"/>
      <c r="SOI27" s="338"/>
      <c r="SOJ27" s="338"/>
      <c r="SOK27" s="338"/>
      <c r="SOL27" s="338"/>
      <c r="SOM27" s="338"/>
      <c r="SON27" s="338"/>
      <c r="SOO27" s="338"/>
      <c r="SOP27" s="338"/>
      <c r="SOQ27" s="338"/>
      <c r="SOR27" s="338"/>
      <c r="SOS27" s="338"/>
      <c r="SOT27" s="338"/>
      <c r="SOU27" s="338"/>
      <c r="SOV27" s="338"/>
      <c r="SOW27" s="338"/>
      <c r="SOX27" s="338"/>
      <c r="SOY27" s="338"/>
      <c r="SOZ27" s="338"/>
      <c r="SPA27" s="338"/>
      <c r="SPB27" s="338"/>
      <c r="SPC27" s="338"/>
      <c r="SPD27" s="338"/>
      <c r="SPE27" s="338"/>
      <c r="SPF27" s="338"/>
      <c r="SPG27" s="338"/>
      <c r="SPH27" s="338"/>
      <c r="SPI27" s="338"/>
      <c r="SPJ27" s="338"/>
      <c r="SPK27" s="338"/>
      <c r="SPL27" s="338"/>
      <c r="SPM27" s="338"/>
      <c r="SPN27" s="338"/>
      <c r="SPO27" s="338"/>
      <c r="SPP27" s="338"/>
      <c r="SPQ27" s="338"/>
      <c r="SPR27" s="338"/>
      <c r="SPS27" s="338"/>
      <c r="SPT27" s="338"/>
      <c r="SPU27" s="338"/>
      <c r="SPV27" s="338"/>
      <c r="SPW27" s="338"/>
      <c r="SPX27" s="338"/>
      <c r="SPY27" s="338"/>
      <c r="SPZ27" s="338"/>
      <c r="SQA27" s="338"/>
      <c r="SQB27" s="338"/>
      <c r="SQC27" s="338"/>
      <c r="SQD27" s="338"/>
      <c r="SQE27" s="338"/>
      <c r="SQF27" s="338"/>
      <c r="SQG27" s="338"/>
      <c r="SQH27" s="338"/>
      <c r="SQI27" s="338"/>
      <c r="SQJ27" s="338"/>
      <c r="SQK27" s="338"/>
      <c r="SQL27" s="338"/>
      <c r="SQM27" s="338"/>
      <c r="SQN27" s="338"/>
      <c r="SQO27" s="338"/>
      <c r="SQP27" s="338"/>
      <c r="SQQ27" s="338"/>
      <c r="SQR27" s="338"/>
      <c r="SQS27" s="338"/>
      <c r="SQT27" s="338"/>
      <c r="SQU27" s="338"/>
      <c r="SQV27" s="338"/>
      <c r="SQW27" s="338"/>
      <c r="SQX27" s="338"/>
      <c r="SQY27" s="338"/>
      <c r="SQZ27" s="338"/>
      <c r="SRA27" s="338"/>
      <c r="SRB27" s="338"/>
      <c r="SRC27" s="338"/>
      <c r="SRD27" s="338"/>
      <c r="SRE27" s="338"/>
      <c r="SRF27" s="338"/>
      <c r="SRG27" s="338"/>
      <c r="SRH27" s="338"/>
      <c r="SRI27" s="338"/>
      <c r="SRJ27" s="338"/>
      <c r="SRK27" s="338"/>
      <c r="SRL27" s="338"/>
      <c r="SRM27" s="338"/>
      <c r="SRN27" s="338"/>
      <c r="SRO27" s="338"/>
      <c r="SRP27" s="338"/>
      <c r="SRQ27" s="338"/>
      <c r="SRR27" s="338"/>
      <c r="SRS27" s="338"/>
      <c r="SRT27" s="338"/>
      <c r="SRU27" s="338"/>
      <c r="SRV27" s="338"/>
      <c r="SRW27" s="338"/>
      <c r="SRX27" s="338"/>
      <c r="SRY27" s="338"/>
      <c r="SRZ27" s="338"/>
      <c r="SSA27" s="338"/>
      <c r="SSB27" s="338"/>
      <c r="SSC27" s="338"/>
      <c r="SSD27" s="338"/>
      <c r="SSE27" s="338"/>
      <c r="SSF27" s="338"/>
      <c r="SSG27" s="338"/>
      <c r="SSH27" s="338"/>
      <c r="SSI27" s="338"/>
      <c r="SSJ27" s="338"/>
      <c r="SSK27" s="338"/>
      <c r="SSL27" s="338"/>
      <c r="SSM27" s="338"/>
      <c r="SSN27" s="338"/>
      <c r="SSO27" s="338"/>
      <c r="SSP27" s="338"/>
      <c r="SSQ27" s="338"/>
      <c r="SSR27" s="338"/>
      <c r="SSS27" s="338"/>
      <c r="SST27" s="338"/>
      <c r="SSU27" s="338"/>
      <c r="SSV27" s="338"/>
      <c r="SSW27" s="338"/>
      <c r="SSX27" s="338"/>
      <c r="SSY27" s="338"/>
      <c r="SSZ27" s="338"/>
      <c r="STA27" s="338"/>
      <c r="STB27" s="338"/>
      <c r="STC27" s="338"/>
      <c r="STD27" s="338"/>
      <c r="STE27" s="338"/>
      <c r="STF27" s="338"/>
      <c r="STG27" s="338"/>
      <c r="STH27" s="338"/>
      <c r="STI27" s="338"/>
      <c r="STJ27" s="338"/>
      <c r="STK27" s="338"/>
      <c r="STL27" s="338"/>
      <c r="STM27" s="338"/>
      <c r="STN27" s="338"/>
      <c r="STO27" s="338"/>
      <c r="STP27" s="338"/>
      <c r="STQ27" s="338"/>
      <c r="STR27" s="338"/>
      <c r="STS27" s="338"/>
      <c r="STT27" s="338"/>
      <c r="STU27" s="338"/>
      <c r="STV27" s="338"/>
      <c r="STW27" s="338"/>
      <c r="STX27" s="338"/>
      <c r="STY27" s="338"/>
      <c r="STZ27" s="338"/>
      <c r="SUA27" s="338"/>
      <c r="SUB27" s="338"/>
      <c r="SUC27" s="338"/>
      <c r="SUD27" s="338"/>
      <c r="SUE27" s="338"/>
      <c r="SUF27" s="338"/>
      <c r="SUG27" s="338"/>
      <c r="SUH27" s="338"/>
      <c r="SUI27" s="338"/>
      <c r="SUJ27" s="338"/>
      <c r="SUK27" s="338"/>
      <c r="SUL27" s="338"/>
      <c r="SUM27" s="338"/>
      <c r="SUN27" s="338"/>
      <c r="SUO27" s="338"/>
      <c r="SUP27" s="338"/>
      <c r="SUQ27" s="338"/>
      <c r="SUR27" s="338"/>
      <c r="SUS27" s="338"/>
      <c r="SUT27" s="338"/>
      <c r="SUU27" s="338"/>
      <c r="SUV27" s="338"/>
      <c r="SUW27" s="338"/>
      <c r="SUX27" s="338"/>
      <c r="SUY27" s="338"/>
      <c r="SUZ27" s="338"/>
      <c r="SVA27" s="338"/>
      <c r="SVB27" s="338"/>
      <c r="SVC27" s="338"/>
      <c r="SVD27" s="338"/>
      <c r="SVE27" s="338"/>
      <c r="SVF27" s="338"/>
      <c r="SVG27" s="338"/>
      <c r="SVH27" s="338"/>
      <c r="SVI27" s="338"/>
      <c r="SVJ27" s="338"/>
      <c r="SVK27" s="338"/>
      <c r="SVL27" s="338"/>
      <c r="SVM27" s="338"/>
      <c r="SVN27" s="338"/>
      <c r="SVO27" s="338"/>
      <c r="SVP27" s="338"/>
      <c r="SVQ27" s="338"/>
      <c r="SVR27" s="338"/>
      <c r="SVS27" s="338"/>
      <c r="SVT27" s="338"/>
      <c r="SVU27" s="338"/>
      <c r="SVV27" s="338"/>
      <c r="SVW27" s="338"/>
      <c r="SVX27" s="338"/>
      <c r="SVY27" s="338"/>
      <c r="SVZ27" s="338"/>
      <c r="SWA27" s="338"/>
      <c r="SWB27" s="338"/>
      <c r="SWC27" s="338"/>
      <c r="SWD27" s="338"/>
      <c r="SWE27" s="338"/>
      <c r="SWF27" s="338"/>
      <c r="SWG27" s="338"/>
      <c r="SWH27" s="338"/>
      <c r="SWI27" s="338"/>
      <c r="SWJ27" s="338"/>
      <c r="SWK27" s="338"/>
      <c r="SWL27" s="338"/>
      <c r="SWM27" s="338"/>
      <c r="SWN27" s="338"/>
      <c r="SWO27" s="338"/>
      <c r="SWP27" s="338"/>
      <c r="SWQ27" s="338"/>
      <c r="SWR27" s="338"/>
      <c r="SWS27" s="338"/>
      <c r="SWT27" s="338"/>
      <c r="SWU27" s="338"/>
      <c r="SWV27" s="338"/>
      <c r="SWW27" s="338"/>
      <c r="SWX27" s="338"/>
      <c r="SWY27" s="338"/>
      <c r="SWZ27" s="338"/>
      <c r="SXA27" s="338"/>
      <c r="SXB27" s="338"/>
      <c r="SXC27" s="338"/>
      <c r="SXD27" s="338"/>
      <c r="SXE27" s="338"/>
      <c r="SXF27" s="338"/>
      <c r="SXG27" s="338"/>
      <c r="SXH27" s="338"/>
      <c r="SXI27" s="338"/>
      <c r="SXJ27" s="338"/>
      <c r="SXK27" s="338"/>
      <c r="SXL27" s="338"/>
      <c r="SXM27" s="338"/>
      <c r="SXN27" s="338"/>
      <c r="SXO27" s="338"/>
      <c r="SXP27" s="338"/>
      <c r="SXQ27" s="338"/>
      <c r="SXR27" s="338"/>
      <c r="SXS27" s="338"/>
      <c r="SXT27" s="338"/>
      <c r="SXU27" s="338"/>
      <c r="SXV27" s="338"/>
      <c r="SXW27" s="338"/>
      <c r="SXX27" s="338"/>
      <c r="SXY27" s="338"/>
      <c r="SXZ27" s="338"/>
      <c r="SYA27" s="338"/>
      <c r="SYB27" s="338"/>
      <c r="SYC27" s="338"/>
      <c r="SYD27" s="338"/>
      <c r="SYE27" s="338"/>
      <c r="SYF27" s="338"/>
      <c r="SYG27" s="338"/>
      <c r="SYH27" s="338"/>
      <c r="SYI27" s="338"/>
      <c r="SYJ27" s="338"/>
      <c r="SYK27" s="338"/>
      <c r="SYL27" s="338"/>
      <c r="SYM27" s="338"/>
      <c r="SYN27" s="338"/>
      <c r="SYO27" s="338"/>
      <c r="SYP27" s="338"/>
      <c r="SYQ27" s="338"/>
      <c r="SYR27" s="338"/>
      <c r="SYS27" s="338"/>
      <c r="SYT27" s="338"/>
      <c r="SYU27" s="338"/>
      <c r="SYV27" s="338"/>
      <c r="SYW27" s="338"/>
      <c r="SYX27" s="338"/>
      <c r="SYY27" s="338"/>
      <c r="SYZ27" s="338"/>
      <c r="SZA27" s="338"/>
      <c r="SZB27" s="338"/>
      <c r="SZC27" s="338"/>
      <c r="SZD27" s="338"/>
      <c r="SZE27" s="338"/>
      <c r="SZF27" s="338"/>
      <c r="SZG27" s="338"/>
      <c r="SZH27" s="338"/>
      <c r="SZI27" s="338"/>
      <c r="SZJ27" s="338"/>
      <c r="SZK27" s="338"/>
      <c r="SZL27" s="338"/>
      <c r="SZM27" s="338"/>
      <c r="SZN27" s="338"/>
      <c r="SZO27" s="338"/>
      <c r="SZP27" s="338"/>
      <c r="SZQ27" s="338"/>
      <c r="SZR27" s="338"/>
      <c r="SZS27" s="338"/>
      <c r="SZT27" s="338"/>
      <c r="SZU27" s="338"/>
      <c r="SZV27" s="338"/>
      <c r="SZW27" s="338"/>
      <c r="SZX27" s="338"/>
      <c r="SZY27" s="338"/>
      <c r="SZZ27" s="338"/>
      <c r="TAA27" s="338"/>
      <c r="TAB27" s="338"/>
      <c r="TAC27" s="338"/>
      <c r="TAD27" s="338"/>
      <c r="TAE27" s="338"/>
      <c r="TAF27" s="338"/>
      <c r="TAG27" s="338"/>
      <c r="TAH27" s="338"/>
      <c r="TAI27" s="338"/>
      <c r="TAJ27" s="338"/>
      <c r="TAK27" s="338"/>
      <c r="TAL27" s="338"/>
      <c r="TAM27" s="338"/>
      <c r="TAN27" s="338"/>
      <c r="TAO27" s="338"/>
      <c r="TAP27" s="338"/>
      <c r="TAQ27" s="338"/>
      <c r="TAR27" s="338"/>
      <c r="TAS27" s="338"/>
      <c r="TAT27" s="338"/>
      <c r="TAU27" s="338"/>
      <c r="TAV27" s="338"/>
      <c r="TAW27" s="338"/>
      <c r="TAX27" s="338"/>
      <c r="TAY27" s="338"/>
      <c r="TAZ27" s="338"/>
      <c r="TBA27" s="338"/>
      <c r="TBB27" s="338"/>
      <c r="TBC27" s="338"/>
      <c r="TBD27" s="338"/>
      <c r="TBE27" s="338"/>
      <c r="TBF27" s="338"/>
      <c r="TBG27" s="338"/>
      <c r="TBH27" s="338"/>
      <c r="TBI27" s="338"/>
      <c r="TBJ27" s="338"/>
      <c r="TBK27" s="338"/>
      <c r="TBL27" s="338"/>
      <c r="TBM27" s="338"/>
      <c r="TBN27" s="338"/>
      <c r="TBO27" s="338"/>
      <c r="TBP27" s="338"/>
      <c r="TBQ27" s="338"/>
      <c r="TBR27" s="338"/>
      <c r="TBS27" s="338"/>
      <c r="TBT27" s="338"/>
      <c r="TBU27" s="338"/>
      <c r="TBV27" s="338"/>
      <c r="TBW27" s="338"/>
      <c r="TBX27" s="338"/>
      <c r="TBY27" s="338"/>
      <c r="TBZ27" s="338"/>
      <c r="TCA27" s="338"/>
      <c r="TCB27" s="338"/>
      <c r="TCC27" s="338"/>
      <c r="TCD27" s="338"/>
      <c r="TCE27" s="338"/>
      <c r="TCF27" s="338"/>
      <c r="TCG27" s="338"/>
      <c r="TCH27" s="338"/>
      <c r="TCI27" s="338"/>
      <c r="TCJ27" s="338"/>
      <c r="TCK27" s="338"/>
      <c r="TCL27" s="338"/>
      <c r="TCM27" s="338"/>
      <c r="TCN27" s="338"/>
      <c r="TCO27" s="338"/>
      <c r="TCP27" s="338"/>
      <c r="TCQ27" s="338"/>
      <c r="TCR27" s="338"/>
      <c r="TCS27" s="338"/>
      <c r="TCT27" s="338"/>
      <c r="TCU27" s="338"/>
      <c r="TCV27" s="338"/>
      <c r="TCW27" s="338"/>
      <c r="TCX27" s="338"/>
      <c r="TCY27" s="338"/>
      <c r="TCZ27" s="338"/>
      <c r="TDA27" s="338"/>
      <c r="TDB27" s="338"/>
      <c r="TDC27" s="338"/>
      <c r="TDD27" s="338"/>
      <c r="TDE27" s="338"/>
      <c r="TDF27" s="338"/>
      <c r="TDG27" s="338"/>
      <c r="TDH27" s="338"/>
      <c r="TDI27" s="338"/>
      <c r="TDJ27" s="338"/>
      <c r="TDK27" s="338"/>
      <c r="TDL27" s="338"/>
      <c r="TDM27" s="338"/>
      <c r="TDN27" s="338"/>
      <c r="TDO27" s="338"/>
      <c r="TDP27" s="338"/>
      <c r="TDQ27" s="338"/>
      <c r="TDR27" s="338"/>
      <c r="TDS27" s="338"/>
      <c r="TDT27" s="338"/>
      <c r="TDU27" s="338"/>
      <c r="TDV27" s="338"/>
      <c r="TDW27" s="338"/>
      <c r="TDX27" s="338"/>
      <c r="TDY27" s="338"/>
      <c r="TDZ27" s="338"/>
      <c r="TEA27" s="338"/>
      <c r="TEB27" s="338"/>
      <c r="TEC27" s="338"/>
      <c r="TED27" s="338"/>
      <c r="TEE27" s="338"/>
      <c r="TEF27" s="338"/>
      <c r="TEG27" s="338"/>
      <c r="TEH27" s="338"/>
      <c r="TEI27" s="338"/>
      <c r="TEJ27" s="338"/>
      <c r="TEK27" s="338"/>
      <c r="TEL27" s="338"/>
      <c r="TEM27" s="338"/>
      <c r="TEN27" s="338"/>
      <c r="TEO27" s="338"/>
      <c r="TEP27" s="338"/>
      <c r="TEQ27" s="338"/>
      <c r="TER27" s="338"/>
      <c r="TES27" s="338"/>
      <c r="TET27" s="338"/>
      <c r="TEU27" s="338"/>
      <c r="TEV27" s="338"/>
      <c r="TEW27" s="338"/>
      <c r="TEX27" s="338"/>
      <c r="TEY27" s="338"/>
      <c r="TEZ27" s="338"/>
      <c r="TFA27" s="338"/>
      <c r="TFB27" s="338"/>
      <c r="TFC27" s="338"/>
      <c r="TFD27" s="338"/>
      <c r="TFE27" s="338"/>
      <c r="TFF27" s="338"/>
      <c r="TFG27" s="338"/>
      <c r="TFH27" s="338"/>
      <c r="TFI27" s="338"/>
      <c r="TFJ27" s="338"/>
      <c r="TFK27" s="338"/>
      <c r="TFL27" s="338"/>
      <c r="TFM27" s="338"/>
      <c r="TFN27" s="338"/>
      <c r="TFO27" s="338"/>
      <c r="TFP27" s="338"/>
      <c r="TFQ27" s="338"/>
      <c r="TFR27" s="338"/>
      <c r="TFS27" s="338"/>
      <c r="TFT27" s="338"/>
      <c r="TFU27" s="338"/>
      <c r="TFV27" s="338"/>
      <c r="TFW27" s="338"/>
      <c r="TFX27" s="338"/>
      <c r="TFY27" s="338"/>
      <c r="TFZ27" s="338"/>
      <c r="TGA27" s="338"/>
      <c r="TGB27" s="338"/>
      <c r="TGC27" s="338"/>
      <c r="TGD27" s="338"/>
      <c r="TGE27" s="338"/>
      <c r="TGF27" s="338"/>
      <c r="TGG27" s="338"/>
      <c r="TGH27" s="338"/>
      <c r="TGI27" s="338"/>
      <c r="TGJ27" s="338"/>
      <c r="TGK27" s="338"/>
      <c r="TGL27" s="338"/>
      <c r="TGM27" s="338"/>
      <c r="TGN27" s="338"/>
      <c r="TGO27" s="338"/>
      <c r="TGP27" s="338"/>
      <c r="TGQ27" s="338"/>
      <c r="TGR27" s="338"/>
      <c r="TGS27" s="338"/>
      <c r="TGT27" s="338"/>
      <c r="TGU27" s="338"/>
      <c r="TGV27" s="338"/>
      <c r="TGW27" s="338"/>
      <c r="TGX27" s="338"/>
      <c r="TGY27" s="338"/>
      <c r="TGZ27" s="338"/>
      <c r="THA27" s="338"/>
      <c r="THB27" s="338"/>
      <c r="THC27" s="338"/>
      <c r="THD27" s="338"/>
      <c r="THE27" s="338"/>
      <c r="THF27" s="338"/>
      <c r="THG27" s="338"/>
      <c r="THH27" s="338"/>
      <c r="THI27" s="338"/>
      <c r="THJ27" s="338"/>
      <c r="THK27" s="338"/>
      <c r="THL27" s="338"/>
      <c r="THM27" s="338"/>
      <c r="THN27" s="338"/>
      <c r="THO27" s="338"/>
      <c r="THP27" s="338"/>
      <c r="THQ27" s="338"/>
      <c r="THR27" s="338"/>
      <c r="THS27" s="338"/>
      <c r="THT27" s="338"/>
      <c r="THU27" s="338"/>
      <c r="THV27" s="338"/>
      <c r="THW27" s="338"/>
      <c r="THX27" s="338"/>
      <c r="THY27" s="338"/>
      <c r="THZ27" s="338"/>
      <c r="TIA27" s="338"/>
      <c r="TIB27" s="338"/>
      <c r="TIC27" s="338"/>
      <c r="TID27" s="338"/>
      <c r="TIE27" s="338"/>
      <c r="TIF27" s="338"/>
      <c r="TIG27" s="338"/>
      <c r="TIH27" s="338"/>
      <c r="TII27" s="338"/>
      <c r="TIJ27" s="338"/>
      <c r="TIK27" s="338"/>
      <c r="TIL27" s="338"/>
      <c r="TIM27" s="338"/>
      <c r="TIN27" s="338"/>
      <c r="TIO27" s="338"/>
      <c r="TIP27" s="338"/>
      <c r="TIQ27" s="338"/>
      <c r="TIR27" s="338"/>
      <c r="TIS27" s="338"/>
      <c r="TIT27" s="338"/>
      <c r="TIU27" s="338"/>
      <c r="TIV27" s="338"/>
      <c r="TIW27" s="338"/>
      <c r="TIX27" s="338"/>
      <c r="TIY27" s="338"/>
      <c r="TIZ27" s="338"/>
      <c r="TJA27" s="338"/>
      <c r="TJB27" s="338"/>
      <c r="TJC27" s="338"/>
      <c r="TJD27" s="338"/>
      <c r="TJE27" s="338"/>
      <c r="TJF27" s="338"/>
      <c r="TJG27" s="338"/>
      <c r="TJH27" s="338"/>
      <c r="TJI27" s="338"/>
      <c r="TJJ27" s="338"/>
      <c r="TJK27" s="338"/>
      <c r="TJL27" s="338"/>
      <c r="TJM27" s="338"/>
      <c r="TJN27" s="338"/>
      <c r="TJO27" s="338"/>
      <c r="TJP27" s="338"/>
      <c r="TJQ27" s="338"/>
      <c r="TJR27" s="338"/>
      <c r="TJS27" s="338"/>
      <c r="TJT27" s="338"/>
      <c r="TJU27" s="338"/>
      <c r="TJV27" s="338"/>
      <c r="TJW27" s="338"/>
      <c r="TJX27" s="338"/>
      <c r="TJY27" s="338"/>
      <c r="TJZ27" s="338"/>
      <c r="TKA27" s="338"/>
      <c r="TKB27" s="338"/>
      <c r="TKC27" s="338"/>
      <c r="TKD27" s="338"/>
      <c r="TKE27" s="338"/>
      <c r="TKF27" s="338"/>
      <c r="TKG27" s="338"/>
      <c r="TKH27" s="338"/>
      <c r="TKI27" s="338"/>
      <c r="TKJ27" s="338"/>
      <c r="TKK27" s="338"/>
      <c r="TKL27" s="338"/>
      <c r="TKM27" s="338"/>
      <c r="TKN27" s="338"/>
      <c r="TKO27" s="338"/>
      <c r="TKP27" s="338"/>
      <c r="TKQ27" s="338"/>
      <c r="TKR27" s="338"/>
      <c r="TKS27" s="338"/>
      <c r="TKT27" s="338"/>
      <c r="TKU27" s="338"/>
      <c r="TKV27" s="338"/>
      <c r="TKW27" s="338"/>
      <c r="TKX27" s="338"/>
      <c r="TKY27" s="338"/>
      <c r="TKZ27" s="338"/>
      <c r="TLA27" s="338"/>
      <c r="TLB27" s="338"/>
      <c r="TLC27" s="338"/>
      <c r="TLD27" s="338"/>
      <c r="TLE27" s="338"/>
      <c r="TLF27" s="338"/>
      <c r="TLG27" s="338"/>
      <c r="TLH27" s="338"/>
      <c r="TLI27" s="338"/>
      <c r="TLJ27" s="338"/>
      <c r="TLK27" s="338"/>
      <c r="TLL27" s="338"/>
      <c r="TLM27" s="338"/>
      <c r="TLN27" s="338"/>
      <c r="TLO27" s="338"/>
      <c r="TLP27" s="338"/>
      <c r="TLQ27" s="338"/>
      <c r="TLR27" s="338"/>
      <c r="TLS27" s="338"/>
      <c r="TLT27" s="338"/>
      <c r="TLU27" s="338"/>
      <c r="TLV27" s="338"/>
      <c r="TLW27" s="338"/>
      <c r="TLX27" s="338"/>
      <c r="TLY27" s="338"/>
      <c r="TLZ27" s="338"/>
      <c r="TMA27" s="338"/>
      <c r="TMB27" s="338"/>
      <c r="TMC27" s="338"/>
      <c r="TMD27" s="338"/>
      <c r="TME27" s="338"/>
      <c r="TMF27" s="338"/>
      <c r="TMG27" s="338"/>
      <c r="TMH27" s="338"/>
      <c r="TMI27" s="338"/>
      <c r="TMJ27" s="338"/>
      <c r="TMK27" s="338"/>
      <c r="TML27" s="338"/>
      <c r="TMM27" s="338"/>
      <c r="TMN27" s="338"/>
      <c r="TMO27" s="338"/>
      <c r="TMP27" s="338"/>
      <c r="TMQ27" s="338"/>
      <c r="TMR27" s="338"/>
      <c r="TMS27" s="338"/>
      <c r="TMT27" s="338"/>
      <c r="TMU27" s="338"/>
      <c r="TMV27" s="338"/>
      <c r="TMW27" s="338"/>
      <c r="TMX27" s="338"/>
      <c r="TMY27" s="338"/>
      <c r="TMZ27" s="338"/>
      <c r="TNA27" s="338"/>
      <c r="TNB27" s="338"/>
      <c r="TNC27" s="338"/>
      <c r="TND27" s="338"/>
      <c r="TNE27" s="338"/>
      <c r="TNF27" s="338"/>
      <c r="TNG27" s="338"/>
      <c r="TNH27" s="338"/>
      <c r="TNI27" s="338"/>
      <c r="TNJ27" s="338"/>
      <c r="TNK27" s="338"/>
      <c r="TNL27" s="338"/>
      <c r="TNM27" s="338"/>
      <c r="TNN27" s="338"/>
      <c r="TNO27" s="338"/>
      <c r="TNP27" s="338"/>
      <c r="TNQ27" s="338"/>
      <c r="TNR27" s="338"/>
      <c r="TNS27" s="338"/>
      <c r="TNT27" s="338"/>
      <c r="TNU27" s="338"/>
      <c r="TNV27" s="338"/>
      <c r="TNW27" s="338"/>
      <c r="TNX27" s="338"/>
      <c r="TNY27" s="338"/>
      <c r="TNZ27" s="338"/>
      <c r="TOA27" s="338"/>
      <c r="TOB27" s="338"/>
      <c r="TOC27" s="338"/>
      <c r="TOD27" s="338"/>
      <c r="TOE27" s="338"/>
      <c r="TOF27" s="338"/>
      <c r="TOG27" s="338"/>
      <c r="TOH27" s="338"/>
      <c r="TOI27" s="338"/>
      <c r="TOJ27" s="338"/>
      <c r="TOK27" s="338"/>
      <c r="TOL27" s="338"/>
      <c r="TOM27" s="338"/>
      <c r="TON27" s="338"/>
      <c r="TOO27" s="338"/>
      <c r="TOP27" s="338"/>
      <c r="TOQ27" s="338"/>
      <c r="TOR27" s="338"/>
      <c r="TOS27" s="338"/>
      <c r="TOT27" s="338"/>
      <c r="TOU27" s="338"/>
      <c r="TOV27" s="338"/>
      <c r="TOW27" s="338"/>
      <c r="TOX27" s="338"/>
      <c r="TOY27" s="338"/>
      <c r="TOZ27" s="338"/>
      <c r="TPA27" s="338"/>
      <c r="TPB27" s="338"/>
      <c r="TPC27" s="338"/>
      <c r="TPD27" s="338"/>
      <c r="TPE27" s="338"/>
      <c r="TPF27" s="338"/>
      <c r="TPG27" s="338"/>
      <c r="TPH27" s="338"/>
      <c r="TPI27" s="338"/>
      <c r="TPJ27" s="338"/>
      <c r="TPK27" s="338"/>
      <c r="TPL27" s="338"/>
      <c r="TPM27" s="338"/>
      <c r="TPN27" s="338"/>
      <c r="TPO27" s="338"/>
      <c r="TPP27" s="338"/>
      <c r="TPQ27" s="338"/>
      <c r="TPR27" s="338"/>
      <c r="TPS27" s="338"/>
      <c r="TPT27" s="338"/>
      <c r="TPU27" s="338"/>
      <c r="TPV27" s="338"/>
      <c r="TPW27" s="338"/>
      <c r="TPX27" s="338"/>
      <c r="TPY27" s="338"/>
      <c r="TPZ27" s="338"/>
      <c r="TQA27" s="338"/>
      <c r="TQB27" s="338"/>
      <c r="TQC27" s="338"/>
      <c r="TQD27" s="338"/>
      <c r="TQE27" s="338"/>
      <c r="TQF27" s="338"/>
      <c r="TQG27" s="338"/>
      <c r="TQH27" s="338"/>
      <c r="TQI27" s="338"/>
      <c r="TQJ27" s="338"/>
      <c r="TQK27" s="338"/>
      <c r="TQL27" s="338"/>
      <c r="TQM27" s="338"/>
      <c r="TQN27" s="338"/>
      <c r="TQO27" s="338"/>
      <c r="TQP27" s="338"/>
      <c r="TQQ27" s="338"/>
      <c r="TQR27" s="338"/>
      <c r="TQS27" s="338"/>
      <c r="TQT27" s="338"/>
      <c r="TQU27" s="338"/>
      <c r="TQV27" s="338"/>
      <c r="TQW27" s="338"/>
      <c r="TQX27" s="338"/>
      <c r="TQY27" s="338"/>
      <c r="TQZ27" s="338"/>
      <c r="TRA27" s="338"/>
      <c r="TRB27" s="338"/>
      <c r="TRC27" s="338"/>
      <c r="TRD27" s="338"/>
      <c r="TRE27" s="338"/>
      <c r="TRF27" s="338"/>
      <c r="TRG27" s="338"/>
      <c r="TRH27" s="338"/>
      <c r="TRI27" s="338"/>
      <c r="TRJ27" s="338"/>
      <c r="TRK27" s="338"/>
      <c r="TRL27" s="338"/>
      <c r="TRM27" s="338"/>
      <c r="TRN27" s="338"/>
      <c r="TRO27" s="338"/>
      <c r="TRP27" s="338"/>
      <c r="TRQ27" s="338"/>
      <c r="TRR27" s="338"/>
      <c r="TRS27" s="338"/>
      <c r="TRT27" s="338"/>
      <c r="TRU27" s="338"/>
      <c r="TRV27" s="338"/>
      <c r="TRW27" s="338"/>
      <c r="TRX27" s="338"/>
      <c r="TRY27" s="338"/>
      <c r="TRZ27" s="338"/>
      <c r="TSA27" s="338"/>
      <c r="TSB27" s="338"/>
      <c r="TSC27" s="338"/>
      <c r="TSD27" s="338"/>
      <c r="TSE27" s="338"/>
      <c r="TSF27" s="338"/>
      <c r="TSG27" s="338"/>
      <c r="TSH27" s="338"/>
      <c r="TSI27" s="338"/>
      <c r="TSJ27" s="338"/>
      <c r="TSK27" s="338"/>
      <c r="TSL27" s="338"/>
      <c r="TSM27" s="338"/>
      <c r="TSN27" s="338"/>
      <c r="TSO27" s="338"/>
      <c r="TSP27" s="338"/>
      <c r="TSQ27" s="338"/>
      <c r="TSR27" s="338"/>
      <c r="TSS27" s="338"/>
      <c r="TST27" s="338"/>
      <c r="TSU27" s="338"/>
      <c r="TSV27" s="338"/>
      <c r="TSW27" s="338"/>
      <c r="TSX27" s="338"/>
      <c r="TSY27" s="338"/>
      <c r="TSZ27" s="338"/>
      <c r="TTA27" s="338"/>
      <c r="TTB27" s="338"/>
      <c r="TTC27" s="338"/>
      <c r="TTD27" s="338"/>
      <c r="TTE27" s="338"/>
      <c r="TTF27" s="338"/>
      <c r="TTG27" s="338"/>
      <c r="TTH27" s="338"/>
      <c r="TTI27" s="338"/>
      <c r="TTJ27" s="338"/>
      <c r="TTK27" s="338"/>
      <c r="TTL27" s="338"/>
      <c r="TTM27" s="338"/>
      <c r="TTN27" s="338"/>
      <c r="TTO27" s="338"/>
      <c r="TTP27" s="338"/>
      <c r="TTQ27" s="338"/>
      <c r="TTR27" s="338"/>
      <c r="TTS27" s="338"/>
      <c r="TTT27" s="338"/>
      <c r="TTU27" s="338"/>
      <c r="TTV27" s="338"/>
      <c r="TTW27" s="338"/>
      <c r="TTX27" s="338"/>
      <c r="TTY27" s="338"/>
      <c r="TTZ27" s="338"/>
      <c r="TUA27" s="338"/>
      <c r="TUB27" s="338"/>
      <c r="TUC27" s="338"/>
      <c r="TUD27" s="338"/>
      <c r="TUE27" s="338"/>
      <c r="TUF27" s="338"/>
      <c r="TUG27" s="338"/>
      <c r="TUH27" s="338"/>
      <c r="TUI27" s="338"/>
      <c r="TUJ27" s="338"/>
      <c r="TUK27" s="338"/>
      <c r="TUL27" s="338"/>
      <c r="TUM27" s="338"/>
      <c r="TUN27" s="338"/>
      <c r="TUO27" s="338"/>
      <c r="TUP27" s="338"/>
      <c r="TUQ27" s="338"/>
      <c r="TUR27" s="338"/>
      <c r="TUS27" s="338"/>
      <c r="TUT27" s="338"/>
      <c r="TUU27" s="338"/>
      <c r="TUV27" s="338"/>
      <c r="TUW27" s="338"/>
      <c r="TUX27" s="338"/>
      <c r="TUY27" s="338"/>
      <c r="TUZ27" s="338"/>
      <c r="TVA27" s="338"/>
      <c r="TVB27" s="338"/>
      <c r="TVC27" s="338"/>
      <c r="TVD27" s="338"/>
      <c r="TVE27" s="338"/>
      <c r="TVF27" s="338"/>
      <c r="TVG27" s="338"/>
      <c r="TVH27" s="338"/>
      <c r="TVI27" s="338"/>
      <c r="TVJ27" s="338"/>
      <c r="TVK27" s="338"/>
      <c r="TVL27" s="338"/>
      <c r="TVM27" s="338"/>
      <c r="TVN27" s="338"/>
      <c r="TVO27" s="338"/>
      <c r="TVP27" s="338"/>
      <c r="TVQ27" s="338"/>
      <c r="TVR27" s="338"/>
      <c r="TVS27" s="338"/>
      <c r="TVT27" s="338"/>
      <c r="TVU27" s="338"/>
      <c r="TVV27" s="338"/>
      <c r="TVW27" s="338"/>
      <c r="TVX27" s="338"/>
      <c r="TVY27" s="338"/>
      <c r="TVZ27" s="338"/>
      <c r="TWA27" s="338"/>
      <c r="TWB27" s="338"/>
      <c r="TWC27" s="338"/>
      <c r="TWD27" s="338"/>
      <c r="TWE27" s="338"/>
      <c r="TWF27" s="338"/>
      <c r="TWG27" s="338"/>
      <c r="TWH27" s="338"/>
      <c r="TWI27" s="338"/>
      <c r="TWJ27" s="338"/>
      <c r="TWK27" s="338"/>
      <c r="TWL27" s="338"/>
      <c r="TWM27" s="338"/>
      <c r="TWN27" s="338"/>
      <c r="TWO27" s="338"/>
      <c r="TWP27" s="338"/>
      <c r="TWQ27" s="338"/>
      <c r="TWR27" s="338"/>
      <c r="TWS27" s="338"/>
      <c r="TWT27" s="338"/>
      <c r="TWU27" s="338"/>
      <c r="TWV27" s="338"/>
      <c r="TWW27" s="338"/>
      <c r="TWX27" s="338"/>
      <c r="TWY27" s="338"/>
      <c r="TWZ27" s="338"/>
      <c r="TXA27" s="338"/>
      <c r="TXB27" s="338"/>
      <c r="TXC27" s="338"/>
      <c r="TXD27" s="338"/>
      <c r="TXE27" s="338"/>
      <c r="TXF27" s="338"/>
      <c r="TXG27" s="338"/>
      <c r="TXH27" s="338"/>
      <c r="TXI27" s="338"/>
      <c r="TXJ27" s="338"/>
      <c r="TXK27" s="338"/>
      <c r="TXL27" s="338"/>
      <c r="TXM27" s="338"/>
      <c r="TXN27" s="338"/>
      <c r="TXO27" s="338"/>
      <c r="TXP27" s="338"/>
      <c r="TXQ27" s="338"/>
      <c r="TXR27" s="338"/>
      <c r="TXS27" s="338"/>
      <c r="TXT27" s="338"/>
      <c r="TXU27" s="338"/>
      <c r="TXV27" s="338"/>
      <c r="TXW27" s="338"/>
      <c r="TXX27" s="338"/>
      <c r="TXY27" s="338"/>
      <c r="TXZ27" s="338"/>
      <c r="TYA27" s="338"/>
      <c r="TYB27" s="338"/>
      <c r="TYC27" s="338"/>
      <c r="TYD27" s="338"/>
      <c r="TYE27" s="338"/>
      <c r="TYF27" s="338"/>
      <c r="TYG27" s="338"/>
      <c r="TYH27" s="338"/>
      <c r="TYI27" s="338"/>
      <c r="TYJ27" s="338"/>
      <c r="TYK27" s="338"/>
      <c r="TYL27" s="338"/>
      <c r="TYM27" s="338"/>
      <c r="TYN27" s="338"/>
      <c r="TYO27" s="338"/>
      <c r="TYP27" s="338"/>
      <c r="TYQ27" s="338"/>
      <c r="TYR27" s="338"/>
      <c r="TYS27" s="338"/>
      <c r="TYT27" s="338"/>
      <c r="TYU27" s="338"/>
      <c r="TYV27" s="338"/>
      <c r="TYW27" s="338"/>
      <c r="TYX27" s="338"/>
      <c r="TYY27" s="338"/>
      <c r="TYZ27" s="338"/>
      <c r="TZA27" s="338"/>
      <c r="TZB27" s="338"/>
      <c r="TZC27" s="338"/>
      <c r="TZD27" s="338"/>
      <c r="TZE27" s="338"/>
      <c r="TZF27" s="338"/>
      <c r="TZG27" s="338"/>
      <c r="TZH27" s="338"/>
      <c r="TZI27" s="338"/>
      <c r="TZJ27" s="338"/>
      <c r="TZK27" s="338"/>
      <c r="TZL27" s="338"/>
      <c r="TZM27" s="338"/>
      <c r="TZN27" s="338"/>
      <c r="TZO27" s="338"/>
      <c r="TZP27" s="338"/>
      <c r="TZQ27" s="338"/>
      <c r="TZR27" s="338"/>
      <c r="TZS27" s="338"/>
      <c r="TZT27" s="338"/>
      <c r="TZU27" s="338"/>
      <c r="TZV27" s="338"/>
      <c r="TZW27" s="338"/>
      <c r="TZX27" s="338"/>
      <c r="TZY27" s="338"/>
      <c r="TZZ27" s="338"/>
      <c r="UAA27" s="338"/>
      <c r="UAB27" s="338"/>
      <c r="UAC27" s="338"/>
      <c r="UAD27" s="338"/>
      <c r="UAE27" s="338"/>
      <c r="UAF27" s="338"/>
      <c r="UAG27" s="338"/>
      <c r="UAH27" s="338"/>
      <c r="UAI27" s="338"/>
      <c r="UAJ27" s="338"/>
      <c r="UAK27" s="338"/>
      <c r="UAL27" s="338"/>
      <c r="UAM27" s="338"/>
      <c r="UAN27" s="338"/>
      <c r="UAO27" s="338"/>
      <c r="UAP27" s="338"/>
      <c r="UAQ27" s="338"/>
      <c r="UAR27" s="338"/>
      <c r="UAS27" s="338"/>
      <c r="UAT27" s="338"/>
      <c r="UAU27" s="338"/>
      <c r="UAV27" s="338"/>
      <c r="UAW27" s="338"/>
      <c r="UAX27" s="338"/>
      <c r="UAY27" s="338"/>
      <c r="UAZ27" s="338"/>
      <c r="UBA27" s="338"/>
      <c r="UBB27" s="338"/>
      <c r="UBC27" s="338"/>
      <c r="UBD27" s="338"/>
      <c r="UBE27" s="338"/>
      <c r="UBF27" s="338"/>
      <c r="UBG27" s="338"/>
      <c r="UBH27" s="338"/>
      <c r="UBI27" s="338"/>
      <c r="UBJ27" s="338"/>
      <c r="UBK27" s="338"/>
      <c r="UBL27" s="338"/>
      <c r="UBM27" s="338"/>
      <c r="UBN27" s="338"/>
      <c r="UBO27" s="338"/>
      <c r="UBP27" s="338"/>
      <c r="UBQ27" s="338"/>
      <c r="UBR27" s="338"/>
      <c r="UBS27" s="338"/>
      <c r="UBT27" s="338"/>
      <c r="UBU27" s="338"/>
      <c r="UBV27" s="338"/>
      <c r="UBW27" s="338"/>
      <c r="UBX27" s="338"/>
      <c r="UBY27" s="338"/>
      <c r="UBZ27" s="338"/>
      <c r="UCA27" s="338"/>
      <c r="UCB27" s="338"/>
      <c r="UCC27" s="338"/>
      <c r="UCD27" s="338"/>
      <c r="UCE27" s="338"/>
      <c r="UCF27" s="338"/>
      <c r="UCG27" s="338"/>
      <c r="UCH27" s="338"/>
      <c r="UCI27" s="338"/>
      <c r="UCJ27" s="338"/>
      <c r="UCK27" s="338"/>
      <c r="UCL27" s="338"/>
      <c r="UCM27" s="338"/>
      <c r="UCN27" s="338"/>
      <c r="UCO27" s="338"/>
      <c r="UCP27" s="338"/>
      <c r="UCQ27" s="338"/>
      <c r="UCR27" s="338"/>
      <c r="UCS27" s="338"/>
      <c r="UCT27" s="338"/>
      <c r="UCU27" s="338"/>
      <c r="UCV27" s="338"/>
      <c r="UCW27" s="338"/>
      <c r="UCX27" s="338"/>
      <c r="UCY27" s="338"/>
      <c r="UCZ27" s="338"/>
      <c r="UDA27" s="338"/>
      <c r="UDB27" s="338"/>
      <c r="UDC27" s="338"/>
      <c r="UDD27" s="338"/>
      <c r="UDE27" s="338"/>
      <c r="UDF27" s="338"/>
      <c r="UDG27" s="338"/>
      <c r="UDH27" s="338"/>
      <c r="UDI27" s="338"/>
      <c r="UDJ27" s="338"/>
      <c r="UDK27" s="338"/>
      <c r="UDL27" s="338"/>
      <c r="UDM27" s="338"/>
      <c r="UDN27" s="338"/>
      <c r="UDO27" s="338"/>
      <c r="UDP27" s="338"/>
      <c r="UDQ27" s="338"/>
      <c r="UDR27" s="338"/>
      <c r="UDS27" s="338"/>
      <c r="UDT27" s="338"/>
      <c r="UDU27" s="338"/>
      <c r="UDV27" s="338"/>
      <c r="UDW27" s="338"/>
      <c r="UDX27" s="338"/>
      <c r="UDY27" s="338"/>
      <c r="UDZ27" s="338"/>
      <c r="UEA27" s="338"/>
      <c r="UEB27" s="338"/>
      <c r="UEC27" s="338"/>
      <c r="UED27" s="338"/>
      <c r="UEE27" s="338"/>
      <c r="UEF27" s="338"/>
      <c r="UEG27" s="338"/>
      <c r="UEH27" s="338"/>
      <c r="UEI27" s="338"/>
      <c r="UEJ27" s="338"/>
      <c r="UEK27" s="338"/>
      <c r="UEL27" s="338"/>
      <c r="UEM27" s="338"/>
      <c r="UEN27" s="338"/>
      <c r="UEO27" s="338"/>
      <c r="UEP27" s="338"/>
      <c r="UEQ27" s="338"/>
      <c r="UER27" s="338"/>
      <c r="UES27" s="338"/>
      <c r="UET27" s="338"/>
      <c r="UEU27" s="338"/>
      <c r="UEV27" s="338"/>
      <c r="UEW27" s="338"/>
      <c r="UEX27" s="338"/>
      <c r="UEY27" s="338"/>
      <c r="UEZ27" s="338"/>
      <c r="UFA27" s="338"/>
      <c r="UFB27" s="338"/>
      <c r="UFC27" s="338"/>
      <c r="UFD27" s="338"/>
      <c r="UFE27" s="338"/>
      <c r="UFF27" s="338"/>
      <c r="UFG27" s="338"/>
      <c r="UFH27" s="338"/>
      <c r="UFI27" s="338"/>
      <c r="UFJ27" s="338"/>
      <c r="UFK27" s="338"/>
      <c r="UFL27" s="338"/>
      <c r="UFM27" s="338"/>
      <c r="UFN27" s="338"/>
      <c r="UFO27" s="338"/>
      <c r="UFP27" s="338"/>
      <c r="UFQ27" s="338"/>
      <c r="UFR27" s="338"/>
      <c r="UFS27" s="338"/>
      <c r="UFT27" s="338"/>
      <c r="UFU27" s="338"/>
      <c r="UFV27" s="338"/>
      <c r="UFW27" s="338"/>
      <c r="UFX27" s="338"/>
      <c r="UFY27" s="338"/>
      <c r="UFZ27" s="338"/>
      <c r="UGA27" s="338"/>
      <c r="UGB27" s="338"/>
      <c r="UGC27" s="338"/>
      <c r="UGD27" s="338"/>
      <c r="UGE27" s="338"/>
      <c r="UGF27" s="338"/>
      <c r="UGG27" s="338"/>
      <c r="UGH27" s="338"/>
      <c r="UGI27" s="338"/>
      <c r="UGJ27" s="338"/>
      <c r="UGK27" s="338"/>
      <c r="UGL27" s="338"/>
      <c r="UGM27" s="338"/>
      <c r="UGN27" s="338"/>
      <c r="UGO27" s="338"/>
      <c r="UGP27" s="338"/>
      <c r="UGQ27" s="338"/>
      <c r="UGR27" s="338"/>
      <c r="UGS27" s="338"/>
      <c r="UGT27" s="338"/>
      <c r="UGU27" s="338"/>
      <c r="UGV27" s="338"/>
      <c r="UGW27" s="338"/>
      <c r="UGX27" s="338"/>
      <c r="UGY27" s="338"/>
      <c r="UGZ27" s="338"/>
      <c r="UHA27" s="338"/>
      <c r="UHB27" s="338"/>
      <c r="UHC27" s="338"/>
      <c r="UHD27" s="338"/>
      <c r="UHE27" s="338"/>
      <c r="UHF27" s="338"/>
      <c r="UHG27" s="338"/>
      <c r="UHH27" s="338"/>
      <c r="UHI27" s="338"/>
      <c r="UHJ27" s="338"/>
      <c r="UHK27" s="338"/>
      <c r="UHL27" s="338"/>
      <c r="UHM27" s="338"/>
      <c r="UHN27" s="338"/>
      <c r="UHO27" s="338"/>
      <c r="UHP27" s="338"/>
      <c r="UHQ27" s="338"/>
      <c r="UHR27" s="338"/>
      <c r="UHS27" s="338"/>
      <c r="UHT27" s="338"/>
      <c r="UHU27" s="338"/>
      <c r="UHV27" s="338"/>
      <c r="UHW27" s="338"/>
      <c r="UHX27" s="338"/>
      <c r="UHY27" s="338"/>
      <c r="UHZ27" s="338"/>
      <c r="UIA27" s="338"/>
      <c r="UIB27" s="338"/>
      <c r="UIC27" s="338"/>
      <c r="UID27" s="338"/>
      <c r="UIE27" s="338"/>
      <c r="UIF27" s="338"/>
      <c r="UIG27" s="338"/>
      <c r="UIH27" s="338"/>
      <c r="UII27" s="338"/>
      <c r="UIJ27" s="338"/>
      <c r="UIK27" s="338"/>
      <c r="UIL27" s="338"/>
      <c r="UIM27" s="338"/>
      <c r="UIN27" s="338"/>
      <c r="UIO27" s="338"/>
      <c r="UIP27" s="338"/>
      <c r="UIQ27" s="338"/>
      <c r="UIR27" s="338"/>
      <c r="UIS27" s="338"/>
      <c r="UIT27" s="338"/>
      <c r="UIU27" s="338"/>
      <c r="UIV27" s="338"/>
      <c r="UIW27" s="338"/>
      <c r="UIX27" s="338"/>
      <c r="UIY27" s="338"/>
      <c r="UIZ27" s="338"/>
      <c r="UJA27" s="338"/>
      <c r="UJB27" s="338"/>
      <c r="UJC27" s="338"/>
      <c r="UJD27" s="338"/>
      <c r="UJE27" s="338"/>
      <c r="UJF27" s="338"/>
      <c r="UJG27" s="338"/>
      <c r="UJH27" s="338"/>
      <c r="UJI27" s="338"/>
      <c r="UJJ27" s="338"/>
      <c r="UJK27" s="338"/>
      <c r="UJL27" s="338"/>
      <c r="UJM27" s="338"/>
      <c r="UJN27" s="338"/>
      <c r="UJO27" s="338"/>
      <c r="UJP27" s="338"/>
      <c r="UJQ27" s="338"/>
      <c r="UJR27" s="338"/>
      <c r="UJS27" s="338"/>
      <c r="UJT27" s="338"/>
      <c r="UJU27" s="338"/>
      <c r="UJV27" s="338"/>
      <c r="UJW27" s="338"/>
      <c r="UJX27" s="338"/>
      <c r="UJY27" s="338"/>
      <c r="UJZ27" s="338"/>
      <c r="UKA27" s="338"/>
      <c r="UKB27" s="338"/>
      <c r="UKC27" s="338"/>
      <c r="UKD27" s="338"/>
      <c r="UKE27" s="338"/>
      <c r="UKF27" s="338"/>
      <c r="UKG27" s="338"/>
      <c r="UKH27" s="338"/>
      <c r="UKI27" s="338"/>
      <c r="UKJ27" s="338"/>
      <c r="UKK27" s="338"/>
      <c r="UKL27" s="338"/>
      <c r="UKM27" s="338"/>
      <c r="UKN27" s="338"/>
      <c r="UKO27" s="338"/>
      <c r="UKP27" s="338"/>
      <c r="UKQ27" s="338"/>
      <c r="UKR27" s="338"/>
      <c r="UKS27" s="338"/>
      <c r="UKT27" s="338"/>
      <c r="UKU27" s="338"/>
      <c r="UKV27" s="338"/>
      <c r="UKW27" s="338"/>
      <c r="UKX27" s="338"/>
      <c r="UKY27" s="338"/>
      <c r="UKZ27" s="338"/>
      <c r="ULA27" s="338"/>
      <c r="ULB27" s="338"/>
      <c r="ULC27" s="338"/>
      <c r="ULD27" s="338"/>
      <c r="ULE27" s="338"/>
      <c r="ULF27" s="338"/>
      <c r="ULG27" s="338"/>
      <c r="ULH27" s="338"/>
      <c r="ULI27" s="338"/>
      <c r="ULJ27" s="338"/>
      <c r="ULK27" s="338"/>
      <c r="ULL27" s="338"/>
      <c r="ULM27" s="338"/>
      <c r="ULN27" s="338"/>
      <c r="ULO27" s="338"/>
      <c r="ULP27" s="338"/>
      <c r="ULQ27" s="338"/>
      <c r="ULR27" s="338"/>
      <c r="ULS27" s="338"/>
      <c r="ULT27" s="338"/>
      <c r="ULU27" s="338"/>
      <c r="ULV27" s="338"/>
      <c r="ULW27" s="338"/>
      <c r="ULX27" s="338"/>
      <c r="ULY27" s="338"/>
      <c r="ULZ27" s="338"/>
      <c r="UMA27" s="338"/>
      <c r="UMB27" s="338"/>
      <c r="UMC27" s="338"/>
      <c r="UMD27" s="338"/>
      <c r="UME27" s="338"/>
      <c r="UMF27" s="338"/>
      <c r="UMG27" s="338"/>
      <c r="UMH27" s="338"/>
      <c r="UMI27" s="338"/>
      <c r="UMJ27" s="338"/>
      <c r="UMK27" s="338"/>
      <c r="UML27" s="338"/>
      <c r="UMM27" s="338"/>
      <c r="UMN27" s="338"/>
      <c r="UMO27" s="338"/>
      <c r="UMP27" s="338"/>
      <c r="UMQ27" s="338"/>
      <c r="UMR27" s="338"/>
      <c r="UMS27" s="338"/>
      <c r="UMT27" s="338"/>
      <c r="UMU27" s="338"/>
      <c r="UMV27" s="338"/>
      <c r="UMW27" s="338"/>
      <c r="UMX27" s="338"/>
      <c r="UMY27" s="338"/>
      <c r="UMZ27" s="338"/>
      <c r="UNA27" s="338"/>
      <c r="UNB27" s="338"/>
      <c r="UNC27" s="338"/>
      <c r="UND27" s="338"/>
      <c r="UNE27" s="338"/>
      <c r="UNF27" s="338"/>
      <c r="UNG27" s="338"/>
      <c r="UNH27" s="338"/>
      <c r="UNI27" s="338"/>
      <c r="UNJ27" s="338"/>
      <c r="UNK27" s="338"/>
      <c r="UNL27" s="338"/>
      <c r="UNM27" s="338"/>
      <c r="UNN27" s="338"/>
      <c r="UNO27" s="338"/>
      <c r="UNP27" s="338"/>
      <c r="UNQ27" s="338"/>
      <c r="UNR27" s="338"/>
      <c r="UNS27" s="338"/>
      <c r="UNT27" s="338"/>
      <c r="UNU27" s="338"/>
      <c r="UNV27" s="338"/>
      <c r="UNW27" s="338"/>
      <c r="UNX27" s="338"/>
      <c r="UNY27" s="338"/>
      <c r="UNZ27" s="338"/>
      <c r="UOA27" s="338"/>
      <c r="UOB27" s="338"/>
      <c r="UOC27" s="338"/>
      <c r="UOD27" s="338"/>
      <c r="UOE27" s="338"/>
      <c r="UOF27" s="338"/>
      <c r="UOG27" s="338"/>
      <c r="UOH27" s="338"/>
      <c r="UOI27" s="338"/>
      <c r="UOJ27" s="338"/>
      <c r="UOK27" s="338"/>
      <c r="UOL27" s="338"/>
      <c r="UOM27" s="338"/>
      <c r="UON27" s="338"/>
      <c r="UOO27" s="338"/>
      <c r="UOP27" s="338"/>
      <c r="UOQ27" s="338"/>
      <c r="UOR27" s="338"/>
      <c r="UOS27" s="338"/>
      <c r="UOT27" s="338"/>
      <c r="UOU27" s="338"/>
      <c r="UOV27" s="338"/>
      <c r="UOW27" s="338"/>
      <c r="UOX27" s="338"/>
      <c r="UOY27" s="338"/>
      <c r="UOZ27" s="338"/>
      <c r="UPA27" s="338"/>
      <c r="UPB27" s="338"/>
      <c r="UPC27" s="338"/>
      <c r="UPD27" s="338"/>
      <c r="UPE27" s="338"/>
      <c r="UPF27" s="338"/>
      <c r="UPG27" s="338"/>
      <c r="UPH27" s="338"/>
      <c r="UPI27" s="338"/>
      <c r="UPJ27" s="338"/>
      <c r="UPK27" s="338"/>
      <c r="UPL27" s="338"/>
      <c r="UPM27" s="338"/>
      <c r="UPN27" s="338"/>
      <c r="UPO27" s="338"/>
      <c r="UPP27" s="338"/>
      <c r="UPQ27" s="338"/>
      <c r="UPR27" s="338"/>
      <c r="UPS27" s="338"/>
      <c r="UPT27" s="338"/>
      <c r="UPU27" s="338"/>
      <c r="UPV27" s="338"/>
      <c r="UPW27" s="338"/>
      <c r="UPX27" s="338"/>
      <c r="UPY27" s="338"/>
      <c r="UPZ27" s="338"/>
      <c r="UQA27" s="338"/>
      <c r="UQB27" s="338"/>
      <c r="UQC27" s="338"/>
      <c r="UQD27" s="338"/>
      <c r="UQE27" s="338"/>
      <c r="UQF27" s="338"/>
      <c r="UQG27" s="338"/>
      <c r="UQH27" s="338"/>
      <c r="UQI27" s="338"/>
      <c r="UQJ27" s="338"/>
      <c r="UQK27" s="338"/>
      <c r="UQL27" s="338"/>
      <c r="UQM27" s="338"/>
      <c r="UQN27" s="338"/>
      <c r="UQO27" s="338"/>
      <c r="UQP27" s="338"/>
      <c r="UQQ27" s="338"/>
      <c r="UQR27" s="338"/>
      <c r="UQS27" s="338"/>
      <c r="UQT27" s="338"/>
      <c r="UQU27" s="338"/>
      <c r="UQV27" s="338"/>
      <c r="UQW27" s="338"/>
      <c r="UQX27" s="338"/>
      <c r="UQY27" s="338"/>
      <c r="UQZ27" s="338"/>
      <c r="URA27" s="338"/>
      <c r="URB27" s="338"/>
      <c r="URC27" s="338"/>
      <c r="URD27" s="338"/>
      <c r="URE27" s="338"/>
      <c r="URF27" s="338"/>
      <c r="URG27" s="338"/>
      <c r="URH27" s="338"/>
      <c r="URI27" s="338"/>
      <c r="URJ27" s="338"/>
      <c r="URK27" s="338"/>
      <c r="URL27" s="338"/>
      <c r="URM27" s="338"/>
      <c r="URN27" s="338"/>
      <c r="URO27" s="338"/>
      <c r="URP27" s="338"/>
      <c r="URQ27" s="338"/>
      <c r="URR27" s="338"/>
      <c r="URS27" s="338"/>
      <c r="URT27" s="338"/>
      <c r="URU27" s="338"/>
      <c r="URV27" s="338"/>
      <c r="URW27" s="338"/>
      <c r="URX27" s="338"/>
      <c r="URY27" s="338"/>
      <c r="URZ27" s="338"/>
      <c r="USA27" s="338"/>
      <c r="USB27" s="338"/>
      <c r="USC27" s="338"/>
      <c r="USD27" s="338"/>
      <c r="USE27" s="338"/>
      <c r="USF27" s="338"/>
      <c r="USG27" s="338"/>
      <c r="USH27" s="338"/>
      <c r="USI27" s="338"/>
      <c r="USJ27" s="338"/>
      <c r="USK27" s="338"/>
      <c r="USL27" s="338"/>
      <c r="USM27" s="338"/>
      <c r="USN27" s="338"/>
      <c r="USO27" s="338"/>
      <c r="USP27" s="338"/>
      <c r="USQ27" s="338"/>
      <c r="USR27" s="338"/>
      <c r="USS27" s="338"/>
      <c r="UST27" s="338"/>
      <c r="USU27" s="338"/>
      <c r="USV27" s="338"/>
      <c r="USW27" s="338"/>
      <c r="USX27" s="338"/>
      <c r="USY27" s="338"/>
      <c r="USZ27" s="338"/>
      <c r="UTA27" s="338"/>
      <c r="UTB27" s="338"/>
      <c r="UTC27" s="338"/>
      <c r="UTD27" s="338"/>
      <c r="UTE27" s="338"/>
      <c r="UTF27" s="338"/>
      <c r="UTG27" s="338"/>
      <c r="UTH27" s="338"/>
      <c r="UTI27" s="338"/>
      <c r="UTJ27" s="338"/>
      <c r="UTK27" s="338"/>
      <c r="UTL27" s="338"/>
      <c r="UTM27" s="338"/>
      <c r="UTN27" s="338"/>
      <c r="UTO27" s="338"/>
      <c r="UTP27" s="338"/>
      <c r="UTQ27" s="338"/>
      <c r="UTR27" s="338"/>
      <c r="UTS27" s="338"/>
      <c r="UTT27" s="338"/>
      <c r="UTU27" s="338"/>
      <c r="UTV27" s="338"/>
      <c r="UTW27" s="338"/>
      <c r="UTX27" s="338"/>
      <c r="UTY27" s="338"/>
      <c r="UTZ27" s="338"/>
      <c r="UUA27" s="338"/>
      <c r="UUB27" s="338"/>
      <c r="UUC27" s="338"/>
      <c r="UUD27" s="338"/>
      <c r="UUE27" s="338"/>
      <c r="UUF27" s="338"/>
      <c r="UUG27" s="338"/>
      <c r="UUH27" s="338"/>
      <c r="UUI27" s="338"/>
      <c r="UUJ27" s="338"/>
      <c r="UUK27" s="338"/>
      <c r="UUL27" s="338"/>
      <c r="UUM27" s="338"/>
      <c r="UUN27" s="338"/>
      <c r="UUO27" s="338"/>
      <c r="UUP27" s="338"/>
      <c r="UUQ27" s="338"/>
      <c r="UUR27" s="338"/>
      <c r="UUS27" s="338"/>
      <c r="UUT27" s="338"/>
      <c r="UUU27" s="338"/>
      <c r="UUV27" s="338"/>
      <c r="UUW27" s="338"/>
      <c r="UUX27" s="338"/>
      <c r="UUY27" s="338"/>
      <c r="UUZ27" s="338"/>
      <c r="UVA27" s="338"/>
      <c r="UVB27" s="338"/>
      <c r="UVC27" s="338"/>
      <c r="UVD27" s="338"/>
      <c r="UVE27" s="338"/>
      <c r="UVF27" s="338"/>
      <c r="UVG27" s="338"/>
      <c r="UVH27" s="338"/>
      <c r="UVI27" s="338"/>
      <c r="UVJ27" s="338"/>
      <c r="UVK27" s="338"/>
      <c r="UVL27" s="338"/>
      <c r="UVM27" s="338"/>
      <c r="UVN27" s="338"/>
      <c r="UVO27" s="338"/>
      <c r="UVP27" s="338"/>
      <c r="UVQ27" s="338"/>
      <c r="UVR27" s="338"/>
      <c r="UVS27" s="338"/>
      <c r="UVT27" s="338"/>
      <c r="UVU27" s="338"/>
      <c r="UVV27" s="338"/>
      <c r="UVW27" s="338"/>
      <c r="UVX27" s="338"/>
      <c r="UVY27" s="338"/>
      <c r="UVZ27" s="338"/>
      <c r="UWA27" s="338"/>
      <c r="UWB27" s="338"/>
      <c r="UWC27" s="338"/>
      <c r="UWD27" s="338"/>
      <c r="UWE27" s="338"/>
      <c r="UWF27" s="338"/>
      <c r="UWG27" s="338"/>
      <c r="UWH27" s="338"/>
      <c r="UWI27" s="338"/>
      <c r="UWJ27" s="338"/>
      <c r="UWK27" s="338"/>
      <c r="UWL27" s="338"/>
      <c r="UWM27" s="338"/>
      <c r="UWN27" s="338"/>
      <c r="UWO27" s="338"/>
      <c r="UWP27" s="338"/>
      <c r="UWQ27" s="338"/>
      <c r="UWR27" s="338"/>
      <c r="UWS27" s="338"/>
      <c r="UWT27" s="338"/>
      <c r="UWU27" s="338"/>
      <c r="UWV27" s="338"/>
      <c r="UWW27" s="338"/>
      <c r="UWX27" s="338"/>
      <c r="UWY27" s="338"/>
      <c r="UWZ27" s="338"/>
      <c r="UXA27" s="338"/>
      <c r="UXB27" s="338"/>
      <c r="UXC27" s="338"/>
      <c r="UXD27" s="338"/>
      <c r="UXE27" s="338"/>
      <c r="UXF27" s="338"/>
      <c r="UXG27" s="338"/>
      <c r="UXH27" s="338"/>
      <c r="UXI27" s="338"/>
      <c r="UXJ27" s="338"/>
      <c r="UXK27" s="338"/>
      <c r="UXL27" s="338"/>
      <c r="UXM27" s="338"/>
      <c r="UXN27" s="338"/>
      <c r="UXO27" s="338"/>
      <c r="UXP27" s="338"/>
      <c r="UXQ27" s="338"/>
      <c r="UXR27" s="338"/>
      <c r="UXS27" s="338"/>
      <c r="UXT27" s="338"/>
      <c r="UXU27" s="338"/>
      <c r="UXV27" s="338"/>
      <c r="UXW27" s="338"/>
      <c r="UXX27" s="338"/>
      <c r="UXY27" s="338"/>
      <c r="UXZ27" s="338"/>
      <c r="UYA27" s="338"/>
      <c r="UYB27" s="338"/>
      <c r="UYC27" s="338"/>
      <c r="UYD27" s="338"/>
      <c r="UYE27" s="338"/>
      <c r="UYF27" s="338"/>
      <c r="UYG27" s="338"/>
      <c r="UYH27" s="338"/>
      <c r="UYI27" s="338"/>
      <c r="UYJ27" s="338"/>
      <c r="UYK27" s="338"/>
      <c r="UYL27" s="338"/>
      <c r="UYM27" s="338"/>
      <c r="UYN27" s="338"/>
      <c r="UYO27" s="338"/>
      <c r="UYP27" s="338"/>
      <c r="UYQ27" s="338"/>
      <c r="UYR27" s="338"/>
      <c r="UYS27" s="338"/>
      <c r="UYT27" s="338"/>
      <c r="UYU27" s="338"/>
      <c r="UYV27" s="338"/>
      <c r="UYW27" s="338"/>
      <c r="UYX27" s="338"/>
      <c r="UYY27" s="338"/>
      <c r="UYZ27" s="338"/>
      <c r="UZA27" s="338"/>
      <c r="UZB27" s="338"/>
      <c r="UZC27" s="338"/>
      <c r="UZD27" s="338"/>
      <c r="UZE27" s="338"/>
      <c r="UZF27" s="338"/>
      <c r="UZG27" s="338"/>
      <c r="UZH27" s="338"/>
      <c r="UZI27" s="338"/>
      <c r="UZJ27" s="338"/>
      <c r="UZK27" s="338"/>
      <c r="UZL27" s="338"/>
      <c r="UZM27" s="338"/>
      <c r="UZN27" s="338"/>
      <c r="UZO27" s="338"/>
      <c r="UZP27" s="338"/>
      <c r="UZQ27" s="338"/>
      <c r="UZR27" s="338"/>
      <c r="UZS27" s="338"/>
      <c r="UZT27" s="338"/>
      <c r="UZU27" s="338"/>
      <c r="UZV27" s="338"/>
      <c r="UZW27" s="338"/>
      <c r="UZX27" s="338"/>
      <c r="UZY27" s="338"/>
      <c r="UZZ27" s="338"/>
      <c r="VAA27" s="338"/>
      <c r="VAB27" s="338"/>
      <c r="VAC27" s="338"/>
      <c r="VAD27" s="338"/>
      <c r="VAE27" s="338"/>
      <c r="VAF27" s="338"/>
      <c r="VAG27" s="338"/>
      <c r="VAH27" s="338"/>
      <c r="VAI27" s="338"/>
      <c r="VAJ27" s="338"/>
      <c r="VAK27" s="338"/>
      <c r="VAL27" s="338"/>
      <c r="VAM27" s="338"/>
      <c r="VAN27" s="338"/>
      <c r="VAO27" s="338"/>
      <c r="VAP27" s="338"/>
      <c r="VAQ27" s="338"/>
      <c r="VAR27" s="338"/>
      <c r="VAS27" s="338"/>
      <c r="VAT27" s="338"/>
      <c r="VAU27" s="338"/>
      <c r="VAV27" s="338"/>
      <c r="VAW27" s="338"/>
      <c r="VAX27" s="338"/>
      <c r="VAY27" s="338"/>
      <c r="VAZ27" s="338"/>
      <c r="VBA27" s="338"/>
      <c r="VBB27" s="338"/>
      <c r="VBC27" s="338"/>
      <c r="VBD27" s="338"/>
      <c r="VBE27" s="338"/>
      <c r="VBF27" s="338"/>
      <c r="VBG27" s="338"/>
      <c r="VBH27" s="338"/>
      <c r="VBI27" s="338"/>
      <c r="VBJ27" s="338"/>
      <c r="VBK27" s="338"/>
      <c r="VBL27" s="338"/>
      <c r="VBM27" s="338"/>
      <c r="VBN27" s="338"/>
      <c r="VBO27" s="338"/>
      <c r="VBP27" s="338"/>
      <c r="VBQ27" s="338"/>
      <c r="VBR27" s="338"/>
      <c r="VBS27" s="338"/>
      <c r="VBT27" s="338"/>
      <c r="VBU27" s="338"/>
      <c r="VBV27" s="338"/>
      <c r="VBW27" s="338"/>
      <c r="VBX27" s="338"/>
      <c r="VBY27" s="338"/>
      <c r="VBZ27" s="338"/>
      <c r="VCA27" s="338"/>
      <c r="VCB27" s="338"/>
      <c r="VCC27" s="338"/>
      <c r="VCD27" s="338"/>
      <c r="VCE27" s="338"/>
      <c r="VCF27" s="338"/>
      <c r="VCG27" s="338"/>
      <c r="VCH27" s="338"/>
      <c r="VCI27" s="338"/>
      <c r="VCJ27" s="338"/>
      <c r="VCK27" s="338"/>
      <c r="VCL27" s="338"/>
      <c r="VCM27" s="338"/>
      <c r="VCN27" s="338"/>
      <c r="VCO27" s="338"/>
      <c r="VCP27" s="338"/>
      <c r="VCQ27" s="338"/>
      <c r="VCR27" s="338"/>
      <c r="VCS27" s="338"/>
      <c r="VCT27" s="338"/>
      <c r="VCU27" s="338"/>
      <c r="VCV27" s="338"/>
      <c r="VCW27" s="338"/>
      <c r="VCX27" s="338"/>
      <c r="VCY27" s="338"/>
      <c r="VCZ27" s="338"/>
      <c r="VDA27" s="338"/>
      <c r="VDB27" s="338"/>
      <c r="VDC27" s="338"/>
      <c r="VDD27" s="338"/>
      <c r="VDE27" s="338"/>
      <c r="VDF27" s="338"/>
      <c r="VDG27" s="338"/>
      <c r="VDH27" s="338"/>
      <c r="VDI27" s="338"/>
      <c r="VDJ27" s="338"/>
      <c r="VDK27" s="338"/>
      <c r="VDL27" s="338"/>
      <c r="VDM27" s="338"/>
      <c r="VDN27" s="338"/>
      <c r="VDO27" s="338"/>
      <c r="VDP27" s="338"/>
      <c r="VDQ27" s="338"/>
      <c r="VDR27" s="338"/>
      <c r="VDS27" s="338"/>
      <c r="VDT27" s="338"/>
      <c r="VDU27" s="338"/>
      <c r="VDV27" s="338"/>
      <c r="VDW27" s="338"/>
      <c r="VDX27" s="338"/>
      <c r="VDY27" s="338"/>
      <c r="VDZ27" s="338"/>
      <c r="VEA27" s="338"/>
      <c r="VEB27" s="338"/>
      <c r="VEC27" s="338"/>
      <c r="VED27" s="338"/>
      <c r="VEE27" s="338"/>
      <c r="VEF27" s="338"/>
      <c r="VEG27" s="338"/>
      <c r="VEH27" s="338"/>
      <c r="VEI27" s="338"/>
      <c r="VEJ27" s="338"/>
      <c r="VEK27" s="338"/>
      <c r="VEL27" s="338"/>
      <c r="VEM27" s="338"/>
      <c r="VEN27" s="338"/>
      <c r="VEO27" s="338"/>
      <c r="VEP27" s="338"/>
      <c r="VEQ27" s="338"/>
      <c r="VER27" s="338"/>
      <c r="VES27" s="338"/>
      <c r="VET27" s="338"/>
      <c r="VEU27" s="338"/>
      <c r="VEV27" s="338"/>
      <c r="VEW27" s="338"/>
      <c r="VEX27" s="338"/>
      <c r="VEY27" s="338"/>
      <c r="VEZ27" s="338"/>
      <c r="VFA27" s="338"/>
      <c r="VFB27" s="338"/>
      <c r="VFC27" s="338"/>
      <c r="VFD27" s="338"/>
      <c r="VFE27" s="338"/>
      <c r="VFF27" s="338"/>
      <c r="VFG27" s="338"/>
      <c r="VFH27" s="338"/>
      <c r="VFI27" s="338"/>
      <c r="VFJ27" s="338"/>
      <c r="VFK27" s="338"/>
      <c r="VFL27" s="338"/>
      <c r="VFM27" s="338"/>
      <c r="VFN27" s="338"/>
      <c r="VFO27" s="338"/>
      <c r="VFP27" s="338"/>
      <c r="VFQ27" s="338"/>
      <c r="VFR27" s="338"/>
      <c r="VFS27" s="338"/>
      <c r="VFT27" s="338"/>
      <c r="VFU27" s="338"/>
      <c r="VFV27" s="338"/>
      <c r="VFW27" s="338"/>
      <c r="VFX27" s="338"/>
      <c r="VFY27" s="338"/>
      <c r="VFZ27" s="338"/>
      <c r="VGA27" s="338"/>
      <c r="VGB27" s="338"/>
      <c r="VGC27" s="338"/>
      <c r="VGD27" s="338"/>
      <c r="VGE27" s="338"/>
      <c r="VGF27" s="338"/>
      <c r="VGG27" s="338"/>
      <c r="VGH27" s="338"/>
      <c r="VGI27" s="338"/>
      <c r="VGJ27" s="338"/>
      <c r="VGK27" s="338"/>
      <c r="VGL27" s="338"/>
      <c r="VGM27" s="338"/>
      <c r="VGN27" s="338"/>
      <c r="VGO27" s="338"/>
      <c r="VGP27" s="338"/>
      <c r="VGQ27" s="338"/>
      <c r="VGR27" s="338"/>
      <c r="VGS27" s="338"/>
      <c r="VGT27" s="338"/>
      <c r="VGU27" s="338"/>
      <c r="VGV27" s="338"/>
      <c r="VGW27" s="338"/>
      <c r="VGX27" s="338"/>
      <c r="VGY27" s="338"/>
      <c r="VGZ27" s="338"/>
      <c r="VHA27" s="338"/>
      <c r="VHB27" s="338"/>
      <c r="VHC27" s="338"/>
      <c r="VHD27" s="338"/>
      <c r="VHE27" s="338"/>
      <c r="VHF27" s="338"/>
      <c r="VHG27" s="338"/>
      <c r="VHH27" s="338"/>
      <c r="VHI27" s="338"/>
      <c r="VHJ27" s="338"/>
      <c r="VHK27" s="338"/>
      <c r="VHL27" s="338"/>
      <c r="VHM27" s="338"/>
      <c r="VHN27" s="338"/>
      <c r="VHO27" s="338"/>
      <c r="VHP27" s="338"/>
      <c r="VHQ27" s="338"/>
      <c r="VHR27" s="338"/>
      <c r="VHS27" s="338"/>
      <c r="VHT27" s="338"/>
      <c r="VHU27" s="338"/>
      <c r="VHV27" s="338"/>
      <c r="VHW27" s="338"/>
      <c r="VHX27" s="338"/>
      <c r="VHY27" s="338"/>
      <c r="VHZ27" s="338"/>
      <c r="VIA27" s="338"/>
      <c r="VIB27" s="338"/>
      <c r="VIC27" s="338"/>
      <c r="VID27" s="338"/>
      <c r="VIE27" s="338"/>
      <c r="VIF27" s="338"/>
      <c r="VIG27" s="338"/>
      <c r="VIH27" s="338"/>
      <c r="VII27" s="338"/>
      <c r="VIJ27" s="338"/>
      <c r="VIK27" s="338"/>
      <c r="VIL27" s="338"/>
      <c r="VIM27" s="338"/>
      <c r="VIN27" s="338"/>
      <c r="VIO27" s="338"/>
      <c r="VIP27" s="338"/>
      <c r="VIQ27" s="338"/>
      <c r="VIR27" s="338"/>
      <c r="VIS27" s="338"/>
      <c r="VIT27" s="338"/>
      <c r="VIU27" s="338"/>
      <c r="VIV27" s="338"/>
      <c r="VIW27" s="338"/>
      <c r="VIX27" s="338"/>
      <c r="VIY27" s="338"/>
      <c r="VIZ27" s="338"/>
      <c r="VJA27" s="338"/>
      <c r="VJB27" s="338"/>
      <c r="VJC27" s="338"/>
      <c r="VJD27" s="338"/>
      <c r="VJE27" s="338"/>
      <c r="VJF27" s="338"/>
      <c r="VJG27" s="338"/>
      <c r="VJH27" s="338"/>
      <c r="VJI27" s="338"/>
      <c r="VJJ27" s="338"/>
      <c r="VJK27" s="338"/>
      <c r="VJL27" s="338"/>
      <c r="VJM27" s="338"/>
      <c r="VJN27" s="338"/>
      <c r="VJO27" s="338"/>
      <c r="VJP27" s="338"/>
      <c r="VJQ27" s="338"/>
      <c r="VJR27" s="338"/>
      <c r="VJS27" s="338"/>
      <c r="VJT27" s="338"/>
      <c r="VJU27" s="338"/>
      <c r="VJV27" s="338"/>
      <c r="VJW27" s="338"/>
      <c r="VJX27" s="338"/>
      <c r="VJY27" s="338"/>
      <c r="VJZ27" s="338"/>
      <c r="VKA27" s="338"/>
      <c r="VKB27" s="338"/>
      <c r="VKC27" s="338"/>
      <c r="VKD27" s="338"/>
      <c r="VKE27" s="338"/>
      <c r="VKF27" s="338"/>
      <c r="VKG27" s="338"/>
      <c r="VKH27" s="338"/>
      <c r="VKI27" s="338"/>
      <c r="VKJ27" s="338"/>
      <c r="VKK27" s="338"/>
      <c r="VKL27" s="338"/>
      <c r="VKM27" s="338"/>
      <c r="VKN27" s="338"/>
      <c r="VKO27" s="338"/>
      <c r="VKP27" s="338"/>
      <c r="VKQ27" s="338"/>
      <c r="VKR27" s="338"/>
      <c r="VKS27" s="338"/>
      <c r="VKT27" s="338"/>
      <c r="VKU27" s="338"/>
      <c r="VKV27" s="338"/>
      <c r="VKW27" s="338"/>
      <c r="VKX27" s="338"/>
      <c r="VKY27" s="338"/>
      <c r="VKZ27" s="338"/>
      <c r="VLA27" s="338"/>
      <c r="VLB27" s="338"/>
      <c r="VLC27" s="338"/>
      <c r="VLD27" s="338"/>
      <c r="VLE27" s="338"/>
      <c r="VLF27" s="338"/>
      <c r="VLG27" s="338"/>
      <c r="VLH27" s="338"/>
      <c r="VLI27" s="338"/>
      <c r="VLJ27" s="338"/>
      <c r="VLK27" s="338"/>
      <c r="VLL27" s="338"/>
      <c r="VLM27" s="338"/>
      <c r="VLN27" s="338"/>
      <c r="VLO27" s="338"/>
      <c r="VLP27" s="338"/>
      <c r="VLQ27" s="338"/>
      <c r="VLR27" s="338"/>
      <c r="VLS27" s="338"/>
      <c r="VLT27" s="338"/>
      <c r="VLU27" s="338"/>
      <c r="VLV27" s="338"/>
      <c r="VLW27" s="338"/>
      <c r="VLX27" s="338"/>
      <c r="VLY27" s="338"/>
      <c r="VLZ27" s="338"/>
      <c r="VMA27" s="338"/>
      <c r="VMB27" s="338"/>
      <c r="VMC27" s="338"/>
      <c r="VMD27" s="338"/>
      <c r="VME27" s="338"/>
      <c r="VMF27" s="338"/>
      <c r="VMG27" s="338"/>
      <c r="VMH27" s="338"/>
      <c r="VMI27" s="338"/>
      <c r="VMJ27" s="338"/>
      <c r="VMK27" s="338"/>
      <c r="VML27" s="338"/>
      <c r="VMM27" s="338"/>
      <c r="VMN27" s="338"/>
      <c r="VMO27" s="338"/>
      <c r="VMP27" s="338"/>
      <c r="VMQ27" s="338"/>
      <c r="VMR27" s="338"/>
      <c r="VMS27" s="338"/>
      <c r="VMT27" s="338"/>
      <c r="VMU27" s="338"/>
      <c r="VMV27" s="338"/>
      <c r="VMW27" s="338"/>
      <c r="VMX27" s="338"/>
      <c r="VMY27" s="338"/>
      <c r="VMZ27" s="338"/>
      <c r="VNA27" s="338"/>
      <c r="VNB27" s="338"/>
      <c r="VNC27" s="338"/>
      <c r="VND27" s="338"/>
      <c r="VNE27" s="338"/>
      <c r="VNF27" s="338"/>
      <c r="VNG27" s="338"/>
      <c r="VNH27" s="338"/>
      <c r="VNI27" s="338"/>
      <c r="VNJ27" s="338"/>
      <c r="VNK27" s="338"/>
      <c r="VNL27" s="338"/>
      <c r="VNM27" s="338"/>
      <c r="VNN27" s="338"/>
      <c r="VNO27" s="338"/>
      <c r="VNP27" s="338"/>
      <c r="VNQ27" s="338"/>
      <c r="VNR27" s="338"/>
      <c r="VNS27" s="338"/>
      <c r="VNT27" s="338"/>
      <c r="VNU27" s="338"/>
      <c r="VNV27" s="338"/>
      <c r="VNW27" s="338"/>
      <c r="VNX27" s="338"/>
      <c r="VNY27" s="338"/>
      <c r="VNZ27" s="338"/>
      <c r="VOA27" s="338"/>
      <c r="VOB27" s="338"/>
      <c r="VOC27" s="338"/>
      <c r="VOD27" s="338"/>
      <c r="VOE27" s="338"/>
      <c r="VOF27" s="338"/>
      <c r="VOG27" s="338"/>
      <c r="VOH27" s="338"/>
      <c r="VOI27" s="338"/>
      <c r="VOJ27" s="338"/>
      <c r="VOK27" s="338"/>
      <c r="VOL27" s="338"/>
      <c r="VOM27" s="338"/>
      <c r="VON27" s="338"/>
      <c r="VOO27" s="338"/>
      <c r="VOP27" s="338"/>
      <c r="VOQ27" s="338"/>
      <c r="VOR27" s="338"/>
      <c r="VOS27" s="338"/>
      <c r="VOT27" s="338"/>
      <c r="VOU27" s="338"/>
      <c r="VOV27" s="338"/>
      <c r="VOW27" s="338"/>
      <c r="VOX27" s="338"/>
      <c r="VOY27" s="338"/>
      <c r="VOZ27" s="338"/>
      <c r="VPA27" s="338"/>
      <c r="VPB27" s="338"/>
      <c r="VPC27" s="338"/>
      <c r="VPD27" s="338"/>
      <c r="VPE27" s="338"/>
      <c r="VPF27" s="338"/>
      <c r="VPG27" s="338"/>
      <c r="VPH27" s="338"/>
      <c r="VPI27" s="338"/>
      <c r="VPJ27" s="338"/>
      <c r="VPK27" s="338"/>
      <c r="VPL27" s="338"/>
      <c r="VPM27" s="338"/>
      <c r="VPN27" s="338"/>
      <c r="VPO27" s="338"/>
      <c r="VPP27" s="338"/>
      <c r="VPQ27" s="338"/>
      <c r="VPR27" s="338"/>
      <c r="VPS27" s="338"/>
      <c r="VPT27" s="338"/>
      <c r="VPU27" s="338"/>
      <c r="VPV27" s="338"/>
      <c r="VPW27" s="338"/>
      <c r="VPX27" s="338"/>
      <c r="VPY27" s="338"/>
      <c r="VPZ27" s="338"/>
      <c r="VQA27" s="338"/>
      <c r="VQB27" s="338"/>
      <c r="VQC27" s="338"/>
      <c r="VQD27" s="338"/>
      <c r="VQE27" s="338"/>
      <c r="VQF27" s="338"/>
      <c r="VQG27" s="338"/>
      <c r="VQH27" s="338"/>
      <c r="VQI27" s="338"/>
      <c r="VQJ27" s="338"/>
      <c r="VQK27" s="338"/>
      <c r="VQL27" s="338"/>
      <c r="VQM27" s="338"/>
      <c r="VQN27" s="338"/>
      <c r="VQO27" s="338"/>
      <c r="VQP27" s="338"/>
      <c r="VQQ27" s="338"/>
      <c r="VQR27" s="338"/>
      <c r="VQS27" s="338"/>
      <c r="VQT27" s="338"/>
      <c r="VQU27" s="338"/>
      <c r="VQV27" s="338"/>
      <c r="VQW27" s="338"/>
      <c r="VQX27" s="338"/>
      <c r="VQY27" s="338"/>
      <c r="VQZ27" s="338"/>
      <c r="VRA27" s="338"/>
      <c r="VRB27" s="338"/>
      <c r="VRC27" s="338"/>
      <c r="VRD27" s="338"/>
      <c r="VRE27" s="338"/>
      <c r="VRF27" s="338"/>
      <c r="VRG27" s="338"/>
      <c r="VRH27" s="338"/>
      <c r="VRI27" s="338"/>
      <c r="VRJ27" s="338"/>
      <c r="VRK27" s="338"/>
      <c r="VRL27" s="338"/>
      <c r="VRM27" s="338"/>
      <c r="VRN27" s="338"/>
      <c r="VRO27" s="338"/>
      <c r="VRP27" s="338"/>
      <c r="VRQ27" s="338"/>
      <c r="VRR27" s="338"/>
      <c r="VRS27" s="338"/>
      <c r="VRT27" s="338"/>
      <c r="VRU27" s="338"/>
      <c r="VRV27" s="338"/>
      <c r="VRW27" s="338"/>
      <c r="VRX27" s="338"/>
      <c r="VRY27" s="338"/>
      <c r="VRZ27" s="338"/>
      <c r="VSA27" s="338"/>
      <c r="VSB27" s="338"/>
      <c r="VSC27" s="338"/>
      <c r="VSD27" s="338"/>
      <c r="VSE27" s="338"/>
      <c r="VSF27" s="338"/>
      <c r="VSG27" s="338"/>
      <c r="VSH27" s="338"/>
      <c r="VSI27" s="338"/>
      <c r="VSJ27" s="338"/>
      <c r="VSK27" s="338"/>
      <c r="VSL27" s="338"/>
      <c r="VSM27" s="338"/>
      <c r="VSN27" s="338"/>
      <c r="VSO27" s="338"/>
      <c r="VSP27" s="338"/>
      <c r="VSQ27" s="338"/>
      <c r="VSR27" s="338"/>
      <c r="VSS27" s="338"/>
      <c r="VST27" s="338"/>
      <c r="VSU27" s="338"/>
      <c r="VSV27" s="338"/>
      <c r="VSW27" s="338"/>
      <c r="VSX27" s="338"/>
      <c r="VSY27" s="338"/>
      <c r="VSZ27" s="338"/>
      <c r="VTA27" s="338"/>
      <c r="VTB27" s="338"/>
      <c r="VTC27" s="338"/>
      <c r="VTD27" s="338"/>
      <c r="VTE27" s="338"/>
      <c r="VTF27" s="338"/>
      <c r="VTG27" s="338"/>
      <c r="VTH27" s="338"/>
      <c r="VTI27" s="338"/>
      <c r="VTJ27" s="338"/>
      <c r="VTK27" s="338"/>
      <c r="VTL27" s="338"/>
      <c r="VTM27" s="338"/>
      <c r="VTN27" s="338"/>
      <c r="VTO27" s="338"/>
      <c r="VTP27" s="338"/>
      <c r="VTQ27" s="338"/>
      <c r="VTR27" s="338"/>
      <c r="VTS27" s="338"/>
      <c r="VTT27" s="338"/>
      <c r="VTU27" s="338"/>
      <c r="VTV27" s="338"/>
      <c r="VTW27" s="338"/>
      <c r="VTX27" s="338"/>
      <c r="VTY27" s="338"/>
      <c r="VTZ27" s="338"/>
      <c r="VUA27" s="338"/>
      <c r="VUB27" s="338"/>
      <c r="VUC27" s="338"/>
      <c r="VUD27" s="338"/>
      <c r="VUE27" s="338"/>
      <c r="VUF27" s="338"/>
      <c r="VUG27" s="338"/>
      <c r="VUH27" s="338"/>
      <c r="VUI27" s="338"/>
      <c r="VUJ27" s="338"/>
      <c r="VUK27" s="338"/>
      <c r="VUL27" s="338"/>
      <c r="VUM27" s="338"/>
      <c r="VUN27" s="338"/>
      <c r="VUO27" s="338"/>
      <c r="VUP27" s="338"/>
      <c r="VUQ27" s="338"/>
      <c r="VUR27" s="338"/>
      <c r="VUS27" s="338"/>
      <c r="VUT27" s="338"/>
      <c r="VUU27" s="338"/>
      <c r="VUV27" s="338"/>
      <c r="VUW27" s="338"/>
      <c r="VUX27" s="338"/>
      <c r="VUY27" s="338"/>
      <c r="VUZ27" s="338"/>
      <c r="VVA27" s="338"/>
      <c r="VVB27" s="338"/>
      <c r="VVC27" s="338"/>
      <c r="VVD27" s="338"/>
      <c r="VVE27" s="338"/>
      <c r="VVF27" s="338"/>
      <c r="VVG27" s="338"/>
      <c r="VVH27" s="338"/>
      <c r="VVI27" s="338"/>
      <c r="VVJ27" s="338"/>
      <c r="VVK27" s="338"/>
      <c r="VVL27" s="338"/>
      <c r="VVM27" s="338"/>
      <c r="VVN27" s="338"/>
      <c r="VVO27" s="338"/>
      <c r="VVP27" s="338"/>
      <c r="VVQ27" s="338"/>
      <c r="VVR27" s="338"/>
      <c r="VVS27" s="338"/>
      <c r="VVT27" s="338"/>
      <c r="VVU27" s="338"/>
      <c r="VVV27" s="338"/>
      <c r="VVW27" s="338"/>
      <c r="VVX27" s="338"/>
      <c r="VVY27" s="338"/>
      <c r="VVZ27" s="338"/>
      <c r="VWA27" s="338"/>
      <c r="VWB27" s="338"/>
      <c r="VWC27" s="338"/>
      <c r="VWD27" s="338"/>
      <c r="VWE27" s="338"/>
      <c r="VWF27" s="338"/>
      <c r="VWG27" s="338"/>
      <c r="VWH27" s="338"/>
      <c r="VWI27" s="338"/>
      <c r="VWJ27" s="338"/>
      <c r="VWK27" s="338"/>
      <c r="VWL27" s="338"/>
      <c r="VWM27" s="338"/>
      <c r="VWN27" s="338"/>
      <c r="VWO27" s="338"/>
      <c r="VWP27" s="338"/>
      <c r="VWQ27" s="338"/>
      <c r="VWR27" s="338"/>
      <c r="VWS27" s="338"/>
      <c r="VWT27" s="338"/>
      <c r="VWU27" s="338"/>
      <c r="VWV27" s="338"/>
      <c r="VWW27" s="338"/>
      <c r="VWX27" s="338"/>
      <c r="VWY27" s="338"/>
      <c r="VWZ27" s="338"/>
      <c r="VXA27" s="338"/>
      <c r="VXB27" s="338"/>
      <c r="VXC27" s="338"/>
      <c r="VXD27" s="338"/>
      <c r="VXE27" s="338"/>
      <c r="VXF27" s="338"/>
      <c r="VXG27" s="338"/>
      <c r="VXH27" s="338"/>
      <c r="VXI27" s="338"/>
      <c r="VXJ27" s="338"/>
      <c r="VXK27" s="338"/>
      <c r="VXL27" s="338"/>
      <c r="VXM27" s="338"/>
      <c r="VXN27" s="338"/>
      <c r="VXO27" s="338"/>
      <c r="VXP27" s="338"/>
      <c r="VXQ27" s="338"/>
      <c r="VXR27" s="338"/>
      <c r="VXS27" s="338"/>
      <c r="VXT27" s="338"/>
      <c r="VXU27" s="338"/>
      <c r="VXV27" s="338"/>
      <c r="VXW27" s="338"/>
      <c r="VXX27" s="338"/>
      <c r="VXY27" s="338"/>
      <c r="VXZ27" s="338"/>
      <c r="VYA27" s="338"/>
      <c r="VYB27" s="338"/>
      <c r="VYC27" s="338"/>
      <c r="VYD27" s="338"/>
      <c r="VYE27" s="338"/>
      <c r="VYF27" s="338"/>
      <c r="VYG27" s="338"/>
      <c r="VYH27" s="338"/>
      <c r="VYI27" s="338"/>
      <c r="VYJ27" s="338"/>
      <c r="VYK27" s="338"/>
      <c r="VYL27" s="338"/>
      <c r="VYM27" s="338"/>
      <c r="VYN27" s="338"/>
      <c r="VYO27" s="338"/>
      <c r="VYP27" s="338"/>
      <c r="VYQ27" s="338"/>
      <c r="VYR27" s="338"/>
      <c r="VYS27" s="338"/>
      <c r="VYT27" s="338"/>
      <c r="VYU27" s="338"/>
      <c r="VYV27" s="338"/>
      <c r="VYW27" s="338"/>
      <c r="VYX27" s="338"/>
      <c r="VYY27" s="338"/>
      <c r="VYZ27" s="338"/>
      <c r="VZA27" s="338"/>
      <c r="VZB27" s="338"/>
      <c r="VZC27" s="338"/>
      <c r="VZD27" s="338"/>
      <c r="VZE27" s="338"/>
      <c r="VZF27" s="338"/>
      <c r="VZG27" s="338"/>
      <c r="VZH27" s="338"/>
      <c r="VZI27" s="338"/>
      <c r="VZJ27" s="338"/>
      <c r="VZK27" s="338"/>
      <c r="VZL27" s="338"/>
      <c r="VZM27" s="338"/>
      <c r="VZN27" s="338"/>
      <c r="VZO27" s="338"/>
      <c r="VZP27" s="338"/>
      <c r="VZQ27" s="338"/>
      <c r="VZR27" s="338"/>
      <c r="VZS27" s="338"/>
      <c r="VZT27" s="338"/>
      <c r="VZU27" s="338"/>
      <c r="VZV27" s="338"/>
      <c r="VZW27" s="338"/>
      <c r="VZX27" s="338"/>
      <c r="VZY27" s="338"/>
      <c r="VZZ27" s="338"/>
      <c r="WAA27" s="338"/>
      <c r="WAB27" s="338"/>
      <c r="WAC27" s="338"/>
      <c r="WAD27" s="338"/>
      <c r="WAE27" s="338"/>
      <c r="WAF27" s="338"/>
      <c r="WAG27" s="338"/>
      <c r="WAH27" s="338"/>
      <c r="WAI27" s="338"/>
      <c r="WAJ27" s="338"/>
      <c r="WAK27" s="338"/>
      <c r="WAL27" s="338"/>
      <c r="WAM27" s="338"/>
      <c r="WAN27" s="338"/>
      <c r="WAO27" s="338"/>
      <c r="WAP27" s="338"/>
      <c r="WAQ27" s="338"/>
      <c r="WAR27" s="338"/>
      <c r="WAS27" s="338"/>
      <c r="WAT27" s="338"/>
      <c r="WAU27" s="338"/>
      <c r="WAV27" s="338"/>
      <c r="WAW27" s="338"/>
      <c r="WAX27" s="338"/>
      <c r="WAY27" s="338"/>
      <c r="WAZ27" s="338"/>
      <c r="WBA27" s="338"/>
      <c r="WBB27" s="338"/>
      <c r="WBC27" s="338"/>
      <c r="WBD27" s="338"/>
      <c r="WBE27" s="338"/>
      <c r="WBF27" s="338"/>
      <c r="WBG27" s="338"/>
      <c r="WBH27" s="338"/>
      <c r="WBI27" s="338"/>
      <c r="WBJ27" s="338"/>
      <c r="WBK27" s="338"/>
      <c r="WBL27" s="338"/>
      <c r="WBM27" s="338"/>
      <c r="WBN27" s="338"/>
      <c r="WBO27" s="338"/>
      <c r="WBP27" s="338"/>
      <c r="WBQ27" s="338"/>
      <c r="WBR27" s="338"/>
      <c r="WBS27" s="338"/>
      <c r="WBT27" s="338"/>
      <c r="WBU27" s="338"/>
      <c r="WBV27" s="338"/>
      <c r="WBW27" s="338"/>
      <c r="WBX27" s="338"/>
      <c r="WBY27" s="338"/>
      <c r="WBZ27" s="338"/>
      <c r="WCA27" s="338"/>
      <c r="WCB27" s="338"/>
      <c r="WCC27" s="338"/>
      <c r="WCD27" s="338"/>
      <c r="WCE27" s="338"/>
      <c r="WCF27" s="338"/>
      <c r="WCG27" s="338"/>
      <c r="WCH27" s="338"/>
      <c r="WCI27" s="338"/>
      <c r="WCJ27" s="338"/>
      <c r="WCK27" s="338"/>
      <c r="WCL27" s="338"/>
      <c r="WCM27" s="338"/>
      <c r="WCN27" s="338"/>
      <c r="WCO27" s="338"/>
      <c r="WCP27" s="338"/>
      <c r="WCQ27" s="338"/>
      <c r="WCR27" s="338"/>
      <c r="WCS27" s="338"/>
      <c r="WCT27" s="338"/>
      <c r="WCU27" s="338"/>
      <c r="WCV27" s="338"/>
      <c r="WCW27" s="338"/>
      <c r="WCX27" s="338"/>
      <c r="WCY27" s="338"/>
      <c r="WCZ27" s="338"/>
      <c r="WDA27" s="338"/>
      <c r="WDB27" s="338"/>
      <c r="WDC27" s="338"/>
      <c r="WDD27" s="338"/>
      <c r="WDE27" s="338"/>
      <c r="WDF27" s="338"/>
      <c r="WDG27" s="338"/>
      <c r="WDH27" s="338"/>
      <c r="WDI27" s="338"/>
      <c r="WDJ27" s="338"/>
      <c r="WDK27" s="338"/>
      <c r="WDL27" s="338"/>
      <c r="WDM27" s="338"/>
      <c r="WDN27" s="338"/>
      <c r="WDO27" s="338"/>
      <c r="WDP27" s="338"/>
      <c r="WDQ27" s="338"/>
      <c r="WDR27" s="338"/>
      <c r="WDS27" s="338"/>
      <c r="WDT27" s="338"/>
      <c r="WDU27" s="338"/>
      <c r="WDV27" s="338"/>
      <c r="WDW27" s="338"/>
      <c r="WDX27" s="338"/>
      <c r="WDY27" s="338"/>
      <c r="WDZ27" s="338"/>
      <c r="WEA27" s="338"/>
      <c r="WEB27" s="338"/>
      <c r="WEC27" s="338"/>
      <c r="WED27" s="338"/>
      <c r="WEE27" s="338"/>
      <c r="WEF27" s="338"/>
      <c r="WEG27" s="338"/>
      <c r="WEH27" s="338"/>
      <c r="WEI27" s="338"/>
      <c r="WEJ27" s="338"/>
      <c r="WEK27" s="338"/>
      <c r="WEL27" s="338"/>
      <c r="WEM27" s="338"/>
      <c r="WEN27" s="338"/>
      <c r="WEO27" s="338"/>
      <c r="WEP27" s="338"/>
      <c r="WEQ27" s="338"/>
      <c r="WER27" s="338"/>
      <c r="WES27" s="338"/>
      <c r="WET27" s="338"/>
      <c r="WEU27" s="338"/>
      <c r="WEV27" s="338"/>
      <c r="WEW27" s="338"/>
      <c r="WEX27" s="338"/>
      <c r="WEY27" s="338"/>
      <c r="WEZ27" s="338"/>
      <c r="WFA27" s="338"/>
      <c r="WFB27" s="338"/>
      <c r="WFC27" s="338"/>
      <c r="WFD27" s="338"/>
      <c r="WFE27" s="338"/>
      <c r="WFF27" s="338"/>
      <c r="WFG27" s="338"/>
      <c r="WFH27" s="338"/>
      <c r="WFI27" s="338"/>
      <c r="WFJ27" s="338"/>
      <c r="WFK27" s="338"/>
      <c r="WFL27" s="338"/>
      <c r="WFM27" s="338"/>
      <c r="WFN27" s="338"/>
      <c r="WFO27" s="338"/>
      <c r="WFP27" s="338"/>
      <c r="WFQ27" s="338"/>
      <c r="WFR27" s="338"/>
      <c r="WFS27" s="338"/>
      <c r="WFT27" s="338"/>
      <c r="WFU27" s="338"/>
      <c r="WFV27" s="338"/>
      <c r="WFW27" s="338"/>
      <c r="WFX27" s="338"/>
      <c r="WFY27" s="338"/>
      <c r="WFZ27" s="338"/>
      <c r="WGA27" s="338"/>
      <c r="WGB27" s="338"/>
      <c r="WGC27" s="338"/>
      <c r="WGD27" s="338"/>
      <c r="WGE27" s="338"/>
      <c r="WGF27" s="338"/>
      <c r="WGG27" s="338"/>
      <c r="WGH27" s="338"/>
      <c r="WGI27" s="338"/>
      <c r="WGJ27" s="338"/>
      <c r="WGK27" s="338"/>
      <c r="WGL27" s="338"/>
      <c r="WGM27" s="338"/>
      <c r="WGN27" s="338"/>
      <c r="WGO27" s="338"/>
      <c r="WGP27" s="338"/>
      <c r="WGQ27" s="338"/>
      <c r="WGR27" s="338"/>
      <c r="WGS27" s="338"/>
      <c r="WGT27" s="338"/>
      <c r="WGU27" s="338"/>
      <c r="WGV27" s="338"/>
      <c r="WGW27" s="338"/>
      <c r="WGX27" s="338"/>
      <c r="WGY27" s="338"/>
      <c r="WGZ27" s="338"/>
      <c r="WHA27" s="338"/>
      <c r="WHB27" s="338"/>
      <c r="WHC27" s="338"/>
      <c r="WHD27" s="338"/>
      <c r="WHE27" s="338"/>
      <c r="WHF27" s="338"/>
      <c r="WHG27" s="338"/>
      <c r="WHH27" s="338"/>
      <c r="WHI27" s="338"/>
      <c r="WHJ27" s="338"/>
      <c r="WHK27" s="338"/>
      <c r="WHL27" s="338"/>
      <c r="WHM27" s="338"/>
      <c r="WHN27" s="338"/>
      <c r="WHO27" s="338"/>
      <c r="WHP27" s="338"/>
      <c r="WHQ27" s="338"/>
      <c r="WHR27" s="338"/>
      <c r="WHS27" s="338"/>
      <c r="WHT27" s="338"/>
      <c r="WHU27" s="338"/>
      <c r="WHV27" s="338"/>
      <c r="WHW27" s="338"/>
      <c r="WHX27" s="338"/>
      <c r="WHY27" s="338"/>
      <c r="WHZ27" s="338"/>
      <c r="WIA27" s="338"/>
      <c r="WIB27" s="338"/>
      <c r="WIC27" s="338"/>
      <c r="WID27" s="338"/>
      <c r="WIE27" s="338"/>
      <c r="WIF27" s="338"/>
      <c r="WIG27" s="338"/>
      <c r="WIH27" s="338"/>
      <c r="WII27" s="338"/>
      <c r="WIJ27" s="338"/>
      <c r="WIK27" s="338"/>
      <c r="WIL27" s="338"/>
      <c r="WIM27" s="338"/>
      <c r="WIN27" s="338"/>
      <c r="WIO27" s="338"/>
      <c r="WIP27" s="338"/>
      <c r="WIQ27" s="338"/>
      <c r="WIR27" s="338"/>
      <c r="WIS27" s="338"/>
      <c r="WIT27" s="338"/>
      <c r="WIU27" s="338"/>
      <c r="WIV27" s="338"/>
      <c r="WIW27" s="338"/>
      <c r="WIX27" s="338"/>
      <c r="WIY27" s="338"/>
      <c r="WIZ27" s="338"/>
      <c r="WJA27" s="338"/>
      <c r="WJB27" s="338"/>
      <c r="WJC27" s="338"/>
      <c r="WJD27" s="338"/>
      <c r="WJE27" s="338"/>
      <c r="WJF27" s="338"/>
      <c r="WJG27" s="338"/>
      <c r="WJH27" s="338"/>
      <c r="WJI27" s="338"/>
      <c r="WJJ27" s="338"/>
      <c r="WJK27" s="338"/>
      <c r="WJL27" s="338"/>
      <c r="WJM27" s="338"/>
      <c r="WJN27" s="338"/>
      <c r="WJO27" s="338"/>
      <c r="WJP27" s="338"/>
      <c r="WJQ27" s="338"/>
      <c r="WJR27" s="338"/>
      <c r="WJS27" s="338"/>
      <c r="WJT27" s="338"/>
      <c r="WJU27" s="338"/>
      <c r="WJV27" s="338"/>
      <c r="WJW27" s="338"/>
      <c r="WJX27" s="338"/>
      <c r="WJY27" s="338"/>
      <c r="WJZ27" s="338"/>
      <c r="WKA27" s="338"/>
      <c r="WKB27" s="338"/>
      <c r="WKC27" s="338"/>
      <c r="WKD27" s="338"/>
      <c r="WKE27" s="338"/>
      <c r="WKF27" s="338"/>
      <c r="WKG27" s="338"/>
      <c r="WKH27" s="338"/>
      <c r="WKI27" s="338"/>
      <c r="WKJ27" s="338"/>
      <c r="WKK27" s="338"/>
      <c r="WKL27" s="338"/>
      <c r="WKM27" s="338"/>
      <c r="WKN27" s="338"/>
      <c r="WKO27" s="338"/>
      <c r="WKP27" s="338"/>
      <c r="WKQ27" s="338"/>
      <c r="WKR27" s="338"/>
      <c r="WKS27" s="338"/>
      <c r="WKT27" s="338"/>
      <c r="WKU27" s="338"/>
      <c r="WKV27" s="338"/>
      <c r="WKW27" s="338"/>
      <c r="WKX27" s="338"/>
      <c r="WKY27" s="338"/>
      <c r="WKZ27" s="338"/>
      <c r="WLA27" s="338"/>
      <c r="WLB27" s="338"/>
      <c r="WLC27" s="338"/>
      <c r="WLD27" s="338"/>
      <c r="WLE27" s="338"/>
      <c r="WLF27" s="338"/>
      <c r="WLG27" s="338"/>
      <c r="WLH27" s="338"/>
      <c r="WLI27" s="338"/>
      <c r="WLJ27" s="338"/>
      <c r="WLK27" s="338"/>
      <c r="WLL27" s="338"/>
      <c r="WLM27" s="338"/>
      <c r="WLN27" s="338"/>
      <c r="WLO27" s="338"/>
      <c r="WLP27" s="338"/>
      <c r="WLQ27" s="338"/>
      <c r="WLR27" s="338"/>
      <c r="WLS27" s="338"/>
      <c r="WLT27" s="338"/>
      <c r="WLU27" s="338"/>
      <c r="WLV27" s="338"/>
      <c r="WLW27" s="338"/>
      <c r="WLX27" s="338"/>
      <c r="WLY27" s="338"/>
      <c r="WLZ27" s="338"/>
      <c r="WMA27" s="338"/>
      <c r="WMB27" s="338"/>
      <c r="WMC27" s="338"/>
      <c r="WMD27" s="338"/>
      <c r="WME27" s="338"/>
      <c r="WMF27" s="338"/>
      <c r="WMG27" s="338"/>
      <c r="WMH27" s="338"/>
      <c r="WMI27" s="338"/>
      <c r="WMJ27" s="338"/>
      <c r="WMK27" s="338"/>
      <c r="WML27" s="338"/>
      <c r="WMM27" s="338"/>
      <c r="WMN27" s="338"/>
      <c r="WMO27" s="338"/>
      <c r="WMP27" s="338"/>
      <c r="WMQ27" s="338"/>
      <c r="WMR27" s="338"/>
      <c r="WMS27" s="338"/>
      <c r="WMT27" s="338"/>
      <c r="WMU27" s="338"/>
      <c r="WMV27" s="338"/>
      <c r="WMW27" s="338"/>
      <c r="WMX27" s="338"/>
      <c r="WMY27" s="338"/>
      <c r="WMZ27" s="338"/>
      <c r="WNA27" s="338"/>
      <c r="WNB27" s="338"/>
      <c r="WNC27" s="338"/>
      <c r="WND27" s="338"/>
      <c r="WNE27" s="338"/>
      <c r="WNF27" s="338"/>
      <c r="WNG27" s="338"/>
      <c r="WNH27" s="338"/>
      <c r="WNI27" s="338"/>
      <c r="WNJ27" s="338"/>
      <c r="WNK27" s="338"/>
      <c r="WNL27" s="338"/>
      <c r="WNM27" s="338"/>
      <c r="WNN27" s="338"/>
      <c r="WNO27" s="338"/>
      <c r="WNP27" s="338"/>
      <c r="WNQ27" s="338"/>
      <c r="WNR27" s="338"/>
      <c r="WNS27" s="338"/>
      <c r="WNT27" s="338"/>
      <c r="WNU27" s="338"/>
      <c r="WNV27" s="338"/>
      <c r="WNW27" s="338"/>
      <c r="WNX27" s="338"/>
      <c r="WNY27" s="338"/>
      <c r="WNZ27" s="338"/>
      <c r="WOA27" s="338"/>
      <c r="WOB27" s="338"/>
      <c r="WOC27" s="338"/>
      <c r="WOD27" s="338"/>
      <c r="WOE27" s="338"/>
      <c r="WOF27" s="338"/>
      <c r="WOG27" s="338"/>
      <c r="WOH27" s="338"/>
      <c r="WOI27" s="338"/>
      <c r="WOJ27" s="338"/>
      <c r="WOK27" s="338"/>
      <c r="WOL27" s="338"/>
      <c r="WOM27" s="338"/>
      <c r="WON27" s="338"/>
      <c r="WOO27" s="338"/>
      <c r="WOP27" s="338"/>
      <c r="WOQ27" s="338"/>
      <c r="WOR27" s="338"/>
      <c r="WOS27" s="338"/>
      <c r="WOT27" s="338"/>
      <c r="WOU27" s="338"/>
      <c r="WOV27" s="338"/>
      <c r="WOW27" s="338"/>
      <c r="WOX27" s="338"/>
      <c r="WOY27" s="338"/>
      <c r="WOZ27" s="338"/>
      <c r="WPA27" s="338"/>
      <c r="WPB27" s="338"/>
      <c r="WPC27" s="338"/>
      <c r="WPD27" s="338"/>
      <c r="WPE27" s="338"/>
      <c r="WPF27" s="338"/>
      <c r="WPG27" s="338"/>
      <c r="WPH27" s="338"/>
      <c r="WPI27" s="338"/>
      <c r="WPJ27" s="338"/>
      <c r="WPK27" s="338"/>
      <c r="WPL27" s="338"/>
      <c r="WPM27" s="338"/>
      <c r="WPN27" s="338"/>
      <c r="WPO27" s="338"/>
      <c r="WPP27" s="338"/>
      <c r="WPQ27" s="338"/>
      <c r="WPR27" s="338"/>
      <c r="WPS27" s="338"/>
      <c r="WPT27" s="338"/>
      <c r="WPU27" s="338"/>
      <c r="WPV27" s="338"/>
      <c r="WPW27" s="338"/>
      <c r="WPX27" s="338"/>
      <c r="WPY27" s="338"/>
      <c r="WPZ27" s="338"/>
      <c r="WQA27" s="338"/>
      <c r="WQB27" s="338"/>
      <c r="WQC27" s="338"/>
      <c r="WQD27" s="338"/>
      <c r="WQE27" s="338"/>
      <c r="WQF27" s="338"/>
      <c r="WQG27" s="338"/>
      <c r="WQH27" s="338"/>
      <c r="WQI27" s="338"/>
      <c r="WQJ27" s="338"/>
      <c r="WQK27" s="338"/>
      <c r="WQL27" s="338"/>
      <c r="WQM27" s="338"/>
      <c r="WQN27" s="338"/>
      <c r="WQO27" s="338"/>
      <c r="WQP27" s="338"/>
      <c r="WQQ27" s="338"/>
      <c r="WQR27" s="338"/>
      <c r="WQS27" s="338"/>
      <c r="WQT27" s="338"/>
      <c r="WQU27" s="338"/>
      <c r="WQV27" s="338"/>
      <c r="WQW27" s="338"/>
      <c r="WQX27" s="338"/>
      <c r="WQY27" s="338"/>
      <c r="WQZ27" s="338"/>
      <c r="WRA27" s="338"/>
      <c r="WRB27" s="338"/>
      <c r="WRC27" s="338"/>
      <c r="WRD27" s="338"/>
      <c r="WRE27" s="338"/>
      <c r="WRF27" s="338"/>
      <c r="WRG27" s="338"/>
      <c r="WRH27" s="338"/>
      <c r="WRI27" s="338"/>
      <c r="WRJ27" s="338"/>
      <c r="WRK27" s="338"/>
      <c r="WRL27" s="338"/>
      <c r="WRM27" s="338"/>
      <c r="WRN27" s="338"/>
      <c r="WRO27" s="338"/>
      <c r="WRP27" s="338"/>
      <c r="WRQ27" s="338"/>
      <c r="WRR27" s="338"/>
      <c r="WRS27" s="338"/>
      <c r="WRT27" s="338"/>
      <c r="WRU27" s="338"/>
      <c r="WRV27" s="338"/>
      <c r="WRW27" s="338"/>
      <c r="WRX27" s="338"/>
      <c r="WRY27" s="338"/>
      <c r="WRZ27" s="338"/>
      <c r="WSA27" s="338"/>
      <c r="WSB27" s="338"/>
      <c r="WSC27" s="338"/>
      <c r="WSD27" s="338"/>
      <c r="WSE27" s="338"/>
      <c r="WSF27" s="338"/>
      <c r="WSG27" s="338"/>
      <c r="WSH27" s="338"/>
      <c r="WSI27" s="338"/>
      <c r="WSJ27" s="338"/>
      <c r="WSK27" s="338"/>
      <c r="WSL27" s="338"/>
      <c r="WSM27" s="338"/>
      <c r="WSN27" s="338"/>
      <c r="WSO27" s="338"/>
      <c r="WSP27" s="338"/>
      <c r="WSQ27" s="338"/>
      <c r="WSR27" s="338"/>
      <c r="WSS27" s="338"/>
      <c r="WST27" s="338"/>
      <c r="WSU27" s="338"/>
      <c r="WSV27" s="338"/>
      <c r="WSW27" s="338"/>
      <c r="WSX27" s="338"/>
      <c r="WSY27" s="338"/>
      <c r="WSZ27" s="338"/>
      <c r="WTA27" s="338"/>
      <c r="WTB27" s="338"/>
      <c r="WTC27" s="338"/>
      <c r="WTD27" s="338"/>
      <c r="WTE27" s="338"/>
      <c r="WTF27" s="338"/>
      <c r="WTG27" s="338"/>
      <c r="WTH27" s="338"/>
      <c r="WTI27" s="338"/>
      <c r="WTJ27" s="338"/>
      <c r="WTK27" s="338"/>
      <c r="WTL27" s="338"/>
      <c r="WTM27" s="338"/>
      <c r="WTN27" s="338"/>
      <c r="WTO27" s="338"/>
      <c r="WTP27" s="338"/>
      <c r="WTQ27" s="338"/>
      <c r="WTR27" s="338"/>
      <c r="WTS27" s="338"/>
      <c r="WTT27" s="338"/>
      <c r="WTU27" s="338"/>
      <c r="WTV27" s="338"/>
      <c r="WTW27" s="338"/>
      <c r="WTX27" s="338"/>
      <c r="WTY27" s="338"/>
      <c r="WTZ27" s="338"/>
      <c r="WUA27" s="338"/>
      <c r="WUB27" s="338"/>
      <c r="WUC27" s="338"/>
      <c r="WUD27" s="338"/>
      <c r="WUE27" s="338"/>
      <c r="WUF27" s="338"/>
      <c r="WUG27" s="338"/>
      <c r="WUH27" s="338"/>
      <c r="WUI27" s="338"/>
      <c r="WUJ27" s="338"/>
      <c r="WUK27" s="338"/>
      <c r="WUL27" s="338"/>
      <c r="WUM27" s="338"/>
      <c r="WUN27" s="338"/>
      <c r="WUO27" s="338"/>
      <c r="WUP27" s="338"/>
      <c r="WUQ27" s="338"/>
      <c r="WUR27" s="338"/>
      <c r="WUS27" s="338"/>
      <c r="WUT27" s="338"/>
      <c r="WUU27" s="338"/>
      <c r="WUV27" s="338"/>
      <c r="WUW27" s="338"/>
      <c r="WUX27" s="338"/>
      <c r="WUY27" s="338"/>
      <c r="WUZ27" s="338"/>
      <c r="WVA27" s="338"/>
      <c r="WVB27" s="338"/>
      <c r="WVC27" s="338"/>
      <c r="WVD27" s="338"/>
      <c r="WVE27" s="338"/>
      <c r="WVF27" s="338"/>
      <c r="WVG27" s="338"/>
      <c r="WVH27" s="338"/>
      <c r="WVI27" s="338"/>
      <c r="WVJ27" s="338"/>
      <c r="WVK27" s="338"/>
      <c r="WVL27" s="338"/>
      <c r="WVM27" s="338"/>
      <c r="WVN27" s="338"/>
      <c r="WVO27" s="338"/>
      <c r="WVP27" s="338"/>
      <c r="WVQ27" s="338"/>
      <c r="WVR27" s="338"/>
      <c r="WVS27" s="338"/>
      <c r="WVT27" s="338"/>
      <c r="WVU27" s="338"/>
      <c r="WVV27" s="338"/>
      <c r="WVW27" s="338"/>
      <c r="WVX27" s="338"/>
      <c r="WVY27" s="338"/>
      <c r="WVZ27" s="338"/>
      <c r="WWA27" s="338"/>
      <c r="WWB27" s="338"/>
      <c r="WWC27" s="338"/>
      <c r="WWD27" s="338"/>
      <c r="WWE27" s="338"/>
      <c r="WWF27" s="338"/>
      <c r="WWG27" s="338"/>
      <c r="WWH27" s="338"/>
      <c r="WWI27" s="338"/>
      <c r="WWJ27" s="338"/>
      <c r="WWK27" s="338"/>
      <c r="WWL27" s="338"/>
      <c r="WWM27" s="338"/>
      <c r="WWN27" s="338"/>
      <c r="WWO27" s="338"/>
      <c r="WWP27" s="338"/>
      <c r="WWQ27" s="338"/>
      <c r="WWR27" s="338"/>
      <c r="WWS27" s="338"/>
      <c r="WWT27" s="338"/>
      <c r="WWU27" s="338"/>
      <c r="WWV27" s="338"/>
      <c r="WWW27" s="338"/>
      <c r="WWX27" s="338"/>
      <c r="WWY27" s="338"/>
      <c r="WWZ27" s="338"/>
      <c r="WXA27" s="338"/>
      <c r="WXB27" s="338"/>
      <c r="WXC27" s="338"/>
      <c r="WXD27" s="338"/>
      <c r="WXE27" s="338"/>
      <c r="WXF27" s="338"/>
      <c r="WXG27" s="338"/>
      <c r="WXH27" s="338"/>
      <c r="WXI27" s="338"/>
      <c r="WXJ27" s="338"/>
      <c r="WXK27" s="338"/>
      <c r="WXL27" s="338"/>
      <c r="WXM27" s="338"/>
      <c r="WXN27" s="338"/>
      <c r="WXO27" s="338"/>
      <c r="WXP27" s="338"/>
      <c r="WXQ27" s="338"/>
      <c r="WXR27" s="338"/>
      <c r="WXS27" s="338"/>
      <c r="WXT27" s="338"/>
      <c r="WXU27" s="338"/>
      <c r="WXV27" s="338"/>
      <c r="WXW27" s="338"/>
      <c r="WXX27" s="338"/>
      <c r="WXY27" s="338"/>
      <c r="WXZ27" s="338"/>
      <c r="WYA27" s="338"/>
      <c r="WYB27" s="338"/>
      <c r="WYC27" s="338"/>
      <c r="WYD27" s="338"/>
      <c r="WYE27" s="338"/>
      <c r="WYF27" s="338"/>
      <c r="WYG27" s="338"/>
      <c r="WYH27" s="338"/>
      <c r="WYI27" s="338"/>
      <c r="WYJ27" s="338"/>
      <c r="WYK27" s="338"/>
      <c r="WYL27" s="338"/>
      <c r="WYM27" s="338"/>
      <c r="WYN27" s="338"/>
      <c r="WYO27" s="338"/>
      <c r="WYP27" s="338"/>
      <c r="WYQ27" s="338"/>
      <c r="WYR27" s="338"/>
      <c r="WYS27" s="338"/>
      <c r="WYT27" s="338"/>
      <c r="WYU27" s="338"/>
      <c r="WYV27" s="338"/>
      <c r="WYW27" s="338"/>
      <c r="WYX27" s="338"/>
      <c r="WYY27" s="338"/>
      <c r="WYZ27" s="338"/>
      <c r="WZA27" s="338"/>
      <c r="WZB27" s="338"/>
      <c r="WZC27" s="338"/>
      <c r="WZD27" s="338"/>
      <c r="WZE27" s="338"/>
      <c r="WZF27" s="338"/>
      <c r="WZG27" s="338"/>
      <c r="WZH27" s="338"/>
      <c r="WZI27" s="338"/>
      <c r="WZJ27" s="338"/>
      <c r="WZK27" s="338"/>
      <c r="WZL27" s="338"/>
      <c r="WZM27" s="338"/>
      <c r="WZN27" s="338"/>
      <c r="WZO27" s="338"/>
      <c r="WZP27" s="338"/>
      <c r="WZQ27" s="338"/>
      <c r="WZR27" s="338"/>
      <c r="WZS27" s="338"/>
      <c r="WZT27" s="338"/>
      <c r="WZU27" s="338"/>
      <c r="WZV27" s="338"/>
      <c r="WZW27" s="338"/>
      <c r="WZX27" s="338"/>
      <c r="WZY27" s="338"/>
      <c r="WZZ27" s="338"/>
      <c r="XAA27" s="338"/>
      <c r="XAB27" s="338"/>
      <c r="XAC27" s="338"/>
      <c r="XAD27" s="338"/>
      <c r="XAE27" s="338"/>
      <c r="XAF27" s="338"/>
      <c r="XAG27" s="338"/>
      <c r="XAH27" s="338"/>
      <c r="XAI27" s="338"/>
      <c r="XAJ27" s="338"/>
      <c r="XAK27" s="338"/>
      <c r="XAL27" s="338"/>
      <c r="XAM27" s="338"/>
      <c r="XAN27" s="338"/>
      <c r="XAO27" s="338"/>
      <c r="XAP27" s="338"/>
      <c r="XAQ27" s="338"/>
      <c r="XAR27" s="338"/>
      <c r="XAS27" s="338"/>
      <c r="XAT27" s="338"/>
      <c r="XAU27" s="338"/>
      <c r="XAV27" s="338"/>
      <c r="XAW27" s="338"/>
      <c r="XAX27" s="338"/>
      <c r="XAY27" s="338"/>
      <c r="XAZ27" s="338"/>
      <c r="XBA27" s="338"/>
      <c r="XBB27" s="338"/>
      <c r="XBC27" s="338"/>
      <c r="XBD27" s="338"/>
      <c r="XBE27" s="338"/>
      <c r="XBF27" s="338"/>
      <c r="XBG27" s="338"/>
      <c r="XBH27" s="338"/>
      <c r="XBI27" s="338"/>
      <c r="XBJ27" s="338"/>
      <c r="XBK27" s="338"/>
      <c r="XBL27" s="338"/>
      <c r="XBM27" s="338"/>
      <c r="XBN27" s="338"/>
      <c r="XBO27" s="338"/>
      <c r="XBP27" s="338"/>
      <c r="XBQ27" s="338"/>
      <c r="XBR27" s="338"/>
      <c r="XBS27" s="338"/>
      <c r="XBT27" s="338"/>
      <c r="XBU27" s="338"/>
      <c r="XBV27" s="338"/>
      <c r="XBW27" s="338"/>
      <c r="XBX27" s="338"/>
      <c r="XBY27" s="338"/>
      <c r="XBZ27" s="338"/>
      <c r="XCA27" s="338"/>
      <c r="XCB27" s="338"/>
      <c r="XCC27" s="338"/>
      <c r="XCD27" s="338"/>
      <c r="XCE27" s="338"/>
      <c r="XCF27" s="338"/>
      <c r="XCG27" s="338"/>
      <c r="XCH27" s="338"/>
      <c r="XCI27" s="338"/>
      <c r="XCJ27" s="338"/>
      <c r="XCK27" s="338"/>
      <c r="XCL27" s="338"/>
      <c r="XCM27" s="338"/>
      <c r="XCN27" s="338"/>
      <c r="XCO27" s="338"/>
      <c r="XCP27" s="338"/>
      <c r="XCQ27" s="338"/>
      <c r="XCR27" s="338"/>
      <c r="XCS27" s="338"/>
      <c r="XCT27" s="338"/>
      <c r="XCU27" s="338"/>
      <c r="XCV27" s="338"/>
      <c r="XCW27" s="338"/>
      <c r="XCX27" s="338"/>
      <c r="XCY27" s="338"/>
      <c r="XCZ27" s="338"/>
      <c r="XDA27" s="338"/>
      <c r="XDB27" s="338"/>
      <c r="XDC27" s="338"/>
      <c r="XDD27" s="338"/>
      <c r="XDE27" s="338"/>
      <c r="XDF27" s="338"/>
      <c r="XDG27" s="338"/>
      <c r="XDH27" s="338"/>
      <c r="XDI27" s="338"/>
      <c r="XDJ27" s="338"/>
      <c r="XDK27" s="338"/>
      <c r="XDL27" s="338"/>
      <c r="XDM27" s="338"/>
      <c r="XDN27" s="338"/>
      <c r="XDO27" s="338"/>
      <c r="XDP27" s="338"/>
      <c r="XDQ27" s="338"/>
      <c r="XDR27" s="338"/>
      <c r="XDS27" s="338"/>
      <c r="XDT27" s="338"/>
      <c r="XDU27" s="338"/>
      <c r="XDV27" s="338"/>
      <c r="XDW27" s="338"/>
      <c r="XDX27" s="338"/>
      <c r="XDY27" s="338"/>
      <c r="XDZ27" s="338"/>
      <c r="XEA27" s="338"/>
      <c r="XEB27" s="338"/>
      <c r="XEC27" s="338"/>
      <c r="XED27" s="338"/>
      <c r="XEE27" s="338"/>
      <c r="XEF27" s="338"/>
      <c r="XEG27" s="338"/>
      <c r="XEH27" s="338"/>
      <c r="XEI27" s="338"/>
      <c r="XEJ27" s="338"/>
      <c r="XEK27" s="338"/>
      <c r="XEL27" s="338"/>
      <c r="XEM27" s="338"/>
      <c r="XEN27" s="338"/>
      <c r="XEO27" s="338"/>
      <c r="XEP27" s="338"/>
      <c r="XEQ27" s="338"/>
      <c r="XER27" s="338"/>
      <c r="XES27" s="338"/>
      <c r="XET27" s="338"/>
      <c r="XEU27" s="338"/>
      <c r="XEV27" s="338"/>
      <c r="XEW27" s="338"/>
      <c r="XEX27" s="338"/>
      <c r="XEY27" s="338"/>
      <c r="XEZ27" s="338"/>
      <c r="XFA27" s="338"/>
      <c r="XFB27" s="338"/>
      <c r="XFC27" s="338"/>
      <c r="XFD27" s="338"/>
    </row>
    <row r="28" spans="1:16384" s="238" customFormat="1" ht="15" customHeight="1" x14ac:dyDescent="0.2">
      <c r="A28" s="11"/>
    </row>
    <row r="29" spans="1:16384" x14ac:dyDescent="0.2">
      <c r="B29" s="346" t="s">
        <v>197</v>
      </c>
      <c r="C29" s="347"/>
      <c r="D29" s="347"/>
      <c r="E29" s="348"/>
    </row>
  </sheetData>
  <mergeCells count="36867">
    <mergeCell ref="B29:E29"/>
    <mergeCell ref="WZI15:WZL15"/>
    <mergeCell ref="XEO15:XER15"/>
    <mergeCell ref="XES15:XEV15"/>
    <mergeCell ref="XEW15:XEZ15"/>
    <mergeCell ref="XFA15:XFD15"/>
    <mergeCell ref="WZM15:WZP15"/>
    <mergeCell ref="WZQ15:WZT15"/>
    <mergeCell ref="WZU15:WZX15"/>
    <mergeCell ref="WZY15:XAB15"/>
    <mergeCell ref="XAC15:XAF15"/>
    <mergeCell ref="XAG15:XAJ15"/>
    <mergeCell ref="XAK15:XAN15"/>
    <mergeCell ref="XAO15:XAR15"/>
    <mergeCell ref="XAS15:XAV15"/>
    <mergeCell ref="XAW15:XAZ15"/>
    <mergeCell ref="XBA15:XBD15"/>
    <mergeCell ref="XBE15:XBH15"/>
    <mergeCell ref="XBI15:XBL15"/>
    <mergeCell ref="XBM15:XBP15"/>
    <mergeCell ref="XBQ15:XBT15"/>
    <mergeCell ref="XBU15:XBX15"/>
    <mergeCell ref="XBY15:XCB15"/>
    <mergeCell ref="XCC15:XCF15"/>
    <mergeCell ref="XCG15:XCJ15"/>
    <mergeCell ref="XCK15:XCN15"/>
    <mergeCell ref="XCO15:XCR15"/>
    <mergeCell ref="XCS15:XCV15"/>
    <mergeCell ref="XCW15:XCZ15"/>
    <mergeCell ref="XDA15:XDD15"/>
    <mergeCell ref="XDE15:XDH15"/>
    <mergeCell ref="XDI15:XDL15"/>
    <mergeCell ref="XDM15:XDP15"/>
    <mergeCell ref="XDQ15:XDT15"/>
    <mergeCell ref="XDU15:XDX15"/>
    <mergeCell ref="XDY15:XEB15"/>
    <mergeCell ref="XEC15:XEF15"/>
    <mergeCell ref="XEG15:XEJ15"/>
    <mergeCell ref="XEK15:XEN15"/>
    <mergeCell ref="WUG15:WUJ15"/>
    <mergeCell ref="WUK15:WUN15"/>
    <mergeCell ref="WUO15:WUR15"/>
    <mergeCell ref="WUS15:WUV15"/>
    <mergeCell ref="WUW15:WUZ15"/>
    <mergeCell ref="WVA15:WVD15"/>
    <mergeCell ref="WVE15:WVH15"/>
    <mergeCell ref="WVI15:WVL15"/>
    <mergeCell ref="WVM15:WVP15"/>
    <mergeCell ref="WVQ15:WVT15"/>
    <mergeCell ref="WVU15:WVX15"/>
    <mergeCell ref="WVY15:WWB15"/>
    <mergeCell ref="WWC15:WWF15"/>
    <mergeCell ref="WWG15:WWJ15"/>
    <mergeCell ref="WWK15:WWN15"/>
    <mergeCell ref="WWO15:WWR15"/>
    <mergeCell ref="WWS15:WWV15"/>
    <mergeCell ref="WWW15:WWZ15"/>
    <mergeCell ref="WXA15:WXD15"/>
    <mergeCell ref="WXE15:WXH15"/>
    <mergeCell ref="WXI15:WXL15"/>
    <mergeCell ref="WXM15:WXP15"/>
    <mergeCell ref="WXQ15:WXT15"/>
    <mergeCell ref="WXU15:WXX15"/>
    <mergeCell ref="WXY15:WYB15"/>
    <mergeCell ref="WYC15:WYF15"/>
    <mergeCell ref="WYG15:WYJ15"/>
    <mergeCell ref="WYK15:WYN15"/>
    <mergeCell ref="WYO15:WYR15"/>
    <mergeCell ref="WYS15:WYV15"/>
    <mergeCell ref="WYW15:WYZ15"/>
    <mergeCell ref="WZA15:WZD15"/>
    <mergeCell ref="WZE15:WZH15"/>
    <mergeCell ref="WPE15:WPH15"/>
    <mergeCell ref="WPI15:WPL15"/>
    <mergeCell ref="WPM15:WPP15"/>
    <mergeCell ref="WPQ15:WPT15"/>
    <mergeCell ref="WPU15:WPX15"/>
    <mergeCell ref="WPY15:WQB15"/>
    <mergeCell ref="WQC15:WQF15"/>
    <mergeCell ref="WQG15:WQJ15"/>
    <mergeCell ref="WQK15:WQN15"/>
    <mergeCell ref="WQO15:WQR15"/>
    <mergeCell ref="WQS15:WQV15"/>
    <mergeCell ref="WQW15:WQZ15"/>
    <mergeCell ref="WRA15:WRD15"/>
    <mergeCell ref="WRE15:WRH15"/>
    <mergeCell ref="WRI15:WRL15"/>
    <mergeCell ref="WRM15:WRP15"/>
    <mergeCell ref="WRQ15:WRT15"/>
    <mergeCell ref="WRU15:WRX15"/>
    <mergeCell ref="WRY15:WSB15"/>
    <mergeCell ref="WSC15:WSF15"/>
    <mergeCell ref="WSG15:WSJ15"/>
    <mergeCell ref="WSK15:WSN15"/>
    <mergeCell ref="WSO15:WSR15"/>
    <mergeCell ref="WSS15:WSV15"/>
    <mergeCell ref="WSW15:WSZ15"/>
    <mergeCell ref="WTA15:WTD15"/>
    <mergeCell ref="WTE15:WTH15"/>
    <mergeCell ref="WTI15:WTL15"/>
    <mergeCell ref="WTM15:WTP15"/>
    <mergeCell ref="WTQ15:WTT15"/>
    <mergeCell ref="WTU15:WTX15"/>
    <mergeCell ref="WTY15:WUB15"/>
    <mergeCell ref="WUC15:WUF15"/>
    <mergeCell ref="WKC15:WKF15"/>
    <mergeCell ref="WKG15:WKJ15"/>
    <mergeCell ref="WKK15:WKN15"/>
    <mergeCell ref="WKO15:WKR15"/>
    <mergeCell ref="WKS15:WKV15"/>
    <mergeCell ref="WKW15:WKZ15"/>
    <mergeCell ref="WLA15:WLD15"/>
    <mergeCell ref="WLE15:WLH15"/>
    <mergeCell ref="WLI15:WLL15"/>
    <mergeCell ref="WLM15:WLP15"/>
    <mergeCell ref="WLQ15:WLT15"/>
    <mergeCell ref="WLU15:WLX15"/>
    <mergeCell ref="WLY15:WMB15"/>
    <mergeCell ref="WMC15:WMF15"/>
    <mergeCell ref="WMG15:WMJ15"/>
    <mergeCell ref="WMK15:WMN15"/>
    <mergeCell ref="WMO15:WMR15"/>
    <mergeCell ref="WMS15:WMV15"/>
    <mergeCell ref="WMW15:WMZ15"/>
    <mergeCell ref="WNA15:WND15"/>
    <mergeCell ref="WNE15:WNH15"/>
    <mergeCell ref="WNI15:WNL15"/>
    <mergeCell ref="WNM15:WNP15"/>
    <mergeCell ref="WNQ15:WNT15"/>
    <mergeCell ref="WNU15:WNX15"/>
    <mergeCell ref="WNY15:WOB15"/>
    <mergeCell ref="WOC15:WOF15"/>
    <mergeCell ref="WOG15:WOJ15"/>
    <mergeCell ref="WOK15:WON15"/>
    <mergeCell ref="WOO15:WOR15"/>
    <mergeCell ref="WOS15:WOV15"/>
    <mergeCell ref="WOW15:WOZ15"/>
    <mergeCell ref="WPA15:WPD15"/>
    <mergeCell ref="WFA15:WFD15"/>
    <mergeCell ref="WFE15:WFH15"/>
    <mergeCell ref="WFI15:WFL15"/>
    <mergeCell ref="WFM15:WFP15"/>
    <mergeCell ref="WFQ15:WFT15"/>
    <mergeCell ref="WFU15:WFX15"/>
    <mergeCell ref="WFY15:WGB15"/>
    <mergeCell ref="WGC15:WGF15"/>
    <mergeCell ref="WGG15:WGJ15"/>
    <mergeCell ref="WGK15:WGN15"/>
    <mergeCell ref="WGO15:WGR15"/>
    <mergeCell ref="WGS15:WGV15"/>
    <mergeCell ref="WGW15:WGZ15"/>
    <mergeCell ref="WHA15:WHD15"/>
    <mergeCell ref="WHE15:WHH15"/>
    <mergeCell ref="WHI15:WHL15"/>
    <mergeCell ref="WHM15:WHP15"/>
    <mergeCell ref="WHQ15:WHT15"/>
    <mergeCell ref="WHU15:WHX15"/>
    <mergeCell ref="WHY15:WIB15"/>
    <mergeCell ref="WIC15:WIF15"/>
    <mergeCell ref="WIG15:WIJ15"/>
    <mergeCell ref="WIK15:WIN15"/>
    <mergeCell ref="WIO15:WIR15"/>
    <mergeCell ref="WIS15:WIV15"/>
    <mergeCell ref="WIW15:WIZ15"/>
    <mergeCell ref="WJA15:WJD15"/>
    <mergeCell ref="WJE15:WJH15"/>
    <mergeCell ref="WJI15:WJL15"/>
    <mergeCell ref="WJM15:WJP15"/>
    <mergeCell ref="WJQ15:WJT15"/>
    <mergeCell ref="WJU15:WJX15"/>
    <mergeCell ref="WJY15:WKB15"/>
    <mergeCell ref="VZY15:WAB15"/>
    <mergeCell ref="WAC15:WAF15"/>
    <mergeCell ref="WAG15:WAJ15"/>
    <mergeCell ref="WAK15:WAN15"/>
    <mergeCell ref="WAO15:WAR15"/>
    <mergeCell ref="WAS15:WAV15"/>
    <mergeCell ref="WAW15:WAZ15"/>
    <mergeCell ref="WBA15:WBD15"/>
    <mergeCell ref="WBE15:WBH15"/>
    <mergeCell ref="WBI15:WBL15"/>
    <mergeCell ref="WBM15:WBP15"/>
    <mergeCell ref="WBQ15:WBT15"/>
    <mergeCell ref="WBU15:WBX15"/>
    <mergeCell ref="WBY15:WCB15"/>
    <mergeCell ref="WCC15:WCF15"/>
    <mergeCell ref="WCG15:WCJ15"/>
    <mergeCell ref="WCK15:WCN15"/>
    <mergeCell ref="WCO15:WCR15"/>
    <mergeCell ref="WCS15:WCV15"/>
    <mergeCell ref="WCW15:WCZ15"/>
    <mergeCell ref="WDA15:WDD15"/>
    <mergeCell ref="WDE15:WDH15"/>
    <mergeCell ref="WDI15:WDL15"/>
    <mergeCell ref="WDM15:WDP15"/>
    <mergeCell ref="WDQ15:WDT15"/>
    <mergeCell ref="WDU15:WDX15"/>
    <mergeCell ref="WDY15:WEB15"/>
    <mergeCell ref="WEC15:WEF15"/>
    <mergeCell ref="WEG15:WEJ15"/>
    <mergeCell ref="WEK15:WEN15"/>
    <mergeCell ref="WEO15:WER15"/>
    <mergeCell ref="WES15:WEV15"/>
    <mergeCell ref="WEW15:WEZ15"/>
    <mergeCell ref="VUW15:VUZ15"/>
    <mergeCell ref="VVA15:VVD15"/>
    <mergeCell ref="VVE15:VVH15"/>
    <mergeCell ref="VVI15:VVL15"/>
    <mergeCell ref="VVM15:VVP15"/>
    <mergeCell ref="VVQ15:VVT15"/>
    <mergeCell ref="VVU15:VVX15"/>
    <mergeCell ref="VVY15:VWB15"/>
    <mergeCell ref="VWC15:VWF15"/>
    <mergeCell ref="VWG15:VWJ15"/>
    <mergeCell ref="VWK15:VWN15"/>
    <mergeCell ref="VWO15:VWR15"/>
    <mergeCell ref="VWS15:VWV15"/>
    <mergeCell ref="VWW15:VWZ15"/>
    <mergeCell ref="VXA15:VXD15"/>
    <mergeCell ref="VXE15:VXH15"/>
    <mergeCell ref="VXI15:VXL15"/>
    <mergeCell ref="VXM15:VXP15"/>
    <mergeCell ref="VXQ15:VXT15"/>
    <mergeCell ref="VXU15:VXX15"/>
    <mergeCell ref="VXY15:VYB15"/>
    <mergeCell ref="VYC15:VYF15"/>
    <mergeCell ref="VYG15:VYJ15"/>
    <mergeCell ref="VYK15:VYN15"/>
    <mergeCell ref="VYO15:VYR15"/>
    <mergeCell ref="VYS15:VYV15"/>
    <mergeCell ref="VYW15:VYZ15"/>
    <mergeCell ref="VZA15:VZD15"/>
    <mergeCell ref="VZE15:VZH15"/>
    <mergeCell ref="VZI15:VZL15"/>
    <mergeCell ref="VZM15:VZP15"/>
    <mergeCell ref="VZQ15:VZT15"/>
    <mergeCell ref="VZU15:VZX15"/>
    <mergeCell ref="VPU15:VPX15"/>
    <mergeCell ref="VPY15:VQB15"/>
    <mergeCell ref="VQC15:VQF15"/>
    <mergeCell ref="VQG15:VQJ15"/>
    <mergeCell ref="VQK15:VQN15"/>
    <mergeCell ref="VQO15:VQR15"/>
    <mergeCell ref="VQS15:VQV15"/>
    <mergeCell ref="VQW15:VQZ15"/>
    <mergeCell ref="VRA15:VRD15"/>
    <mergeCell ref="VRE15:VRH15"/>
    <mergeCell ref="VRI15:VRL15"/>
    <mergeCell ref="VRM15:VRP15"/>
    <mergeCell ref="VRQ15:VRT15"/>
    <mergeCell ref="VRU15:VRX15"/>
    <mergeCell ref="VRY15:VSB15"/>
    <mergeCell ref="VSC15:VSF15"/>
    <mergeCell ref="VSG15:VSJ15"/>
    <mergeCell ref="VSK15:VSN15"/>
    <mergeCell ref="VSO15:VSR15"/>
    <mergeCell ref="VSS15:VSV15"/>
    <mergeCell ref="VSW15:VSZ15"/>
    <mergeCell ref="VTA15:VTD15"/>
    <mergeCell ref="VTE15:VTH15"/>
    <mergeCell ref="VTI15:VTL15"/>
    <mergeCell ref="VTM15:VTP15"/>
    <mergeCell ref="VTQ15:VTT15"/>
    <mergeCell ref="VTU15:VTX15"/>
    <mergeCell ref="VTY15:VUB15"/>
    <mergeCell ref="VUC15:VUF15"/>
    <mergeCell ref="VUG15:VUJ15"/>
    <mergeCell ref="VUK15:VUN15"/>
    <mergeCell ref="VUO15:VUR15"/>
    <mergeCell ref="VUS15:VUV15"/>
    <mergeCell ref="VKS15:VKV15"/>
    <mergeCell ref="VKW15:VKZ15"/>
    <mergeCell ref="VLA15:VLD15"/>
    <mergeCell ref="VLE15:VLH15"/>
    <mergeCell ref="VLI15:VLL15"/>
    <mergeCell ref="VLM15:VLP15"/>
    <mergeCell ref="VLQ15:VLT15"/>
    <mergeCell ref="VLU15:VLX15"/>
    <mergeCell ref="VLY15:VMB15"/>
    <mergeCell ref="VMC15:VMF15"/>
    <mergeCell ref="VMG15:VMJ15"/>
    <mergeCell ref="VMK15:VMN15"/>
    <mergeCell ref="VMO15:VMR15"/>
    <mergeCell ref="VMS15:VMV15"/>
    <mergeCell ref="VMW15:VMZ15"/>
    <mergeCell ref="VNA15:VND15"/>
    <mergeCell ref="VNE15:VNH15"/>
    <mergeCell ref="VNI15:VNL15"/>
    <mergeCell ref="VNM15:VNP15"/>
    <mergeCell ref="VNQ15:VNT15"/>
    <mergeCell ref="VNU15:VNX15"/>
    <mergeCell ref="VNY15:VOB15"/>
    <mergeCell ref="VOC15:VOF15"/>
    <mergeCell ref="VOG15:VOJ15"/>
    <mergeCell ref="VOK15:VON15"/>
    <mergeCell ref="VOO15:VOR15"/>
    <mergeCell ref="VOS15:VOV15"/>
    <mergeCell ref="VOW15:VOZ15"/>
    <mergeCell ref="VPA15:VPD15"/>
    <mergeCell ref="VPE15:VPH15"/>
    <mergeCell ref="VPI15:VPL15"/>
    <mergeCell ref="VPM15:VPP15"/>
    <mergeCell ref="VPQ15:VPT15"/>
    <mergeCell ref="VFQ15:VFT15"/>
    <mergeCell ref="VFU15:VFX15"/>
    <mergeCell ref="VFY15:VGB15"/>
    <mergeCell ref="VGC15:VGF15"/>
    <mergeCell ref="VGG15:VGJ15"/>
    <mergeCell ref="VGK15:VGN15"/>
    <mergeCell ref="VGO15:VGR15"/>
    <mergeCell ref="VGS15:VGV15"/>
    <mergeCell ref="VGW15:VGZ15"/>
    <mergeCell ref="VHA15:VHD15"/>
    <mergeCell ref="VHE15:VHH15"/>
    <mergeCell ref="VHI15:VHL15"/>
    <mergeCell ref="VHM15:VHP15"/>
    <mergeCell ref="VHQ15:VHT15"/>
    <mergeCell ref="VHU15:VHX15"/>
    <mergeCell ref="VHY15:VIB15"/>
    <mergeCell ref="VIC15:VIF15"/>
    <mergeCell ref="VIG15:VIJ15"/>
    <mergeCell ref="VIK15:VIN15"/>
    <mergeCell ref="VIO15:VIR15"/>
    <mergeCell ref="VIS15:VIV15"/>
    <mergeCell ref="VIW15:VIZ15"/>
    <mergeCell ref="VJA15:VJD15"/>
    <mergeCell ref="VJE15:VJH15"/>
    <mergeCell ref="VJI15:VJL15"/>
    <mergeCell ref="VJM15:VJP15"/>
    <mergeCell ref="VJQ15:VJT15"/>
    <mergeCell ref="VJU15:VJX15"/>
    <mergeCell ref="VJY15:VKB15"/>
    <mergeCell ref="VKC15:VKF15"/>
    <mergeCell ref="VKG15:VKJ15"/>
    <mergeCell ref="VKK15:VKN15"/>
    <mergeCell ref="VKO15:VKR15"/>
    <mergeCell ref="VAO15:VAR15"/>
    <mergeCell ref="VAS15:VAV15"/>
    <mergeCell ref="VAW15:VAZ15"/>
    <mergeCell ref="VBA15:VBD15"/>
    <mergeCell ref="VBE15:VBH15"/>
    <mergeCell ref="VBI15:VBL15"/>
    <mergeCell ref="VBM15:VBP15"/>
    <mergeCell ref="VBQ15:VBT15"/>
    <mergeCell ref="VBU15:VBX15"/>
    <mergeCell ref="VBY15:VCB15"/>
    <mergeCell ref="VCC15:VCF15"/>
    <mergeCell ref="VCG15:VCJ15"/>
    <mergeCell ref="VCK15:VCN15"/>
    <mergeCell ref="VCO15:VCR15"/>
    <mergeCell ref="VCS15:VCV15"/>
    <mergeCell ref="VCW15:VCZ15"/>
    <mergeCell ref="VDA15:VDD15"/>
    <mergeCell ref="VDE15:VDH15"/>
    <mergeCell ref="VDI15:VDL15"/>
    <mergeCell ref="VDM15:VDP15"/>
    <mergeCell ref="VDQ15:VDT15"/>
    <mergeCell ref="VDU15:VDX15"/>
    <mergeCell ref="VDY15:VEB15"/>
    <mergeCell ref="VEC15:VEF15"/>
    <mergeCell ref="VEG15:VEJ15"/>
    <mergeCell ref="VEK15:VEN15"/>
    <mergeCell ref="VEO15:VER15"/>
    <mergeCell ref="VES15:VEV15"/>
    <mergeCell ref="VEW15:VEZ15"/>
    <mergeCell ref="VFA15:VFD15"/>
    <mergeCell ref="VFE15:VFH15"/>
    <mergeCell ref="VFI15:VFL15"/>
    <mergeCell ref="VFM15:VFP15"/>
    <mergeCell ref="UVM15:UVP15"/>
    <mergeCell ref="UVQ15:UVT15"/>
    <mergeCell ref="UVU15:UVX15"/>
    <mergeCell ref="UVY15:UWB15"/>
    <mergeCell ref="UWC15:UWF15"/>
    <mergeCell ref="UWG15:UWJ15"/>
    <mergeCell ref="UWK15:UWN15"/>
    <mergeCell ref="UWO15:UWR15"/>
    <mergeCell ref="UWS15:UWV15"/>
    <mergeCell ref="UWW15:UWZ15"/>
    <mergeCell ref="UXA15:UXD15"/>
    <mergeCell ref="UXE15:UXH15"/>
    <mergeCell ref="UXI15:UXL15"/>
    <mergeCell ref="UXM15:UXP15"/>
    <mergeCell ref="UXQ15:UXT15"/>
    <mergeCell ref="UXU15:UXX15"/>
    <mergeCell ref="UXY15:UYB15"/>
    <mergeCell ref="UYC15:UYF15"/>
    <mergeCell ref="UYG15:UYJ15"/>
    <mergeCell ref="UYK15:UYN15"/>
    <mergeCell ref="UYO15:UYR15"/>
    <mergeCell ref="UYS15:UYV15"/>
    <mergeCell ref="UYW15:UYZ15"/>
    <mergeCell ref="UZA15:UZD15"/>
    <mergeCell ref="UZE15:UZH15"/>
    <mergeCell ref="UZI15:UZL15"/>
    <mergeCell ref="UZM15:UZP15"/>
    <mergeCell ref="UZQ15:UZT15"/>
    <mergeCell ref="UZU15:UZX15"/>
    <mergeCell ref="UZY15:VAB15"/>
    <mergeCell ref="VAC15:VAF15"/>
    <mergeCell ref="VAG15:VAJ15"/>
    <mergeCell ref="VAK15:VAN15"/>
    <mergeCell ref="UQK15:UQN15"/>
    <mergeCell ref="UQO15:UQR15"/>
    <mergeCell ref="UQS15:UQV15"/>
    <mergeCell ref="UQW15:UQZ15"/>
    <mergeCell ref="URA15:URD15"/>
    <mergeCell ref="URE15:URH15"/>
    <mergeCell ref="URI15:URL15"/>
    <mergeCell ref="URM15:URP15"/>
    <mergeCell ref="URQ15:URT15"/>
    <mergeCell ref="URU15:URX15"/>
    <mergeCell ref="URY15:USB15"/>
    <mergeCell ref="USC15:USF15"/>
    <mergeCell ref="USG15:USJ15"/>
    <mergeCell ref="USK15:USN15"/>
    <mergeCell ref="USO15:USR15"/>
    <mergeCell ref="USS15:USV15"/>
    <mergeCell ref="USW15:USZ15"/>
    <mergeCell ref="UTA15:UTD15"/>
    <mergeCell ref="UTE15:UTH15"/>
    <mergeCell ref="UTI15:UTL15"/>
    <mergeCell ref="UTM15:UTP15"/>
    <mergeCell ref="UTQ15:UTT15"/>
    <mergeCell ref="UTU15:UTX15"/>
    <mergeCell ref="UTY15:UUB15"/>
    <mergeCell ref="UUC15:UUF15"/>
    <mergeCell ref="UUG15:UUJ15"/>
    <mergeCell ref="UUK15:UUN15"/>
    <mergeCell ref="UUO15:UUR15"/>
    <mergeCell ref="UUS15:UUV15"/>
    <mergeCell ref="UUW15:UUZ15"/>
    <mergeCell ref="UVA15:UVD15"/>
    <mergeCell ref="UVE15:UVH15"/>
    <mergeCell ref="UVI15:UVL15"/>
    <mergeCell ref="ULI15:ULL15"/>
    <mergeCell ref="ULM15:ULP15"/>
    <mergeCell ref="ULQ15:ULT15"/>
    <mergeCell ref="ULU15:ULX15"/>
    <mergeCell ref="ULY15:UMB15"/>
    <mergeCell ref="UMC15:UMF15"/>
    <mergeCell ref="UMG15:UMJ15"/>
    <mergeCell ref="UMK15:UMN15"/>
    <mergeCell ref="UMO15:UMR15"/>
    <mergeCell ref="UMS15:UMV15"/>
    <mergeCell ref="UMW15:UMZ15"/>
    <mergeCell ref="UNA15:UND15"/>
    <mergeCell ref="UNE15:UNH15"/>
    <mergeCell ref="UNI15:UNL15"/>
    <mergeCell ref="UNM15:UNP15"/>
    <mergeCell ref="UNQ15:UNT15"/>
    <mergeCell ref="UNU15:UNX15"/>
    <mergeCell ref="UNY15:UOB15"/>
    <mergeCell ref="UOC15:UOF15"/>
    <mergeCell ref="UOG15:UOJ15"/>
    <mergeCell ref="UOK15:UON15"/>
    <mergeCell ref="UOO15:UOR15"/>
    <mergeCell ref="UOS15:UOV15"/>
    <mergeCell ref="UOW15:UOZ15"/>
    <mergeCell ref="UPA15:UPD15"/>
    <mergeCell ref="UPE15:UPH15"/>
    <mergeCell ref="UPI15:UPL15"/>
    <mergeCell ref="UPM15:UPP15"/>
    <mergeCell ref="UPQ15:UPT15"/>
    <mergeCell ref="UPU15:UPX15"/>
    <mergeCell ref="UPY15:UQB15"/>
    <mergeCell ref="UQC15:UQF15"/>
    <mergeCell ref="UQG15:UQJ15"/>
    <mergeCell ref="UGG15:UGJ15"/>
    <mergeCell ref="UGK15:UGN15"/>
    <mergeCell ref="UGO15:UGR15"/>
    <mergeCell ref="UGS15:UGV15"/>
    <mergeCell ref="UGW15:UGZ15"/>
    <mergeCell ref="UHA15:UHD15"/>
    <mergeCell ref="UHE15:UHH15"/>
    <mergeCell ref="UHI15:UHL15"/>
    <mergeCell ref="UHM15:UHP15"/>
    <mergeCell ref="UHQ15:UHT15"/>
    <mergeCell ref="UHU15:UHX15"/>
    <mergeCell ref="UHY15:UIB15"/>
    <mergeCell ref="UIC15:UIF15"/>
    <mergeCell ref="UIG15:UIJ15"/>
    <mergeCell ref="UIK15:UIN15"/>
    <mergeCell ref="UIO15:UIR15"/>
    <mergeCell ref="UIS15:UIV15"/>
    <mergeCell ref="UIW15:UIZ15"/>
    <mergeCell ref="UJA15:UJD15"/>
    <mergeCell ref="UJE15:UJH15"/>
    <mergeCell ref="UJI15:UJL15"/>
    <mergeCell ref="UJM15:UJP15"/>
    <mergeCell ref="UJQ15:UJT15"/>
    <mergeCell ref="UJU15:UJX15"/>
    <mergeCell ref="UJY15:UKB15"/>
    <mergeCell ref="UKC15:UKF15"/>
    <mergeCell ref="UKG15:UKJ15"/>
    <mergeCell ref="UKK15:UKN15"/>
    <mergeCell ref="UKO15:UKR15"/>
    <mergeCell ref="UKS15:UKV15"/>
    <mergeCell ref="UKW15:UKZ15"/>
    <mergeCell ref="ULA15:ULD15"/>
    <mergeCell ref="ULE15:ULH15"/>
    <mergeCell ref="UBE15:UBH15"/>
    <mergeCell ref="UBI15:UBL15"/>
    <mergeCell ref="UBM15:UBP15"/>
    <mergeCell ref="UBQ15:UBT15"/>
    <mergeCell ref="UBU15:UBX15"/>
    <mergeCell ref="UBY15:UCB15"/>
    <mergeCell ref="UCC15:UCF15"/>
    <mergeCell ref="UCG15:UCJ15"/>
    <mergeCell ref="UCK15:UCN15"/>
    <mergeCell ref="UCO15:UCR15"/>
    <mergeCell ref="UCS15:UCV15"/>
    <mergeCell ref="UCW15:UCZ15"/>
    <mergeCell ref="UDA15:UDD15"/>
    <mergeCell ref="UDE15:UDH15"/>
    <mergeCell ref="UDI15:UDL15"/>
    <mergeCell ref="UDM15:UDP15"/>
    <mergeCell ref="UDQ15:UDT15"/>
    <mergeCell ref="UDU15:UDX15"/>
    <mergeCell ref="UDY15:UEB15"/>
    <mergeCell ref="UEC15:UEF15"/>
    <mergeCell ref="UEG15:UEJ15"/>
    <mergeCell ref="UEK15:UEN15"/>
    <mergeCell ref="UEO15:UER15"/>
    <mergeCell ref="UES15:UEV15"/>
    <mergeCell ref="UEW15:UEZ15"/>
    <mergeCell ref="UFA15:UFD15"/>
    <mergeCell ref="UFE15:UFH15"/>
    <mergeCell ref="UFI15:UFL15"/>
    <mergeCell ref="UFM15:UFP15"/>
    <mergeCell ref="UFQ15:UFT15"/>
    <mergeCell ref="UFU15:UFX15"/>
    <mergeCell ref="UFY15:UGB15"/>
    <mergeCell ref="UGC15:UGF15"/>
    <mergeCell ref="TWC15:TWF15"/>
    <mergeCell ref="TWG15:TWJ15"/>
    <mergeCell ref="TWK15:TWN15"/>
    <mergeCell ref="TWO15:TWR15"/>
    <mergeCell ref="TWS15:TWV15"/>
    <mergeCell ref="TWW15:TWZ15"/>
    <mergeCell ref="TXA15:TXD15"/>
    <mergeCell ref="TXE15:TXH15"/>
    <mergeCell ref="TXI15:TXL15"/>
    <mergeCell ref="TXM15:TXP15"/>
    <mergeCell ref="TXQ15:TXT15"/>
    <mergeCell ref="TXU15:TXX15"/>
    <mergeCell ref="TXY15:TYB15"/>
    <mergeCell ref="TYC15:TYF15"/>
    <mergeCell ref="TYG15:TYJ15"/>
    <mergeCell ref="TYK15:TYN15"/>
    <mergeCell ref="TYO15:TYR15"/>
    <mergeCell ref="TYS15:TYV15"/>
    <mergeCell ref="TYW15:TYZ15"/>
    <mergeCell ref="TZA15:TZD15"/>
    <mergeCell ref="TZE15:TZH15"/>
    <mergeCell ref="TZI15:TZL15"/>
    <mergeCell ref="TZM15:TZP15"/>
    <mergeCell ref="TZQ15:TZT15"/>
    <mergeCell ref="TZU15:TZX15"/>
    <mergeCell ref="TZY15:UAB15"/>
    <mergeCell ref="UAC15:UAF15"/>
    <mergeCell ref="UAG15:UAJ15"/>
    <mergeCell ref="UAK15:UAN15"/>
    <mergeCell ref="UAO15:UAR15"/>
    <mergeCell ref="UAS15:UAV15"/>
    <mergeCell ref="UAW15:UAZ15"/>
    <mergeCell ref="UBA15:UBD15"/>
    <mergeCell ref="TRA15:TRD15"/>
    <mergeCell ref="TRE15:TRH15"/>
    <mergeCell ref="TRI15:TRL15"/>
    <mergeCell ref="TRM15:TRP15"/>
    <mergeCell ref="TRQ15:TRT15"/>
    <mergeCell ref="TRU15:TRX15"/>
    <mergeCell ref="TRY15:TSB15"/>
    <mergeCell ref="TSC15:TSF15"/>
    <mergeCell ref="TSG15:TSJ15"/>
    <mergeCell ref="TSK15:TSN15"/>
    <mergeCell ref="TSO15:TSR15"/>
    <mergeCell ref="TSS15:TSV15"/>
    <mergeCell ref="TSW15:TSZ15"/>
    <mergeCell ref="TTA15:TTD15"/>
    <mergeCell ref="TTE15:TTH15"/>
    <mergeCell ref="TTI15:TTL15"/>
    <mergeCell ref="TTM15:TTP15"/>
    <mergeCell ref="TTQ15:TTT15"/>
    <mergeCell ref="TTU15:TTX15"/>
    <mergeCell ref="TTY15:TUB15"/>
    <mergeCell ref="TUC15:TUF15"/>
    <mergeCell ref="TUG15:TUJ15"/>
    <mergeCell ref="TUK15:TUN15"/>
    <mergeCell ref="TUO15:TUR15"/>
    <mergeCell ref="TUS15:TUV15"/>
    <mergeCell ref="TUW15:TUZ15"/>
    <mergeCell ref="TVA15:TVD15"/>
    <mergeCell ref="TVE15:TVH15"/>
    <mergeCell ref="TVI15:TVL15"/>
    <mergeCell ref="TVM15:TVP15"/>
    <mergeCell ref="TVQ15:TVT15"/>
    <mergeCell ref="TVU15:TVX15"/>
    <mergeCell ref="TVY15:TWB15"/>
    <mergeCell ref="TLY15:TMB15"/>
    <mergeCell ref="TMC15:TMF15"/>
    <mergeCell ref="TMG15:TMJ15"/>
    <mergeCell ref="TMK15:TMN15"/>
    <mergeCell ref="TMO15:TMR15"/>
    <mergeCell ref="TMS15:TMV15"/>
    <mergeCell ref="TMW15:TMZ15"/>
    <mergeCell ref="TNA15:TND15"/>
    <mergeCell ref="TNE15:TNH15"/>
    <mergeCell ref="TNI15:TNL15"/>
    <mergeCell ref="TNM15:TNP15"/>
    <mergeCell ref="TNQ15:TNT15"/>
    <mergeCell ref="TNU15:TNX15"/>
    <mergeCell ref="TNY15:TOB15"/>
    <mergeCell ref="TOC15:TOF15"/>
    <mergeCell ref="TOG15:TOJ15"/>
    <mergeCell ref="TOK15:TON15"/>
    <mergeCell ref="TOO15:TOR15"/>
    <mergeCell ref="TOS15:TOV15"/>
    <mergeCell ref="TOW15:TOZ15"/>
    <mergeCell ref="TPA15:TPD15"/>
    <mergeCell ref="TPE15:TPH15"/>
    <mergeCell ref="TPI15:TPL15"/>
    <mergeCell ref="TPM15:TPP15"/>
    <mergeCell ref="TPQ15:TPT15"/>
    <mergeCell ref="TPU15:TPX15"/>
    <mergeCell ref="TPY15:TQB15"/>
    <mergeCell ref="TQC15:TQF15"/>
    <mergeCell ref="TQG15:TQJ15"/>
    <mergeCell ref="TQK15:TQN15"/>
    <mergeCell ref="TQO15:TQR15"/>
    <mergeCell ref="TQS15:TQV15"/>
    <mergeCell ref="TQW15:TQZ15"/>
    <mergeCell ref="TGW15:TGZ15"/>
    <mergeCell ref="THA15:THD15"/>
    <mergeCell ref="THE15:THH15"/>
    <mergeCell ref="THI15:THL15"/>
    <mergeCell ref="THM15:THP15"/>
    <mergeCell ref="THQ15:THT15"/>
    <mergeCell ref="THU15:THX15"/>
    <mergeCell ref="THY15:TIB15"/>
    <mergeCell ref="TIC15:TIF15"/>
    <mergeCell ref="TIG15:TIJ15"/>
    <mergeCell ref="TIK15:TIN15"/>
    <mergeCell ref="TIO15:TIR15"/>
    <mergeCell ref="TIS15:TIV15"/>
    <mergeCell ref="TIW15:TIZ15"/>
    <mergeCell ref="TJA15:TJD15"/>
    <mergeCell ref="TJE15:TJH15"/>
    <mergeCell ref="TJI15:TJL15"/>
    <mergeCell ref="TJM15:TJP15"/>
    <mergeCell ref="TJQ15:TJT15"/>
    <mergeCell ref="TJU15:TJX15"/>
    <mergeCell ref="TJY15:TKB15"/>
    <mergeCell ref="TKC15:TKF15"/>
    <mergeCell ref="TKG15:TKJ15"/>
    <mergeCell ref="TKK15:TKN15"/>
    <mergeCell ref="TKO15:TKR15"/>
    <mergeCell ref="TKS15:TKV15"/>
    <mergeCell ref="TKW15:TKZ15"/>
    <mergeCell ref="TLA15:TLD15"/>
    <mergeCell ref="TLE15:TLH15"/>
    <mergeCell ref="TLI15:TLL15"/>
    <mergeCell ref="TLM15:TLP15"/>
    <mergeCell ref="TLQ15:TLT15"/>
    <mergeCell ref="TLU15:TLX15"/>
    <mergeCell ref="TBU15:TBX15"/>
    <mergeCell ref="TBY15:TCB15"/>
    <mergeCell ref="TCC15:TCF15"/>
    <mergeCell ref="TCG15:TCJ15"/>
    <mergeCell ref="TCK15:TCN15"/>
    <mergeCell ref="TCO15:TCR15"/>
    <mergeCell ref="TCS15:TCV15"/>
    <mergeCell ref="TCW15:TCZ15"/>
    <mergeCell ref="TDA15:TDD15"/>
    <mergeCell ref="TDE15:TDH15"/>
    <mergeCell ref="TDI15:TDL15"/>
    <mergeCell ref="TDM15:TDP15"/>
    <mergeCell ref="TDQ15:TDT15"/>
    <mergeCell ref="TDU15:TDX15"/>
    <mergeCell ref="TDY15:TEB15"/>
    <mergeCell ref="TEC15:TEF15"/>
    <mergeCell ref="TEG15:TEJ15"/>
    <mergeCell ref="TEK15:TEN15"/>
    <mergeCell ref="TEO15:TER15"/>
    <mergeCell ref="TES15:TEV15"/>
    <mergeCell ref="TEW15:TEZ15"/>
    <mergeCell ref="TFA15:TFD15"/>
    <mergeCell ref="TFE15:TFH15"/>
    <mergeCell ref="TFI15:TFL15"/>
    <mergeCell ref="TFM15:TFP15"/>
    <mergeCell ref="TFQ15:TFT15"/>
    <mergeCell ref="TFU15:TFX15"/>
    <mergeCell ref="TFY15:TGB15"/>
    <mergeCell ref="TGC15:TGF15"/>
    <mergeCell ref="TGG15:TGJ15"/>
    <mergeCell ref="TGK15:TGN15"/>
    <mergeCell ref="TGO15:TGR15"/>
    <mergeCell ref="TGS15:TGV15"/>
    <mergeCell ref="SWS15:SWV15"/>
    <mergeCell ref="SWW15:SWZ15"/>
    <mergeCell ref="SXA15:SXD15"/>
    <mergeCell ref="SXE15:SXH15"/>
    <mergeCell ref="SXI15:SXL15"/>
    <mergeCell ref="SXM15:SXP15"/>
    <mergeCell ref="SXQ15:SXT15"/>
    <mergeCell ref="SXU15:SXX15"/>
    <mergeCell ref="SXY15:SYB15"/>
    <mergeCell ref="SYC15:SYF15"/>
    <mergeCell ref="SYG15:SYJ15"/>
    <mergeCell ref="SYK15:SYN15"/>
    <mergeCell ref="SYO15:SYR15"/>
    <mergeCell ref="SYS15:SYV15"/>
    <mergeCell ref="SYW15:SYZ15"/>
    <mergeCell ref="SZA15:SZD15"/>
    <mergeCell ref="SZE15:SZH15"/>
    <mergeCell ref="SZI15:SZL15"/>
    <mergeCell ref="SZM15:SZP15"/>
    <mergeCell ref="SZQ15:SZT15"/>
    <mergeCell ref="SZU15:SZX15"/>
    <mergeCell ref="SZY15:TAB15"/>
    <mergeCell ref="TAC15:TAF15"/>
    <mergeCell ref="TAG15:TAJ15"/>
    <mergeCell ref="TAK15:TAN15"/>
    <mergeCell ref="TAO15:TAR15"/>
    <mergeCell ref="TAS15:TAV15"/>
    <mergeCell ref="TAW15:TAZ15"/>
    <mergeCell ref="TBA15:TBD15"/>
    <mergeCell ref="TBE15:TBH15"/>
    <mergeCell ref="TBI15:TBL15"/>
    <mergeCell ref="TBM15:TBP15"/>
    <mergeCell ref="TBQ15:TBT15"/>
    <mergeCell ref="SRQ15:SRT15"/>
    <mergeCell ref="SRU15:SRX15"/>
    <mergeCell ref="SRY15:SSB15"/>
    <mergeCell ref="SSC15:SSF15"/>
    <mergeCell ref="SSG15:SSJ15"/>
    <mergeCell ref="SSK15:SSN15"/>
    <mergeCell ref="SSO15:SSR15"/>
    <mergeCell ref="SSS15:SSV15"/>
    <mergeCell ref="SSW15:SSZ15"/>
    <mergeCell ref="STA15:STD15"/>
    <mergeCell ref="STE15:STH15"/>
    <mergeCell ref="STI15:STL15"/>
    <mergeCell ref="STM15:STP15"/>
    <mergeCell ref="STQ15:STT15"/>
    <mergeCell ref="STU15:STX15"/>
    <mergeCell ref="STY15:SUB15"/>
    <mergeCell ref="SUC15:SUF15"/>
    <mergeCell ref="SUG15:SUJ15"/>
    <mergeCell ref="SUK15:SUN15"/>
    <mergeCell ref="SUO15:SUR15"/>
    <mergeCell ref="SUS15:SUV15"/>
    <mergeCell ref="SUW15:SUZ15"/>
    <mergeCell ref="SVA15:SVD15"/>
    <mergeCell ref="SVE15:SVH15"/>
    <mergeCell ref="SVI15:SVL15"/>
    <mergeCell ref="SVM15:SVP15"/>
    <mergeCell ref="SVQ15:SVT15"/>
    <mergeCell ref="SVU15:SVX15"/>
    <mergeCell ref="SVY15:SWB15"/>
    <mergeCell ref="SWC15:SWF15"/>
    <mergeCell ref="SWG15:SWJ15"/>
    <mergeCell ref="SWK15:SWN15"/>
    <mergeCell ref="SWO15:SWR15"/>
    <mergeCell ref="SMO15:SMR15"/>
    <mergeCell ref="SMS15:SMV15"/>
    <mergeCell ref="SMW15:SMZ15"/>
    <mergeCell ref="SNA15:SND15"/>
    <mergeCell ref="SNE15:SNH15"/>
    <mergeCell ref="SNI15:SNL15"/>
    <mergeCell ref="SNM15:SNP15"/>
    <mergeCell ref="SNQ15:SNT15"/>
    <mergeCell ref="SNU15:SNX15"/>
    <mergeCell ref="SNY15:SOB15"/>
    <mergeCell ref="SOC15:SOF15"/>
    <mergeCell ref="SOG15:SOJ15"/>
    <mergeCell ref="SOK15:SON15"/>
    <mergeCell ref="SOO15:SOR15"/>
    <mergeCell ref="SOS15:SOV15"/>
    <mergeCell ref="SOW15:SOZ15"/>
    <mergeCell ref="SPA15:SPD15"/>
    <mergeCell ref="SPE15:SPH15"/>
    <mergeCell ref="SPI15:SPL15"/>
    <mergeCell ref="SPM15:SPP15"/>
    <mergeCell ref="SPQ15:SPT15"/>
    <mergeCell ref="SPU15:SPX15"/>
    <mergeCell ref="SPY15:SQB15"/>
    <mergeCell ref="SQC15:SQF15"/>
    <mergeCell ref="SQG15:SQJ15"/>
    <mergeCell ref="SQK15:SQN15"/>
    <mergeCell ref="SQO15:SQR15"/>
    <mergeCell ref="SQS15:SQV15"/>
    <mergeCell ref="SQW15:SQZ15"/>
    <mergeCell ref="SRA15:SRD15"/>
    <mergeCell ref="SRE15:SRH15"/>
    <mergeCell ref="SRI15:SRL15"/>
    <mergeCell ref="SRM15:SRP15"/>
    <mergeCell ref="SHM15:SHP15"/>
    <mergeCell ref="SHQ15:SHT15"/>
    <mergeCell ref="SHU15:SHX15"/>
    <mergeCell ref="SHY15:SIB15"/>
    <mergeCell ref="SIC15:SIF15"/>
    <mergeCell ref="SIG15:SIJ15"/>
    <mergeCell ref="SIK15:SIN15"/>
    <mergeCell ref="SIO15:SIR15"/>
    <mergeCell ref="SIS15:SIV15"/>
    <mergeCell ref="SIW15:SIZ15"/>
    <mergeCell ref="SJA15:SJD15"/>
    <mergeCell ref="SJE15:SJH15"/>
    <mergeCell ref="SJI15:SJL15"/>
    <mergeCell ref="SJM15:SJP15"/>
    <mergeCell ref="SJQ15:SJT15"/>
    <mergeCell ref="SJU15:SJX15"/>
    <mergeCell ref="SJY15:SKB15"/>
    <mergeCell ref="SKC15:SKF15"/>
    <mergeCell ref="SKG15:SKJ15"/>
    <mergeCell ref="SKK15:SKN15"/>
    <mergeCell ref="SKO15:SKR15"/>
    <mergeCell ref="SKS15:SKV15"/>
    <mergeCell ref="SKW15:SKZ15"/>
    <mergeCell ref="SLA15:SLD15"/>
    <mergeCell ref="SLE15:SLH15"/>
    <mergeCell ref="SLI15:SLL15"/>
    <mergeCell ref="SLM15:SLP15"/>
    <mergeCell ref="SLQ15:SLT15"/>
    <mergeCell ref="SLU15:SLX15"/>
    <mergeCell ref="SLY15:SMB15"/>
    <mergeCell ref="SMC15:SMF15"/>
    <mergeCell ref="SMG15:SMJ15"/>
    <mergeCell ref="SMK15:SMN15"/>
    <mergeCell ref="SCK15:SCN15"/>
    <mergeCell ref="SCO15:SCR15"/>
    <mergeCell ref="SCS15:SCV15"/>
    <mergeCell ref="SCW15:SCZ15"/>
    <mergeCell ref="SDA15:SDD15"/>
    <mergeCell ref="SDE15:SDH15"/>
    <mergeCell ref="SDI15:SDL15"/>
    <mergeCell ref="SDM15:SDP15"/>
    <mergeCell ref="SDQ15:SDT15"/>
    <mergeCell ref="SDU15:SDX15"/>
    <mergeCell ref="SDY15:SEB15"/>
    <mergeCell ref="SEC15:SEF15"/>
    <mergeCell ref="SEG15:SEJ15"/>
    <mergeCell ref="SEK15:SEN15"/>
    <mergeCell ref="SEO15:SER15"/>
    <mergeCell ref="SES15:SEV15"/>
    <mergeCell ref="SEW15:SEZ15"/>
    <mergeCell ref="SFA15:SFD15"/>
    <mergeCell ref="SFE15:SFH15"/>
    <mergeCell ref="SFI15:SFL15"/>
    <mergeCell ref="SFM15:SFP15"/>
    <mergeCell ref="SFQ15:SFT15"/>
    <mergeCell ref="SFU15:SFX15"/>
    <mergeCell ref="SFY15:SGB15"/>
    <mergeCell ref="SGC15:SGF15"/>
    <mergeCell ref="SGG15:SGJ15"/>
    <mergeCell ref="SGK15:SGN15"/>
    <mergeCell ref="SGO15:SGR15"/>
    <mergeCell ref="SGS15:SGV15"/>
    <mergeCell ref="SGW15:SGZ15"/>
    <mergeCell ref="SHA15:SHD15"/>
    <mergeCell ref="SHE15:SHH15"/>
    <mergeCell ref="SHI15:SHL15"/>
    <mergeCell ref="RXI15:RXL15"/>
    <mergeCell ref="RXM15:RXP15"/>
    <mergeCell ref="RXQ15:RXT15"/>
    <mergeCell ref="RXU15:RXX15"/>
    <mergeCell ref="RXY15:RYB15"/>
    <mergeCell ref="RYC15:RYF15"/>
    <mergeCell ref="RYG15:RYJ15"/>
    <mergeCell ref="RYK15:RYN15"/>
    <mergeCell ref="RYO15:RYR15"/>
    <mergeCell ref="RYS15:RYV15"/>
    <mergeCell ref="RYW15:RYZ15"/>
    <mergeCell ref="RZA15:RZD15"/>
    <mergeCell ref="RZE15:RZH15"/>
    <mergeCell ref="RZI15:RZL15"/>
    <mergeCell ref="RZM15:RZP15"/>
    <mergeCell ref="RZQ15:RZT15"/>
    <mergeCell ref="RZU15:RZX15"/>
    <mergeCell ref="RZY15:SAB15"/>
    <mergeCell ref="SAC15:SAF15"/>
    <mergeCell ref="SAG15:SAJ15"/>
    <mergeCell ref="SAK15:SAN15"/>
    <mergeCell ref="SAO15:SAR15"/>
    <mergeCell ref="SAS15:SAV15"/>
    <mergeCell ref="SAW15:SAZ15"/>
    <mergeCell ref="SBA15:SBD15"/>
    <mergeCell ref="SBE15:SBH15"/>
    <mergeCell ref="SBI15:SBL15"/>
    <mergeCell ref="SBM15:SBP15"/>
    <mergeCell ref="SBQ15:SBT15"/>
    <mergeCell ref="SBU15:SBX15"/>
    <mergeCell ref="SBY15:SCB15"/>
    <mergeCell ref="SCC15:SCF15"/>
    <mergeCell ref="SCG15:SCJ15"/>
    <mergeCell ref="RSG15:RSJ15"/>
    <mergeCell ref="RSK15:RSN15"/>
    <mergeCell ref="RSO15:RSR15"/>
    <mergeCell ref="RSS15:RSV15"/>
    <mergeCell ref="RSW15:RSZ15"/>
    <mergeCell ref="RTA15:RTD15"/>
    <mergeCell ref="RTE15:RTH15"/>
    <mergeCell ref="RTI15:RTL15"/>
    <mergeCell ref="RTM15:RTP15"/>
    <mergeCell ref="RTQ15:RTT15"/>
    <mergeCell ref="RTU15:RTX15"/>
    <mergeCell ref="RTY15:RUB15"/>
    <mergeCell ref="RUC15:RUF15"/>
    <mergeCell ref="RUG15:RUJ15"/>
    <mergeCell ref="RUK15:RUN15"/>
    <mergeCell ref="RUO15:RUR15"/>
    <mergeCell ref="RUS15:RUV15"/>
    <mergeCell ref="RUW15:RUZ15"/>
    <mergeCell ref="RVA15:RVD15"/>
    <mergeCell ref="RVE15:RVH15"/>
    <mergeCell ref="RVI15:RVL15"/>
    <mergeCell ref="RVM15:RVP15"/>
    <mergeCell ref="RVQ15:RVT15"/>
    <mergeCell ref="RVU15:RVX15"/>
    <mergeCell ref="RVY15:RWB15"/>
    <mergeCell ref="RWC15:RWF15"/>
    <mergeCell ref="RWG15:RWJ15"/>
    <mergeCell ref="RWK15:RWN15"/>
    <mergeCell ref="RWO15:RWR15"/>
    <mergeCell ref="RWS15:RWV15"/>
    <mergeCell ref="RWW15:RWZ15"/>
    <mergeCell ref="RXA15:RXD15"/>
    <mergeCell ref="RXE15:RXH15"/>
    <mergeCell ref="RNE15:RNH15"/>
    <mergeCell ref="RNI15:RNL15"/>
    <mergeCell ref="RNM15:RNP15"/>
    <mergeCell ref="RNQ15:RNT15"/>
    <mergeCell ref="RNU15:RNX15"/>
    <mergeCell ref="RNY15:ROB15"/>
    <mergeCell ref="ROC15:ROF15"/>
    <mergeCell ref="ROG15:ROJ15"/>
    <mergeCell ref="ROK15:RON15"/>
    <mergeCell ref="ROO15:ROR15"/>
    <mergeCell ref="ROS15:ROV15"/>
    <mergeCell ref="ROW15:ROZ15"/>
    <mergeCell ref="RPA15:RPD15"/>
    <mergeCell ref="RPE15:RPH15"/>
    <mergeCell ref="RPI15:RPL15"/>
    <mergeCell ref="RPM15:RPP15"/>
    <mergeCell ref="RPQ15:RPT15"/>
    <mergeCell ref="RPU15:RPX15"/>
    <mergeCell ref="RPY15:RQB15"/>
    <mergeCell ref="RQC15:RQF15"/>
    <mergeCell ref="RQG15:RQJ15"/>
    <mergeCell ref="RQK15:RQN15"/>
    <mergeCell ref="RQO15:RQR15"/>
    <mergeCell ref="RQS15:RQV15"/>
    <mergeCell ref="RQW15:RQZ15"/>
    <mergeCell ref="RRA15:RRD15"/>
    <mergeCell ref="RRE15:RRH15"/>
    <mergeCell ref="RRI15:RRL15"/>
    <mergeCell ref="RRM15:RRP15"/>
    <mergeCell ref="RRQ15:RRT15"/>
    <mergeCell ref="RRU15:RRX15"/>
    <mergeCell ref="RRY15:RSB15"/>
    <mergeCell ref="RSC15:RSF15"/>
    <mergeCell ref="RIC15:RIF15"/>
    <mergeCell ref="RIG15:RIJ15"/>
    <mergeCell ref="RIK15:RIN15"/>
    <mergeCell ref="RIO15:RIR15"/>
    <mergeCell ref="RIS15:RIV15"/>
    <mergeCell ref="RIW15:RIZ15"/>
    <mergeCell ref="RJA15:RJD15"/>
    <mergeCell ref="RJE15:RJH15"/>
    <mergeCell ref="RJI15:RJL15"/>
    <mergeCell ref="RJM15:RJP15"/>
    <mergeCell ref="RJQ15:RJT15"/>
    <mergeCell ref="RJU15:RJX15"/>
    <mergeCell ref="RJY15:RKB15"/>
    <mergeCell ref="RKC15:RKF15"/>
    <mergeCell ref="RKG15:RKJ15"/>
    <mergeCell ref="RKK15:RKN15"/>
    <mergeCell ref="RKO15:RKR15"/>
    <mergeCell ref="RKS15:RKV15"/>
    <mergeCell ref="RKW15:RKZ15"/>
    <mergeCell ref="RLA15:RLD15"/>
    <mergeCell ref="RLE15:RLH15"/>
    <mergeCell ref="RLI15:RLL15"/>
    <mergeCell ref="RLM15:RLP15"/>
    <mergeCell ref="RLQ15:RLT15"/>
    <mergeCell ref="RLU15:RLX15"/>
    <mergeCell ref="RLY15:RMB15"/>
    <mergeCell ref="RMC15:RMF15"/>
    <mergeCell ref="RMG15:RMJ15"/>
    <mergeCell ref="RMK15:RMN15"/>
    <mergeCell ref="RMO15:RMR15"/>
    <mergeCell ref="RMS15:RMV15"/>
    <mergeCell ref="RMW15:RMZ15"/>
    <mergeCell ref="RNA15:RND15"/>
    <mergeCell ref="RDA15:RDD15"/>
    <mergeCell ref="RDE15:RDH15"/>
    <mergeCell ref="RDI15:RDL15"/>
    <mergeCell ref="RDM15:RDP15"/>
    <mergeCell ref="RDQ15:RDT15"/>
    <mergeCell ref="RDU15:RDX15"/>
    <mergeCell ref="RDY15:REB15"/>
    <mergeCell ref="REC15:REF15"/>
    <mergeCell ref="REG15:REJ15"/>
    <mergeCell ref="REK15:REN15"/>
    <mergeCell ref="REO15:RER15"/>
    <mergeCell ref="RES15:REV15"/>
    <mergeCell ref="REW15:REZ15"/>
    <mergeCell ref="RFA15:RFD15"/>
    <mergeCell ref="RFE15:RFH15"/>
    <mergeCell ref="RFI15:RFL15"/>
    <mergeCell ref="RFM15:RFP15"/>
    <mergeCell ref="RFQ15:RFT15"/>
    <mergeCell ref="RFU15:RFX15"/>
    <mergeCell ref="RFY15:RGB15"/>
    <mergeCell ref="RGC15:RGF15"/>
    <mergeCell ref="RGG15:RGJ15"/>
    <mergeCell ref="RGK15:RGN15"/>
    <mergeCell ref="RGO15:RGR15"/>
    <mergeCell ref="RGS15:RGV15"/>
    <mergeCell ref="RGW15:RGZ15"/>
    <mergeCell ref="RHA15:RHD15"/>
    <mergeCell ref="RHE15:RHH15"/>
    <mergeCell ref="RHI15:RHL15"/>
    <mergeCell ref="RHM15:RHP15"/>
    <mergeCell ref="RHQ15:RHT15"/>
    <mergeCell ref="RHU15:RHX15"/>
    <mergeCell ref="RHY15:RIB15"/>
    <mergeCell ref="QXY15:QYB15"/>
    <mergeCell ref="QYC15:QYF15"/>
    <mergeCell ref="QYG15:QYJ15"/>
    <mergeCell ref="QYK15:QYN15"/>
    <mergeCell ref="QYO15:QYR15"/>
    <mergeCell ref="QYS15:QYV15"/>
    <mergeCell ref="QYW15:QYZ15"/>
    <mergeCell ref="QZA15:QZD15"/>
    <mergeCell ref="QZE15:QZH15"/>
    <mergeCell ref="QZI15:QZL15"/>
    <mergeCell ref="QZM15:QZP15"/>
    <mergeCell ref="QZQ15:QZT15"/>
    <mergeCell ref="QZU15:QZX15"/>
    <mergeCell ref="QZY15:RAB15"/>
    <mergeCell ref="RAC15:RAF15"/>
    <mergeCell ref="RAG15:RAJ15"/>
    <mergeCell ref="RAK15:RAN15"/>
    <mergeCell ref="RAO15:RAR15"/>
    <mergeCell ref="RAS15:RAV15"/>
    <mergeCell ref="RAW15:RAZ15"/>
    <mergeCell ref="RBA15:RBD15"/>
    <mergeCell ref="RBE15:RBH15"/>
    <mergeCell ref="RBI15:RBL15"/>
    <mergeCell ref="RBM15:RBP15"/>
    <mergeCell ref="RBQ15:RBT15"/>
    <mergeCell ref="RBU15:RBX15"/>
    <mergeCell ref="RBY15:RCB15"/>
    <mergeCell ref="RCC15:RCF15"/>
    <mergeCell ref="RCG15:RCJ15"/>
    <mergeCell ref="RCK15:RCN15"/>
    <mergeCell ref="RCO15:RCR15"/>
    <mergeCell ref="RCS15:RCV15"/>
    <mergeCell ref="RCW15:RCZ15"/>
    <mergeCell ref="QSW15:QSZ15"/>
    <mergeCell ref="QTA15:QTD15"/>
    <mergeCell ref="QTE15:QTH15"/>
    <mergeCell ref="QTI15:QTL15"/>
    <mergeCell ref="QTM15:QTP15"/>
    <mergeCell ref="QTQ15:QTT15"/>
    <mergeCell ref="QTU15:QTX15"/>
    <mergeCell ref="QTY15:QUB15"/>
    <mergeCell ref="QUC15:QUF15"/>
    <mergeCell ref="QUG15:QUJ15"/>
    <mergeCell ref="QUK15:QUN15"/>
    <mergeCell ref="QUO15:QUR15"/>
    <mergeCell ref="QUS15:QUV15"/>
    <mergeCell ref="QUW15:QUZ15"/>
    <mergeCell ref="QVA15:QVD15"/>
    <mergeCell ref="QVE15:QVH15"/>
    <mergeCell ref="QVI15:QVL15"/>
    <mergeCell ref="QVM15:QVP15"/>
    <mergeCell ref="QVQ15:QVT15"/>
    <mergeCell ref="QVU15:QVX15"/>
    <mergeCell ref="QVY15:QWB15"/>
    <mergeCell ref="QWC15:QWF15"/>
    <mergeCell ref="QWG15:QWJ15"/>
    <mergeCell ref="QWK15:QWN15"/>
    <mergeCell ref="QWO15:QWR15"/>
    <mergeCell ref="QWS15:QWV15"/>
    <mergeCell ref="QWW15:QWZ15"/>
    <mergeCell ref="QXA15:QXD15"/>
    <mergeCell ref="QXE15:QXH15"/>
    <mergeCell ref="QXI15:QXL15"/>
    <mergeCell ref="QXM15:QXP15"/>
    <mergeCell ref="QXQ15:QXT15"/>
    <mergeCell ref="QXU15:QXX15"/>
    <mergeCell ref="QNU15:QNX15"/>
    <mergeCell ref="QNY15:QOB15"/>
    <mergeCell ref="QOC15:QOF15"/>
    <mergeCell ref="QOG15:QOJ15"/>
    <mergeCell ref="QOK15:QON15"/>
    <mergeCell ref="QOO15:QOR15"/>
    <mergeCell ref="QOS15:QOV15"/>
    <mergeCell ref="QOW15:QOZ15"/>
    <mergeCell ref="QPA15:QPD15"/>
    <mergeCell ref="QPE15:QPH15"/>
    <mergeCell ref="QPI15:QPL15"/>
    <mergeCell ref="QPM15:QPP15"/>
    <mergeCell ref="QPQ15:QPT15"/>
    <mergeCell ref="QPU15:QPX15"/>
    <mergeCell ref="QPY15:QQB15"/>
    <mergeCell ref="QQC15:QQF15"/>
    <mergeCell ref="QQG15:QQJ15"/>
    <mergeCell ref="QQK15:QQN15"/>
    <mergeCell ref="QQO15:QQR15"/>
    <mergeCell ref="QQS15:QQV15"/>
    <mergeCell ref="QQW15:QQZ15"/>
    <mergeCell ref="QRA15:QRD15"/>
    <mergeCell ref="QRE15:QRH15"/>
    <mergeCell ref="QRI15:QRL15"/>
    <mergeCell ref="QRM15:QRP15"/>
    <mergeCell ref="QRQ15:QRT15"/>
    <mergeCell ref="QRU15:QRX15"/>
    <mergeCell ref="QRY15:QSB15"/>
    <mergeCell ref="QSC15:QSF15"/>
    <mergeCell ref="QSG15:QSJ15"/>
    <mergeCell ref="QSK15:QSN15"/>
    <mergeCell ref="QSO15:QSR15"/>
    <mergeCell ref="QSS15:QSV15"/>
    <mergeCell ref="QIS15:QIV15"/>
    <mergeCell ref="QIW15:QIZ15"/>
    <mergeCell ref="QJA15:QJD15"/>
    <mergeCell ref="QJE15:QJH15"/>
    <mergeCell ref="QJI15:QJL15"/>
    <mergeCell ref="QJM15:QJP15"/>
    <mergeCell ref="QJQ15:QJT15"/>
    <mergeCell ref="QJU15:QJX15"/>
    <mergeCell ref="QJY15:QKB15"/>
    <mergeCell ref="QKC15:QKF15"/>
    <mergeCell ref="QKG15:QKJ15"/>
    <mergeCell ref="QKK15:QKN15"/>
    <mergeCell ref="QKO15:QKR15"/>
    <mergeCell ref="QKS15:QKV15"/>
    <mergeCell ref="QKW15:QKZ15"/>
    <mergeCell ref="QLA15:QLD15"/>
    <mergeCell ref="QLE15:QLH15"/>
    <mergeCell ref="QLI15:QLL15"/>
    <mergeCell ref="QLM15:QLP15"/>
    <mergeCell ref="QLQ15:QLT15"/>
    <mergeCell ref="QLU15:QLX15"/>
    <mergeCell ref="QLY15:QMB15"/>
    <mergeCell ref="QMC15:QMF15"/>
    <mergeCell ref="QMG15:QMJ15"/>
    <mergeCell ref="QMK15:QMN15"/>
    <mergeCell ref="QMO15:QMR15"/>
    <mergeCell ref="QMS15:QMV15"/>
    <mergeCell ref="QMW15:QMZ15"/>
    <mergeCell ref="QNA15:QND15"/>
    <mergeCell ref="QNE15:QNH15"/>
    <mergeCell ref="QNI15:QNL15"/>
    <mergeCell ref="QNM15:QNP15"/>
    <mergeCell ref="QNQ15:QNT15"/>
    <mergeCell ref="QDQ15:QDT15"/>
    <mergeCell ref="QDU15:QDX15"/>
    <mergeCell ref="QDY15:QEB15"/>
    <mergeCell ref="QEC15:QEF15"/>
    <mergeCell ref="QEG15:QEJ15"/>
    <mergeCell ref="QEK15:QEN15"/>
    <mergeCell ref="QEO15:QER15"/>
    <mergeCell ref="QES15:QEV15"/>
    <mergeCell ref="QEW15:QEZ15"/>
    <mergeCell ref="QFA15:QFD15"/>
    <mergeCell ref="QFE15:QFH15"/>
    <mergeCell ref="QFI15:QFL15"/>
    <mergeCell ref="QFM15:QFP15"/>
    <mergeCell ref="QFQ15:QFT15"/>
    <mergeCell ref="QFU15:QFX15"/>
    <mergeCell ref="QFY15:QGB15"/>
    <mergeCell ref="QGC15:QGF15"/>
    <mergeCell ref="QGG15:QGJ15"/>
    <mergeCell ref="QGK15:QGN15"/>
    <mergeCell ref="QGO15:QGR15"/>
    <mergeCell ref="QGS15:QGV15"/>
    <mergeCell ref="QGW15:QGZ15"/>
    <mergeCell ref="QHA15:QHD15"/>
    <mergeCell ref="QHE15:QHH15"/>
    <mergeCell ref="QHI15:QHL15"/>
    <mergeCell ref="QHM15:QHP15"/>
    <mergeCell ref="QHQ15:QHT15"/>
    <mergeCell ref="QHU15:QHX15"/>
    <mergeCell ref="QHY15:QIB15"/>
    <mergeCell ref="QIC15:QIF15"/>
    <mergeCell ref="QIG15:QIJ15"/>
    <mergeCell ref="QIK15:QIN15"/>
    <mergeCell ref="QIO15:QIR15"/>
    <mergeCell ref="PYO15:PYR15"/>
    <mergeCell ref="PYS15:PYV15"/>
    <mergeCell ref="PYW15:PYZ15"/>
    <mergeCell ref="PZA15:PZD15"/>
    <mergeCell ref="PZE15:PZH15"/>
    <mergeCell ref="PZI15:PZL15"/>
    <mergeCell ref="PZM15:PZP15"/>
    <mergeCell ref="PZQ15:PZT15"/>
    <mergeCell ref="PZU15:PZX15"/>
    <mergeCell ref="PZY15:QAB15"/>
    <mergeCell ref="QAC15:QAF15"/>
    <mergeCell ref="QAG15:QAJ15"/>
    <mergeCell ref="QAK15:QAN15"/>
    <mergeCell ref="QAO15:QAR15"/>
    <mergeCell ref="QAS15:QAV15"/>
    <mergeCell ref="QAW15:QAZ15"/>
    <mergeCell ref="QBA15:QBD15"/>
    <mergeCell ref="QBE15:QBH15"/>
    <mergeCell ref="QBI15:QBL15"/>
    <mergeCell ref="QBM15:QBP15"/>
    <mergeCell ref="QBQ15:QBT15"/>
    <mergeCell ref="QBU15:QBX15"/>
    <mergeCell ref="QBY15:QCB15"/>
    <mergeCell ref="QCC15:QCF15"/>
    <mergeCell ref="QCG15:QCJ15"/>
    <mergeCell ref="QCK15:QCN15"/>
    <mergeCell ref="QCO15:QCR15"/>
    <mergeCell ref="QCS15:QCV15"/>
    <mergeCell ref="QCW15:QCZ15"/>
    <mergeCell ref="QDA15:QDD15"/>
    <mergeCell ref="QDE15:QDH15"/>
    <mergeCell ref="QDI15:QDL15"/>
    <mergeCell ref="QDM15:QDP15"/>
    <mergeCell ref="PTM15:PTP15"/>
    <mergeCell ref="PTQ15:PTT15"/>
    <mergeCell ref="PTU15:PTX15"/>
    <mergeCell ref="PTY15:PUB15"/>
    <mergeCell ref="PUC15:PUF15"/>
    <mergeCell ref="PUG15:PUJ15"/>
    <mergeCell ref="PUK15:PUN15"/>
    <mergeCell ref="PUO15:PUR15"/>
    <mergeCell ref="PUS15:PUV15"/>
    <mergeCell ref="PUW15:PUZ15"/>
    <mergeCell ref="PVA15:PVD15"/>
    <mergeCell ref="PVE15:PVH15"/>
    <mergeCell ref="PVI15:PVL15"/>
    <mergeCell ref="PVM15:PVP15"/>
    <mergeCell ref="PVQ15:PVT15"/>
    <mergeCell ref="PVU15:PVX15"/>
    <mergeCell ref="PVY15:PWB15"/>
    <mergeCell ref="PWC15:PWF15"/>
    <mergeCell ref="PWG15:PWJ15"/>
    <mergeCell ref="PWK15:PWN15"/>
    <mergeCell ref="PWO15:PWR15"/>
    <mergeCell ref="PWS15:PWV15"/>
    <mergeCell ref="PWW15:PWZ15"/>
    <mergeCell ref="PXA15:PXD15"/>
    <mergeCell ref="PXE15:PXH15"/>
    <mergeCell ref="PXI15:PXL15"/>
    <mergeCell ref="PXM15:PXP15"/>
    <mergeCell ref="PXQ15:PXT15"/>
    <mergeCell ref="PXU15:PXX15"/>
    <mergeCell ref="PXY15:PYB15"/>
    <mergeCell ref="PYC15:PYF15"/>
    <mergeCell ref="PYG15:PYJ15"/>
    <mergeCell ref="PYK15:PYN15"/>
    <mergeCell ref="POK15:PON15"/>
    <mergeCell ref="POO15:POR15"/>
    <mergeCell ref="POS15:POV15"/>
    <mergeCell ref="POW15:POZ15"/>
    <mergeCell ref="PPA15:PPD15"/>
    <mergeCell ref="PPE15:PPH15"/>
    <mergeCell ref="PPI15:PPL15"/>
    <mergeCell ref="PPM15:PPP15"/>
    <mergeCell ref="PPQ15:PPT15"/>
    <mergeCell ref="PPU15:PPX15"/>
    <mergeCell ref="PPY15:PQB15"/>
    <mergeCell ref="PQC15:PQF15"/>
    <mergeCell ref="PQG15:PQJ15"/>
    <mergeCell ref="PQK15:PQN15"/>
    <mergeCell ref="PQO15:PQR15"/>
    <mergeCell ref="PQS15:PQV15"/>
    <mergeCell ref="PQW15:PQZ15"/>
    <mergeCell ref="PRA15:PRD15"/>
    <mergeCell ref="PRE15:PRH15"/>
    <mergeCell ref="PRI15:PRL15"/>
    <mergeCell ref="PRM15:PRP15"/>
    <mergeCell ref="PRQ15:PRT15"/>
    <mergeCell ref="PRU15:PRX15"/>
    <mergeCell ref="PRY15:PSB15"/>
    <mergeCell ref="PSC15:PSF15"/>
    <mergeCell ref="PSG15:PSJ15"/>
    <mergeCell ref="PSK15:PSN15"/>
    <mergeCell ref="PSO15:PSR15"/>
    <mergeCell ref="PSS15:PSV15"/>
    <mergeCell ref="PSW15:PSZ15"/>
    <mergeCell ref="PTA15:PTD15"/>
    <mergeCell ref="PTE15:PTH15"/>
    <mergeCell ref="PTI15:PTL15"/>
    <mergeCell ref="PJI15:PJL15"/>
    <mergeCell ref="PJM15:PJP15"/>
    <mergeCell ref="PJQ15:PJT15"/>
    <mergeCell ref="PJU15:PJX15"/>
    <mergeCell ref="PJY15:PKB15"/>
    <mergeCell ref="PKC15:PKF15"/>
    <mergeCell ref="PKG15:PKJ15"/>
    <mergeCell ref="PKK15:PKN15"/>
    <mergeCell ref="PKO15:PKR15"/>
    <mergeCell ref="PKS15:PKV15"/>
    <mergeCell ref="PKW15:PKZ15"/>
    <mergeCell ref="PLA15:PLD15"/>
    <mergeCell ref="PLE15:PLH15"/>
    <mergeCell ref="PLI15:PLL15"/>
    <mergeCell ref="PLM15:PLP15"/>
    <mergeCell ref="PLQ15:PLT15"/>
    <mergeCell ref="PLU15:PLX15"/>
    <mergeCell ref="PLY15:PMB15"/>
    <mergeCell ref="PMC15:PMF15"/>
    <mergeCell ref="PMG15:PMJ15"/>
    <mergeCell ref="PMK15:PMN15"/>
    <mergeCell ref="PMO15:PMR15"/>
    <mergeCell ref="PMS15:PMV15"/>
    <mergeCell ref="PMW15:PMZ15"/>
    <mergeCell ref="PNA15:PND15"/>
    <mergeCell ref="PNE15:PNH15"/>
    <mergeCell ref="PNI15:PNL15"/>
    <mergeCell ref="PNM15:PNP15"/>
    <mergeCell ref="PNQ15:PNT15"/>
    <mergeCell ref="PNU15:PNX15"/>
    <mergeCell ref="PNY15:POB15"/>
    <mergeCell ref="POC15:POF15"/>
    <mergeCell ref="POG15:POJ15"/>
    <mergeCell ref="PEG15:PEJ15"/>
    <mergeCell ref="PEK15:PEN15"/>
    <mergeCell ref="PEO15:PER15"/>
    <mergeCell ref="PES15:PEV15"/>
    <mergeCell ref="PEW15:PEZ15"/>
    <mergeCell ref="PFA15:PFD15"/>
    <mergeCell ref="PFE15:PFH15"/>
    <mergeCell ref="PFI15:PFL15"/>
    <mergeCell ref="PFM15:PFP15"/>
    <mergeCell ref="PFQ15:PFT15"/>
    <mergeCell ref="PFU15:PFX15"/>
    <mergeCell ref="PFY15:PGB15"/>
    <mergeCell ref="PGC15:PGF15"/>
    <mergeCell ref="PGG15:PGJ15"/>
    <mergeCell ref="PGK15:PGN15"/>
    <mergeCell ref="PGO15:PGR15"/>
    <mergeCell ref="PGS15:PGV15"/>
    <mergeCell ref="PGW15:PGZ15"/>
    <mergeCell ref="PHA15:PHD15"/>
    <mergeCell ref="PHE15:PHH15"/>
    <mergeCell ref="PHI15:PHL15"/>
    <mergeCell ref="PHM15:PHP15"/>
    <mergeCell ref="PHQ15:PHT15"/>
    <mergeCell ref="PHU15:PHX15"/>
    <mergeCell ref="PHY15:PIB15"/>
    <mergeCell ref="PIC15:PIF15"/>
    <mergeCell ref="PIG15:PIJ15"/>
    <mergeCell ref="PIK15:PIN15"/>
    <mergeCell ref="PIO15:PIR15"/>
    <mergeCell ref="PIS15:PIV15"/>
    <mergeCell ref="PIW15:PIZ15"/>
    <mergeCell ref="PJA15:PJD15"/>
    <mergeCell ref="PJE15:PJH15"/>
    <mergeCell ref="OZE15:OZH15"/>
    <mergeCell ref="OZI15:OZL15"/>
    <mergeCell ref="OZM15:OZP15"/>
    <mergeCell ref="OZQ15:OZT15"/>
    <mergeCell ref="OZU15:OZX15"/>
    <mergeCell ref="OZY15:PAB15"/>
    <mergeCell ref="PAC15:PAF15"/>
    <mergeCell ref="PAG15:PAJ15"/>
    <mergeCell ref="PAK15:PAN15"/>
    <mergeCell ref="PAO15:PAR15"/>
    <mergeCell ref="PAS15:PAV15"/>
    <mergeCell ref="PAW15:PAZ15"/>
    <mergeCell ref="PBA15:PBD15"/>
    <mergeCell ref="PBE15:PBH15"/>
    <mergeCell ref="PBI15:PBL15"/>
    <mergeCell ref="PBM15:PBP15"/>
    <mergeCell ref="PBQ15:PBT15"/>
    <mergeCell ref="PBU15:PBX15"/>
    <mergeCell ref="PBY15:PCB15"/>
    <mergeCell ref="PCC15:PCF15"/>
    <mergeCell ref="PCG15:PCJ15"/>
    <mergeCell ref="PCK15:PCN15"/>
    <mergeCell ref="PCO15:PCR15"/>
    <mergeCell ref="PCS15:PCV15"/>
    <mergeCell ref="PCW15:PCZ15"/>
    <mergeCell ref="PDA15:PDD15"/>
    <mergeCell ref="PDE15:PDH15"/>
    <mergeCell ref="PDI15:PDL15"/>
    <mergeCell ref="PDM15:PDP15"/>
    <mergeCell ref="PDQ15:PDT15"/>
    <mergeCell ref="PDU15:PDX15"/>
    <mergeCell ref="PDY15:PEB15"/>
    <mergeCell ref="PEC15:PEF15"/>
    <mergeCell ref="OUC15:OUF15"/>
    <mergeCell ref="OUG15:OUJ15"/>
    <mergeCell ref="OUK15:OUN15"/>
    <mergeCell ref="OUO15:OUR15"/>
    <mergeCell ref="OUS15:OUV15"/>
    <mergeCell ref="OUW15:OUZ15"/>
    <mergeCell ref="OVA15:OVD15"/>
    <mergeCell ref="OVE15:OVH15"/>
    <mergeCell ref="OVI15:OVL15"/>
    <mergeCell ref="OVM15:OVP15"/>
    <mergeCell ref="OVQ15:OVT15"/>
    <mergeCell ref="OVU15:OVX15"/>
    <mergeCell ref="OVY15:OWB15"/>
    <mergeCell ref="OWC15:OWF15"/>
    <mergeCell ref="OWG15:OWJ15"/>
    <mergeCell ref="OWK15:OWN15"/>
    <mergeCell ref="OWO15:OWR15"/>
    <mergeCell ref="OWS15:OWV15"/>
    <mergeCell ref="OWW15:OWZ15"/>
    <mergeCell ref="OXA15:OXD15"/>
    <mergeCell ref="OXE15:OXH15"/>
    <mergeCell ref="OXI15:OXL15"/>
    <mergeCell ref="OXM15:OXP15"/>
    <mergeCell ref="OXQ15:OXT15"/>
    <mergeCell ref="OXU15:OXX15"/>
    <mergeCell ref="OXY15:OYB15"/>
    <mergeCell ref="OYC15:OYF15"/>
    <mergeCell ref="OYG15:OYJ15"/>
    <mergeCell ref="OYK15:OYN15"/>
    <mergeCell ref="OYO15:OYR15"/>
    <mergeCell ref="OYS15:OYV15"/>
    <mergeCell ref="OYW15:OYZ15"/>
    <mergeCell ref="OZA15:OZD15"/>
    <mergeCell ref="OPA15:OPD15"/>
    <mergeCell ref="OPE15:OPH15"/>
    <mergeCell ref="OPI15:OPL15"/>
    <mergeCell ref="OPM15:OPP15"/>
    <mergeCell ref="OPQ15:OPT15"/>
    <mergeCell ref="OPU15:OPX15"/>
    <mergeCell ref="OPY15:OQB15"/>
    <mergeCell ref="OQC15:OQF15"/>
    <mergeCell ref="OQG15:OQJ15"/>
    <mergeCell ref="OQK15:OQN15"/>
    <mergeCell ref="OQO15:OQR15"/>
    <mergeCell ref="OQS15:OQV15"/>
    <mergeCell ref="OQW15:OQZ15"/>
    <mergeCell ref="ORA15:ORD15"/>
    <mergeCell ref="ORE15:ORH15"/>
    <mergeCell ref="ORI15:ORL15"/>
    <mergeCell ref="ORM15:ORP15"/>
    <mergeCell ref="ORQ15:ORT15"/>
    <mergeCell ref="ORU15:ORX15"/>
    <mergeCell ref="ORY15:OSB15"/>
    <mergeCell ref="OSC15:OSF15"/>
    <mergeCell ref="OSG15:OSJ15"/>
    <mergeCell ref="OSK15:OSN15"/>
    <mergeCell ref="OSO15:OSR15"/>
    <mergeCell ref="OSS15:OSV15"/>
    <mergeCell ref="OSW15:OSZ15"/>
    <mergeCell ref="OTA15:OTD15"/>
    <mergeCell ref="OTE15:OTH15"/>
    <mergeCell ref="OTI15:OTL15"/>
    <mergeCell ref="OTM15:OTP15"/>
    <mergeCell ref="OTQ15:OTT15"/>
    <mergeCell ref="OTU15:OTX15"/>
    <mergeCell ref="OTY15:OUB15"/>
    <mergeCell ref="OJY15:OKB15"/>
    <mergeCell ref="OKC15:OKF15"/>
    <mergeCell ref="OKG15:OKJ15"/>
    <mergeCell ref="OKK15:OKN15"/>
    <mergeCell ref="OKO15:OKR15"/>
    <mergeCell ref="OKS15:OKV15"/>
    <mergeCell ref="OKW15:OKZ15"/>
    <mergeCell ref="OLA15:OLD15"/>
    <mergeCell ref="OLE15:OLH15"/>
    <mergeCell ref="OLI15:OLL15"/>
    <mergeCell ref="OLM15:OLP15"/>
    <mergeCell ref="OLQ15:OLT15"/>
    <mergeCell ref="OLU15:OLX15"/>
    <mergeCell ref="OLY15:OMB15"/>
    <mergeCell ref="OMC15:OMF15"/>
    <mergeCell ref="OMG15:OMJ15"/>
    <mergeCell ref="OMK15:OMN15"/>
    <mergeCell ref="OMO15:OMR15"/>
    <mergeCell ref="OMS15:OMV15"/>
    <mergeCell ref="OMW15:OMZ15"/>
    <mergeCell ref="ONA15:OND15"/>
    <mergeCell ref="ONE15:ONH15"/>
    <mergeCell ref="ONI15:ONL15"/>
    <mergeCell ref="ONM15:ONP15"/>
    <mergeCell ref="ONQ15:ONT15"/>
    <mergeCell ref="ONU15:ONX15"/>
    <mergeCell ref="ONY15:OOB15"/>
    <mergeCell ref="OOC15:OOF15"/>
    <mergeCell ref="OOG15:OOJ15"/>
    <mergeCell ref="OOK15:OON15"/>
    <mergeCell ref="OOO15:OOR15"/>
    <mergeCell ref="OOS15:OOV15"/>
    <mergeCell ref="OOW15:OOZ15"/>
    <mergeCell ref="OEW15:OEZ15"/>
    <mergeCell ref="OFA15:OFD15"/>
    <mergeCell ref="OFE15:OFH15"/>
    <mergeCell ref="OFI15:OFL15"/>
    <mergeCell ref="OFM15:OFP15"/>
    <mergeCell ref="OFQ15:OFT15"/>
    <mergeCell ref="OFU15:OFX15"/>
    <mergeCell ref="OFY15:OGB15"/>
    <mergeCell ref="OGC15:OGF15"/>
    <mergeCell ref="OGG15:OGJ15"/>
    <mergeCell ref="OGK15:OGN15"/>
    <mergeCell ref="OGO15:OGR15"/>
    <mergeCell ref="OGS15:OGV15"/>
    <mergeCell ref="OGW15:OGZ15"/>
    <mergeCell ref="OHA15:OHD15"/>
    <mergeCell ref="OHE15:OHH15"/>
    <mergeCell ref="OHI15:OHL15"/>
    <mergeCell ref="OHM15:OHP15"/>
    <mergeCell ref="OHQ15:OHT15"/>
    <mergeCell ref="OHU15:OHX15"/>
    <mergeCell ref="OHY15:OIB15"/>
    <mergeCell ref="OIC15:OIF15"/>
    <mergeCell ref="OIG15:OIJ15"/>
    <mergeCell ref="OIK15:OIN15"/>
    <mergeCell ref="OIO15:OIR15"/>
    <mergeCell ref="OIS15:OIV15"/>
    <mergeCell ref="OIW15:OIZ15"/>
    <mergeCell ref="OJA15:OJD15"/>
    <mergeCell ref="OJE15:OJH15"/>
    <mergeCell ref="OJI15:OJL15"/>
    <mergeCell ref="OJM15:OJP15"/>
    <mergeCell ref="OJQ15:OJT15"/>
    <mergeCell ref="OJU15:OJX15"/>
    <mergeCell ref="NZU15:NZX15"/>
    <mergeCell ref="NZY15:OAB15"/>
    <mergeCell ref="OAC15:OAF15"/>
    <mergeCell ref="OAG15:OAJ15"/>
    <mergeCell ref="OAK15:OAN15"/>
    <mergeCell ref="OAO15:OAR15"/>
    <mergeCell ref="OAS15:OAV15"/>
    <mergeCell ref="OAW15:OAZ15"/>
    <mergeCell ref="OBA15:OBD15"/>
    <mergeCell ref="OBE15:OBH15"/>
    <mergeCell ref="OBI15:OBL15"/>
    <mergeCell ref="OBM15:OBP15"/>
    <mergeCell ref="OBQ15:OBT15"/>
    <mergeCell ref="OBU15:OBX15"/>
    <mergeCell ref="OBY15:OCB15"/>
    <mergeCell ref="OCC15:OCF15"/>
    <mergeCell ref="OCG15:OCJ15"/>
    <mergeCell ref="OCK15:OCN15"/>
    <mergeCell ref="OCO15:OCR15"/>
    <mergeCell ref="OCS15:OCV15"/>
    <mergeCell ref="OCW15:OCZ15"/>
    <mergeCell ref="ODA15:ODD15"/>
    <mergeCell ref="ODE15:ODH15"/>
    <mergeCell ref="ODI15:ODL15"/>
    <mergeCell ref="ODM15:ODP15"/>
    <mergeCell ref="ODQ15:ODT15"/>
    <mergeCell ref="ODU15:ODX15"/>
    <mergeCell ref="ODY15:OEB15"/>
    <mergeCell ref="OEC15:OEF15"/>
    <mergeCell ref="OEG15:OEJ15"/>
    <mergeCell ref="OEK15:OEN15"/>
    <mergeCell ref="OEO15:OER15"/>
    <mergeCell ref="OES15:OEV15"/>
    <mergeCell ref="NUS15:NUV15"/>
    <mergeCell ref="NUW15:NUZ15"/>
    <mergeCell ref="NVA15:NVD15"/>
    <mergeCell ref="NVE15:NVH15"/>
    <mergeCell ref="NVI15:NVL15"/>
    <mergeCell ref="NVM15:NVP15"/>
    <mergeCell ref="NVQ15:NVT15"/>
    <mergeCell ref="NVU15:NVX15"/>
    <mergeCell ref="NVY15:NWB15"/>
    <mergeCell ref="NWC15:NWF15"/>
    <mergeCell ref="NWG15:NWJ15"/>
    <mergeCell ref="NWK15:NWN15"/>
    <mergeCell ref="NWO15:NWR15"/>
    <mergeCell ref="NWS15:NWV15"/>
    <mergeCell ref="NWW15:NWZ15"/>
    <mergeCell ref="NXA15:NXD15"/>
    <mergeCell ref="NXE15:NXH15"/>
    <mergeCell ref="NXI15:NXL15"/>
    <mergeCell ref="NXM15:NXP15"/>
    <mergeCell ref="NXQ15:NXT15"/>
    <mergeCell ref="NXU15:NXX15"/>
    <mergeCell ref="NXY15:NYB15"/>
    <mergeCell ref="NYC15:NYF15"/>
    <mergeCell ref="NYG15:NYJ15"/>
    <mergeCell ref="NYK15:NYN15"/>
    <mergeCell ref="NYO15:NYR15"/>
    <mergeCell ref="NYS15:NYV15"/>
    <mergeCell ref="NYW15:NYZ15"/>
    <mergeCell ref="NZA15:NZD15"/>
    <mergeCell ref="NZE15:NZH15"/>
    <mergeCell ref="NZI15:NZL15"/>
    <mergeCell ref="NZM15:NZP15"/>
    <mergeCell ref="NZQ15:NZT15"/>
    <mergeCell ref="NPQ15:NPT15"/>
    <mergeCell ref="NPU15:NPX15"/>
    <mergeCell ref="NPY15:NQB15"/>
    <mergeCell ref="NQC15:NQF15"/>
    <mergeCell ref="NQG15:NQJ15"/>
    <mergeCell ref="NQK15:NQN15"/>
    <mergeCell ref="NQO15:NQR15"/>
    <mergeCell ref="NQS15:NQV15"/>
    <mergeCell ref="NQW15:NQZ15"/>
    <mergeCell ref="NRA15:NRD15"/>
    <mergeCell ref="NRE15:NRH15"/>
    <mergeCell ref="NRI15:NRL15"/>
    <mergeCell ref="NRM15:NRP15"/>
    <mergeCell ref="NRQ15:NRT15"/>
    <mergeCell ref="NRU15:NRX15"/>
    <mergeCell ref="NRY15:NSB15"/>
    <mergeCell ref="NSC15:NSF15"/>
    <mergeCell ref="NSG15:NSJ15"/>
    <mergeCell ref="NSK15:NSN15"/>
    <mergeCell ref="NSO15:NSR15"/>
    <mergeCell ref="NSS15:NSV15"/>
    <mergeCell ref="NSW15:NSZ15"/>
    <mergeCell ref="NTA15:NTD15"/>
    <mergeCell ref="NTE15:NTH15"/>
    <mergeCell ref="NTI15:NTL15"/>
    <mergeCell ref="NTM15:NTP15"/>
    <mergeCell ref="NTQ15:NTT15"/>
    <mergeCell ref="NTU15:NTX15"/>
    <mergeCell ref="NTY15:NUB15"/>
    <mergeCell ref="NUC15:NUF15"/>
    <mergeCell ref="NUG15:NUJ15"/>
    <mergeCell ref="NUK15:NUN15"/>
    <mergeCell ref="NUO15:NUR15"/>
    <mergeCell ref="NKO15:NKR15"/>
    <mergeCell ref="NKS15:NKV15"/>
    <mergeCell ref="NKW15:NKZ15"/>
    <mergeCell ref="NLA15:NLD15"/>
    <mergeCell ref="NLE15:NLH15"/>
    <mergeCell ref="NLI15:NLL15"/>
    <mergeCell ref="NLM15:NLP15"/>
    <mergeCell ref="NLQ15:NLT15"/>
    <mergeCell ref="NLU15:NLX15"/>
    <mergeCell ref="NLY15:NMB15"/>
    <mergeCell ref="NMC15:NMF15"/>
    <mergeCell ref="NMG15:NMJ15"/>
    <mergeCell ref="NMK15:NMN15"/>
    <mergeCell ref="NMO15:NMR15"/>
    <mergeCell ref="NMS15:NMV15"/>
    <mergeCell ref="NMW15:NMZ15"/>
    <mergeCell ref="NNA15:NND15"/>
    <mergeCell ref="NNE15:NNH15"/>
    <mergeCell ref="NNI15:NNL15"/>
    <mergeCell ref="NNM15:NNP15"/>
    <mergeCell ref="NNQ15:NNT15"/>
    <mergeCell ref="NNU15:NNX15"/>
    <mergeCell ref="NNY15:NOB15"/>
    <mergeCell ref="NOC15:NOF15"/>
    <mergeCell ref="NOG15:NOJ15"/>
    <mergeCell ref="NOK15:NON15"/>
    <mergeCell ref="NOO15:NOR15"/>
    <mergeCell ref="NOS15:NOV15"/>
    <mergeCell ref="NOW15:NOZ15"/>
    <mergeCell ref="NPA15:NPD15"/>
    <mergeCell ref="NPE15:NPH15"/>
    <mergeCell ref="NPI15:NPL15"/>
    <mergeCell ref="NPM15:NPP15"/>
    <mergeCell ref="NFM15:NFP15"/>
    <mergeCell ref="NFQ15:NFT15"/>
    <mergeCell ref="NFU15:NFX15"/>
    <mergeCell ref="NFY15:NGB15"/>
    <mergeCell ref="NGC15:NGF15"/>
    <mergeCell ref="NGG15:NGJ15"/>
    <mergeCell ref="NGK15:NGN15"/>
    <mergeCell ref="NGO15:NGR15"/>
    <mergeCell ref="NGS15:NGV15"/>
    <mergeCell ref="NGW15:NGZ15"/>
    <mergeCell ref="NHA15:NHD15"/>
    <mergeCell ref="NHE15:NHH15"/>
    <mergeCell ref="NHI15:NHL15"/>
    <mergeCell ref="NHM15:NHP15"/>
    <mergeCell ref="NHQ15:NHT15"/>
    <mergeCell ref="NHU15:NHX15"/>
    <mergeCell ref="NHY15:NIB15"/>
    <mergeCell ref="NIC15:NIF15"/>
    <mergeCell ref="NIG15:NIJ15"/>
    <mergeCell ref="NIK15:NIN15"/>
    <mergeCell ref="NIO15:NIR15"/>
    <mergeCell ref="NIS15:NIV15"/>
    <mergeCell ref="NIW15:NIZ15"/>
    <mergeCell ref="NJA15:NJD15"/>
    <mergeCell ref="NJE15:NJH15"/>
    <mergeCell ref="NJI15:NJL15"/>
    <mergeCell ref="NJM15:NJP15"/>
    <mergeCell ref="NJQ15:NJT15"/>
    <mergeCell ref="NJU15:NJX15"/>
    <mergeCell ref="NJY15:NKB15"/>
    <mergeCell ref="NKC15:NKF15"/>
    <mergeCell ref="NKG15:NKJ15"/>
    <mergeCell ref="NKK15:NKN15"/>
    <mergeCell ref="NAK15:NAN15"/>
    <mergeCell ref="NAO15:NAR15"/>
    <mergeCell ref="NAS15:NAV15"/>
    <mergeCell ref="NAW15:NAZ15"/>
    <mergeCell ref="NBA15:NBD15"/>
    <mergeCell ref="NBE15:NBH15"/>
    <mergeCell ref="NBI15:NBL15"/>
    <mergeCell ref="NBM15:NBP15"/>
    <mergeCell ref="NBQ15:NBT15"/>
    <mergeCell ref="NBU15:NBX15"/>
    <mergeCell ref="NBY15:NCB15"/>
    <mergeCell ref="NCC15:NCF15"/>
    <mergeCell ref="NCG15:NCJ15"/>
    <mergeCell ref="NCK15:NCN15"/>
    <mergeCell ref="NCO15:NCR15"/>
    <mergeCell ref="NCS15:NCV15"/>
    <mergeCell ref="NCW15:NCZ15"/>
    <mergeCell ref="NDA15:NDD15"/>
    <mergeCell ref="NDE15:NDH15"/>
    <mergeCell ref="NDI15:NDL15"/>
    <mergeCell ref="NDM15:NDP15"/>
    <mergeCell ref="NDQ15:NDT15"/>
    <mergeCell ref="NDU15:NDX15"/>
    <mergeCell ref="NDY15:NEB15"/>
    <mergeCell ref="NEC15:NEF15"/>
    <mergeCell ref="NEG15:NEJ15"/>
    <mergeCell ref="NEK15:NEN15"/>
    <mergeCell ref="NEO15:NER15"/>
    <mergeCell ref="NES15:NEV15"/>
    <mergeCell ref="NEW15:NEZ15"/>
    <mergeCell ref="NFA15:NFD15"/>
    <mergeCell ref="NFE15:NFH15"/>
    <mergeCell ref="NFI15:NFL15"/>
    <mergeCell ref="MVI15:MVL15"/>
    <mergeCell ref="MVM15:MVP15"/>
    <mergeCell ref="MVQ15:MVT15"/>
    <mergeCell ref="MVU15:MVX15"/>
    <mergeCell ref="MVY15:MWB15"/>
    <mergeCell ref="MWC15:MWF15"/>
    <mergeCell ref="MWG15:MWJ15"/>
    <mergeCell ref="MWK15:MWN15"/>
    <mergeCell ref="MWO15:MWR15"/>
    <mergeCell ref="MWS15:MWV15"/>
    <mergeCell ref="MWW15:MWZ15"/>
    <mergeCell ref="MXA15:MXD15"/>
    <mergeCell ref="MXE15:MXH15"/>
    <mergeCell ref="MXI15:MXL15"/>
    <mergeCell ref="MXM15:MXP15"/>
    <mergeCell ref="MXQ15:MXT15"/>
    <mergeCell ref="MXU15:MXX15"/>
    <mergeCell ref="MXY15:MYB15"/>
    <mergeCell ref="MYC15:MYF15"/>
    <mergeCell ref="MYG15:MYJ15"/>
    <mergeCell ref="MYK15:MYN15"/>
    <mergeCell ref="MYO15:MYR15"/>
    <mergeCell ref="MYS15:MYV15"/>
    <mergeCell ref="MYW15:MYZ15"/>
    <mergeCell ref="MZA15:MZD15"/>
    <mergeCell ref="MZE15:MZH15"/>
    <mergeCell ref="MZI15:MZL15"/>
    <mergeCell ref="MZM15:MZP15"/>
    <mergeCell ref="MZQ15:MZT15"/>
    <mergeCell ref="MZU15:MZX15"/>
    <mergeCell ref="MZY15:NAB15"/>
    <mergeCell ref="NAC15:NAF15"/>
    <mergeCell ref="NAG15:NAJ15"/>
    <mergeCell ref="MQG15:MQJ15"/>
    <mergeCell ref="MQK15:MQN15"/>
    <mergeCell ref="MQO15:MQR15"/>
    <mergeCell ref="MQS15:MQV15"/>
    <mergeCell ref="MQW15:MQZ15"/>
    <mergeCell ref="MRA15:MRD15"/>
    <mergeCell ref="MRE15:MRH15"/>
    <mergeCell ref="MRI15:MRL15"/>
    <mergeCell ref="MRM15:MRP15"/>
    <mergeCell ref="MRQ15:MRT15"/>
    <mergeCell ref="MRU15:MRX15"/>
    <mergeCell ref="MRY15:MSB15"/>
    <mergeCell ref="MSC15:MSF15"/>
    <mergeCell ref="MSG15:MSJ15"/>
    <mergeCell ref="MSK15:MSN15"/>
    <mergeCell ref="MSO15:MSR15"/>
    <mergeCell ref="MSS15:MSV15"/>
    <mergeCell ref="MSW15:MSZ15"/>
    <mergeCell ref="MTA15:MTD15"/>
    <mergeCell ref="MTE15:MTH15"/>
    <mergeCell ref="MTI15:MTL15"/>
    <mergeCell ref="MTM15:MTP15"/>
    <mergeCell ref="MTQ15:MTT15"/>
    <mergeCell ref="MTU15:MTX15"/>
    <mergeCell ref="MTY15:MUB15"/>
    <mergeCell ref="MUC15:MUF15"/>
    <mergeCell ref="MUG15:MUJ15"/>
    <mergeCell ref="MUK15:MUN15"/>
    <mergeCell ref="MUO15:MUR15"/>
    <mergeCell ref="MUS15:MUV15"/>
    <mergeCell ref="MUW15:MUZ15"/>
    <mergeCell ref="MVA15:MVD15"/>
    <mergeCell ref="MVE15:MVH15"/>
    <mergeCell ref="MLE15:MLH15"/>
    <mergeCell ref="MLI15:MLL15"/>
    <mergeCell ref="MLM15:MLP15"/>
    <mergeCell ref="MLQ15:MLT15"/>
    <mergeCell ref="MLU15:MLX15"/>
    <mergeCell ref="MLY15:MMB15"/>
    <mergeCell ref="MMC15:MMF15"/>
    <mergeCell ref="MMG15:MMJ15"/>
    <mergeCell ref="MMK15:MMN15"/>
    <mergeCell ref="MMO15:MMR15"/>
    <mergeCell ref="MMS15:MMV15"/>
    <mergeCell ref="MMW15:MMZ15"/>
    <mergeCell ref="MNA15:MND15"/>
    <mergeCell ref="MNE15:MNH15"/>
    <mergeCell ref="MNI15:MNL15"/>
    <mergeCell ref="MNM15:MNP15"/>
    <mergeCell ref="MNQ15:MNT15"/>
    <mergeCell ref="MNU15:MNX15"/>
    <mergeCell ref="MNY15:MOB15"/>
    <mergeCell ref="MOC15:MOF15"/>
    <mergeCell ref="MOG15:MOJ15"/>
    <mergeCell ref="MOK15:MON15"/>
    <mergeCell ref="MOO15:MOR15"/>
    <mergeCell ref="MOS15:MOV15"/>
    <mergeCell ref="MOW15:MOZ15"/>
    <mergeCell ref="MPA15:MPD15"/>
    <mergeCell ref="MPE15:MPH15"/>
    <mergeCell ref="MPI15:MPL15"/>
    <mergeCell ref="MPM15:MPP15"/>
    <mergeCell ref="MPQ15:MPT15"/>
    <mergeCell ref="MPU15:MPX15"/>
    <mergeCell ref="MPY15:MQB15"/>
    <mergeCell ref="MQC15:MQF15"/>
    <mergeCell ref="MGC15:MGF15"/>
    <mergeCell ref="MGG15:MGJ15"/>
    <mergeCell ref="MGK15:MGN15"/>
    <mergeCell ref="MGO15:MGR15"/>
    <mergeCell ref="MGS15:MGV15"/>
    <mergeCell ref="MGW15:MGZ15"/>
    <mergeCell ref="MHA15:MHD15"/>
    <mergeCell ref="MHE15:MHH15"/>
    <mergeCell ref="MHI15:MHL15"/>
    <mergeCell ref="MHM15:MHP15"/>
    <mergeCell ref="MHQ15:MHT15"/>
    <mergeCell ref="MHU15:MHX15"/>
    <mergeCell ref="MHY15:MIB15"/>
    <mergeCell ref="MIC15:MIF15"/>
    <mergeCell ref="MIG15:MIJ15"/>
    <mergeCell ref="MIK15:MIN15"/>
    <mergeCell ref="MIO15:MIR15"/>
    <mergeCell ref="MIS15:MIV15"/>
    <mergeCell ref="MIW15:MIZ15"/>
    <mergeCell ref="MJA15:MJD15"/>
    <mergeCell ref="MJE15:MJH15"/>
    <mergeCell ref="MJI15:MJL15"/>
    <mergeCell ref="MJM15:MJP15"/>
    <mergeCell ref="MJQ15:MJT15"/>
    <mergeCell ref="MJU15:MJX15"/>
    <mergeCell ref="MJY15:MKB15"/>
    <mergeCell ref="MKC15:MKF15"/>
    <mergeCell ref="MKG15:MKJ15"/>
    <mergeCell ref="MKK15:MKN15"/>
    <mergeCell ref="MKO15:MKR15"/>
    <mergeCell ref="MKS15:MKV15"/>
    <mergeCell ref="MKW15:MKZ15"/>
    <mergeCell ref="MLA15:MLD15"/>
    <mergeCell ref="MBA15:MBD15"/>
    <mergeCell ref="MBE15:MBH15"/>
    <mergeCell ref="MBI15:MBL15"/>
    <mergeCell ref="MBM15:MBP15"/>
    <mergeCell ref="MBQ15:MBT15"/>
    <mergeCell ref="MBU15:MBX15"/>
    <mergeCell ref="MBY15:MCB15"/>
    <mergeCell ref="MCC15:MCF15"/>
    <mergeCell ref="MCG15:MCJ15"/>
    <mergeCell ref="MCK15:MCN15"/>
    <mergeCell ref="MCO15:MCR15"/>
    <mergeCell ref="MCS15:MCV15"/>
    <mergeCell ref="MCW15:MCZ15"/>
    <mergeCell ref="MDA15:MDD15"/>
    <mergeCell ref="MDE15:MDH15"/>
    <mergeCell ref="MDI15:MDL15"/>
    <mergeCell ref="MDM15:MDP15"/>
    <mergeCell ref="MDQ15:MDT15"/>
    <mergeCell ref="MDU15:MDX15"/>
    <mergeCell ref="MDY15:MEB15"/>
    <mergeCell ref="MEC15:MEF15"/>
    <mergeCell ref="MEG15:MEJ15"/>
    <mergeCell ref="MEK15:MEN15"/>
    <mergeCell ref="MEO15:MER15"/>
    <mergeCell ref="MES15:MEV15"/>
    <mergeCell ref="MEW15:MEZ15"/>
    <mergeCell ref="MFA15:MFD15"/>
    <mergeCell ref="MFE15:MFH15"/>
    <mergeCell ref="MFI15:MFL15"/>
    <mergeCell ref="MFM15:MFP15"/>
    <mergeCell ref="MFQ15:MFT15"/>
    <mergeCell ref="MFU15:MFX15"/>
    <mergeCell ref="MFY15:MGB15"/>
    <mergeCell ref="LVY15:LWB15"/>
    <mergeCell ref="LWC15:LWF15"/>
    <mergeCell ref="LWG15:LWJ15"/>
    <mergeCell ref="LWK15:LWN15"/>
    <mergeCell ref="LWO15:LWR15"/>
    <mergeCell ref="LWS15:LWV15"/>
    <mergeCell ref="LWW15:LWZ15"/>
    <mergeCell ref="LXA15:LXD15"/>
    <mergeCell ref="LXE15:LXH15"/>
    <mergeCell ref="LXI15:LXL15"/>
    <mergeCell ref="LXM15:LXP15"/>
    <mergeCell ref="LXQ15:LXT15"/>
    <mergeCell ref="LXU15:LXX15"/>
    <mergeCell ref="LXY15:LYB15"/>
    <mergeCell ref="LYC15:LYF15"/>
    <mergeCell ref="LYG15:LYJ15"/>
    <mergeCell ref="LYK15:LYN15"/>
    <mergeCell ref="LYO15:LYR15"/>
    <mergeCell ref="LYS15:LYV15"/>
    <mergeCell ref="LYW15:LYZ15"/>
    <mergeCell ref="LZA15:LZD15"/>
    <mergeCell ref="LZE15:LZH15"/>
    <mergeCell ref="LZI15:LZL15"/>
    <mergeCell ref="LZM15:LZP15"/>
    <mergeCell ref="LZQ15:LZT15"/>
    <mergeCell ref="LZU15:LZX15"/>
    <mergeCell ref="LZY15:MAB15"/>
    <mergeCell ref="MAC15:MAF15"/>
    <mergeCell ref="MAG15:MAJ15"/>
    <mergeCell ref="MAK15:MAN15"/>
    <mergeCell ref="MAO15:MAR15"/>
    <mergeCell ref="MAS15:MAV15"/>
    <mergeCell ref="MAW15:MAZ15"/>
    <mergeCell ref="LQW15:LQZ15"/>
    <mergeCell ref="LRA15:LRD15"/>
    <mergeCell ref="LRE15:LRH15"/>
    <mergeCell ref="LRI15:LRL15"/>
    <mergeCell ref="LRM15:LRP15"/>
    <mergeCell ref="LRQ15:LRT15"/>
    <mergeCell ref="LRU15:LRX15"/>
    <mergeCell ref="LRY15:LSB15"/>
    <mergeCell ref="LSC15:LSF15"/>
    <mergeCell ref="LSG15:LSJ15"/>
    <mergeCell ref="LSK15:LSN15"/>
    <mergeCell ref="LSO15:LSR15"/>
    <mergeCell ref="LSS15:LSV15"/>
    <mergeCell ref="LSW15:LSZ15"/>
    <mergeCell ref="LTA15:LTD15"/>
    <mergeCell ref="LTE15:LTH15"/>
    <mergeCell ref="LTI15:LTL15"/>
    <mergeCell ref="LTM15:LTP15"/>
    <mergeCell ref="LTQ15:LTT15"/>
    <mergeCell ref="LTU15:LTX15"/>
    <mergeCell ref="LTY15:LUB15"/>
    <mergeCell ref="LUC15:LUF15"/>
    <mergeCell ref="LUG15:LUJ15"/>
    <mergeCell ref="LUK15:LUN15"/>
    <mergeCell ref="LUO15:LUR15"/>
    <mergeCell ref="LUS15:LUV15"/>
    <mergeCell ref="LUW15:LUZ15"/>
    <mergeCell ref="LVA15:LVD15"/>
    <mergeCell ref="LVE15:LVH15"/>
    <mergeCell ref="LVI15:LVL15"/>
    <mergeCell ref="LVM15:LVP15"/>
    <mergeCell ref="LVQ15:LVT15"/>
    <mergeCell ref="LVU15:LVX15"/>
    <mergeCell ref="LLU15:LLX15"/>
    <mergeCell ref="LLY15:LMB15"/>
    <mergeCell ref="LMC15:LMF15"/>
    <mergeCell ref="LMG15:LMJ15"/>
    <mergeCell ref="LMK15:LMN15"/>
    <mergeCell ref="LMO15:LMR15"/>
    <mergeCell ref="LMS15:LMV15"/>
    <mergeCell ref="LMW15:LMZ15"/>
    <mergeCell ref="LNA15:LND15"/>
    <mergeCell ref="LNE15:LNH15"/>
    <mergeCell ref="LNI15:LNL15"/>
    <mergeCell ref="LNM15:LNP15"/>
    <mergeCell ref="LNQ15:LNT15"/>
    <mergeCell ref="LNU15:LNX15"/>
    <mergeCell ref="LNY15:LOB15"/>
    <mergeCell ref="LOC15:LOF15"/>
    <mergeCell ref="LOG15:LOJ15"/>
    <mergeCell ref="LOK15:LON15"/>
    <mergeCell ref="LOO15:LOR15"/>
    <mergeCell ref="LOS15:LOV15"/>
    <mergeCell ref="LOW15:LOZ15"/>
    <mergeCell ref="LPA15:LPD15"/>
    <mergeCell ref="LPE15:LPH15"/>
    <mergeCell ref="LPI15:LPL15"/>
    <mergeCell ref="LPM15:LPP15"/>
    <mergeCell ref="LPQ15:LPT15"/>
    <mergeCell ref="LPU15:LPX15"/>
    <mergeCell ref="LPY15:LQB15"/>
    <mergeCell ref="LQC15:LQF15"/>
    <mergeCell ref="LQG15:LQJ15"/>
    <mergeCell ref="LQK15:LQN15"/>
    <mergeCell ref="LQO15:LQR15"/>
    <mergeCell ref="LQS15:LQV15"/>
    <mergeCell ref="LGS15:LGV15"/>
    <mergeCell ref="LGW15:LGZ15"/>
    <mergeCell ref="LHA15:LHD15"/>
    <mergeCell ref="LHE15:LHH15"/>
    <mergeCell ref="LHI15:LHL15"/>
    <mergeCell ref="LHM15:LHP15"/>
    <mergeCell ref="LHQ15:LHT15"/>
    <mergeCell ref="LHU15:LHX15"/>
    <mergeCell ref="LHY15:LIB15"/>
    <mergeCell ref="LIC15:LIF15"/>
    <mergeCell ref="LIG15:LIJ15"/>
    <mergeCell ref="LIK15:LIN15"/>
    <mergeCell ref="LIO15:LIR15"/>
    <mergeCell ref="LIS15:LIV15"/>
    <mergeCell ref="LIW15:LIZ15"/>
    <mergeCell ref="LJA15:LJD15"/>
    <mergeCell ref="LJE15:LJH15"/>
    <mergeCell ref="LJI15:LJL15"/>
    <mergeCell ref="LJM15:LJP15"/>
    <mergeCell ref="LJQ15:LJT15"/>
    <mergeCell ref="LJU15:LJX15"/>
    <mergeCell ref="LJY15:LKB15"/>
    <mergeCell ref="LKC15:LKF15"/>
    <mergeCell ref="LKG15:LKJ15"/>
    <mergeCell ref="LKK15:LKN15"/>
    <mergeCell ref="LKO15:LKR15"/>
    <mergeCell ref="LKS15:LKV15"/>
    <mergeCell ref="LKW15:LKZ15"/>
    <mergeCell ref="LLA15:LLD15"/>
    <mergeCell ref="LLE15:LLH15"/>
    <mergeCell ref="LLI15:LLL15"/>
    <mergeCell ref="LLM15:LLP15"/>
    <mergeCell ref="LLQ15:LLT15"/>
    <mergeCell ref="LBQ15:LBT15"/>
    <mergeCell ref="LBU15:LBX15"/>
    <mergeCell ref="LBY15:LCB15"/>
    <mergeCell ref="LCC15:LCF15"/>
    <mergeCell ref="LCG15:LCJ15"/>
    <mergeCell ref="LCK15:LCN15"/>
    <mergeCell ref="LCO15:LCR15"/>
    <mergeCell ref="LCS15:LCV15"/>
    <mergeCell ref="LCW15:LCZ15"/>
    <mergeCell ref="LDA15:LDD15"/>
    <mergeCell ref="LDE15:LDH15"/>
    <mergeCell ref="LDI15:LDL15"/>
    <mergeCell ref="LDM15:LDP15"/>
    <mergeCell ref="LDQ15:LDT15"/>
    <mergeCell ref="LDU15:LDX15"/>
    <mergeCell ref="LDY15:LEB15"/>
    <mergeCell ref="LEC15:LEF15"/>
    <mergeCell ref="LEG15:LEJ15"/>
    <mergeCell ref="LEK15:LEN15"/>
    <mergeCell ref="LEO15:LER15"/>
    <mergeCell ref="LES15:LEV15"/>
    <mergeCell ref="LEW15:LEZ15"/>
    <mergeCell ref="LFA15:LFD15"/>
    <mergeCell ref="LFE15:LFH15"/>
    <mergeCell ref="LFI15:LFL15"/>
    <mergeCell ref="LFM15:LFP15"/>
    <mergeCell ref="LFQ15:LFT15"/>
    <mergeCell ref="LFU15:LFX15"/>
    <mergeCell ref="LFY15:LGB15"/>
    <mergeCell ref="LGC15:LGF15"/>
    <mergeCell ref="LGG15:LGJ15"/>
    <mergeCell ref="LGK15:LGN15"/>
    <mergeCell ref="LGO15:LGR15"/>
    <mergeCell ref="KWO15:KWR15"/>
    <mergeCell ref="KWS15:KWV15"/>
    <mergeCell ref="KWW15:KWZ15"/>
    <mergeCell ref="KXA15:KXD15"/>
    <mergeCell ref="KXE15:KXH15"/>
    <mergeCell ref="KXI15:KXL15"/>
    <mergeCell ref="KXM15:KXP15"/>
    <mergeCell ref="KXQ15:KXT15"/>
    <mergeCell ref="KXU15:KXX15"/>
    <mergeCell ref="KXY15:KYB15"/>
    <mergeCell ref="KYC15:KYF15"/>
    <mergeCell ref="KYG15:KYJ15"/>
    <mergeCell ref="KYK15:KYN15"/>
    <mergeCell ref="KYO15:KYR15"/>
    <mergeCell ref="KYS15:KYV15"/>
    <mergeCell ref="KYW15:KYZ15"/>
    <mergeCell ref="KZA15:KZD15"/>
    <mergeCell ref="KZE15:KZH15"/>
    <mergeCell ref="KZI15:KZL15"/>
    <mergeCell ref="KZM15:KZP15"/>
    <mergeCell ref="KZQ15:KZT15"/>
    <mergeCell ref="KZU15:KZX15"/>
    <mergeCell ref="KZY15:LAB15"/>
    <mergeCell ref="LAC15:LAF15"/>
    <mergeCell ref="LAG15:LAJ15"/>
    <mergeCell ref="LAK15:LAN15"/>
    <mergeCell ref="LAO15:LAR15"/>
    <mergeCell ref="LAS15:LAV15"/>
    <mergeCell ref="LAW15:LAZ15"/>
    <mergeCell ref="LBA15:LBD15"/>
    <mergeCell ref="LBE15:LBH15"/>
    <mergeCell ref="LBI15:LBL15"/>
    <mergeCell ref="LBM15:LBP15"/>
    <mergeCell ref="KRM15:KRP15"/>
    <mergeCell ref="KRQ15:KRT15"/>
    <mergeCell ref="KRU15:KRX15"/>
    <mergeCell ref="KRY15:KSB15"/>
    <mergeCell ref="KSC15:KSF15"/>
    <mergeCell ref="KSG15:KSJ15"/>
    <mergeCell ref="KSK15:KSN15"/>
    <mergeCell ref="KSO15:KSR15"/>
    <mergeCell ref="KSS15:KSV15"/>
    <mergeCell ref="KSW15:KSZ15"/>
    <mergeCell ref="KTA15:KTD15"/>
    <mergeCell ref="KTE15:KTH15"/>
    <mergeCell ref="KTI15:KTL15"/>
    <mergeCell ref="KTM15:KTP15"/>
    <mergeCell ref="KTQ15:KTT15"/>
    <mergeCell ref="KTU15:KTX15"/>
    <mergeCell ref="KTY15:KUB15"/>
    <mergeCell ref="KUC15:KUF15"/>
    <mergeCell ref="KUG15:KUJ15"/>
    <mergeCell ref="KUK15:KUN15"/>
    <mergeCell ref="KUO15:KUR15"/>
    <mergeCell ref="KUS15:KUV15"/>
    <mergeCell ref="KUW15:KUZ15"/>
    <mergeCell ref="KVA15:KVD15"/>
    <mergeCell ref="KVE15:KVH15"/>
    <mergeCell ref="KVI15:KVL15"/>
    <mergeCell ref="KVM15:KVP15"/>
    <mergeCell ref="KVQ15:KVT15"/>
    <mergeCell ref="KVU15:KVX15"/>
    <mergeCell ref="KVY15:KWB15"/>
    <mergeCell ref="KWC15:KWF15"/>
    <mergeCell ref="KWG15:KWJ15"/>
    <mergeCell ref="KWK15:KWN15"/>
    <mergeCell ref="KMK15:KMN15"/>
    <mergeCell ref="KMO15:KMR15"/>
    <mergeCell ref="KMS15:KMV15"/>
    <mergeCell ref="KMW15:KMZ15"/>
    <mergeCell ref="KNA15:KND15"/>
    <mergeCell ref="KNE15:KNH15"/>
    <mergeCell ref="KNI15:KNL15"/>
    <mergeCell ref="KNM15:KNP15"/>
    <mergeCell ref="KNQ15:KNT15"/>
    <mergeCell ref="KNU15:KNX15"/>
    <mergeCell ref="KNY15:KOB15"/>
    <mergeCell ref="KOC15:KOF15"/>
    <mergeCell ref="KOG15:KOJ15"/>
    <mergeCell ref="KOK15:KON15"/>
    <mergeCell ref="KOO15:KOR15"/>
    <mergeCell ref="KOS15:KOV15"/>
    <mergeCell ref="KOW15:KOZ15"/>
    <mergeCell ref="KPA15:KPD15"/>
    <mergeCell ref="KPE15:KPH15"/>
    <mergeCell ref="KPI15:KPL15"/>
    <mergeCell ref="KPM15:KPP15"/>
    <mergeCell ref="KPQ15:KPT15"/>
    <mergeCell ref="KPU15:KPX15"/>
    <mergeCell ref="KPY15:KQB15"/>
    <mergeCell ref="KQC15:KQF15"/>
    <mergeCell ref="KQG15:KQJ15"/>
    <mergeCell ref="KQK15:KQN15"/>
    <mergeCell ref="KQO15:KQR15"/>
    <mergeCell ref="KQS15:KQV15"/>
    <mergeCell ref="KQW15:KQZ15"/>
    <mergeCell ref="KRA15:KRD15"/>
    <mergeCell ref="KRE15:KRH15"/>
    <mergeCell ref="KRI15:KRL15"/>
    <mergeCell ref="KHI15:KHL15"/>
    <mergeCell ref="KHM15:KHP15"/>
    <mergeCell ref="KHQ15:KHT15"/>
    <mergeCell ref="KHU15:KHX15"/>
    <mergeCell ref="KHY15:KIB15"/>
    <mergeCell ref="KIC15:KIF15"/>
    <mergeCell ref="KIG15:KIJ15"/>
    <mergeCell ref="KIK15:KIN15"/>
    <mergeCell ref="KIO15:KIR15"/>
    <mergeCell ref="KIS15:KIV15"/>
    <mergeCell ref="KIW15:KIZ15"/>
    <mergeCell ref="KJA15:KJD15"/>
    <mergeCell ref="KJE15:KJH15"/>
    <mergeCell ref="KJI15:KJL15"/>
    <mergeCell ref="KJM15:KJP15"/>
    <mergeCell ref="KJQ15:KJT15"/>
    <mergeCell ref="KJU15:KJX15"/>
    <mergeCell ref="KJY15:KKB15"/>
    <mergeCell ref="KKC15:KKF15"/>
    <mergeCell ref="KKG15:KKJ15"/>
    <mergeCell ref="KKK15:KKN15"/>
    <mergeCell ref="KKO15:KKR15"/>
    <mergeCell ref="KKS15:KKV15"/>
    <mergeCell ref="KKW15:KKZ15"/>
    <mergeCell ref="KLA15:KLD15"/>
    <mergeCell ref="KLE15:KLH15"/>
    <mergeCell ref="KLI15:KLL15"/>
    <mergeCell ref="KLM15:KLP15"/>
    <mergeCell ref="KLQ15:KLT15"/>
    <mergeCell ref="KLU15:KLX15"/>
    <mergeCell ref="KLY15:KMB15"/>
    <mergeCell ref="KMC15:KMF15"/>
    <mergeCell ref="KMG15:KMJ15"/>
    <mergeCell ref="KCG15:KCJ15"/>
    <mergeCell ref="KCK15:KCN15"/>
    <mergeCell ref="KCO15:KCR15"/>
    <mergeCell ref="KCS15:KCV15"/>
    <mergeCell ref="KCW15:KCZ15"/>
    <mergeCell ref="KDA15:KDD15"/>
    <mergeCell ref="KDE15:KDH15"/>
    <mergeCell ref="KDI15:KDL15"/>
    <mergeCell ref="KDM15:KDP15"/>
    <mergeCell ref="KDQ15:KDT15"/>
    <mergeCell ref="KDU15:KDX15"/>
    <mergeCell ref="KDY15:KEB15"/>
    <mergeCell ref="KEC15:KEF15"/>
    <mergeCell ref="KEG15:KEJ15"/>
    <mergeCell ref="KEK15:KEN15"/>
    <mergeCell ref="KEO15:KER15"/>
    <mergeCell ref="KES15:KEV15"/>
    <mergeCell ref="KEW15:KEZ15"/>
    <mergeCell ref="KFA15:KFD15"/>
    <mergeCell ref="KFE15:KFH15"/>
    <mergeCell ref="KFI15:KFL15"/>
    <mergeCell ref="KFM15:KFP15"/>
    <mergeCell ref="KFQ15:KFT15"/>
    <mergeCell ref="KFU15:KFX15"/>
    <mergeCell ref="KFY15:KGB15"/>
    <mergeCell ref="KGC15:KGF15"/>
    <mergeCell ref="KGG15:KGJ15"/>
    <mergeCell ref="KGK15:KGN15"/>
    <mergeCell ref="KGO15:KGR15"/>
    <mergeCell ref="KGS15:KGV15"/>
    <mergeCell ref="KGW15:KGZ15"/>
    <mergeCell ref="KHA15:KHD15"/>
    <mergeCell ref="KHE15:KHH15"/>
    <mergeCell ref="JXE15:JXH15"/>
    <mergeCell ref="JXI15:JXL15"/>
    <mergeCell ref="JXM15:JXP15"/>
    <mergeCell ref="JXQ15:JXT15"/>
    <mergeCell ref="JXU15:JXX15"/>
    <mergeCell ref="JXY15:JYB15"/>
    <mergeCell ref="JYC15:JYF15"/>
    <mergeCell ref="JYG15:JYJ15"/>
    <mergeCell ref="JYK15:JYN15"/>
    <mergeCell ref="JYO15:JYR15"/>
    <mergeCell ref="JYS15:JYV15"/>
    <mergeCell ref="JYW15:JYZ15"/>
    <mergeCell ref="JZA15:JZD15"/>
    <mergeCell ref="JZE15:JZH15"/>
    <mergeCell ref="JZI15:JZL15"/>
    <mergeCell ref="JZM15:JZP15"/>
    <mergeCell ref="JZQ15:JZT15"/>
    <mergeCell ref="JZU15:JZX15"/>
    <mergeCell ref="JZY15:KAB15"/>
    <mergeCell ref="KAC15:KAF15"/>
    <mergeCell ref="KAG15:KAJ15"/>
    <mergeCell ref="KAK15:KAN15"/>
    <mergeCell ref="KAO15:KAR15"/>
    <mergeCell ref="KAS15:KAV15"/>
    <mergeCell ref="KAW15:KAZ15"/>
    <mergeCell ref="KBA15:KBD15"/>
    <mergeCell ref="KBE15:KBH15"/>
    <mergeCell ref="KBI15:KBL15"/>
    <mergeCell ref="KBM15:KBP15"/>
    <mergeCell ref="KBQ15:KBT15"/>
    <mergeCell ref="KBU15:KBX15"/>
    <mergeCell ref="KBY15:KCB15"/>
    <mergeCell ref="KCC15:KCF15"/>
    <mergeCell ref="JSC15:JSF15"/>
    <mergeCell ref="JSG15:JSJ15"/>
    <mergeCell ref="JSK15:JSN15"/>
    <mergeCell ref="JSO15:JSR15"/>
    <mergeCell ref="JSS15:JSV15"/>
    <mergeCell ref="JSW15:JSZ15"/>
    <mergeCell ref="JTA15:JTD15"/>
    <mergeCell ref="JTE15:JTH15"/>
    <mergeCell ref="JTI15:JTL15"/>
    <mergeCell ref="JTM15:JTP15"/>
    <mergeCell ref="JTQ15:JTT15"/>
    <mergeCell ref="JTU15:JTX15"/>
    <mergeCell ref="JTY15:JUB15"/>
    <mergeCell ref="JUC15:JUF15"/>
    <mergeCell ref="JUG15:JUJ15"/>
    <mergeCell ref="JUK15:JUN15"/>
    <mergeCell ref="JUO15:JUR15"/>
    <mergeCell ref="JUS15:JUV15"/>
    <mergeCell ref="JUW15:JUZ15"/>
    <mergeCell ref="JVA15:JVD15"/>
    <mergeCell ref="JVE15:JVH15"/>
    <mergeCell ref="JVI15:JVL15"/>
    <mergeCell ref="JVM15:JVP15"/>
    <mergeCell ref="JVQ15:JVT15"/>
    <mergeCell ref="JVU15:JVX15"/>
    <mergeCell ref="JVY15:JWB15"/>
    <mergeCell ref="JWC15:JWF15"/>
    <mergeCell ref="JWG15:JWJ15"/>
    <mergeCell ref="JWK15:JWN15"/>
    <mergeCell ref="JWO15:JWR15"/>
    <mergeCell ref="JWS15:JWV15"/>
    <mergeCell ref="JWW15:JWZ15"/>
    <mergeCell ref="JXA15:JXD15"/>
    <mergeCell ref="JNA15:JND15"/>
    <mergeCell ref="JNE15:JNH15"/>
    <mergeCell ref="JNI15:JNL15"/>
    <mergeCell ref="JNM15:JNP15"/>
    <mergeCell ref="JNQ15:JNT15"/>
    <mergeCell ref="JNU15:JNX15"/>
    <mergeCell ref="JNY15:JOB15"/>
    <mergeCell ref="JOC15:JOF15"/>
    <mergeCell ref="JOG15:JOJ15"/>
    <mergeCell ref="JOK15:JON15"/>
    <mergeCell ref="JOO15:JOR15"/>
    <mergeCell ref="JOS15:JOV15"/>
    <mergeCell ref="JOW15:JOZ15"/>
    <mergeCell ref="JPA15:JPD15"/>
    <mergeCell ref="JPE15:JPH15"/>
    <mergeCell ref="JPI15:JPL15"/>
    <mergeCell ref="JPM15:JPP15"/>
    <mergeCell ref="JPQ15:JPT15"/>
    <mergeCell ref="JPU15:JPX15"/>
    <mergeCell ref="JPY15:JQB15"/>
    <mergeCell ref="JQC15:JQF15"/>
    <mergeCell ref="JQG15:JQJ15"/>
    <mergeCell ref="JQK15:JQN15"/>
    <mergeCell ref="JQO15:JQR15"/>
    <mergeCell ref="JQS15:JQV15"/>
    <mergeCell ref="JQW15:JQZ15"/>
    <mergeCell ref="JRA15:JRD15"/>
    <mergeCell ref="JRE15:JRH15"/>
    <mergeCell ref="JRI15:JRL15"/>
    <mergeCell ref="JRM15:JRP15"/>
    <mergeCell ref="JRQ15:JRT15"/>
    <mergeCell ref="JRU15:JRX15"/>
    <mergeCell ref="JRY15:JSB15"/>
    <mergeCell ref="JHY15:JIB15"/>
    <mergeCell ref="JIC15:JIF15"/>
    <mergeCell ref="JIG15:JIJ15"/>
    <mergeCell ref="JIK15:JIN15"/>
    <mergeCell ref="JIO15:JIR15"/>
    <mergeCell ref="JIS15:JIV15"/>
    <mergeCell ref="JIW15:JIZ15"/>
    <mergeCell ref="JJA15:JJD15"/>
    <mergeCell ref="JJE15:JJH15"/>
    <mergeCell ref="JJI15:JJL15"/>
    <mergeCell ref="JJM15:JJP15"/>
    <mergeCell ref="JJQ15:JJT15"/>
    <mergeCell ref="JJU15:JJX15"/>
    <mergeCell ref="JJY15:JKB15"/>
    <mergeCell ref="JKC15:JKF15"/>
    <mergeCell ref="JKG15:JKJ15"/>
    <mergeCell ref="JKK15:JKN15"/>
    <mergeCell ref="JKO15:JKR15"/>
    <mergeCell ref="JKS15:JKV15"/>
    <mergeCell ref="JKW15:JKZ15"/>
    <mergeCell ref="JLA15:JLD15"/>
    <mergeCell ref="JLE15:JLH15"/>
    <mergeCell ref="JLI15:JLL15"/>
    <mergeCell ref="JLM15:JLP15"/>
    <mergeCell ref="JLQ15:JLT15"/>
    <mergeCell ref="JLU15:JLX15"/>
    <mergeCell ref="JLY15:JMB15"/>
    <mergeCell ref="JMC15:JMF15"/>
    <mergeCell ref="JMG15:JMJ15"/>
    <mergeCell ref="JMK15:JMN15"/>
    <mergeCell ref="JMO15:JMR15"/>
    <mergeCell ref="JMS15:JMV15"/>
    <mergeCell ref="JMW15:JMZ15"/>
    <mergeCell ref="JCW15:JCZ15"/>
    <mergeCell ref="JDA15:JDD15"/>
    <mergeCell ref="JDE15:JDH15"/>
    <mergeCell ref="JDI15:JDL15"/>
    <mergeCell ref="JDM15:JDP15"/>
    <mergeCell ref="JDQ15:JDT15"/>
    <mergeCell ref="JDU15:JDX15"/>
    <mergeCell ref="JDY15:JEB15"/>
    <mergeCell ref="JEC15:JEF15"/>
    <mergeCell ref="JEG15:JEJ15"/>
    <mergeCell ref="JEK15:JEN15"/>
    <mergeCell ref="JEO15:JER15"/>
    <mergeCell ref="JES15:JEV15"/>
    <mergeCell ref="JEW15:JEZ15"/>
    <mergeCell ref="JFA15:JFD15"/>
    <mergeCell ref="JFE15:JFH15"/>
    <mergeCell ref="JFI15:JFL15"/>
    <mergeCell ref="JFM15:JFP15"/>
    <mergeCell ref="JFQ15:JFT15"/>
    <mergeCell ref="JFU15:JFX15"/>
    <mergeCell ref="JFY15:JGB15"/>
    <mergeCell ref="JGC15:JGF15"/>
    <mergeCell ref="JGG15:JGJ15"/>
    <mergeCell ref="JGK15:JGN15"/>
    <mergeCell ref="JGO15:JGR15"/>
    <mergeCell ref="JGS15:JGV15"/>
    <mergeCell ref="JGW15:JGZ15"/>
    <mergeCell ref="JHA15:JHD15"/>
    <mergeCell ref="JHE15:JHH15"/>
    <mergeCell ref="JHI15:JHL15"/>
    <mergeCell ref="JHM15:JHP15"/>
    <mergeCell ref="JHQ15:JHT15"/>
    <mergeCell ref="JHU15:JHX15"/>
    <mergeCell ref="IXU15:IXX15"/>
    <mergeCell ref="IXY15:IYB15"/>
    <mergeCell ref="IYC15:IYF15"/>
    <mergeCell ref="IYG15:IYJ15"/>
    <mergeCell ref="IYK15:IYN15"/>
    <mergeCell ref="IYO15:IYR15"/>
    <mergeCell ref="IYS15:IYV15"/>
    <mergeCell ref="IYW15:IYZ15"/>
    <mergeCell ref="IZA15:IZD15"/>
    <mergeCell ref="IZE15:IZH15"/>
    <mergeCell ref="IZI15:IZL15"/>
    <mergeCell ref="IZM15:IZP15"/>
    <mergeCell ref="IZQ15:IZT15"/>
    <mergeCell ref="IZU15:IZX15"/>
    <mergeCell ref="IZY15:JAB15"/>
    <mergeCell ref="JAC15:JAF15"/>
    <mergeCell ref="JAG15:JAJ15"/>
    <mergeCell ref="JAK15:JAN15"/>
    <mergeCell ref="JAO15:JAR15"/>
    <mergeCell ref="JAS15:JAV15"/>
    <mergeCell ref="JAW15:JAZ15"/>
    <mergeCell ref="JBA15:JBD15"/>
    <mergeCell ref="JBE15:JBH15"/>
    <mergeCell ref="JBI15:JBL15"/>
    <mergeCell ref="JBM15:JBP15"/>
    <mergeCell ref="JBQ15:JBT15"/>
    <mergeCell ref="JBU15:JBX15"/>
    <mergeCell ref="JBY15:JCB15"/>
    <mergeCell ref="JCC15:JCF15"/>
    <mergeCell ref="JCG15:JCJ15"/>
    <mergeCell ref="JCK15:JCN15"/>
    <mergeCell ref="JCO15:JCR15"/>
    <mergeCell ref="JCS15:JCV15"/>
    <mergeCell ref="ISS15:ISV15"/>
    <mergeCell ref="ISW15:ISZ15"/>
    <mergeCell ref="ITA15:ITD15"/>
    <mergeCell ref="ITE15:ITH15"/>
    <mergeCell ref="ITI15:ITL15"/>
    <mergeCell ref="ITM15:ITP15"/>
    <mergeCell ref="ITQ15:ITT15"/>
    <mergeCell ref="ITU15:ITX15"/>
    <mergeCell ref="ITY15:IUB15"/>
    <mergeCell ref="IUC15:IUF15"/>
    <mergeCell ref="IUG15:IUJ15"/>
    <mergeCell ref="IUK15:IUN15"/>
    <mergeCell ref="IUO15:IUR15"/>
    <mergeCell ref="IUS15:IUV15"/>
    <mergeCell ref="IUW15:IUZ15"/>
    <mergeCell ref="IVA15:IVD15"/>
    <mergeCell ref="IVE15:IVH15"/>
    <mergeCell ref="IVI15:IVL15"/>
    <mergeCell ref="IVM15:IVP15"/>
    <mergeCell ref="IVQ15:IVT15"/>
    <mergeCell ref="IVU15:IVX15"/>
    <mergeCell ref="IVY15:IWB15"/>
    <mergeCell ref="IWC15:IWF15"/>
    <mergeCell ref="IWG15:IWJ15"/>
    <mergeCell ref="IWK15:IWN15"/>
    <mergeCell ref="IWO15:IWR15"/>
    <mergeCell ref="IWS15:IWV15"/>
    <mergeCell ref="IWW15:IWZ15"/>
    <mergeCell ref="IXA15:IXD15"/>
    <mergeCell ref="IXE15:IXH15"/>
    <mergeCell ref="IXI15:IXL15"/>
    <mergeCell ref="IXM15:IXP15"/>
    <mergeCell ref="IXQ15:IXT15"/>
    <mergeCell ref="INQ15:INT15"/>
    <mergeCell ref="INU15:INX15"/>
    <mergeCell ref="INY15:IOB15"/>
    <mergeCell ref="IOC15:IOF15"/>
    <mergeCell ref="IOG15:IOJ15"/>
    <mergeCell ref="IOK15:ION15"/>
    <mergeCell ref="IOO15:IOR15"/>
    <mergeCell ref="IOS15:IOV15"/>
    <mergeCell ref="IOW15:IOZ15"/>
    <mergeCell ref="IPA15:IPD15"/>
    <mergeCell ref="IPE15:IPH15"/>
    <mergeCell ref="IPI15:IPL15"/>
    <mergeCell ref="IPM15:IPP15"/>
    <mergeCell ref="IPQ15:IPT15"/>
    <mergeCell ref="IPU15:IPX15"/>
    <mergeCell ref="IPY15:IQB15"/>
    <mergeCell ref="IQC15:IQF15"/>
    <mergeCell ref="IQG15:IQJ15"/>
    <mergeCell ref="IQK15:IQN15"/>
    <mergeCell ref="IQO15:IQR15"/>
    <mergeCell ref="IQS15:IQV15"/>
    <mergeCell ref="IQW15:IQZ15"/>
    <mergeCell ref="IRA15:IRD15"/>
    <mergeCell ref="IRE15:IRH15"/>
    <mergeCell ref="IRI15:IRL15"/>
    <mergeCell ref="IRM15:IRP15"/>
    <mergeCell ref="IRQ15:IRT15"/>
    <mergeCell ref="IRU15:IRX15"/>
    <mergeCell ref="IRY15:ISB15"/>
    <mergeCell ref="ISC15:ISF15"/>
    <mergeCell ref="ISG15:ISJ15"/>
    <mergeCell ref="ISK15:ISN15"/>
    <mergeCell ref="ISO15:ISR15"/>
    <mergeCell ref="IIO15:IIR15"/>
    <mergeCell ref="IIS15:IIV15"/>
    <mergeCell ref="IIW15:IIZ15"/>
    <mergeCell ref="IJA15:IJD15"/>
    <mergeCell ref="IJE15:IJH15"/>
    <mergeCell ref="IJI15:IJL15"/>
    <mergeCell ref="IJM15:IJP15"/>
    <mergeCell ref="IJQ15:IJT15"/>
    <mergeCell ref="IJU15:IJX15"/>
    <mergeCell ref="IJY15:IKB15"/>
    <mergeCell ref="IKC15:IKF15"/>
    <mergeCell ref="IKG15:IKJ15"/>
    <mergeCell ref="IKK15:IKN15"/>
    <mergeCell ref="IKO15:IKR15"/>
    <mergeCell ref="IKS15:IKV15"/>
    <mergeCell ref="IKW15:IKZ15"/>
    <mergeCell ref="ILA15:ILD15"/>
    <mergeCell ref="ILE15:ILH15"/>
    <mergeCell ref="ILI15:ILL15"/>
    <mergeCell ref="ILM15:ILP15"/>
    <mergeCell ref="ILQ15:ILT15"/>
    <mergeCell ref="ILU15:ILX15"/>
    <mergeCell ref="ILY15:IMB15"/>
    <mergeCell ref="IMC15:IMF15"/>
    <mergeCell ref="IMG15:IMJ15"/>
    <mergeCell ref="IMK15:IMN15"/>
    <mergeCell ref="IMO15:IMR15"/>
    <mergeCell ref="IMS15:IMV15"/>
    <mergeCell ref="IMW15:IMZ15"/>
    <mergeCell ref="INA15:IND15"/>
    <mergeCell ref="INE15:INH15"/>
    <mergeCell ref="INI15:INL15"/>
    <mergeCell ref="INM15:INP15"/>
    <mergeCell ref="IDM15:IDP15"/>
    <mergeCell ref="IDQ15:IDT15"/>
    <mergeCell ref="IDU15:IDX15"/>
    <mergeCell ref="IDY15:IEB15"/>
    <mergeCell ref="IEC15:IEF15"/>
    <mergeCell ref="IEG15:IEJ15"/>
    <mergeCell ref="IEK15:IEN15"/>
    <mergeCell ref="IEO15:IER15"/>
    <mergeCell ref="IES15:IEV15"/>
    <mergeCell ref="IEW15:IEZ15"/>
    <mergeCell ref="IFA15:IFD15"/>
    <mergeCell ref="IFE15:IFH15"/>
    <mergeCell ref="IFI15:IFL15"/>
    <mergeCell ref="IFM15:IFP15"/>
    <mergeCell ref="IFQ15:IFT15"/>
    <mergeCell ref="IFU15:IFX15"/>
    <mergeCell ref="IFY15:IGB15"/>
    <mergeCell ref="IGC15:IGF15"/>
    <mergeCell ref="IGG15:IGJ15"/>
    <mergeCell ref="IGK15:IGN15"/>
    <mergeCell ref="IGO15:IGR15"/>
    <mergeCell ref="IGS15:IGV15"/>
    <mergeCell ref="IGW15:IGZ15"/>
    <mergeCell ref="IHA15:IHD15"/>
    <mergeCell ref="IHE15:IHH15"/>
    <mergeCell ref="IHI15:IHL15"/>
    <mergeCell ref="IHM15:IHP15"/>
    <mergeCell ref="IHQ15:IHT15"/>
    <mergeCell ref="IHU15:IHX15"/>
    <mergeCell ref="IHY15:IIB15"/>
    <mergeCell ref="IIC15:IIF15"/>
    <mergeCell ref="IIG15:IIJ15"/>
    <mergeCell ref="IIK15:IIN15"/>
    <mergeCell ref="HYK15:HYN15"/>
    <mergeCell ref="HYO15:HYR15"/>
    <mergeCell ref="HYS15:HYV15"/>
    <mergeCell ref="HYW15:HYZ15"/>
    <mergeCell ref="HZA15:HZD15"/>
    <mergeCell ref="HZE15:HZH15"/>
    <mergeCell ref="HZI15:HZL15"/>
    <mergeCell ref="HZM15:HZP15"/>
    <mergeCell ref="HZQ15:HZT15"/>
    <mergeCell ref="HZU15:HZX15"/>
    <mergeCell ref="HZY15:IAB15"/>
    <mergeCell ref="IAC15:IAF15"/>
    <mergeCell ref="IAG15:IAJ15"/>
    <mergeCell ref="IAK15:IAN15"/>
    <mergeCell ref="IAO15:IAR15"/>
    <mergeCell ref="IAS15:IAV15"/>
    <mergeCell ref="IAW15:IAZ15"/>
    <mergeCell ref="IBA15:IBD15"/>
    <mergeCell ref="IBE15:IBH15"/>
    <mergeCell ref="IBI15:IBL15"/>
    <mergeCell ref="IBM15:IBP15"/>
    <mergeCell ref="IBQ15:IBT15"/>
    <mergeCell ref="IBU15:IBX15"/>
    <mergeCell ref="IBY15:ICB15"/>
    <mergeCell ref="ICC15:ICF15"/>
    <mergeCell ref="ICG15:ICJ15"/>
    <mergeCell ref="ICK15:ICN15"/>
    <mergeCell ref="ICO15:ICR15"/>
    <mergeCell ref="ICS15:ICV15"/>
    <mergeCell ref="ICW15:ICZ15"/>
    <mergeCell ref="IDA15:IDD15"/>
    <mergeCell ref="IDE15:IDH15"/>
    <mergeCell ref="IDI15:IDL15"/>
    <mergeCell ref="HTI15:HTL15"/>
    <mergeCell ref="HTM15:HTP15"/>
    <mergeCell ref="HTQ15:HTT15"/>
    <mergeCell ref="HTU15:HTX15"/>
    <mergeCell ref="HTY15:HUB15"/>
    <mergeCell ref="HUC15:HUF15"/>
    <mergeCell ref="HUG15:HUJ15"/>
    <mergeCell ref="HUK15:HUN15"/>
    <mergeCell ref="HUO15:HUR15"/>
    <mergeCell ref="HUS15:HUV15"/>
    <mergeCell ref="HUW15:HUZ15"/>
    <mergeCell ref="HVA15:HVD15"/>
    <mergeCell ref="HVE15:HVH15"/>
    <mergeCell ref="HVI15:HVL15"/>
    <mergeCell ref="HVM15:HVP15"/>
    <mergeCell ref="HVQ15:HVT15"/>
    <mergeCell ref="HVU15:HVX15"/>
    <mergeCell ref="HVY15:HWB15"/>
    <mergeCell ref="HWC15:HWF15"/>
    <mergeCell ref="HWG15:HWJ15"/>
    <mergeCell ref="HWK15:HWN15"/>
    <mergeCell ref="HWO15:HWR15"/>
    <mergeCell ref="HWS15:HWV15"/>
    <mergeCell ref="HWW15:HWZ15"/>
    <mergeCell ref="HXA15:HXD15"/>
    <mergeCell ref="HXE15:HXH15"/>
    <mergeCell ref="HXI15:HXL15"/>
    <mergeCell ref="HXM15:HXP15"/>
    <mergeCell ref="HXQ15:HXT15"/>
    <mergeCell ref="HXU15:HXX15"/>
    <mergeCell ref="HXY15:HYB15"/>
    <mergeCell ref="HYC15:HYF15"/>
    <mergeCell ref="HYG15:HYJ15"/>
    <mergeCell ref="HOG15:HOJ15"/>
    <mergeCell ref="HOK15:HON15"/>
    <mergeCell ref="HOO15:HOR15"/>
    <mergeCell ref="HOS15:HOV15"/>
    <mergeCell ref="HOW15:HOZ15"/>
    <mergeCell ref="HPA15:HPD15"/>
    <mergeCell ref="HPE15:HPH15"/>
    <mergeCell ref="HPI15:HPL15"/>
    <mergeCell ref="HPM15:HPP15"/>
    <mergeCell ref="HPQ15:HPT15"/>
    <mergeCell ref="HPU15:HPX15"/>
    <mergeCell ref="HPY15:HQB15"/>
    <mergeCell ref="HQC15:HQF15"/>
    <mergeCell ref="HQG15:HQJ15"/>
    <mergeCell ref="HQK15:HQN15"/>
    <mergeCell ref="HQO15:HQR15"/>
    <mergeCell ref="HQS15:HQV15"/>
    <mergeCell ref="HQW15:HQZ15"/>
    <mergeCell ref="HRA15:HRD15"/>
    <mergeCell ref="HRE15:HRH15"/>
    <mergeCell ref="HRI15:HRL15"/>
    <mergeCell ref="HRM15:HRP15"/>
    <mergeCell ref="HRQ15:HRT15"/>
    <mergeCell ref="HRU15:HRX15"/>
    <mergeCell ref="HRY15:HSB15"/>
    <mergeCell ref="HSC15:HSF15"/>
    <mergeCell ref="HSG15:HSJ15"/>
    <mergeCell ref="HSK15:HSN15"/>
    <mergeCell ref="HSO15:HSR15"/>
    <mergeCell ref="HSS15:HSV15"/>
    <mergeCell ref="HSW15:HSZ15"/>
    <mergeCell ref="HTA15:HTD15"/>
    <mergeCell ref="HTE15:HTH15"/>
    <mergeCell ref="HJE15:HJH15"/>
    <mergeCell ref="HJI15:HJL15"/>
    <mergeCell ref="HJM15:HJP15"/>
    <mergeCell ref="HJQ15:HJT15"/>
    <mergeCell ref="HJU15:HJX15"/>
    <mergeCell ref="HJY15:HKB15"/>
    <mergeCell ref="HKC15:HKF15"/>
    <mergeCell ref="HKG15:HKJ15"/>
    <mergeCell ref="HKK15:HKN15"/>
    <mergeCell ref="HKO15:HKR15"/>
    <mergeCell ref="HKS15:HKV15"/>
    <mergeCell ref="HKW15:HKZ15"/>
    <mergeCell ref="HLA15:HLD15"/>
    <mergeCell ref="HLE15:HLH15"/>
    <mergeCell ref="HLI15:HLL15"/>
    <mergeCell ref="HLM15:HLP15"/>
    <mergeCell ref="HLQ15:HLT15"/>
    <mergeCell ref="HLU15:HLX15"/>
    <mergeCell ref="HLY15:HMB15"/>
    <mergeCell ref="HMC15:HMF15"/>
    <mergeCell ref="HMG15:HMJ15"/>
    <mergeCell ref="HMK15:HMN15"/>
    <mergeCell ref="HMO15:HMR15"/>
    <mergeCell ref="HMS15:HMV15"/>
    <mergeCell ref="HMW15:HMZ15"/>
    <mergeCell ref="HNA15:HND15"/>
    <mergeCell ref="HNE15:HNH15"/>
    <mergeCell ref="HNI15:HNL15"/>
    <mergeCell ref="HNM15:HNP15"/>
    <mergeCell ref="HNQ15:HNT15"/>
    <mergeCell ref="HNU15:HNX15"/>
    <mergeCell ref="HNY15:HOB15"/>
    <mergeCell ref="HOC15:HOF15"/>
    <mergeCell ref="HEC15:HEF15"/>
    <mergeCell ref="HEG15:HEJ15"/>
    <mergeCell ref="HEK15:HEN15"/>
    <mergeCell ref="HEO15:HER15"/>
    <mergeCell ref="HES15:HEV15"/>
    <mergeCell ref="HEW15:HEZ15"/>
    <mergeCell ref="HFA15:HFD15"/>
    <mergeCell ref="HFE15:HFH15"/>
    <mergeCell ref="HFI15:HFL15"/>
    <mergeCell ref="HFM15:HFP15"/>
    <mergeCell ref="HFQ15:HFT15"/>
    <mergeCell ref="HFU15:HFX15"/>
    <mergeCell ref="HFY15:HGB15"/>
    <mergeCell ref="HGC15:HGF15"/>
    <mergeCell ref="HGG15:HGJ15"/>
    <mergeCell ref="HGK15:HGN15"/>
    <mergeCell ref="HGO15:HGR15"/>
    <mergeCell ref="HGS15:HGV15"/>
    <mergeCell ref="HGW15:HGZ15"/>
    <mergeCell ref="HHA15:HHD15"/>
    <mergeCell ref="HHE15:HHH15"/>
    <mergeCell ref="HHI15:HHL15"/>
    <mergeCell ref="HHM15:HHP15"/>
    <mergeCell ref="HHQ15:HHT15"/>
    <mergeCell ref="HHU15:HHX15"/>
    <mergeCell ref="HHY15:HIB15"/>
    <mergeCell ref="HIC15:HIF15"/>
    <mergeCell ref="HIG15:HIJ15"/>
    <mergeCell ref="HIK15:HIN15"/>
    <mergeCell ref="HIO15:HIR15"/>
    <mergeCell ref="HIS15:HIV15"/>
    <mergeCell ref="HIW15:HIZ15"/>
    <mergeCell ref="HJA15:HJD15"/>
    <mergeCell ref="GZA15:GZD15"/>
    <mergeCell ref="GZE15:GZH15"/>
    <mergeCell ref="GZI15:GZL15"/>
    <mergeCell ref="GZM15:GZP15"/>
    <mergeCell ref="GZQ15:GZT15"/>
    <mergeCell ref="GZU15:GZX15"/>
    <mergeCell ref="GZY15:HAB15"/>
    <mergeCell ref="HAC15:HAF15"/>
    <mergeCell ref="HAG15:HAJ15"/>
    <mergeCell ref="HAK15:HAN15"/>
    <mergeCell ref="HAO15:HAR15"/>
    <mergeCell ref="HAS15:HAV15"/>
    <mergeCell ref="HAW15:HAZ15"/>
    <mergeCell ref="HBA15:HBD15"/>
    <mergeCell ref="HBE15:HBH15"/>
    <mergeCell ref="HBI15:HBL15"/>
    <mergeCell ref="HBM15:HBP15"/>
    <mergeCell ref="HBQ15:HBT15"/>
    <mergeCell ref="HBU15:HBX15"/>
    <mergeCell ref="HBY15:HCB15"/>
    <mergeCell ref="HCC15:HCF15"/>
    <mergeCell ref="HCG15:HCJ15"/>
    <mergeCell ref="HCK15:HCN15"/>
    <mergeCell ref="HCO15:HCR15"/>
    <mergeCell ref="HCS15:HCV15"/>
    <mergeCell ref="HCW15:HCZ15"/>
    <mergeCell ref="HDA15:HDD15"/>
    <mergeCell ref="HDE15:HDH15"/>
    <mergeCell ref="HDI15:HDL15"/>
    <mergeCell ref="HDM15:HDP15"/>
    <mergeCell ref="HDQ15:HDT15"/>
    <mergeCell ref="HDU15:HDX15"/>
    <mergeCell ref="HDY15:HEB15"/>
    <mergeCell ref="GTY15:GUB15"/>
    <mergeCell ref="GUC15:GUF15"/>
    <mergeCell ref="GUG15:GUJ15"/>
    <mergeCell ref="GUK15:GUN15"/>
    <mergeCell ref="GUO15:GUR15"/>
    <mergeCell ref="GUS15:GUV15"/>
    <mergeCell ref="GUW15:GUZ15"/>
    <mergeCell ref="GVA15:GVD15"/>
    <mergeCell ref="GVE15:GVH15"/>
    <mergeCell ref="GVI15:GVL15"/>
    <mergeCell ref="GVM15:GVP15"/>
    <mergeCell ref="GVQ15:GVT15"/>
    <mergeCell ref="GVU15:GVX15"/>
    <mergeCell ref="GVY15:GWB15"/>
    <mergeCell ref="GWC15:GWF15"/>
    <mergeCell ref="GWG15:GWJ15"/>
    <mergeCell ref="GWK15:GWN15"/>
    <mergeCell ref="GWO15:GWR15"/>
    <mergeCell ref="GWS15:GWV15"/>
    <mergeCell ref="GWW15:GWZ15"/>
    <mergeCell ref="GXA15:GXD15"/>
    <mergeCell ref="GXE15:GXH15"/>
    <mergeCell ref="GXI15:GXL15"/>
    <mergeCell ref="GXM15:GXP15"/>
    <mergeCell ref="GXQ15:GXT15"/>
    <mergeCell ref="GXU15:GXX15"/>
    <mergeCell ref="GXY15:GYB15"/>
    <mergeCell ref="GYC15:GYF15"/>
    <mergeCell ref="GYG15:GYJ15"/>
    <mergeCell ref="GYK15:GYN15"/>
    <mergeCell ref="GYO15:GYR15"/>
    <mergeCell ref="GYS15:GYV15"/>
    <mergeCell ref="GYW15:GYZ15"/>
    <mergeCell ref="GOW15:GOZ15"/>
    <mergeCell ref="GPA15:GPD15"/>
    <mergeCell ref="GPE15:GPH15"/>
    <mergeCell ref="GPI15:GPL15"/>
    <mergeCell ref="GPM15:GPP15"/>
    <mergeCell ref="GPQ15:GPT15"/>
    <mergeCell ref="GPU15:GPX15"/>
    <mergeCell ref="GPY15:GQB15"/>
    <mergeCell ref="GQC15:GQF15"/>
    <mergeCell ref="GQG15:GQJ15"/>
    <mergeCell ref="GQK15:GQN15"/>
    <mergeCell ref="GQO15:GQR15"/>
    <mergeCell ref="GQS15:GQV15"/>
    <mergeCell ref="GQW15:GQZ15"/>
    <mergeCell ref="GRA15:GRD15"/>
    <mergeCell ref="GRE15:GRH15"/>
    <mergeCell ref="GRI15:GRL15"/>
    <mergeCell ref="GRM15:GRP15"/>
    <mergeCell ref="GRQ15:GRT15"/>
    <mergeCell ref="GRU15:GRX15"/>
    <mergeCell ref="GRY15:GSB15"/>
    <mergeCell ref="GSC15:GSF15"/>
    <mergeCell ref="GSG15:GSJ15"/>
    <mergeCell ref="GSK15:GSN15"/>
    <mergeCell ref="GSO15:GSR15"/>
    <mergeCell ref="GSS15:GSV15"/>
    <mergeCell ref="GSW15:GSZ15"/>
    <mergeCell ref="GTA15:GTD15"/>
    <mergeCell ref="GTE15:GTH15"/>
    <mergeCell ref="GTI15:GTL15"/>
    <mergeCell ref="GTM15:GTP15"/>
    <mergeCell ref="GTQ15:GTT15"/>
    <mergeCell ref="GTU15:GTX15"/>
    <mergeCell ref="GJU15:GJX15"/>
    <mergeCell ref="GJY15:GKB15"/>
    <mergeCell ref="GKC15:GKF15"/>
    <mergeCell ref="GKG15:GKJ15"/>
    <mergeCell ref="GKK15:GKN15"/>
    <mergeCell ref="GKO15:GKR15"/>
    <mergeCell ref="GKS15:GKV15"/>
    <mergeCell ref="GKW15:GKZ15"/>
    <mergeCell ref="GLA15:GLD15"/>
    <mergeCell ref="GLE15:GLH15"/>
    <mergeCell ref="GLI15:GLL15"/>
    <mergeCell ref="GLM15:GLP15"/>
    <mergeCell ref="GLQ15:GLT15"/>
    <mergeCell ref="GLU15:GLX15"/>
    <mergeCell ref="GLY15:GMB15"/>
    <mergeCell ref="GMC15:GMF15"/>
    <mergeCell ref="GMG15:GMJ15"/>
    <mergeCell ref="GMK15:GMN15"/>
    <mergeCell ref="GMO15:GMR15"/>
    <mergeCell ref="GMS15:GMV15"/>
    <mergeCell ref="GMW15:GMZ15"/>
    <mergeCell ref="GNA15:GND15"/>
    <mergeCell ref="GNE15:GNH15"/>
    <mergeCell ref="GNI15:GNL15"/>
    <mergeCell ref="GNM15:GNP15"/>
    <mergeCell ref="GNQ15:GNT15"/>
    <mergeCell ref="GNU15:GNX15"/>
    <mergeCell ref="GNY15:GOB15"/>
    <mergeCell ref="GOC15:GOF15"/>
    <mergeCell ref="GOG15:GOJ15"/>
    <mergeCell ref="GOK15:GON15"/>
    <mergeCell ref="GOO15:GOR15"/>
    <mergeCell ref="GOS15:GOV15"/>
    <mergeCell ref="GES15:GEV15"/>
    <mergeCell ref="GEW15:GEZ15"/>
    <mergeCell ref="GFA15:GFD15"/>
    <mergeCell ref="GFE15:GFH15"/>
    <mergeCell ref="GFI15:GFL15"/>
    <mergeCell ref="GFM15:GFP15"/>
    <mergeCell ref="GFQ15:GFT15"/>
    <mergeCell ref="GFU15:GFX15"/>
    <mergeCell ref="GFY15:GGB15"/>
    <mergeCell ref="GGC15:GGF15"/>
    <mergeCell ref="GGG15:GGJ15"/>
    <mergeCell ref="GGK15:GGN15"/>
    <mergeCell ref="GGO15:GGR15"/>
    <mergeCell ref="GGS15:GGV15"/>
    <mergeCell ref="GGW15:GGZ15"/>
    <mergeCell ref="GHA15:GHD15"/>
    <mergeCell ref="GHE15:GHH15"/>
    <mergeCell ref="GHI15:GHL15"/>
    <mergeCell ref="GHM15:GHP15"/>
    <mergeCell ref="GHQ15:GHT15"/>
    <mergeCell ref="GHU15:GHX15"/>
    <mergeCell ref="GHY15:GIB15"/>
    <mergeCell ref="GIC15:GIF15"/>
    <mergeCell ref="GIG15:GIJ15"/>
    <mergeCell ref="GIK15:GIN15"/>
    <mergeCell ref="GIO15:GIR15"/>
    <mergeCell ref="GIS15:GIV15"/>
    <mergeCell ref="GIW15:GIZ15"/>
    <mergeCell ref="GJA15:GJD15"/>
    <mergeCell ref="GJE15:GJH15"/>
    <mergeCell ref="GJI15:GJL15"/>
    <mergeCell ref="GJM15:GJP15"/>
    <mergeCell ref="GJQ15:GJT15"/>
    <mergeCell ref="FZQ15:FZT15"/>
    <mergeCell ref="FZU15:FZX15"/>
    <mergeCell ref="FZY15:GAB15"/>
    <mergeCell ref="GAC15:GAF15"/>
    <mergeCell ref="GAG15:GAJ15"/>
    <mergeCell ref="GAK15:GAN15"/>
    <mergeCell ref="GAO15:GAR15"/>
    <mergeCell ref="GAS15:GAV15"/>
    <mergeCell ref="GAW15:GAZ15"/>
    <mergeCell ref="GBA15:GBD15"/>
    <mergeCell ref="GBE15:GBH15"/>
    <mergeCell ref="GBI15:GBL15"/>
    <mergeCell ref="GBM15:GBP15"/>
    <mergeCell ref="GBQ15:GBT15"/>
    <mergeCell ref="GBU15:GBX15"/>
    <mergeCell ref="GBY15:GCB15"/>
    <mergeCell ref="GCC15:GCF15"/>
    <mergeCell ref="GCG15:GCJ15"/>
    <mergeCell ref="GCK15:GCN15"/>
    <mergeCell ref="GCO15:GCR15"/>
    <mergeCell ref="GCS15:GCV15"/>
    <mergeCell ref="GCW15:GCZ15"/>
    <mergeCell ref="GDA15:GDD15"/>
    <mergeCell ref="GDE15:GDH15"/>
    <mergeCell ref="GDI15:GDL15"/>
    <mergeCell ref="GDM15:GDP15"/>
    <mergeCell ref="GDQ15:GDT15"/>
    <mergeCell ref="GDU15:GDX15"/>
    <mergeCell ref="GDY15:GEB15"/>
    <mergeCell ref="GEC15:GEF15"/>
    <mergeCell ref="GEG15:GEJ15"/>
    <mergeCell ref="GEK15:GEN15"/>
    <mergeCell ref="GEO15:GER15"/>
    <mergeCell ref="FUO15:FUR15"/>
    <mergeCell ref="FUS15:FUV15"/>
    <mergeCell ref="FUW15:FUZ15"/>
    <mergeCell ref="FVA15:FVD15"/>
    <mergeCell ref="FVE15:FVH15"/>
    <mergeCell ref="FVI15:FVL15"/>
    <mergeCell ref="FVM15:FVP15"/>
    <mergeCell ref="FVQ15:FVT15"/>
    <mergeCell ref="FVU15:FVX15"/>
    <mergeCell ref="FVY15:FWB15"/>
    <mergeCell ref="FWC15:FWF15"/>
    <mergeCell ref="FWG15:FWJ15"/>
    <mergeCell ref="FWK15:FWN15"/>
    <mergeCell ref="FWO15:FWR15"/>
    <mergeCell ref="FWS15:FWV15"/>
    <mergeCell ref="FWW15:FWZ15"/>
    <mergeCell ref="FXA15:FXD15"/>
    <mergeCell ref="FXE15:FXH15"/>
    <mergeCell ref="FXI15:FXL15"/>
    <mergeCell ref="FXM15:FXP15"/>
    <mergeCell ref="FXQ15:FXT15"/>
    <mergeCell ref="FXU15:FXX15"/>
    <mergeCell ref="FXY15:FYB15"/>
    <mergeCell ref="FYC15:FYF15"/>
    <mergeCell ref="FYG15:FYJ15"/>
    <mergeCell ref="FYK15:FYN15"/>
    <mergeCell ref="FYO15:FYR15"/>
    <mergeCell ref="FYS15:FYV15"/>
    <mergeCell ref="FYW15:FYZ15"/>
    <mergeCell ref="FZA15:FZD15"/>
    <mergeCell ref="FZE15:FZH15"/>
    <mergeCell ref="FZI15:FZL15"/>
    <mergeCell ref="FZM15:FZP15"/>
    <mergeCell ref="FPM15:FPP15"/>
    <mergeCell ref="FPQ15:FPT15"/>
    <mergeCell ref="FPU15:FPX15"/>
    <mergeCell ref="FPY15:FQB15"/>
    <mergeCell ref="FQC15:FQF15"/>
    <mergeCell ref="FQG15:FQJ15"/>
    <mergeCell ref="FQK15:FQN15"/>
    <mergeCell ref="FQO15:FQR15"/>
    <mergeCell ref="FQS15:FQV15"/>
    <mergeCell ref="FQW15:FQZ15"/>
    <mergeCell ref="FRA15:FRD15"/>
    <mergeCell ref="FRE15:FRH15"/>
    <mergeCell ref="FRI15:FRL15"/>
    <mergeCell ref="FRM15:FRP15"/>
    <mergeCell ref="FRQ15:FRT15"/>
    <mergeCell ref="FRU15:FRX15"/>
    <mergeCell ref="FRY15:FSB15"/>
    <mergeCell ref="FSC15:FSF15"/>
    <mergeCell ref="FSG15:FSJ15"/>
    <mergeCell ref="FSK15:FSN15"/>
    <mergeCell ref="FSO15:FSR15"/>
    <mergeCell ref="FSS15:FSV15"/>
    <mergeCell ref="FSW15:FSZ15"/>
    <mergeCell ref="FTA15:FTD15"/>
    <mergeCell ref="FTE15:FTH15"/>
    <mergeCell ref="FTI15:FTL15"/>
    <mergeCell ref="FTM15:FTP15"/>
    <mergeCell ref="FTQ15:FTT15"/>
    <mergeCell ref="FTU15:FTX15"/>
    <mergeCell ref="FTY15:FUB15"/>
    <mergeCell ref="FUC15:FUF15"/>
    <mergeCell ref="FUG15:FUJ15"/>
    <mergeCell ref="FUK15:FUN15"/>
    <mergeCell ref="FKK15:FKN15"/>
    <mergeCell ref="FKO15:FKR15"/>
    <mergeCell ref="FKS15:FKV15"/>
    <mergeCell ref="FKW15:FKZ15"/>
    <mergeCell ref="FLA15:FLD15"/>
    <mergeCell ref="FLE15:FLH15"/>
    <mergeCell ref="FLI15:FLL15"/>
    <mergeCell ref="FLM15:FLP15"/>
    <mergeCell ref="FLQ15:FLT15"/>
    <mergeCell ref="FLU15:FLX15"/>
    <mergeCell ref="FLY15:FMB15"/>
    <mergeCell ref="FMC15:FMF15"/>
    <mergeCell ref="FMG15:FMJ15"/>
    <mergeCell ref="FMK15:FMN15"/>
    <mergeCell ref="FMO15:FMR15"/>
    <mergeCell ref="FMS15:FMV15"/>
    <mergeCell ref="FMW15:FMZ15"/>
    <mergeCell ref="FNA15:FND15"/>
    <mergeCell ref="FNE15:FNH15"/>
    <mergeCell ref="FNI15:FNL15"/>
    <mergeCell ref="FNM15:FNP15"/>
    <mergeCell ref="FNQ15:FNT15"/>
    <mergeCell ref="FNU15:FNX15"/>
    <mergeCell ref="FNY15:FOB15"/>
    <mergeCell ref="FOC15:FOF15"/>
    <mergeCell ref="FOG15:FOJ15"/>
    <mergeCell ref="FOK15:FON15"/>
    <mergeCell ref="FOO15:FOR15"/>
    <mergeCell ref="FOS15:FOV15"/>
    <mergeCell ref="FOW15:FOZ15"/>
    <mergeCell ref="FPA15:FPD15"/>
    <mergeCell ref="FPE15:FPH15"/>
    <mergeCell ref="FPI15:FPL15"/>
    <mergeCell ref="FFI15:FFL15"/>
    <mergeCell ref="FFM15:FFP15"/>
    <mergeCell ref="FFQ15:FFT15"/>
    <mergeCell ref="FFU15:FFX15"/>
    <mergeCell ref="FFY15:FGB15"/>
    <mergeCell ref="FGC15:FGF15"/>
    <mergeCell ref="FGG15:FGJ15"/>
    <mergeCell ref="FGK15:FGN15"/>
    <mergeCell ref="FGO15:FGR15"/>
    <mergeCell ref="FGS15:FGV15"/>
    <mergeCell ref="FGW15:FGZ15"/>
    <mergeCell ref="FHA15:FHD15"/>
    <mergeCell ref="FHE15:FHH15"/>
    <mergeCell ref="FHI15:FHL15"/>
    <mergeCell ref="FHM15:FHP15"/>
    <mergeCell ref="FHQ15:FHT15"/>
    <mergeCell ref="FHU15:FHX15"/>
    <mergeCell ref="FHY15:FIB15"/>
    <mergeCell ref="FIC15:FIF15"/>
    <mergeCell ref="FIG15:FIJ15"/>
    <mergeCell ref="FIK15:FIN15"/>
    <mergeCell ref="FIO15:FIR15"/>
    <mergeCell ref="FIS15:FIV15"/>
    <mergeCell ref="FIW15:FIZ15"/>
    <mergeCell ref="FJA15:FJD15"/>
    <mergeCell ref="FJE15:FJH15"/>
    <mergeCell ref="FJI15:FJL15"/>
    <mergeCell ref="FJM15:FJP15"/>
    <mergeCell ref="FJQ15:FJT15"/>
    <mergeCell ref="FJU15:FJX15"/>
    <mergeCell ref="FJY15:FKB15"/>
    <mergeCell ref="FKC15:FKF15"/>
    <mergeCell ref="FKG15:FKJ15"/>
    <mergeCell ref="FAG15:FAJ15"/>
    <mergeCell ref="FAK15:FAN15"/>
    <mergeCell ref="FAO15:FAR15"/>
    <mergeCell ref="FAS15:FAV15"/>
    <mergeCell ref="FAW15:FAZ15"/>
    <mergeCell ref="FBA15:FBD15"/>
    <mergeCell ref="FBE15:FBH15"/>
    <mergeCell ref="FBI15:FBL15"/>
    <mergeCell ref="FBM15:FBP15"/>
    <mergeCell ref="FBQ15:FBT15"/>
    <mergeCell ref="FBU15:FBX15"/>
    <mergeCell ref="FBY15:FCB15"/>
    <mergeCell ref="FCC15:FCF15"/>
    <mergeCell ref="FCG15:FCJ15"/>
    <mergeCell ref="FCK15:FCN15"/>
    <mergeCell ref="FCO15:FCR15"/>
    <mergeCell ref="FCS15:FCV15"/>
    <mergeCell ref="FCW15:FCZ15"/>
    <mergeCell ref="FDA15:FDD15"/>
    <mergeCell ref="FDE15:FDH15"/>
    <mergeCell ref="FDI15:FDL15"/>
    <mergeCell ref="FDM15:FDP15"/>
    <mergeCell ref="FDQ15:FDT15"/>
    <mergeCell ref="FDU15:FDX15"/>
    <mergeCell ref="FDY15:FEB15"/>
    <mergeCell ref="FEC15:FEF15"/>
    <mergeCell ref="FEG15:FEJ15"/>
    <mergeCell ref="FEK15:FEN15"/>
    <mergeCell ref="FEO15:FER15"/>
    <mergeCell ref="FES15:FEV15"/>
    <mergeCell ref="FEW15:FEZ15"/>
    <mergeCell ref="FFA15:FFD15"/>
    <mergeCell ref="FFE15:FFH15"/>
    <mergeCell ref="EVE15:EVH15"/>
    <mergeCell ref="EVI15:EVL15"/>
    <mergeCell ref="EVM15:EVP15"/>
    <mergeCell ref="EVQ15:EVT15"/>
    <mergeCell ref="EVU15:EVX15"/>
    <mergeCell ref="EVY15:EWB15"/>
    <mergeCell ref="EWC15:EWF15"/>
    <mergeCell ref="EWG15:EWJ15"/>
    <mergeCell ref="EWK15:EWN15"/>
    <mergeCell ref="EWO15:EWR15"/>
    <mergeCell ref="EWS15:EWV15"/>
    <mergeCell ref="EWW15:EWZ15"/>
    <mergeCell ref="EXA15:EXD15"/>
    <mergeCell ref="EXE15:EXH15"/>
    <mergeCell ref="EXI15:EXL15"/>
    <mergeCell ref="EXM15:EXP15"/>
    <mergeCell ref="EXQ15:EXT15"/>
    <mergeCell ref="EXU15:EXX15"/>
    <mergeCell ref="EXY15:EYB15"/>
    <mergeCell ref="EYC15:EYF15"/>
    <mergeCell ref="EYG15:EYJ15"/>
    <mergeCell ref="EYK15:EYN15"/>
    <mergeCell ref="EYO15:EYR15"/>
    <mergeCell ref="EYS15:EYV15"/>
    <mergeCell ref="EYW15:EYZ15"/>
    <mergeCell ref="EZA15:EZD15"/>
    <mergeCell ref="EZE15:EZH15"/>
    <mergeCell ref="EZI15:EZL15"/>
    <mergeCell ref="EZM15:EZP15"/>
    <mergeCell ref="EZQ15:EZT15"/>
    <mergeCell ref="EZU15:EZX15"/>
    <mergeCell ref="EZY15:FAB15"/>
    <mergeCell ref="FAC15:FAF15"/>
    <mergeCell ref="EQC15:EQF15"/>
    <mergeCell ref="EQG15:EQJ15"/>
    <mergeCell ref="EQK15:EQN15"/>
    <mergeCell ref="EQO15:EQR15"/>
    <mergeCell ref="EQS15:EQV15"/>
    <mergeCell ref="EQW15:EQZ15"/>
    <mergeCell ref="ERA15:ERD15"/>
    <mergeCell ref="ERE15:ERH15"/>
    <mergeCell ref="ERI15:ERL15"/>
    <mergeCell ref="ERM15:ERP15"/>
    <mergeCell ref="ERQ15:ERT15"/>
    <mergeCell ref="ERU15:ERX15"/>
    <mergeCell ref="ERY15:ESB15"/>
    <mergeCell ref="ESC15:ESF15"/>
    <mergeCell ref="ESG15:ESJ15"/>
    <mergeCell ref="ESK15:ESN15"/>
    <mergeCell ref="ESO15:ESR15"/>
    <mergeCell ref="ESS15:ESV15"/>
    <mergeCell ref="ESW15:ESZ15"/>
    <mergeCell ref="ETA15:ETD15"/>
    <mergeCell ref="ETE15:ETH15"/>
    <mergeCell ref="ETI15:ETL15"/>
    <mergeCell ref="ETM15:ETP15"/>
    <mergeCell ref="ETQ15:ETT15"/>
    <mergeCell ref="ETU15:ETX15"/>
    <mergeCell ref="ETY15:EUB15"/>
    <mergeCell ref="EUC15:EUF15"/>
    <mergeCell ref="EUG15:EUJ15"/>
    <mergeCell ref="EUK15:EUN15"/>
    <mergeCell ref="EUO15:EUR15"/>
    <mergeCell ref="EUS15:EUV15"/>
    <mergeCell ref="EUW15:EUZ15"/>
    <mergeCell ref="EVA15:EVD15"/>
    <mergeCell ref="ELA15:ELD15"/>
    <mergeCell ref="ELE15:ELH15"/>
    <mergeCell ref="ELI15:ELL15"/>
    <mergeCell ref="ELM15:ELP15"/>
    <mergeCell ref="ELQ15:ELT15"/>
    <mergeCell ref="ELU15:ELX15"/>
    <mergeCell ref="ELY15:EMB15"/>
    <mergeCell ref="EMC15:EMF15"/>
    <mergeCell ref="EMG15:EMJ15"/>
    <mergeCell ref="EMK15:EMN15"/>
    <mergeCell ref="EMO15:EMR15"/>
    <mergeCell ref="EMS15:EMV15"/>
    <mergeCell ref="EMW15:EMZ15"/>
    <mergeCell ref="ENA15:END15"/>
    <mergeCell ref="ENE15:ENH15"/>
    <mergeCell ref="ENI15:ENL15"/>
    <mergeCell ref="ENM15:ENP15"/>
    <mergeCell ref="ENQ15:ENT15"/>
    <mergeCell ref="ENU15:ENX15"/>
    <mergeCell ref="ENY15:EOB15"/>
    <mergeCell ref="EOC15:EOF15"/>
    <mergeCell ref="EOG15:EOJ15"/>
    <mergeCell ref="EOK15:EON15"/>
    <mergeCell ref="EOO15:EOR15"/>
    <mergeCell ref="EOS15:EOV15"/>
    <mergeCell ref="EOW15:EOZ15"/>
    <mergeCell ref="EPA15:EPD15"/>
    <mergeCell ref="EPE15:EPH15"/>
    <mergeCell ref="EPI15:EPL15"/>
    <mergeCell ref="EPM15:EPP15"/>
    <mergeCell ref="EPQ15:EPT15"/>
    <mergeCell ref="EPU15:EPX15"/>
    <mergeCell ref="EPY15:EQB15"/>
    <mergeCell ref="EFY15:EGB15"/>
    <mergeCell ref="EGC15:EGF15"/>
    <mergeCell ref="EGG15:EGJ15"/>
    <mergeCell ref="EGK15:EGN15"/>
    <mergeCell ref="EGO15:EGR15"/>
    <mergeCell ref="EGS15:EGV15"/>
    <mergeCell ref="EGW15:EGZ15"/>
    <mergeCell ref="EHA15:EHD15"/>
    <mergeCell ref="EHE15:EHH15"/>
    <mergeCell ref="EHI15:EHL15"/>
    <mergeCell ref="EHM15:EHP15"/>
    <mergeCell ref="EHQ15:EHT15"/>
    <mergeCell ref="EHU15:EHX15"/>
    <mergeCell ref="EHY15:EIB15"/>
    <mergeCell ref="EIC15:EIF15"/>
    <mergeCell ref="EIG15:EIJ15"/>
    <mergeCell ref="EIK15:EIN15"/>
    <mergeCell ref="EIO15:EIR15"/>
    <mergeCell ref="EIS15:EIV15"/>
    <mergeCell ref="EIW15:EIZ15"/>
    <mergeCell ref="EJA15:EJD15"/>
    <mergeCell ref="EJE15:EJH15"/>
    <mergeCell ref="EJI15:EJL15"/>
    <mergeCell ref="EJM15:EJP15"/>
    <mergeCell ref="EJQ15:EJT15"/>
    <mergeCell ref="EJU15:EJX15"/>
    <mergeCell ref="EJY15:EKB15"/>
    <mergeCell ref="EKC15:EKF15"/>
    <mergeCell ref="EKG15:EKJ15"/>
    <mergeCell ref="EKK15:EKN15"/>
    <mergeCell ref="EKO15:EKR15"/>
    <mergeCell ref="EKS15:EKV15"/>
    <mergeCell ref="EKW15:EKZ15"/>
    <mergeCell ref="EAW15:EAZ15"/>
    <mergeCell ref="EBA15:EBD15"/>
    <mergeCell ref="EBE15:EBH15"/>
    <mergeCell ref="EBI15:EBL15"/>
    <mergeCell ref="EBM15:EBP15"/>
    <mergeCell ref="EBQ15:EBT15"/>
    <mergeCell ref="EBU15:EBX15"/>
    <mergeCell ref="EBY15:ECB15"/>
    <mergeCell ref="ECC15:ECF15"/>
    <mergeCell ref="ECG15:ECJ15"/>
    <mergeCell ref="ECK15:ECN15"/>
    <mergeCell ref="ECO15:ECR15"/>
    <mergeCell ref="ECS15:ECV15"/>
    <mergeCell ref="ECW15:ECZ15"/>
    <mergeCell ref="EDA15:EDD15"/>
    <mergeCell ref="EDE15:EDH15"/>
    <mergeCell ref="EDI15:EDL15"/>
    <mergeCell ref="EDM15:EDP15"/>
    <mergeCell ref="EDQ15:EDT15"/>
    <mergeCell ref="EDU15:EDX15"/>
    <mergeCell ref="EDY15:EEB15"/>
    <mergeCell ref="EEC15:EEF15"/>
    <mergeCell ref="EEG15:EEJ15"/>
    <mergeCell ref="EEK15:EEN15"/>
    <mergeCell ref="EEO15:EER15"/>
    <mergeCell ref="EES15:EEV15"/>
    <mergeCell ref="EEW15:EEZ15"/>
    <mergeCell ref="EFA15:EFD15"/>
    <mergeCell ref="EFE15:EFH15"/>
    <mergeCell ref="EFI15:EFL15"/>
    <mergeCell ref="EFM15:EFP15"/>
    <mergeCell ref="EFQ15:EFT15"/>
    <mergeCell ref="EFU15:EFX15"/>
    <mergeCell ref="DVU15:DVX15"/>
    <mergeCell ref="DVY15:DWB15"/>
    <mergeCell ref="DWC15:DWF15"/>
    <mergeCell ref="DWG15:DWJ15"/>
    <mergeCell ref="DWK15:DWN15"/>
    <mergeCell ref="DWO15:DWR15"/>
    <mergeCell ref="DWS15:DWV15"/>
    <mergeCell ref="DWW15:DWZ15"/>
    <mergeCell ref="DXA15:DXD15"/>
    <mergeCell ref="DXE15:DXH15"/>
    <mergeCell ref="DXI15:DXL15"/>
    <mergeCell ref="DXM15:DXP15"/>
    <mergeCell ref="DXQ15:DXT15"/>
    <mergeCell ref="DXU15:DXX15"/>
    <mergeCell ref="DXY15:DYB15"/>
    <mergeCell ref="DYC15:DYF15"/>
    <mergeCell ref="DYG15:DYJ15"/>
    <mergeCell ref="DYK15:DYN15"/>
    <mergeCell ref="DYO15:DYR15"/>
    <mergeCell ref="DYS15:DYV15"/>
    <mergeCell ref="DYW15:DYZ15"/>
    <mergeCell ref="DZA15:DZD15"/>
    <mergeCell ref="DZE15:DZH15"/>
    <mergeCell ref="DZI15:DZL15"/>
    <mergeCell ref="DZM15:DZP15"/>
    <mergeCell ref="DZQ15:DZT15"/>
    <mergeCell ref="DZU15:DZX15"/>
    <mergeCell ref="DZY15:EAB15"/>
    <mergeCell ref="EAC15:EAF15"/>
    <mergeCell ref="EAG15:EAJ15"/>
    <mergeCell ref="EAK15:EAN15"/>
    <mergeCell ref="EAO15:EAR15"/>
    <mergeCell ref="EAS15:EAV15"/>
    <mergeCell ref="DQS15:DQV15"/>
    <mergeCell ref="DQW15:DQZ15"/>
    <mergeCell ref="DRA15:DRD15"/>
    <mergeCell ref="DRE15:DRH15"/>
    <mergeCell ref="DRI15:DRL15"/>
    <mergeCell ref="DRM15:DRP15"/>
    <mergeCell ref="DRQ15:DRT15"/>
    <mergeCell ref="DRU15:DRX15"/>
    <mergeCell ref="DRY15:DSB15"/>
    <mergeCell ref="DSC15:DSF15"/>
    <mergeCell ref="DSG15:DSJ15"/>
    <mergeCell ref="DSK15:DSN15"/>
    <mergeCell ref="DSO15:DSR15"/>
    <mergeCell ref="DSS15:DSV15"/>
    <mergeCell ref="DSW15:DSZ15"/>
    <mergeCell ref="DTA15:DTD15"/>
    <mergeCell ref="DTE15:DTH15"/>
    <mergeCell ref="DTI15:DTL15"/>
    <mergeCell ref="DTM15:DTP15"/>
    <mergeCell ref="DTQ15:DTT15"/>
    <mergeCell ref="DTU15:DTX15"/>
    <mergeCell ref="DTY15:DUB15"/>
    <mergeCell ref="DUC15:DUF15"/>
    <mergeCell ref="DUG15:DUJ15"/>
    <mergeCell ref="DUK15:DUN15"/>
    <mergeCell ref="DUO15:DUR15"/>
    <mergeCell ref="DUS15:DUV15"/>
    <mergeCell ref="DUW15:DUZ15"/>
    <mergeCell ref="DVA15:DVD15"/>
    <mergeCell ref="DVE15:DVH15"/>
    <mergeCell ref="DVI15:DVL15"/>
    <mergeCell ref="DVM15:DVP15"/>
    <mergeCell ref="DVQ15:DVT15"/>
    <mergeCell ref="DLQ15:DLT15"/>
    <mergeCell ref="DLU15:DLX15"/>
    <mergeCell ref="DLY15:DMB15"/>
    <mergeCell ref="DMC15:DMF15"/>
    <mergeCell ref="DMG15:DMJ15"/>
    <mergeCell ref="DMK15:DMN15"/>
    <mergeCell ref="DMO15:DMR15"/>
    <mergeCell ref="DMS15:DMV15"/>
    <mergeCell ref="DMW15:DMZ15"/>
    <mergeCell ref="DNA15:DND15"/>
    <mergeCell ref="DNE15:DNH15"/>
    <mergeCell ref="DNI15:DNL15"/>
    <mergeCell ref="DNM15:DNP15"/>
    <mergeCell ref="DNQ15:DNT15"/>
    <mergeCell ref="DNU15:DNX15"/>
    <mergeCell ref="DNY15:DOB15"/>
    <mergeCell ref="DOC15:DOF15"/>
    <mergeCell ref="DOG15:DOJ15"/>
    <mergeCell ref="DOK15:DON15"/>
    <mergeCell ref="DOO15:DOR15"/>
    <mergeCell ref="DOS15:DOV15"/>
    <mergeCell ref="DOW15:DOZ15"/>
    <mergeCell ref="DPA15:DPD15"/>
    <mergeCell ref="DPE15:DPH15"/>
    <mergeCell ref="DPI15:DPL15"/>
    <mergeCell ref="DPM15:DPP15"/>
    <mergeCell ref="DPQ15:DPT15"/>
    <mergeCell ref="DPU15:DPX15"/>
    <mergeCell ref="DPY15:DQB15"/>
    <mergeCell ref="DQC15:DQF15"/>
    <mergeCell ref="DQG15:DQJ15"/>
    <mergeCell ref="DQK15:DQN15"/>
    <mergeCell ref="DQO15:DQR15"/>
    <mergeCell ref="DGO15:DGR15"/>
    <mergeCell ref="DGS15:DGV15"/>
    <mergeCell ref="DGW15:DGZ15"/>
    <mergeCell ref="DHA15:DHD15"/>
    <mergeCell ref="DHE15:DHH15"/>
    <mergeCell ref="DHI15:DHL15"/>
    <mergeCell ref="DHM15:DHP15"/>
    <mergeCell ref="DHQ15:DHT15"/>
    <mergeCell ref="DHU15:DHX15"/>
    <mergeCell ref="DHY15:DIB15"/>
    <mergeCell ref="DIC15:DIF15"/>
    <mergeCell ref="DIG15:DIJ15"/>
    <mergeCell ref="DIK15:DIN15"/>
    <mergeCell ref="DIO15:DIR15"/>
    <mergeCell ref="DIS15:DIV15"/>
    <mergeCell ref="DIW15:DIZ15"/>
    <mergeCell ref="DJA15:DJD15"/>
    <mergeCell ref="DJE15:DJH15"/>
    <mergeCell ref="DJI15:DJL15"/>
    <mergeCell ref="DJM15:DJP15"/>
    <mergeCell ref="DJQ15:DJT15"/>
    <mergeCell ref="DJU15:DJX15"/>
    <mergeCell ref="DJY15:DKB15"/>
    <mergeCell ref="DKC15:DKF15"/>
    <mergeCell ref="DKG15:DKJ15"/>
    <mergeCell ref="DKK15:DKN15"/>
    <mergeCell ref="DKO15:DKR15"/>
    <mergeCell ref="DKS15:DKV15"/>
    <mergeCell ref="DKW15:DKZ15"/>
    <mergeCell ref="DLA15:DLD15"/>
    <mergeCell ref="DLE15:DLH15"/>
    <mergeCell ref="DLI15:DLL15"/>
    <mergeCell ref="DLM15:DLP15"/>
    <mergeCell ref="DBM15:DBP15"/>
    <mergeCell ref="DBQ15:DBT15"/>
    <mergeCell ref="DBU15:DBX15"/>
    <mergeCell ref="DBY15:DCB15"/>
    <mergeCell ref="DCC15:DCF15"/>
    <mergeCell ref="DCG15:DCJ15"/>
    <mergeCell ref="DCK15:DCN15"/>
    <mergeCell ref="DCO15:DCR15"/>
    <mergeCell ref="DCS15:DCV15"/>
    <mergeCell ref="DCW15:DCZ15"/>
    <mergeCell ref="DDA15:DDD15"/>
    <mergeCell ref="DDE15:DDH15"/>
    <mergeCell ref="DDI15:DDL15"/>
    <mergeCell ref="DDM15:DDP15"/>
    <mergeCell ref="DDQ15:DDT15"/>
    <mergeCell ref="DDU15:DDX15"/>
    <mergeCell ref="DDY15:DEB15"/>
    <mergeCell ref="DEC15:DEF15"/>
    <mergeCell ref="DEG15:DEJ15"/>
    <mergeCell ref="DEK15:DEN15"/>
    <mergeCell ref="DEO15:DER15"/>
    <mergeCell ref="DES15:DEV15"/>
    <mergeCell ref="DEW15:DEZ15"/>
    <mergeCell ref="DFA15:DFD15"/>
    <mergeCell ref="DFE15:DFH15"/>
    <mergeCell ref="DFI15:DFL15"/>
    <mergeCell ref="DFM15:DFP15"/>
    <mergeCell ref="DFQ15:DFT15"/>
    <mergeCell ref="DFU15:DFX15"/>
    <mergeCell ref="DFY15:DGB15"/>
    <mergeCell ref="DGC15:DGF15"/>
    <mergeCell ref="DGG15:DGJ15"/>
    <mergeCell ref="DGK15:DGN15"/>
    <mergeCell ref="CWK15:CWN15"/>
    <mergeCell ref="CWO15:CWR15"/>
    <mergeCell ref="CWS15:CWV15"/>
    <mergeCell ref="CWW15:CWZ15"/>
    <mergeCell ref="CXA15:CXD15"/>
    <mergeCell ref="CXE15:CXH15"/>
    <mergeCell ref="CXI15:CXL15"/>
    <mergeCell ref="CXM15:CXP15"/>
    <mergeCell ref="CXQ15:CXT15"/>
    <mergeCell ref="CXU15:CXX15"/>
    <mergeCell ref="CXY15:CYB15"/>
    <mergeCell ref="CYC15:CYF15"/>
    <mergeCell ref="CYG15:CYJ15"/>
    <mergeCell ref="CYK15:CYN15"/>
    <mergeCell ref="CYO15:CYR15"/>
    <mergeCell ref="CYS15:CYV15"/>
    <mergeCell ref="CYW15:CYZ15"/>
    <mergeCell ref="CZA15:CZD15"/>
    <mergeCell ref="CZE15:CZH15"/>
    <mergeCell ref="CZI15:CZL15"/>
    <mergeCell ref="CZM15:CZP15"/>
    <mergeCell ref="CZQ15:CZT15"/>
    <mergeCell ref="CZU15:CZX15"/>
    <mergeCell ref="CZY15:DAB15"/>
    <mergeCell ref="DAC15:DAF15"/>
    <mergeCell ref="DAG15:DAJ15"/>
    <mergeCell ref="DAK15:DAN15"/>
    <mergeCell ref="DAO15:DAR15"/>
    <mergeCell ref="DAS15:DAV15"/>
    <mergeCell ref="DAW15:DAZ15"/>
    <mergeCell ref="DBA15:DBD15"/>
    <mergeCell ref="DBE15:DBH15"/>
    <mergeCell ref="DBI15:DBL15"/>
    <mergeCell ref="CRI15:CRL15"/>
    <mergeCell ref="CRM15:CRP15"/>
    <mergeCell ref="CRQ15:CRT15"/>
    <mergeCell ref="CRU15:CRX15"/>
    <mergeCell ref="CRY15:CSB15"/>
    <mergeCell ref="CSC15:CSF15"/>
    <mergeCell ref="CSG15:CSJ15"/>
    <mergeCell ref="CSK15:CSN15"/>
    <mergeCell ref="CSO15:CSR15"/>
    <mergeCell ref="CSS15:CSV15"/>
    <mergeCell ref="CSW15:CSZ15"/>
    <mergeCell ref="CTA15:CTD15"/>
    <mergeCell ref="CTE15:CTH15"/>
    <mergeCell ref="CTI15:CTL15"/>
    <mergeCell ref="CTM15:CTP15"/>
    <mergeCell ref="CTQ15:CTT15"/>
    <mergeCell ref="CTU15:CTX15"/>
    <mergeCell ref="CTY15:CUB15"/>
    <mergeCell ref="CUC15:CUF15"/>
    <mergeCell ref="CUG15:CUJ15"/>
    <mergeCell ref="CUK15:CUN15"/>
    <mergeCell ref="CUO15:CUR15"/>
    <mergeCell ref="CUS15:CUV15"/>
    <mergeCell ref="CUW15:CUZ15"/>
    <mergeCell ref="CVA15:CVD15"/>
    <mergeCell ref="CVE15:CVH15"/>
    <mergeCell ref="CVI15:CVL15"/>
    <mergeCell ref="CVM15:CVP15"/>
    <mergeCell ref="CVQ15:CVT15"/>
    <mergeCell ref="CVU15:CVX15"/>
    <mergeCell ref="CVY15:CWB15"/>
    <mergeCell ref="CWC15:CWF15"/>
    <mergeCell ref="CWG15:CWJ15"/>
    <mergeCell ref="CMG15:CMJ15"/>
    <mergeCell ref="CMK15:CMN15"/>
    <mergeCell ref="CMO15:CMR15"/>
    <mergeCell ref="CMS15:CMV15"/>
    <mergeCell ref="CMW15:CMZ15"/>
    <mergeCell ref="CNA15:CND15"/>
    <mergeCell ref="CNE15:CNH15"/>
    <mergeCell ref="CNI15:CNL15"/>
    <mergeCell ref="CNM15:CNP15"/>
    <mergeCell ref="CNQ15:CNT15"/>
    <mergeCell ref="CNU15:CNX15"/>
    <mergeCell ref="CNY15:COB15"/>
    <mergeCell ref="COC15:COF15"/>
    <mergeCell ref="COG15:COJ15"/>
    <mergeCell ref="COK15:CON15"/>
    <mergeCell ref="COO15:COR15"/>
    <mergeCell ref="COS15:COV15"/>
    <mergeCell ref="COW15:COZ15"/>
    <mergeCell ref="CPA15:CPD15"/>
    <mergeCell ref="CPE15:CPH15"/>
    <mergeCell ref="CPI15:CPL15"/>
    <mergeCell ref="CPM15:CPP15"/>
    <mergeCell ref="CPQ15:CPT15"/>
    <mergeCell ref="CPU15:CPX15"/>
    <mergeCell ref="CPY15:CQB15"/>
    <mergeCell ref="CQC15:CQF15"/>
    <mergeCell ref="CQG15:CQJ15"/>
    <mergeCell ref="CQK15:CQN15"/>
    <mergeCell ref="CQO15:CQR15"/>
    <mergeCell ref="CQS15:CQV15"/>
    <mergeCell ref="CQW15:CQZ15"/>
    <mergeCell ref="CRA15:CRD15"/>
    <mergeCell ref="CRE15:CRH15"/>
    <mergeCell ref="CHE15:CHH15"/>
    <mergeCell ref="CHI15:CHL15"/>
    <mergeCell ref="CHM15:CHP15"/>
    <mergeCell ref="CHQ15:CHT15"/>
    <mergeCell ref="CHU15:CHX15"/>
    <mergeCell ref="CHY15:CIB15"/>
    <mergeCell ref="CIC15:CIF15"/>
    <mergeCell ref="CIG15:CIJ15"/>
    <mergeCell ref="CIK15:CIN15"/>
    <mergeCell ref="CIO15:CIR15"/>
    <mergeCell ref="CIS15:CIV15"/>
    <mergeCell ref="CIW15:CIZ15"/>
    <mergeCell ref="CJA15:CJD15"/>
    <mergeCell ref="CJE15:CJH15"/>
    <mergeCell ref="CJI15:CJL15"/>
    <mergeCell ref="CJM15:CJP15"/>
    <mergeCell ref="CJQ15:CJT15"/>
    <mergeCell ref="CJU15:CJX15"/>
    <mergeCell ref="CJY15:CKB15"/>
    <mergeCell ref="CKC15:CKF15"/>
    <mergeCell ref="CKG15:CKJ15"/>
    <mergeCell ref="CKK15:CKN15"/>
    <mergeCell ref="CKO15:CKR15"/>
    <mergeCell ref="CKS15:CKV15"/>
    <mergeCell ref="CKW15:CKZ15"/>
    <mergeCell ref="CLA15:CLD15"/>
    <mergeCell ref="CLE15:CLH15"/>
    <mergeCell ref="CLI15:CLL15"/>
    <mergeCell ref="CLM15:CLP15"/>
    <mergeCell ref="CLQ15:CLT15"/>
    <mergeCell ref="CLU15:CLX15"/>
    <mergeCell ref="CLY15:CMB15"/>
    <mergeCell ref="CMC15:CMF15"/>
    <mergeCell ref="CCC15:CCF15"/>
    <mergeCell ref="CCG15:CCJ15"/>
    <mergeCell ref="CCK15:CCN15"/>
    <mergeCell ref="CCO15:CCR15"/>
    <mergeCell ref="CCS15:CCV15"/>
    <mergeCell ref="CCW15:CCZ15"/>
    <mergeCell ref="CDA15:CDD15"/>
    <mergeCell ref="CDE15:CDH15"/>
    <mergeCell ref="CDI15:CDL15"/>
    <mergeCell ref="CDM15:CDP15"/>
    <mergeCell ref="CDQ15:CDT15"/>
    <mergeCell ref="CDU15:CDX15"/>
    <mergeCell ref="CDY15:CEB15"/>
    <mergeCell ref="CEC15:CEF15"/>
    <mergeCell ref="CEG15:CEJ15"/>
    <mergeCell ref="CEK15:CEN15"/>
    <mergeCell ref="CEO15:CER15"/>
    <mergeCell ref="CES15:CEV15"/>
    <mergeCell ref="CEW15:CEZ15"/>
    <mergeCell ref="CFA15:CFD15"/>
    <mergeCell ref="CFE15:CFH15"/>
    <mergeCell ref="CFI15:CFL15"/>
    <mergeCell ref="CFM15:CFP15"/>
    <mergeCell ref="CFQ15:CFT15"/>
    <mergeCell ref="CFU15:CFX15"/>
    <mergeCell ref="CFY15:CGB15"/>
    <mergeCell ref="CGC15:CGF15"/>
    <mergeCell ref="CGG15:CGJ15"/>
    <mergeCell ref="CGK15:CGN15"/>
    <mergeCell ref="CGO15:CGR15"/>
    <mergeCell ref="CGS15:CGV15"/>
    <mergeCell ref="CGW15:CGZ15"/>
    <mergeCell ref="CHA15:CHD15"/>
    <mergeCell ref="BXA15:BXD15"/>
    <mergeCell ref="BXE15:BXH15"/>
    <mergeCell ref="BXI15:BXL15"/>
    <mergeCell ref="BXM15:BXP15"/>
    <mergeCell ref="BXQ15:BXT15"/>
    <mergeCell ref="BXU15:BXX15"/>
    <mergeCell ref="BXY15:BYB15"/>
    <mergeCell ref="BYC15:BYF15"/>
    <mergeCell ref="BYG15:BYJ15"/>
    <mergeCell ref="BYK15:BYN15"/>
    <mergeCell ref="BYO15:BYR15"/>
    <mergeCell ref="BYS15:BYV15"/>
    <mergeCell ref="BYW15:BYZ15"/>
    <mergeCell ref="BZA15:BZD15"/>
    <mergeCell ref="BZE15:BZH15"/>
    <mergeCell ref="BZI15:BZL15"/>
    <mergeCell ref="BZM15:BZP15"/>
    <mergeCell ref="BZQ15:BZT15"/>
    <mergeCell ref="BZU15:BZX15"/>
    <mergeCell ref="BZY15:CAB15"/>
    <mergeCell ref="CAC15:CAF15"/>
    <mergeCell ref="CAG15:CAJ15"/>
    <mergeCell ref="CAK15:CAN15"/>
    <mergeCell ref="CAO15:CAR15"/>
    <mergeCell ref="CAS15:CAV15"/>
    <mergeCell ref="CAW15:CAZ15"/>
    <mergeCell ref="CBA15:CBD15"/>
    <mergeCell ref="CBE15:CBH15"/>
    <mergeCell ref="CBI15:CBL15"/>
    <mergeCell ref="CBM15:CBP15"/>
    <mergeCell ref="CBQ15:CBT15"/>
    <mergeCell ref="CBU15:CBX15"/>
    <mergeCell ref="CBY15:CCB15"/>
    <mergeCell ref="BRY15:BSB15"/>
    <mergeCell ref="BSC15:BSF15"/>
    <mergeCell ref="BSG15:BSJ15"/>
    <mergeCell ref="BSK15:BSN15"/>
    <mergeCell ref="BSO15:BSR15"/>
    <mergeCell ref="BSS15:BSV15"/>
    <mergeCell ref="BSW15:BSZ15"/>
    <mergeCell ref="BTA15:BTD15"/>
    <mergeCell ref="BTE15:BTH15"/>
    <mergeCell ref="BTI15:BTL15"/>
    <mergeCell ref="BTM15:BTP15"/>
    <mergeCell ref="BTQ15:BTT15"/>
    <mergeCell ref="BTU15:BTX15"/>
    <mergeCell ref="BTY15:BUB15"/>
    <mergeCell ref="BUC15:BUF15"/>
    <mergeCell ref="BUG15:BUJ15"/>
    <mergeCell ref="BUK15:BUN15"/>
    <mergeCell ref="BUO15:BUR15"/>
    <mergeCell ref="BUS15:BUV15"/>
    <mergeCell ref="BUW15:BUZ15"/>
    <mergeCell ref="BVA15:BVD15"/>
    <mergeCell ref="BVE15:BVH15"/>
    <mergeCell ref="BVI15:BVL15"/>
    <mergeCell ref="BVM15:BVP15"/>
    <mergeCell ref="BVQ15:BVT15"/>
    <mergeCell ref="BVU15:BVX15"/>
    <mergeCell ref="BVY15:BWB15"/>
    <mergeCell ref="BWC15:BWF15"/>
    <mergeCell ref="BWG15:BWJ15"/>
    <mergeCell ref="BWK15:BWN15"/>
    <mergeCell ref="BWO15:BWR15"/>
    <mergeCell ref="BWS15:BWV15"/>
    <mergeCell ref="BWW15:BWZ15"/>
    <mergeCell ref="BMW15:BMZ15"/>
    <mergeCell ref="BNA15:BND15"/>
    <mergeCell ref="BNE15:BNH15"/>
    <mergeCell ref="BNI15:BNL15"/>
    <mergeCell ref="BNM15:BNP15"/>
    <mergeCell ref="BNQ15:BNT15"/>
    <mergeCell ref="BNU15:BNX15"/>
    <mergeCell ref="BNY15:BOB15"/>
    <mergeCell ref="BOC15:BOF15"/>
    <mergeCell ref="BOG15:BOJ15"/>
    <mergeCell ref="BOK15:BON15"/>
    <mergeCell ref="BOO15:BOR15"/>
    <mergeCell ref="BOS15:BOV15"/>
    <mergeCell ref="BOW15:BOZ15"/>
    <mergeCell ref="BPA15:BPD15"/>
    <mergeCell ref="BPE15:BPH15"/>
    <mergeCell ref="BPI15:BPL15"/>
    <mergeCell ref="BPM15:BPP15"/>
    <mergeCell ref="BPQ15:BPT15"/>
    <mergeCell ref="BPU15:BPX15"/>
    <mergeCell ref="BPY15:BQB15"/>
    <mergeCell ref="BQC15:BQF15"/>
    <mergeCell ref="BQG15:BQJ15"/>
    <mergeCell ref="BQK15:BQN15"/>
    <mergeCell ref="BQO15:BQR15"/>
    <mergeCell ref="BQS15:BQV15"/>
    <mergeCell ref="BQW15:BQZ15"/>
    <mergeCell ref="BRA15:BRD15"/>
    <mergeCell ref="BRE15:BRH15"/>
    <mergeCell ref="BRI15:BRL15"/>
    <mergeCell ref="BRM15:BRP15"/>
    <mergeCell ref="BRQ15:BRT15"/>
    <mergeCell ref="BRU15:BRX15"/>
    <mergeCell ref="BHU15:BHX15"/>
    <mergeCell ref="BHY15:BIB15"/>
    <mergeCell ref="BIC15:BIF15"/>
    <mergeCell ref="BIG15:BIJ15"/>
    <mergeCell ref="BIK15:BIN15"/>
    <mergeCell ref="BIO15:BIR15"/>
    <mergeCell ref="BIS15:BIV15"/>
    <mergeCell ref="BIW15:BIZ15"/>
    <mergeCell ref="BJA15:BJD15"/>
    <mergeCell ref="BJE15:BJH15"/>
    <mergeCell ref="BJI15:BJL15"/>
    <mergeCell ref="BJM15:BJP15"/>
    <mergeCell ref="BJQ15:BJT15"/>
    <mergeCell ref="BJU15:BJX15"/>
    <mergeCell ref="BJY15:BKB15"/>
    <mergeCell ref="BKC15:BKF15"/>
    <mergeCell ref="BKG15:BKJ15"/>
    <mergeCell ref="BKK15:BKN15"/>
    <mergeCell ref="BKO15:BKR15"/>
    <mergeCell ref="BKS15:BKV15"/>
    <mergeCell ref="BKW15:BKZ15"/>
    <mergeCell ref="BLA15:BLD15"/>
    <mergeCell ref="BLE15:BLH15"/>
    <mergeCell ref="BLI15:BLL15"/>
    <mergeCell ref="BLM15:BLP15"/>
    <mergeCell ref="BLQ15:BLT15"/>
    <mergeCell ref="BLU15:BLX15"/>
    <mergeCell ref="BLY15:BMB15"/>
    <mergeCell ref="BMC15:BMF15"/>
    <mergeCell ref="BMG15:BMJ15"/>
    <mergeCell ref="BMK15:BMN15"/>
    <mergeCell ref="BMO15:BMR15"/>
    <mergeCell ref="BMS15:BMV15"/>
    <mergeCell ref="BCS15:BCV15"/>
    <mergeCell ref="BCW15:BCZ15"/>
    <mergeCell ref="BDA15:BDD15"/>
    <mergeCell ref="BDE15:BDH15"/>
    <mergeCell ref="BDI15:BDL15"/>
    <mergeCell ref="BDM15:BDP15"/>
    <mergeCell ref="BDQ15:BDT15"/>
    <mergeCell ref="BDU15:BDX15"/>
    <mergeCell ref="BDY15:BEB15"/>
    <mergeCell ref="BEC15:BEF15"/>
    <mergeCell ref="BEG15:BEJ15"/>
    <mergeCell ref="BEK15:BEN15"/>
    <mergeCell ref="BEO15:BER15"/>
    <mergeCell ref="BES15:BEV15"/>
    <mergeCell ref="BEW15:BEZ15"/>
    <mergeCell ref="BFA15:BFD15"/>
    <mergeCell ref="BFE15:BFH15"/>
    <mergeCell ref="BFI15:BFL15"/>
    <mergeCell ref="BFM15:BFP15"/>
    <mergeCell ref="BFQ15:BFT15"/>
    <mergeCell ref="BFU15:BFX15"/>
    <mergeCell ref="BFY15:BGB15"/>
    <mergeCell ref="BGC15:BGF15"/>
    <mergeCell ref="BGG15:BGJ15"/>
    <mergeCell ref="BGK15:BGN15"/>
    <mergeCell ref="BGO15:BGR15"/>
    <mergeCell ref="BGS15:BGV15"/>
    <mergeCell ref="BGW15:BGZ15"/>
    <mergeCell ref="BHA15:BHD15"/>
    <mergeCell ref="BHE15:BHH15"/>
    <mergeCell ref="BHI15:BHL15"/>
    <mergeCell ref="BHM15:BHP15"/>
    <mergeCell ref="BHQ15:BHT15"/>
    <mergeCell ref="AXQ15:AXT15"/>
    <mergeCell ref="AXU15:AXX15"/>
    <mergeCell ref="AXY15:AYB15"/>
    <mergeCell ref="AYC15:AYF15"/>
    <mergeCell ref="AYG15:AYJ15"/>
    <mergeCell ref="AYK15:AYN15"/>
    <mergeCell ref="AYO15:AYR15"/>
    <mergeCell ref="AYS15:AYV15"/>
    <mergeCell ref="AYW15:AYZ15"/>
    <mergeCell ref="AZA15:AZD15"/>
    <mergeCell ref="AZE15:AZH15"/>
    <mergeCell ref="AZI15:AZL15"/>
    <mergeCell ref="AZM15:AZP15"/>
    <mergeCell ref="AZQ15:AZT15"/>
    <mergeCell ref="AZU15:AZX15"/>
    <mergeCell ref="AZY15:BAB15"/>
    <mergeCell ref="BAC15:BAF15"/>
    <mergeCell ref="BAG15:BAJ15"/>
    <mergeCell ref="BAK15:BAN15"/>
    <mergeCell ref="BAO15:BAR15"/>
    <mergeCell ref="BAS15:BAV15"/>
    <mergeCell ref="BAW15:BAZ15"/>
    <mergeCell ref="BBA15:BBD15"/>
    <mergeCell ref="BBE15:BBH15"/>
    <mergeCell ref="BBI15:BBL15"/>
    <mergeCell ref="BBM15:BBP15"/>
    <mergeCell ref="BBQ15:BBT15"/>
    <mergeCell ref="BBU15:BBX15"/>
    <mergeCell ref="BBY15:BCB15"/>
    <mergeCell ref="BCC15:BCF15"/>
    <mergeCell ref="BCG15:BCJ15"/>
    <mergeCell ref="BCK15:BCN15"/>
    <mergeCell ref="BCO15:BCR15"/>
    <mergeCell ref="ASO15:ASR15"/>
    <mergeCell ref="ASS15:ASV15"/>
    <mergeCell ref="ASW15:ASZ15"/>
    <mergeCell ref="ATA15:ATD15"/>
    <mergeCell ref="ATE15:ATH15"/>
    <mergeCell ref="ATI15:ATL15"/>
    <mergeCell ref="ATM15:ATP15"/>
    <mergeCell ref="ATQ15:ATT15"/>
    <mergeCell ref="ATU15:ATX15"/>
    <mergeCell ref="ATY15:AUB15"/>
    <mergeCell ref="AUC15:AUF15"/>
    <mergeCell ref="AUG15:AUJ15"/>
    <mergeCell ref="AUK15:AUN15"/>
    <mergeCell ref="AUO15:AUR15"/>
    <mergeCell ref="AUS15:AUV15"/>
    <mergeCell ref="AUW15:AUZ15"/>
    <mergeCell ref="AVA15:AVD15"/>
    <mergeCell ref="AVE15:AVH15"/>
    <mergeCell ref="AVI15:AVL15"/>
    <mergeCell ref="AVM15:AVP15"/>
    <mergeCell ref="AVQ15:AVT15"/>
    <mergeCell ref="AVU15:AVX15"/>
    <mergeCell ref="AVY15:AWB15"/>
    <mergeCell ref="AWC15:AWF15"/>
    <mergeCell ref="AWG15:AWJ15"/>
    <mergeCell ref="AWK15:AWN15"/>
    <mergeCell ref="AWO15:AWR15"/>
    <mergeCell ref="AWS15:AWV15"/>
    <mergeCell ref="AWW15:AWZ15"/>
    <mergeCell ref="AXA15:AXD15"/>
    <mergeCell ref="AXE15:AXH15"/>
    <mergeCell ref="AXI15:AXL15"/>
    <mergeCell ref="AXM15:AXP15"/>
    <mergeCell ref="ANM15:ANP15"/>
    <mergeCell ref="ANQ15:ANT15"/>
    <mergeCell ref="ANU15:ANX15"/>
    <mergeCell ref="ANY15:AOB15"/>
    <mergeCell ref="AOC15:AOF15"/>
    <mergeCell ref="AOG15:AOJ15"/>
    <mergeCell ref="AOK15:AON15"/>
    <mergeCell ref="AOO15:AOR15"/>
    <mergeCell ref="AOS15:AOV15"/>
    <mergeCell ref="AOW15:AOZ15"/>
    <mergeCell ref="APA15:APD15"/>
    <mergeCell ref="APE15:APH15"/>
    <mergeCell ref="API15:APL15"/>
    <mergeCell ref="APM15:APP15"/>
    <mergeCell ref="APQ15:APT15"/>
    <mergeCell ref="APU15:APX15"/>
    <mergeCell ref="APY15:AQB15"/>
    <mergeCell ref="AQC15:AQF15"/>
    <mergeCell ref="AQG15:AQJ15"/>
    <mergeCell ref="AQK15:AQN15"/>
    <mergeCell ref="AQO15:AQR15"/>
    <mergeCell ref="AQS15:AQV15"/>
    <mergeCell ref="AQW15:AQZ15"/>
    <mergeCell ref="ARA15:ARD15"/>
    <mergeCell ref="ARE15:ARH15"/>
    <mergeCell ref="ARI15:ARL15"/>
    <mergeCell ref="ARM15:ARP15"/>
    <mergeCell ref="ARQ15:ART15"/>
    <mergeCell ref="ARU15:ARX15"/>
    <mergeCell ref="ARY15:ASB15"/>
    <mergeCell ref="ASC15:ASF15"/>
    <mergeCell ref="ASG15:ASJ15"/>
    <mergeCell ref="ASK15:ASN15"/>
    <mergeCell ref="AIK15:AIN15"/>
    <mergeCell ref="AIO15:AIR15"/>
    <mergeCell ref="AIS15:AIV15"/>
    <mergeCell ref="AIW15:AIZ15"/>
    <mergeCell ref="AJA15:AJD15"/>
    <mergeCell ref="AJE15:AJH15"/>
    <mergeCell ref="AJI15:AJL15"/>
    <mergeCell ref="AJM15:AJP15"/>
    <mergeCell ref="AJQ15:AJT15"/>
    <mergeCell ref="AJU15:AJX15"/>
    <mergeCell ref="AJY15:AKB15"/>
    <mergeCell ref="AKC15:AKF15"/>
    <mergeCell ref="AKG15:AKJ15"/>
    <mergeCell ref="AKK15:AKN15"/>
    <mergeCell ref="AKO15:AKR15"/>
    <mergeCell ref="AKS15:AKV15"/>
    <mergeCell ref="AKW15:AKZ15"/>
    <mergeCell ref="ALA15:ALD15"/>
    <mergeCell ref="ALE15:ALH15"/>
    <mergeCell ref="ALI15:ALL15"/>
    <mergeCell ref="ALM15:ALP15"/>
    <mergeCell ref="ALQ15:ALT15"/>
    <mergeCell ref="ALU15:ALX15"/>
    <mergeCell ref="ALY15:AMB15"/>
    <mergeCell ref="AMC15:AMF15"/>
    <mergeCell ref="AMG15:AMJ15"/>
    <mergeCell ref="AMK15:AMN15"/>
    <mergeCell ref="AMO15:AMR15"/>
    <mergeCell ref="AMS15:AMV15"/>
    <mergeCell ref="AMW15:AMZ15"/>
    <mergeCell ref="ANA15:AND15"/>
    <mergeCell ref="ANE15:ANH15"/>
    <mergeCell ref="ANI15:ANL15"/>
    <mergeCell ref="ADI15:ADL15"/>
    <mergeCell ref="ADM15:ADP15"/>
    <mergeCell ref="ADQ15:ADT15"/>
    <mergeCell ref="ADU15:ADX15"/>
    <mergeCell ref="ADY15:AEB15"/>
    <mergeCell ref="AEC15:AEF15"/>
    <mergeCell ref="AEG15:AEJ15"/>
    <mergeCell ref="AEK15:AEN15"/>
    <mergeCell ref="AEO15:AER15"/>
    <mergeCell ref="AES15:AEV15"/>
    <mergeCell ref="AEW15:AEZ15"/>
    <mergeCell ref="AFA15:AFD15"/>
    <mergeCell ref="AFE15:AFH15"/>
    <mergeCell ref="AFI15:AFL15"/>
    <mergeCell ref="AFM15:AFP15"/>
    <mergeCell ref="AFQ15:AFT15"/>
    <mergeCell ref="AFU15:AFX15"/>
    <mergeCell ref="AFY15:AGB15"/>
    <mergeCell ref="AGC15:AGF15"/>
    <mergeCell ref="AGG15:AGJ15"/>
    <mergeCell ref="AGK15:AGN15"/>
    <mergeCell ref="AGO15:AGR15"/>
    <mergeCell ref="AGS15:AGV15"/>
    <mergeCell ref="AGW15:AGZ15"/>
    <mergeCell ref="AHA15:AHD15"/>
    <mergeCell ref="AHE15:AHH15"/>
    <mergeCell ref="AHI15:AHL15"/>
    <mergeCell ref="AHM15:AHP15"/>
    <mergeCell ref="AHQ15:AHT15"/>
    <mergeCell ref="AHU15:AHX15"/>
    <mergeCell ref="AHY15:AIB15"/>
    <mergeCell ref="AIC15:AIF15"/>
    <mergeCell ref="AIG15:AIJ15"/>
    <mergeCell ref="YG15:YJ15"/>
    <mergeCell ref="YK15:YN15"/>
    <mergeCell ref="YO15:YR15"/>
    <mergeCell ref="YS15:YV15"/>
    <mergeCell ref="YW15:YZ15"/>
    <mergeCell ref="ZA15:ZD15"/>
    <mergeCell ref="ZE15:ZH15"/>
    <mergeCell ref="ZI15:ZL15"/>
    <mergeCell ref="ZM15:ZP15"/>
    <mergeCell ref="ZQ15:ZT15"/>
    <mergeCell ref="ZU15:ZX15"/>
    <mergeCell ref="ZY15:AAB15"/>
    <mergeCell ref="AAC15:AAF15"/>
    <mergeCell ref="AAG15:AAJ15"/>
    <mergeCell ref="AAK15:AAN15"/>
    <mergeCell ref="AAO15:AAR15"/>
    <mergeCell ref="AAS15:AAV15"/>
    <mergeCell ref="AAW15:AAZ15"/>
    <mergeCell ref="ABA15:ABD15"/>
    <mergeCell ref="ABE15:ABH15"/>
    <mergeCell ref="ABI15:ABL15"/>
    <mergeCell ref="ABM15:ABP15"/>
    <mergeCell ref="ABQ15:ABT15"/>
    <mergeCell ref="ABU15:ABX15"/>
    <mergeCell ref="ABY15:ACB15"/>
    <mergeCell ref="ACC15:ACF15"/>
    <mergeCell ref="ACG15:ACJ15"/>
    <mergeCell ref="ACK15:ACN15"/>
    <mergeCell ref="ACO15:ACR15"/>
    <mergeCell ref="ACS15:ACV15"/>
    <mergeCell ref="ACW15:ACZ15"/>
    <mergeCell ref="ADA15:ADD15"/>
    <mergeCell ref="ADE15:ADH15"/>
    <mergeCell ref="TE15:TH15"/>
    <mergeCell ref="TI15:TL15"/>
    <mergeCell ref="TM15:TP15"/>
    <mergeCell ref="TQ15:TT15"/>
    <mergeCell ref="TU15:TX15"/>
    <mergeCell ref="TY15:UB15"/>
    <mergeCell ref="UC15:UF15"/>
    <mergeCell ref="UG15:UJ15"/>
    <mergeCell ref="UK15:UN15"/>
    <mergeCell ref="UO15:UR15"/>
    <mergeCell ref="US15:UV15"/>
    <mergeCell ref="UW15:UZ15"/>
    <mergeCell ref="VA15:VD15"/>
    <mergeCell ref="VE15:VH15"/>
    <mergeCell ref="VI15:VL15"/>
    <mergeCell ref="VM15:VP15"/>
    <mergeCell ref="VQ15:VT15"/>
    <mergeCell ref="VU15:VX15"/>
    <mergeCell ref="VY15:WB15"/>
    <mergeCell ref="WC15:WF15"/>
    <mergeCell ref="WG15:WJ15"/>
    <mergeCell ref="WK15:WN15"/>
    <mergeCell ref="WO15:WR15"/>
    <mergeCell ref="WS15:WV15"/>
    <mergeCell ref="WW15:WZ15"/>
    <mergeCell ref="XA15:XD15"/>
    <mergeCell ref="XE15:XH15"/>
    <mergeCell ref="XI15:XL15"/>
    <mergeCell ref="XM15:XP15"/>
    <mergeCell ref="XQ15:XT15"/>
    <mergeCell ref="XU15:XX15"/>
    <mergeCell ref="XY15:YB15"/>
    <mergeCell ref="YC15:YF15"/>
    <mergeCell ref="OC15:OF15"/>
    <mergeCell ref="OG15:OJ15"/>
    <mergeCell ref="OK15:ON15"/>
    <mergeCell ref="OO15:OR15"/>
    <mergeCell ref="OS15:OV15"/>
    <mergeCell ref="OW15:OZ15"/>
    <mergeCell ref="PA15:PD15"/>
    <mergeCell ref="PE15:PH15"/>
    <mergeCell ref="PI15:PL15"/>
    <mergeCell ref="PM15:PP15"/>
    <mergeCell ref="PQ15:PT15"/>
    <mergeCell ref="PU15:PX15"/>
    <mergeCell ref="PY15:QB15"/>
    <mergeCell ref="QC15:QF15"/>
    <mergeCell ref="QG15:QJ15"/>
    <mergeCell ref="QK15:QN15"/>
    <mergeCell ref="QO15:QR15"/>
    <mergeCell ref="QS15:QV15"/>
    <mergeCell ref="QW15:QZ15"/>
    <mergeCell ref="RA15:RD15"/>
    <mergeCell ref="RE15:RH15"/>
    <mergeCell ref="RI15:RL15"/>
    <mergeCell ref="RM15:RP15"/>
    <mergeCell ref="RQ15:RT15"/>
    <mergeCell ref="RU15:RX15"/>
    <mergeCell ref="RY15:SB15"/>
    <mergeCell ref="SC15:SF15"/>
    <mergeCell ref="SG15:SJ15"/>
    <mergeCell ref="SK15:SN15"/>
    <mergeCell ref="SO15:SR15"/>
    <mergeCell ref="SS15:SV15"/>
    <mergeCell ref="SW15:SZ15"/>
    <mergeCell ref="TA15:TD15"/>
    <mergeCell ref="JA15:JD15"/>
    <mergeCell ref="JE15:JH15"/>
    <mergeCell ref="JI15:JL15"/>
    <mergeCell ref="JM15:JP15"/>
    <mergeCell ref="JQ15:JT15"/>
    <mergeCell ref="JU15:JX15"/>
    <mergeCell ref="JY15:KB15"/>
    <mergeCell ref="KC15:KF15"/>
    <mergeCell ref="KG15:KJ15"/>
    <mergeCell ref="KK15:KN15"/>
    <mergeCell ref="KO15:KR15"/>
    <mergeCell ref="KS15:KV15"/>
    <mergeCell ref="KW15:KZ15"/>
    <mergeCell ref="LA15:LD15"/>
    <mergeCell ref="LE15:LH15"/>
    <mergeCell ref="LI15:LL15"/>
    <mergeCell ref="LM15:LP15"/>
    <mergeCell ref="LQ15:LT15"/>
    <mergeCell ref="LU15:LX15"/>
    <mergeCell ref="LY15:MB15"/>
    <mergeCell ref="MC15:MF15"/>
    <mergeCell ref="MG15:MJ15"/>
    <mergeCell ref="MK15:MN15"/>
    <mergeCell ref="MO15:MR15"/>
    <mergeCell ref="MS15:MV15"/>
    <mergeCell ref="MW15:MZ15"/>
    <mergeCell ref="NA15:ND15"/>
    <mergeCell ref="NE15:NH15"/>
    <mergeCell ref="NI15:NL15"/>
    <mergeCell ref="NM15:NP15"/>
    <mergeCell ref="NQ15:NT15"/>
    <mergeCell ref="NU15:NX15"/>
    <mergeCell ref="NY15:OB15"/>
    <mergeCell ref="DY15:EB15"/>
    <mergeCell ref="EC15:EF15"/>
    <mergeCell ref="EG15:EJ15"/>
    <mergeCell ref="EK15:EN15"/>
    <mergeCell ref="EO15:ER15"/>
    <mergeCell ref="ES15:EV15"/>
    <mergeCell ref="EW15:EZ15"/>
    <mergeCell ref="FA15:FD15"/>
    <mergeCell ref="FE15:FH15"/>
    <mergeCell ref="FI15:FL15"/>
    <mergeCell ref="FM15:FP15"/>
    <mergeCell ref="FQ15:FT15"/>
    <mergeCell ref="FU15:FX15"/>
    <mergeCell ref="FY15:GB15"/>
    <mergeCell ref="GC15:GF15"/>
    <mergeCell ref="GG15:GJ15"/>
    <mergeCell ref="GK15:GN15"/>
    <mergeCell ref="GO15:GR15"/>
    <mergeCell ref="GS15:GV15"/>
    <mergeCell ref="GW15:GZ15"/>
    <mergeCell ref="HA15:HD15"/>
    <mergeCell ref="HE15:HH15"/>
    <mergeCell ref="HI15:HL15"/>
    <mergeCell ref="HM15:HP15"/>
    <mergeCell ref="HQ15:HT15"/>
    <mergeCell ref="HU15:HX15"/>
    <mergeCell ref="HY15:IB15"/>
    <mergeCell ref="IC15:IF15"/>
    <mergeCell ref="IG15:IJ15"/>
    <mergeCell ref="IK15:IN15"/>
    <mergeCell ref="IO15:IR15"/>
    <mergeCell ref="IS15:IV15"/>
    <mergeCell ref="IW15:IZ15"/>
    <mergeCell ref="B3:E3"/>
    <mergeCell ref="B15:E15"/>
    <mergeCell ref="F15:I15"/>
    <mergeCell ref="J15:M15"/>
    <mergeCell ref="N15:P15"/>
    <mergeCell ref="Q15:T15"/>
    <mergeCell ref="U15:X15"/>
    <mergeCell ref="Y15:AB15"/>
    <mergeCell ref="AC15:AF15"/>
    <mergeCell ref="AG15:AJ15"/>
    <mergeCell ref="AK15:AN15"/>
    <mergeCell ref="AO15:AR15"/>
    <mergeCell ref="AS15:AV15"/>
    <mergeCell ref="AW15:AZ15"/>
    <mergeCell ref="BA15:BD15"/>
    <mergeCell ref="BE15:BH15"/>
    <mergeCell ref="BI15:BL15"/>
    <mergeCell ref="BM15:BP15"/>
    <mergeCell ref="BQ15:BT15"/>
    <mergeCell ref="BU15:BX15"/>
    <mergeCell ref="BY15:CB15"/>
    <mergeCell ref="CC15:CF15"/>
    <mergeCell ref="CG15:CJ15"/>
    <mergeCell ref="CK15:CN15"/>
    <mergeCell ref="CO15:CR15"/>
    <mergeCell ref="CS15:CV15"/>
    <mergeCell ref="CW15:CZ15"/>
    <mergeCell ref="DA15:DD15"/>
    <mergeCell ref="DE15:DH15"/>
    <mergeCell ref="DI15:DL15"/>
    <mergeCell ref="DM15:DP15"/>
    <mergeCell ref="DQ15:DT15"/>
    <mergeCell ref="DU15:DX15"/>
    <mergeCell ref="DM11:DP11"/>
    <mergeCell ref="DQ11:DT11"/>
    <mergeCell ref="DU11:DX11"/>
    <mergeCell ref="CS13:CV13"/>
    <mergeCell ref="CW13:CZ13"/>
    <mergeCell ref="DA13:DD13"/>
    <mergeCell ref="DE13:DH13"/>
    <mergeCell ref="DI13:DL13"/>
    <mergeCell ref="BY13:CB13"/>
    <mergeCell ref="CC13:CF13"/>
    <mergeCell ref="CG13:CJ13"/>
    <mergeCell ref="CK13:CN13"/>
    <mergeCell ref="CO13:CR13"/>
    <mergeCell ref="BE13:BH13"/>
    <mergeCell ref="BI13:BL13"/>
    <mergeCell ref="BM13:BP13"/>
    <mergeCell ref="BQ13:BT13"/>
    <mergeCell ref="BU13:BX13"/>
    <mergeCell ref="B5:E5"/>
    <mergeCell ref="FA7:FD7"/>
    <mergeCell ref="FE7:FH7"/>
    <mergeCell ref="FI7:FL7"/>
    <mergeCell ref="FM7:FP7"/>
    <mergeCell ref="FQ7:FT7"/>
    <mergeCell ref="EG7:EJ7"/>
    <mergeCell ref="EK7:EN7"/>
    <mergeCell ref="EO7:ER7"/>
    <mergeCell ref="ES7:EV7"/>
    <mergeCell ref="EW7:EZ7"/>
    <mergeCell ref="DM7:DP7"/>
    <mergeCell ref="DQ7:DT7"/>
    <mergeCell ref="DU7:DX7"/>
    <mergeCell ref="DY7:EB7"/>
    <mergeCell ref="EC7:EF7"/>
    <mergeCell ref="CS7:CV7"/>
    <mergeCell ref="CW7:CZ7"/>
    <mergeCell ref="DA7:DD7"/>
    <mergeCell ref="DE7:DH7"/>
    <mergeCell ref="DI7:DL7"/>
    <mergeCell ref="BY7:CB7"/>
    <mergeCell ref="CC7:CF7"/>
    <mergeCell ref="CG7:CJ7"/>
    <mergeCell ref="CK7:CN7"/>
    <mergeCell ref="CO7:CR7"/>
    <mergeCell ref="BE7:BH7"/>
    <mergeCell ref="BI7:BL7"/>
    <mergeCell ref="BM7:BP7"/>
    <mergeCell ref="BQ7:BT7"/>
    <mergeCell ref="BU7:BX7"/>
    <mergeCell ref="B7:E7"/>
    <mergeCell ref="F7:I7"/>
    <mergeCell ref="J7:M7"/>
    <mergeCell ref="N7:P7"/>
    <mergeCell ref="Q7:T7"/>
    <mergeCell ref="U7:X7"/>
    <mergeCell ref="Y7:AB7"/>
    <mergeCell ref="AC7:AF7"/>
    <mergeCell ref="AG7:AJ7"/>
    <mergeCell ref="AK7:AN7"/>
    <mergeCell ref="AO7:AR7"/>
    <mergeCell ref="AS7:AV7"/>
    <mergeCell ref="AW7:AZ7"/>
    <mergeCell ref="BA7:BD7"/>
    <mergeCell ref="KK7:KN7"/>
    <mergeCell ref="KO7:KR7"/>
    <mergeCell ref="KS7:KV7"/>
    <mergeCell ref="KW7:KZ7"/>
    <mergeCell ref="LA7:LD7"/>
    <mergeCell ref="JQ7:JT7"/>
    <mergeCell ref="JU7:JX7"/>
    <mergeCell ref="JY7:KB7"/>
    <mergeCell ref="KC7:KF7"/>
    <mergeCell ref="KG7:KJ7"/>
    <mergeCell ref="IW7:IZ7"/>
    <mergeCell ref="JA7:JD7"/>
    <mergeCell ref="JE7:JH7"/>
    <mergeCell ref="JI7:JL7"/>
    <mergeCell ref="JM7:JP7"/>
    <mergeCell ref="IC7:IF7"/>
    <mergeCell ref="IG7:IJ7"/>
    <mergeCell ref="IK7:IN7"/>
    <mergeCell ref="IO7:IR7"/>
    <mergeCell ref="IS7:IV7"/>
    <mergeCell ref="HI7:HL7"/>
    <mergeCell ref="HM7:HP7"/>
    <mergeCell ref="HQ7:HT7"/>
    <mergeCell ref="HU7:HX7"/>
    <mergeCell ref="HY7:IB7"/>
    <mergeCell ref="GO7:GR7"/>
    <mergeCell ref="GS7:GV7"/>
    <mergeCell ref="GW7:GZ7"/>
    <mergeCell ref="HA7:HD7"/>
    <mergeCell ref="HE7:HH7"/>
    <mergeCell ref="FU7:FX7"/>
    <mergeCell ref="FY7:GB7"/>
    <mergeCell ref="GC7:GF7"/>
    <mergeCell ref="GG7:GJ7"/>
    <mergeCell ref="GK7:GN7"/>
    <mergeCell ref="PU7:PX7"/>
    <mergeCell ref="PY7:QB7"/>
    <mergeCell ref="QC7:QF7"/>
    <mergeCell ref="QG7:QJ7"/>
    <mergeCell ref="QK7:QN7"/>
    <mergeCell ref="PA7:PD7"/>
    <mergeCell ref="PE7:PH7"/>
    <mergeCell ref="PI7:PL7"/>
    <mergeCell ref="PM7:PP7"/>
    <mergeCell ref="PQ7:PT7"/>
    <mergeCell ref="OG7:OJ7"/>
    <mergeCell ref="OK7:ON7"/>
    <mergeCell ref="OO7:OR7"/>
    <mergeCell ref="OS7:OV7"/>
    <mergeCell ref="OW7:OZ7"/>
    <mergeCell ref="NM7:NP7"/>
    <mergeCell ref="NQ7:NT7"/>
    <mergeCell ref="NU7:NX7"/>
    <mergeCell ref="NY7:OB7"/>
    <mergeCell ref="OC7:OF7"/>
    <mergeCell ref="MS7:MV7"/>
    <mergeCell ref="MW7:MZ7"/>
    <mergeCell ref="NA7:ND7"/>
    <mergeCell ref="NE7:NH7"/>
    <mergeCell ref="NI7:NL7"/>
    <mergeCell ref="LY7:MB7"/>
    <mergeCell ref="MC7:MF7"/>
    <mergeCell ref="MG7:MJ7"/>
    <mergeCell ref="MK7:MN7"/>
    <mergeCell ref="MO7:MR7"/>
    <mergeCell ref="LE7:LH7"/>
    <mergeCell ref="LI7:LL7"/>
    <mergeCell ref="LM7:LP7"/>
    <mergeCell ref="LQ7:LT7"/>
    <mergeCell ref="LU7:LX7"/>
    <mergeCell ref="VE7:VH7"/>
    <mergeCell ref="VI7:VL7"/>
    <mergeCell ref="VM7:VP7"/>
    <mergeCell ref="VQ7:VT7"/>
    <mergeCell ref="VU7:VX7"/>
    <mergeCell ref="UK7:UN7"/>
    <mergeCell ref="UO7:UR7"/>
    <mergeCell ref="US7:UV7"/>
    <mergeCell ref="UW7:UZ7"/>
    <mergeCell ref="VA7:VD7"/>
    <mergeCell ref="TQ7:TT7"/>
    <mergeCell ref="TU7:TX7"/>
    <mergeCell ref="TY7:UB7"/>
    <mergeCell ref="UC7:UF7"/>
    <mergeCell ref="UG7:UJ7"/>
    <mergeCell ref="SW7:SZ7"/>
    <mergeCell ref="TA7:TD7"/>
    <mergeCell ref="TE7:TH7"/>
    <mergeCell ref="TI7:TL7"/>
    <mergeCell ref="TM7:TP7"/>
    <mergeCell ref="SC7:SF7"/>
    <mergeCell ref="SG7:SJ7"/>
    <mergeCell ref="SK7:SN7"/>
    <mergeCell ref="SO7:SR7"/>
    <mergeCell ref="SS7:SV7"/>
    <mergeCell ref="RI7:RL7"/>
    <mergeCell ref="RM7:RP7"/>
    <mergeCell ref="RQ7:RT7"/>
    <mergeCell ref="RU7:RX7"/>
    <mergeCell ref="RY7:SB7"/>
    <mergeCell ref="QO7:QR7"/>
    <mergeCell ref="QS7:QV7"/>
    <mergeCell ref="QW7:QZ7"/>
    <mergeCell ref="RA7:RD7"/>
    <mergeCell ref="RE7:RH7"/>
    <mergeCell ref="AAO7:AAR7"/>
    <mergeCell ref="AAS7:AAV7"/>
    <mergeCell ref="AAW7:AAZ7"/>
    <mergeCell ref="ABA7:ABD7"/>
    <mergeCell ref="ABE7:ABH7"/>
    <mergeCell ref="ZU7:ZX7"/>
    <mergeCell ref="ZY7:AAB7"/>
    <mergeCell ref="AAC7:AAF7"/>
    <mergeCell ref="AAG7:AAJ7"/>
    <mergeCell ref="AAK7:AAN7"/>
    <mergeCell ref="ZA7:ZD7"/>
    <mergeCell ref="ZE7:ZH7"/>
    <mergeCell ref="ZI7:ZL7"/>
    <mergeCell ref="ZM7:ZP7"/>
    <mergeCell ref="ZQ7:ZT7"/>
    <mergeCell ref="YG7:YJ7"/>
    <mergeCell ref="YK7:YN7"/>
    <mergeCell ref="YO7:YR7"/>
    <mergeCell ref="YS7:YV7"/>
    <mergeCell ref="YW7:YZ7"/>
    <mergeCell ref="XM7:XP7"/>
    <mergeCell ref="XQ7:XT7"/>
    <mergeCell ref="XU7:XX7"/>
    <mergeCell ref="XY7:YB7"/>
    <mergeCell ref="YC7:YF7"/>
    <mergeCell ref="WS7:WV7"/>
    <mergeCell ref="WW7:WZ7"/>
    <mergeCell ref="XA7:XD7"/>
    <mergeCell ref="XE7:XH7"/>
    <mergeCell ref="XI7:XL7"/>
    <mergeCell ref="VY7:WB7"/>
    <mergeCell ref="WC7:WF7"/>
    <mergeCell ref="WG7:WJ7"/>
    <mergeCell ref="WK7:WN7"/>
    <mergeCell ref="WO7:WR7"/>
    <mergeCell ref="AFY7:AGB7"/>
    <mergeCell ref="AGC7:AGF7"/>
    <mergeCell ref="AGG7:AGJ7"/>
    <mergeCell ref="AGK7:AGN7"/>
    <mergeCell ref="AGO7:AGR7"/>
    <mergeCell ref="AFE7:AFH7"/>
    <mergeCell ref="AFI7:AFL7"/>
    <mergeCell ref="AFM7:AFP7"/>
    <mergeCell ref="AFQ7:AFT7"/>
    <mergeCell ref="AFU7:AFX7"/>
    <mergeCell ref="AEK7:AEN7"/>
    <mergeCell ref="AEO7:AER7"/>
    <mergeCell ref="AES7:AEV7"/>
    <mergeCell ref="AEW7:AEZ7"/>
    <mergeCell ref="AFA7:AFD7"/>
    <mergeCell ref="ADQ7:ADT7"/>
    <mergeCell ref="ADU7:ADX7"/>
    <mergeCell ref="ADY7:AEB7"/>
    <mergeCell ref="AEC7:AEF7"/>
    <mergeCell ref="AEG7:AEJ7"/>
    <mergeCell ref="ACW7:ACZ7"/>
    <mergeCell ref="ADA7:ADD7"/>
    <mergeCell ref="ADE7:ADH7"/>
    <mergeCell ref="ADI7:ADL7"/>
    <mergeCell ref="ADM7:ADP7"/>
    <mergeCell ref="ACC7:ACF7"/>
    <mergeCell ref="ACG7:ACJ7"/>
    <mergeCell ref="ACK7:ACN7"/>
    <mergeCell ref="ACO7:ACR7"/>
    <mergeCell ref="ACS7:ACV7"/>
    <mergeCell ref="ABI7:ABL7"/>
    <mergeCell ref="ABM7:ABP7"/>
    <mergeCell ref="ABQ7:ABT7"/>
    <mergeCell ref="ABU7:ABX7"/>
    <mergeCell ref="ABY7:ACB7"/>
    <mergeCell ref="ALI7:ALL7"/>
    <mergeCell ref="ALM7:ALP7"/>
    <mergeCell ref="ALQ7:ALT7"/>
    <mergeCell ref="ALU7:ALX7"/>
    <mergeCell ref="ALY7:AMB7"/>
    <mergeCell ref="AKO7:AKR7"/>
    <mergeCell ref="AKS7:AKV7"/>
    <mergeCell ref="AKW7:AKZ7"/>
    <mergeCell ref="ALA7:ALD7"/>
    <mergeCell ref="ALE7:ALH7"/>
    <mergeCell ref="AJU7:AJX7"/>
    <mergeCell ref="AJY7:AKB7"/>
    <mergeCell ref="AKC7:AKF7"/>
    <mergeCell ref="AKG7:AKJ7"/>
    <mergeCell ref="AKK7:AKN7"/>
    <mergeCell ref="AJA7:AJD7"/>
    <mergeCell ref="AJE7:AJH7"/>
    <mergeCell ref="AJI7:AJL7"/>
    <mergeCell ref="AJM7:AJP7"/>
    <mergeCell ref="AJQ7:AJT7"/>
    <mergeCell ref="AIG7:AIJ7"/>
    <mergeCell ref="AIK7:AIN7"/>
    <mergeCell ref="AIO7:AIR7"/>
    <mergeCell ref="AIS7:AIV7"/>
    <mergeCell ref="AIW7:AIZ7"/>
    <mergeCell ref="AHM7:AHP7"/>
    <mergeCell ref="AHQ7:AHT7"/>
    <mergeCell ref="AHU7:AHX7"/>
    <mergeCell ref="AHY7:AIB7"/>
    <mergeCell ref="AIC7:AIF7"/>
    <mergeCell ref="AGS7:AGV7"/>
    <mergeCell ref="AGW7:AGZ7"/>
    <mergeCell ref="AHA7:AHD7"/>
    <mergeCell ref="AHE7:AHH7"/>
    <mergeCell ref="AHI7:AHL7"/>
    <mergeCell ref="AQS7:AQV7"/>
    <mergeCell ref="AQW7:AQZ7"/>
    <mergeCell ref="ARA7:ARD7"/>
    <mergeCell ref="ARE7:ARH7"/>
    <mergeCell ref="ARI7:ARL7"/>
    <mergeCell ref="APY7:AQB7"/>
    <mergeCell ref="AQC7:AQF7"/>
    <mergeCell ref="AQG7:AQJ7"/>
    <mergeCell ref="AQK7:AQN7"/>
    <mergeCell ref="AQO7:AQR7"/>
    <mergeCell ref="APE7:APH7"/>
    <mergeCell ref="API7:APL7"/>
    <mergeCell ref="APM7:APP7"/>
    <mergeCell ref="APQ7:APT7"/>
    <mergeCell ref="APU7:APX7"/>
    <mergeCell ref="AOK7:AON7"/>
    <mergeCell ref="AOO7:AOR7"/>
    <mergeCell ref="AOS7:AOV7"/>
    <mergeCell ref="AOW7:AOZ7"/>
    <mergeCell ref="APA7:APD7"/>
    <mergeCell ref="ANQ7:ANT7"/>
    <mergeCell ref="ANU7:ANX7"/>
    <mergeCell ref="ANY7:AOB7"/>
    <mergeCell ref="AOC7:AOF7"/>
    <mergeCell ref="AOG7:AOJ7"/>
    <mergeCell ref="AMW7:AMZ7"/>
    <mergeCell ref="ANA7:AND7"/>
    <mergeCell ref="ANE7:ANH7"/>
    <mergeCell ref="ANI7:ANL7"/>
    <mergeCell ref="ANM7:ANP7"/>
    <mergeCell ref="AMC7:AMF7"/>
    <mergeCell ref="AMG7:AMJ7"/>
    <mergeCell ref="AMK7:AMN7"/>
    <mergeCell ref="AMO7:AMR7"/>
    <mergeCell ref="AMS7:AMV7"/>
    <mergeCell ref="AWC7:AWF7"/>
    <mergeCell ref="AWG7:AWJ7"/>
    <mergeCell ref="AWK7:AWN7"/>
    <mergeCell ref="AWO7:AWR7"/>
    <mergeCell ref="AWS7:AWV7"/>
    <mergeCell ref="AVI7:AVL7"/>
    <mergeCell ref="AVM7:AVP7"/>
    <mergeCell ref="AVQ7:AVT7"/>
    <mergeCell ref="AVU7:AVX7"/>
    <mergeCell ref="AVY7:AWB7"/>
    <mergeCell ref="AUO7:AUR7"/>
    <mergeCell ref="AUS7:AUV7"/>
    <mergeCell ref="AUW7:AUZ7"/>
    <mergeCell ref="AVA7:AVD7"/>
    <mergeCell ref="AVE7:AVH7"/>
    <mergeCell ref="ATU7:ATX7"/>
    <mergeCell ref="ATY7:AUB7"/>
    <mergeCell ref="AUC7:AUF7"/>
    <mergeCell ref="AUG7:AUJ7"/>
    <mergeCell ref="AUK7:AUN7"/>
    <mergeCell ref="ATA7:ATD7"/>
    <mergeCell ref="ATE7:ATH7"/>
    <mergeCell ref="ATI7:ATL7"/>
    <mergeCell ref="ATM7:ATP7"/>
    <mergeCell ref="ATQ7:ATT7"/>
    <mergeCell ref="ASG7:ASJ7"/>
    <mergeCell ref="ASK7:ASN7"/>
    <mergeCell ref="ASO7:ASR7"/>
    <mergeCell ref="ASS7:ASV7"/>
    <mergeCell ref="ASW7:ASZ7"/>
    <mergeCell ref="ARM7:ARP7"/>
    <mergeCell ref="ARQ7:ART7"/>
    <mergeCell ref="ARU7:ARX7"/>
    <mergeCell ref="ARY7:ASB7"/>
    <mergeCell ref="ASC7:ASF7"/>
    <mergeCell ref="BBM7:BBP7"/>
    <mergeCell ref="BBQ7:BBT7"/>
    <mergeCell ref="BBU7:BBX7"/>
    <mergeCell ref="BBY7:BCB7"/>
    <mergeCell ref="BCC7:BCF7"/>
    <mergeCell ref="BAS7:BAV7"/>
    <mergeCell ref="BAW7:BAZ7"/>
    <mergeCell ref="BBA7:BBD7"/>
    <mergeCell ref="BBE7:BBH7"/>
    <mergeCell ref="BBI7:BBL7"/>
    <mergeCell ref="AZY7:BAB7"/>
    <mergeCell ref="BAC7:BAF7"/>
    <mergeCell ref="BAG7:BAJ7"/>
    <mergeCell ref="BAK7:BAN7"/>
    <mergeCell ref="BAO7:BAR7"/>
    <mergeCell ref="AZE7:AZH7"/>
    <mergeCell ref="AZI7:AZL7"/>
    <mergeCell ref="AZM7:AZP7"/>
    <mergeCell ref="AZQ7:AZT7"/>
    <mergeCell ref="AZU7:AZX7"/>
    <mergeCell ref="AYK7:AYN7"/>
    <mergeCell ref="AYO7:AYR7"/>
    <mergeCell ref="AYS7:AYV7"/>
    <mergeCell ref="AYW7:AYZ7"/>
    <mergeCell ref="AZA7:AZD7"/>
    <mergeCell ref="AXQ7:AXT7"/>
    <mergeCell ref="AXU7:AXX7"/>
    <mergeCell ref="AXY7:AYB7"/>
    <mergeCell ref="AYC7:AYF7"/>
    <mergeCell ref="AYG7:AYJ7"/>
    <mergeCell ref="AWW7:AWZ7"/>
    <mergeCell ref="AXA7:AXD7"/>
    <mergeCell ref="AXE7:AXH7"/>
    <mergeCell ref="AXI7:AXL7"/>
    <mergeCell ref="AXM7:AXP7"/>
    <mergeCell ref="BGW7:BGZ7"/>
    <mergeCell ref="BHA7:BHD7"/>
    <mergeCell ref="BHE7:BHH7"/>
    <mergeCell ref="BHI7:BHL7"/>
    <mergeCell ref="BHM7:BHP7"/>
    <mergeCell ref="BGC7:BGF7"/>
    <mergeCell ref="BGG7:BGJ7"/>
    <mergeCell ref="BGK7:BGN7"/>
    <mergeCell ref="BGO7:BGR7"/>
    <mergeCell ref="BGS7:BGV7"/>
    <mergeCell ref="BFI7:BFL7"/>
    <mergeCell ref="BFM7:BFP7"/>
    <mergeCell ref="BFQ7:BFT7"/>
    <mergeCell ref="BFU7:BFX7"/>
    <mergeCell ref="BFY7:BGB7"/>
    <mergeCell ref="BEO7:BER7"/>
    <mergeCell ref="BES7:BEV7"/>
    <mergeCell ref="BEW7:BEZ7"/>
    <mergeCell ref="BFA7:BFD7"/>
    <mergeCell ref="BFE7:BFH7"/>
    <mergeCell ref="BDU7:BDX7"/>
    <mergeCell ref="BDY7:BEB7"/>
    <mergeCell ref="BEC7:BEF7"/>
    <mergeCell ref="BEG7:BEJ7"/>
    <mergeCell ref="BEK7:BEN7"/>
    <mergeCell ref="BDA7:BDD7"/>
    <mergeCell ref="BDE7:BDH7"/>
    <mergeCell ref="BDI7:BDL7"/>
    <mergeCell ref="BDM7:BDP7"/>
    <mergeCell ref="BDQ7:BDT7"/>
    <mergeCell ref="BCG7:BCJ7"/>
    <mergeCell ref="BCK7:BCN7"/>
    <mergeCell ref="BCO7:BCR7"/>
    <mergeCell ref="BCS7:BCV7"/>
    <mergeCell ref="BCW7:BCZ7"/>
    <mergeCell ref="BMG7:BMJ7"/>
    <mergeCell ref="BMK7:BMN7"/>
    <mergeCell ref="BMO7:BMR7"/>
    <mergeCell ref="BMS7:BMV7"/>
    <mergeCell ref="BMW7:BMZ7"/>
    <mergeCell ref="BLM7:BLP7"/>
    <mergeCell ref="BLQ7:BLT7"/>
    <mergeCell ref="BLU7:BLX7"/>
    <mergeCell ref="BLY7:BMB7"/>
    <mergeCell ref="BMC7:BMF7"/>
    <mergeCell ref="BKS7:BKV7"/>
    <mergeCell ref="BKW7:BKZ7"/>
    <mergeCell ref="BLA7:BLD7"/>
    <mergeCell ref="BLE7:BLH7"/>
    <mergeCell ref="BLI7:BLL7"/>
    <mergeCell ref="BJY7:BKB7"/>
    <mergeCell ref="BKC7:BKF7"/>
    <mergeCell ref="BKG7:BKJ7"/>
    <mergeCell ref="BKK7:BKN7"/>
    <mergeCell ref="BKO7:BKR7"/>
    <mergeCell ref="BJE7:BJH7"/>
    <mergeCell ref="BJI7:BJL7"/>
    <mergeCell ref="BJM7:BJP7"/>
    <mergeCell ref="BJQ7:BJT7"/>
    <mergeCell ref="BJU7:BJX7"/>
    <mergeCell ref="BIK7:BIN7"/>
    <mergeCell ref="BIO7:BIR7"/>
    <mergeCell ref="BIS7:BIV7"/>
    <mergeCell ref="BIW7:BIZ7"/>
    <mergeCell ref="BJA7:BJD7"/>
    <mergeCell ref="BHQ7:BHT7"/>
    <mergeCell ref="BHU7:BHX7"/>
    <mergeCell ref="BHY7:BIB7"/>
    <mergeCell ref="BIC7:BIF7"/>
    <mergeCell ref="BIG7:BIJ7"/>
    <mergeCell ref="BRQ7:BRT7"/>
    <mergeCell ref="BRU7:BRX7"/>
    <mergeCell ref="BRY7:BSB7"/>
    <mergeCell ref="BSC7:BSF7"/>
    <mergeCell ref="BSG7:BSJ7"/>
    <mergeCell ref="BQW7:BQZ7"/>
    <mergeCell ref="BRA7:BRD7"/>
    <mergeCell ref="BRE7:BRH7"/>
    <mergeCell ref="BRI7:BRL7"/>
    <mergeCell ref="BRM7:BRP7"/>
    <mergeCell ref="BQC7:BQF7"/>
    <mergeCell ref="BQG7:BQJ7"/>
    <mergeCell ref="BQK7:BQN7"/>
    <mergeCell ref="BQO7:BQR7"/>
    <mergeCell ref="BQS7:BQV7"/>
    <mergeCell ref="BPI7:BPL7"/>
    <mergeCell ref="BPM7:BPP7"/>
    <mergeCell ref="BPQ7:BPT7"/>
    <mergeCell ref="BPU7:BPX7"/>
    <mergeCell ref="BPY7:BQB7"/>
    <mergeCell ref="BOO7:BOR7"/>
    <mergeCell ref="BOS7:BOV7"/>
    <mergeCell ref="BOW7:BOZ7"/>
    <mergeCell ref="BPA7:BPD7"/>
    <mergeCell ref="BPE7:BPH7"/>
    <mergeCell ref="BNU7:BNX7"/>
    <mergeCell ref="BNY7:BOB7"/>
    <mergeCell ref="BOC7:BOF7"/>
    <mergeCell ref="BOG7:BOJ7"/>
    <mergeCell ref="BOK7:BON7"/>
    <mergeCell ref="BNA7:BND7"/>
    <mergeCell ref="BNE7:BNH7"/>
    <mergeCell ref="BNI7:BNL7"/>
    <mergeCell ref="BNM7:BNP7"/>
    <mergeCell ref="BNQ7:BNT7"/>
    <mergeCell ref="BXA7:BXD7"/>
    <mergeCell ref="BXE7:BXH7"/>
    <mergeCell ref="BXI7:BXL7"/>
    <mergeCell ref="BXM7:BXP7"/>
    <mergeCell ref="BXQ7:BXT7"/>
    <mergeCell ref="BWG7:BWJ7"/>
    <mergeCell ref="BWK7:BWN7"/>
    <mergeCell ref="BWO7:BWR7"/>
    <mergeCell ref="BWS7:BWV7"/>
    <mergeCell ref="BWW7:BWZ7"/>
    <mergeCell ref="BVM7:BVP7"/>
    <mergeCell ref="BVQ7:BVT7"/>
    <mergeCell ref="BVU7:BVX7"/>
    <mergeCell ref="BVY7:BWB7"/>
    <mergeCell ref="BWC7:BWF7"/>
    <mergeCell ref="BUS7:BUV7"/>
    <mergeCell ref="BUW7:BUZ7"/>
    <mergeCell ref="BVA7:BVD7"/>
    <mergeCell ref="BVE7:BVH7"/>
    <mergeCell ref="BVI7:BVL7"/>
    <mergeCell ref="BTY7:BUB7"/>
    <mergeCell ref="BUC7:BUF7"/>
    <mergeCell ref="BUG7:BUJ7"/>
    <mergeCell ref="BUK7:BUN7"/>
    <mergeCell ref="BUO7:BUR7"/>
    <mergeCell ref="BTE7:BTH7"/>
    <mergeCell ref="BTI7:BTL7"/>
    <mergeCell ref="BTM7:BTP7"/>
    <mergeCell ref="BTQ7:BTT7"/>
    <mergeCell ref="BTU7:BTX7"/>
    <mergeCell ref="BSK7:BSN7"/>
    <mergeCell ref="BSO7:BSR7"/>
    <mergeCell ref="BSS7:BSV7"/>
    <mergeCell ref="BSW7:BSZ7"/>
    <mergeCell ref="BTA7:BTD7"/>
    <mergeCell ref="CCK7:CCN7"/>
    <mergeCell ref="CCO7:CCR7"/>
    <mergeCell ref="CCS7:CCV7"/>
    <mergeCell ref="CCW7:CCZ7"/>
    <mergeCell ref="CDA7:CDD7"/>
    <mergeCell ref="CBQ7:CBT7"/>
    <mergeCell ref="CBU7:CBX7"/>
    <mergeCell ref="CBY7:CCB7"/>
    <mergeCell ref="CCC7:CCF7"/>
    <mergeCell ref="CCG7:CCJ7"/>
    <mergeCell ref="CAW7:CAZ7"/>
    <mergeCell ref="CBA7:CBD7"/>
    <mergeCell ref="CBE7:CBH7"/>
    <mergeCell ref="CBI7:CBL7"/>
    <mergeCell ref="CBM7:CBP7"/>
    <mergeCell ref="CAC7:CAF7"/>
    <mergeCell ref="CAG7:CAJ7"/>
    <mergeCell ref="CAK7:CAN7"/>
    <mergeCell ref="CAO7:CAR7"/>
    <mergeCell ref="CAS7:CAV7"/>
    <mergeCell ref="BZI7:BZL7"/>
    <mergeCell ref="BZM7:BZP7"/>
    <mergeCell ref="BZQ7:BZT7"/>
    <mergeCell ref="BZU7:BZX7"/>
    <mergeCell ref="BZY7:CAB7"/>
    <mergeCell ref="BYO7:BYR7"/>
    <mergeCell ref="BYS7:BYV7"/>
    <mergeCell ref="BYW7:BYZ7"/>
    <mergeCell ref="BZA7:BZD7"/>
    <mergeCell ref="BZE7:BZH7"/>
    <mergeCell ref="BXU7:BXX7"/>
    <mergeCell ref="BXY7:BYB7"/>
    <mergeCell ref="BYC7:BYF7"/>
    <mergeCell ref="BYG7:BYJ7"/>
    <mergeCell ref="BYK7:BYN7"/>
    <mergeCell ref="CHU7:CHX7"/>
    <mergeCell ref="CHY7:CIB7"/>
    <mergeCell ref="CIC7:CIF7"/>
    <mergeCell ref="CIG7:CIJ7"/>
    <mergeCell ref="CIK7:CIN7"/>
    <mergeCell ref="CHA7:CHD7"/>
    <mergeCell ref="CHE7:CHH7"/>
    <mergeCell ref="CHI7:CHL7"/>
    <mergeCell ref="CHM7:CHP7"/>
    <mergeCell ref="CHQ7:CHT7"/>
    <mergeCell ref="CGG7:CGJ7"/>
    <mergeCell ref="CGK7:CGN7"/>
    <mergeCell ref="CGO7:CGR7"/>
    <mergeCell ref="CGS7:CGV7"/>
    <mergeCell ref="CGW7:CGZ7"/>
    <mergeCell ref="CFM7:CFP7"/>
    <mergeCell ref="CFQ7:CFT7"/>
    <mergeCell ref="CFU7:CFX7"/>
    <mergeCell ref="CFY7:CGB7"/>
    <mergeCell ref="CGC7:CGF7"/>
    <mergeCell ref="CES7:CEV7"/>
    <mergeCell ref="CEW7:CEZ7"/>
    <mergeCell ref="CFA7:CFD7"/>
    <mergeCell ref="CFE7:CFH7"/>
    <mergeCell ref="CFI7:CFL7"/>
    <mergeCell ref="CDY7:CEB7"/>
    <mergeCell ref="CEC7:CEF7"/>
    <mergeCell ref="CEG7:CEJ7"/>
    <mergeCell ref="CEK7:CEN7"/>
    <mergeCell ref="CEO7:CER7"/>
    <mergeCell ref="CDE7:CDH7"/>
    <mergeCell ref="CDI7:CDL7"/>
    <mergeCell ref="CDM7:CDP7"/>
    <mergeCell ref="CDQ7:CDT7"/>
    <mergeCell ref="CDU7:CDX7"/>
    <mergeCell ref="CNE7:CNH7"/>
    <mergeCell ref="CNI7:CNL7"/>
    <mergeCell ref="CNM7:CNP7"/>
    <mergeCell ref="CNQ7:CNT7"/>
    <mergeCell ref="CNU7:CNX7"/>
    <mergeCell ref="CMK7:CMN7"/>
    <mergeCell ref="CMO7:CMR7"/>
    <mergeCell ref="CMS7:CMV7"/>
    <mergeCell ref="CMW7:CMZ7"/>
    <mergeCell ref="CNA7:CND7"/>
    <mergeCell ref="CLQ7:CLT7"/>
    <mergeCell ref="CLU7:CLX7"/>
    <mergeCell ref="CLY7:CMB7"/>
    <mergeCell ref="CMC7:CMF7"/>
    <mergeCell ref="CMG7:CMJ7"/>
    <mergeCell ref="CKW7:CKZ7"/>
    <mergeCell ref="CLA7:CLD7"/>
    <mergeCell ref="CLE7:CLH7"/>
    <mergeCell ref="CLI7:CLL7"/>
    <mergeCell ref="CLM7:CLP7"/>
    <mergeCell ref="CKC7:CKF7"/>
    <mergeCell ref="CKG7:CKJ7"/>
    <mergeCell ref="CKK7:CKN7"/>
    <mergeCell ref="CKO7:CKR7"/>
    <mergeCell ref="CKS7:CKV7"/>
    <mergeCell ref="CJI7:CJL7"/>
    <mergeCell ref="CJM7:CJP7"/>
    <mergeCell ref="CJQ7:CJT7"/>
    <mergeCell ref="CJU7:CJX7"/>
    <mergeCell ref="CJY7:CKB7"/>
    <mergeCell ref="CIO7:CIR7"/>
    <mergeCell ref="CIS7:CIV7"/>
    <mergeCell ref="CIW7:CIZ7"/>
    <mergeCell ref="CJA7:CJD7"/>
    <mergeCell ref="CJE7:CJH7"/>
    <mergeCell ref="CSO7:CSR7"/>
    <mergeCell ref="CSS7:CSV7"/>
    <mergeCell ref="CSW7:CSZ7"/>
    <mergeCell ref="CTA7:CTD7"/>
    <mergeCell ref="CTE7:CTH7"/>
    <mergeCell ref="CRU7:CRX7"/>
    <mergeCell ref="CRY7:CSB7"/>
    <mergeCell ref="CSC7:CSF7"/>
    <mergeCell ref="CSG7:CSJ7"/>
    <mergeCell ref="CSK7:CSN7"/>
    <mergeCell ref="CRA7:CRD7"/>
    <mergeCell ref="CRE7:CRH7"/>
    <mergeCell ref="CRI7:CRL7"/>
    <mergeCell ref="CRM7:CRP7"/>
    <mergeCell ref="CRQ7:CRT7"/>
    <mergeCell ref="CQG7:CQJ7"/>
    <mergeCell ref="CQK7:CQN7"/>
    <mergeCell ref="CQO7:CQR7"/>
    <mergeCell ref="CQS7:CQV7"/>
    <mergeCell ref="CQW7:CQZ7"/>
    <mergeCell ref="CPM7:CPP7"/>
    <mergeCell ref="CPQ7:CPT7"/>
    <mergeCell ref="CPU7:CPX7"/>
    <mergeCell ref="CPY7:CQB7"/>
    <mergeCell ref="CQC7:CQF7"/>
    <mergeCell ref="COS7:COV7"/>
    <mergeCell ref="COW7:COZ7"/>
    <mergeCell ref="CPA7:CPD7"/>
    <mergeCell ref="CPE7:CPH7"/>
    <mergeCell ref="CPI7:CPL7"/>
    <mergeCell ref="CNY7:COB7"/>
    <mergeCell ref="COC7:COF7"/>
    <mergeCell ref="COG7:COJ7"/>
    <mergeCell ref="COK7:CON7"/>
    <mergeCell ref="COO7:COR7"/>
    <mergeCell ref="CXY7:CYB7"/>
    <mergeCell ref="CYC7:CYF7"/>
    <mergeCell ref="CYG7:CYJ7"/>
    <mergeCell ref="CYK7:CYN7"/>
    <mergeCell ref="CYO7:CYR7"/>
    <mergeCell ref="CXE7:CXH7"/>
    <mergeCell ref="CXI7:CXL7"/>
    <mergeCell ref="CXM7:CXP7"/>
    <mergeCell ref="CXQ7:CXT7"/>
    <mergeCell ref="CXU7:CXX7"/>
    <mergeCell ref="CWK7:CWN7"/>
    <mergeCell ref="CWO7:CWR7"/>
    <mergeCell ref="CWS7:CWV7"/>
    <mergeCell ref="CWW7:CWZ7"/>
    <mergeCell ref="CXA7:CXD7"/>
    <mergeCell ref="CVQ7:CVT7"/>
    <mergeCell ref="CVU7:CVX7"/>
    <mergeCell ref="CVY7:CWB7"/>
    <mergeCell ref="CWC7:CWF7"/>
    <mergeCell ref="CWG7:CWJ7"/>
    <mergeCell ref="CUW7:CUZ7"/>
    <mergeCell ref="CVA7:CVD7"/>
    <mergeCell ref="CVE7:CVH7"/>
    <mergeCell ref="CVI7:CVL7"/>
    <mergeCell ref="CVM7:CVP7"/>
    <mergeCell ref="CUC7:CUF7"/>
    <mergeCell ref="CUG7:CUJ7"/>
    <mergeCell ref="CUK7:CUN7"/>
    <mergeCell ref="CUO7:CUR7"/>
    <mergeCell ref="CUS7:CUV7"/>
    <mergeCell ref="CTI7:CTL7"/>
    <mergeCell ref="CTM7:CTP7"/>
    <mergeCell ref="CTQ7:CTT7"/>
    <mergeCell ref="CTU7:CTX7"/>
    <mergeCell ref="CTY7:CUB7"/>
    <mergeCell ref="DDI7:DDL7"/>
    <mergeCell ref="DDM7:DDP7"/>
    <mergeCell ref="DDQ7:DDT7"/>
    <mergeCell ref="DDU7:DDX7"/>
    <mergeCell ref="DDY7:DEB7"/>
    <mergeCell ref="DCO7:DCR7"/>
    <mergeCell ref="DCS7:DCV7"/>
    <mergeCell ref="DCW7:DCZ7"/>
    <mergeCell ref="DDA7:DDD7"/>
    <mergeCell ref="DDE7:DDH7"/>
    <mergeCell ref="DBU7:DBX7"/>
    <mergeCell ref="DBY7:DCB7"/>
    <mergeCell ref="DCC7:DCF7"/>
    <mergeCell ref="DCG7:DCJ7"/>
    <mergeCell ref="DCK7:DCN7"/>
    <mergeCell ref="DBA7:DBD7"/>
    <mergeCell ref="DBE7:DBH7"/>
    <mergeCell ref="DBI7:DBL7"/>
    <mergeCell ref="DBM7:DBP7"/>
    <mergeCell ref="DBQ7:DBT7"/>
    <mergeCell ref="DAG7:DAJ7"/>
    <mergeCell ref="DAK7:DAN7"/>
    <mergeCell ref="DAO7:DAR7"/>
    <mergeCell ref="DAS7:DAV7"/>
    <mergeCell ref="DAW7:DAZ7"/>
    <mergeCell ref="CZM7:CZP7"/>
    <mergeCell ref="CZQ7:CZT7"/>
    <mergeCell ref="CZU7:CZX7"/>
    <mergeCell ref="CZY7:DAB7"/>
    <mergeCell ref="DAC7:DAF7"/>
    <mergeCell ref="CYS7:CYV7"/>
    <mergeCell ref="CYW7:CYZ7"/>
    <mergeCell ref="CZA7:CZD7"/>
    <mergeCell ref="CZE7:CZH7"/>
    <mergeCell ref="CZI7:CZL7"/>
    <mergeCell ref="DIS7:DIV7"/>
    <mergeCell ref="DIW7:DIZ7"/>
    <mergeCell ref="DJA7:DJD7"/>
    <mergeCell ref="DJE7:DJH7"/>
    <mergeCell ref="DJI7:DJL7"/>
    <mergeCell ref="DHY7:DIB7"/>
    <mergeCell ref="DIC7:DIF7"/>
    <mergeCell ref="DIG7:DIJ7"/>
    <mergeCell ref="DIK7:DIN7"/>
    <mergeCell ref="DIO7:DIR7"/>
    <mergeCell ref="DHE7:DHH7"/>
    <mergeCell ref="DHI7:DHL7"/>
    <mergeCell ref="DHM7:DHP7"/>
    <mergeCell ref="DHQ7:DHT7"/>
    <mergeCell ref="DHU7:DHX7"/>
    <mergeCell ref="DGK7:DGN7"/>
    <mergeCell ref="DGO7:DGR7"/>
    <mergeCell ref="DGS7:DGV7"/>
    <mergeCell ref="DGW7:DGZ7"/>
    <mergeCell ref="DHA7:DHD7"/>
    <mergeCell ref="DFQ7:DFT7"/>
    <mergeCell ref="DFU7:DFX7"/>
    <mergeCell ref="DFY7:DGB7"/>
    <mergeCell ref="DGC7:DGF7"/>
    <mergeCell ref="DGG7:DGJ7"/>
    <mergeCell ref="DEW7:DEZ7"/>
    <mergeCell ref="DFA7:DFD7"/>
    <mergeCell ref="DFE7:DFH7"/>
    <mergeCell ref="DFI7:DFL7"/>
    <mergeCell ref="DFM7:DFP7"/>
    <mergeCell ref="DEC7:DEF7"/>
    <mergeCell ref="DEG7:DEJ7"/>
    <mergeCell ref="DEK7:DEN7"/>
    <mergeCell ref="DEO7:DER7"/>
    <mergeCell ref="DES7:DEV7"/>
    <mergeCell ref="DOC7:DOF7"/>
    <mergeCell ref="DOG7:DOJ7"/>
    <mergeCell ref="DOK7:DON7"/>
    <mergeCell ref="DOO7:DOR7"/>
    <mergeCell ref="DOS7:DOV7"/>
    <mergeCell ref="DNI7:DNL7"/>
    <mergeCell ref="DNM7:DNP7"/>
    <mergeCell ref="DNQ7:DNT7"/>
    <mergeCell ref="DNU7:DNX7"/>
    <mergeCell ref="DNY7:DOB7"/>
    <mergeCell ref="DMO7:DMR7"/>
    <mergeCell ref="DMS7:DMV7"/>
    <mergeCell ref="DMW7:DMZ7"/>
    <mergeCell ref="DNA7:DND7"/>
    <mergeCell ref="DNE7:DNH7"/>
    <mergeCell ref="DLU7:DLX7"/>
    <mergeCell ref="DLY7:DMB7"/>
    <mergeCell ref="DMC7:DMF7"/>
    <mergeCell ref="DMG7:DMJ7"/>
    <mergeCell ref="DMK7:DMN7"/>
    <mergeCell ref="DLA7:DLD7"/>
    <mergeCell ref="DLE7:DLH7"/>
    <mergeCell ref="DLI7:DLL7"/>
    <mergeCell ref="DLM7:DLP7"/>
    <mergeCell ref="DLQ7:DLT7"/>
    <mergeCell ref="DKG7:DKJ7"/>
    <mergeCell ref="DKK7:DKN7"/>
    <mergeCell ref="DKO7:DKR7"/>
    <mergeCell ref="DKS7:DKV7"/>
    <mergeCell ref="DKW7:DKZ7"/>
    <mergeCell ref="DJM7:DJP7"/>
    <mergeCell ref="DJQ7:DJT7"/>
    <mergeCell ref="DJU7:DJX7"/>
    <mergeCell ref="DJY7:DKB7"/>
    <mergeCell ref="DKC7:DKF7"/>
    <mergeCell ref="DTM7:DTP7"/>
    <mergeCell ref="DTQ7:DTT7"/>
    <mergeCell ref="DTU7:DTX7"/>
    <mergeCell ref="DTY7:DUB7"/>
    <mergeCell ref="DUC7:DUF7"/>
    <mergeCell ref="DSS7:DSV7"/>
    <mergeCell ref="DSW7:DSZ7"/>
    <mergeCell ref="DTA7:DTD7"/>
    <mergeCell ref="DTE7:DTH7"/>
    <mergeCell ref="DTI7:DTL7"/>
    <mergeCell ref="DRY7:DSB7"/>
    <mergeCell ref="DSC7:DSF7"/>
    <mergeCell ref="DSG7:DSJ7"/>
    <mergeCell ref="DSK7:DSN7"/>
    <mergeCell ref="DSO7:DSR7"/>
    <mergeCell ref="DRE7:DRH7"/>
    <mergeCell ref="DRI7:DRL7"/>
    <mergeCell ref="DRM7:DRP7"/>
    <mergeCell ref="DRQ7:DRT7"/>
    <mergeCell ref="DRU7:DRX7"/>
    <mergeCell ref="DQK7:DQN7"/>
    <mergeCell ref="DQO7:DQR7"/>
    <mergeCell ref="DQS7:DQV7"/>
    <mergeCell ref="DQW7:DQZ7"/>
    <mergeCell ref="DRA7:DRD7"/>
    <mergeCell ref="DPQ7:DPT7"/>
    <mergeCell ref="DPU7:DPX7"/>
    <mergeCell ref="DPY7:DQB7"/>
    <mergeCell ref="DQC7:DQF7"/>
    <mergeCell ref="DQG7:DQJ7"/>
    <mergeCell ref="DOW7:DOZ7"/>
    <mergeCell ref="DPA7:DPD7"/>
    <mergeCell ref="DPE7:DPH7"/>
    <mergeCell ref="DPI7:DPL7"/>
    <mergeCell ref="DPM7:DPP7"/>
    <mergeCell ref="DYW7:DYZ7"/>
    <mergeCell ref="DZA7:DZD7"/>
    <mergeCell ref="DZE7:DZH7"/>
    <mergeCell ref="DZI7:DZL7"/>
    <mergeCell ref="DZM7:DZP7"/>
    <mergeCell ref="DYC7:DYF7"/>
    <mergeCell ref="DYG7:DYJ7"/>
    <mergeCell ref="DYK7:DYN7"/>
    <mergeCell ref="DYO7:DYR7"/>
    <mergeCell ref="DYS7:DYV7"/>
    <mergeCell ref="DXI7:DXL7"/>
    <mergeCell ref="DXM7:DXP7"/>
    <mergeCell ref="DXQ7:DXT7"/>
    <mergeCell ref="DXU7:DXX7"/>
    <mergeCell ref="DXY7:DYB7"/>
    <mergeCell ref="DWO7:DWR7"/>
    <mergeCell ref="DWS7:DWV7"/>
    <mergeCell ref="DWW7:DWZ7"/>
    <mergeCell ref="DXA7:DXD7"/>
    <mergeCell ref="DXE7:DXH7"/>
    <mergeCell ref="DVU7:DVX7"/>
    <mergeCell ref="DVY7:DWB7"/>
    <mergeCell ref="DWC7:DWF7"/>
    <mergeCell ref="DWG7:DWJ7"/>
    <mergeCell ref="DWK7:DWN7"/>
    <mergeCell ref="DVA7:DVD7"/>
    <mergeCell ref="DVE7:DVH7"/>
    <mergeCell ref="DVI7:DVL7"/>
    <mergeCell ref="DVM7:DVP7"/>
    <mergeCell ref="DVQ7:DVT7"/>
    <mergeCell ref="DUG7:DUJ7"/>
    <mergeCell ref="DUK7:DUN7"/>
    <mergeCell ref="DUO7:DUR7"/>
    <mergeCell ref="DUS7:DUV7"/>
    <mergeCell ref="DUW7:DUZ7"/>
    <mergeCell ref="EEG7:EEJ7"/>
    <mergeCell ref="EEK7:EEN7"/>
    <mergeCell ref="EEO7:EER7"/>
    <mergeCell ref="EES7:EEV7"/>
    <mergeCell ref="EEW7:EEZ7"/>
    <mergeCell ref="EDM7:EDP7"/>
    <mergeCell ref="EDQ7:EDT7"/>
    <mergeCell ref="EDU7:EDX7"/>
    <mergeCell ref="EDY7:EEB7"/>
    <mergeCell ref="EEC7:EEF7"/>
    <mergeCell ref="ECS7:ECV7"/>
    <mergeCell ref="ECW7:ECZ7"/>
    <mergeCell ref="EDA7:EDD7"/>
    <mergeCell ref="EDE7:EDH7"/>
    <mergeCell ref="EDI7:EDL7"/>
    <mergeCell ref="EBY7:ECB7"/>
    <mergeCell ref="ECC7:ECF7"/>
    <mergeCell ref="ECG7:ECJ7"/>
    <mergeCell ref="ECK7:ECN7"/>
    <mergeCell ref="ECO7:ECR7"/>
    <mergeCell ref="EBE7:EBH7"/>
    <mergeCell ref="EBI7:EBL7"/>
    <mergeCell ref="EBM7:EBP7"/>
    <mergeCell ref="EBQ7:EBT7"/>
    <mergeCell ref="EBU7:EBX7"/>
    <mergeCell ref="EAK7:EAN7"/>
    <mergeCell ref="EAO7:EAR7"/>
    <mergeCell ref="EAS7:EAV7"/>
    <mergeCell ref="EAW7:EAZ7"/>
    <mergeCell ref="EBA7:EBD7"/>
    <mergeCell ref="DZQ7:DZT7"/>
    <mergeCell ref="DZU7:DZX7"/>
    <mergeCell ref="DZY7:EAB7"/>
    <mergeCell ref="EAC7:EAF7"/>
    <mergeCell ref="EAG7:EAJ7"/>
    <mergeCell ref="EJQ7:EJT7"/>
    <mergeCell ref="EJU7:EJX7"/>
    <mergeCell ref="EJY7:EKB7"/>
    <mergeCell ref="EKC7:EKF7"/>
    <mergeCell ref="EKG7:EKJ7"/>
    <mergeCell ref="EIW7:EIZ7"/>
    <mergeCell ref="EJA7:EJD7"/>
    <mergeCell ref="EJE7:EJH7"/>
    <mergeCell ref="EJI7:EJL7"/>
    <mergeCell ref="EJM7:EJP7"/>
    <mergeCell ref="EIC7:EIF7"/>
    <mergeCell ref="EIG7:EIJ7"/>
    <mergeCell ref="EIK7:EIN7"/>
    <mergeCell ref="EIO7:EIR7"/>
    <mergeCell ref="EIS7:EIV7"/>
    <mergeCell ref="EHI7:EHL7"/>
    <mergeCell ref="EHM7:EHP7"/>
    <mergeCell ref="EHQ7:EHT7"/>
    <mergeCell ref="EHU7:EHX7"/>
    <mergeCell ref="EHY7:EIB7"/>
    <mergeCell ref="EGO7:EGR7"/>
    <mergeCell ref="EGS7:EGV7"/>
    <mergeCell ref="EGW7:EGZ7"/>
    <mergeCell ref="EHA7:EHD7"/>
    <mergeCell ref="EHE7:EHH7"/>
    <mergeCell ref="EFU7:EFX7"/>
    <mergeCell ref="EFY7:EGB7"/>
    <mergeCell ref="EGC7:EGF7"/>
    <mergeCell ref="EGG7:EGJ7"/>
    <mergeCell ref="EGK7:EGN7"/>
    <mergeCell ref="EFA7:EFD7"/>
    <mergeCell ref="EFE7:EFH7"/>
    <mergeCell ref="EFI7:EFL7"/>
    <mergeCell ref="EFM7:EFP7"/>
    <mergeCell ref="EFQ7:EFT7"/>
    <mergeCell ref="EPA7:EPD7"/>
    <mergeCell ref="EPE7:EPH7"/>
    <mergeCell ref="EPI7:EPL7"/>
    <mergeCell ref="EPM7:EPP7"/>
    <mergeCell ref="EPQ7:EPT7"/>
    <mergeCell ref="EOG7:EOJ7"/>
    <mergeCell ref="EOK7:EON7"/>
    <mergeCell ref="EOO7:EOR7"/>
    <mergeCell ref="EOS7:EOV7"/>
    <mergeCell ref="EOW7:EOZ7"/>
    <mergeCell ref="ENM7:ENP7"/>
    <mergeCell ref="ENQ7:ENT7"/>
    <mergeCell ref="ENU7:ENX7"/>
    <mergeCell ref="ENY7:EOB7"/>
    <mergeCell ref="EOC7:EOF7"/>
    <mergeCell ref="EMS7:EMV7"/>
    <mergeCell ref="EMW7:EMZ7"/>
    <mergeCell ref="ENA7:END7"/>
    <mergeCell ref="ENE7:ENH7"/>
    <mergeCell ref="ENI7:ENL7"/>
    <mergeCell ref="ELY7:EMB7"/>
    <mergeCell ref="EMC7:EMF7"/>
    <mergeCell ref="EMG7:EMJ7"/>
    <mergeCell ref="EMK7:EMN7"/>
    <mergeCell ref="EMO7:EMR7"/>
    <mergeCell ref="ELE7:ELH7"/>
    <mergeCell ref="ELI7:ELL7"/>
    <mergeCell ref="ELM7:ELP7"/>
    <mergeCell ref="ELQ7:ELT7"/>
    <mergeCell ref="ELU7:ELX7"/>
    <mergeCell ref="EKK7:EKN7"/>
    <mergeCell ref="EKO7:EKR7"/>
    <mergeCell ref="EKS7:EKV7"/>
    <mergeCell ref="EKW7:EKZ7"/>
    <mergeCell ref="ELA7:ELD7"/>
    <mergeCell ref="EUK7:EUN7"/>
    <mergeCell ref="EUO7:EUR7"/>
    <mergeCell ref="EUS7:EUV7"/>
    <mergeCell ref="EUW7:EUZ7"/>
    <mergeCell ref="EVA7:EVD7"/>
    <mergeCell ref="ETQ7:ETT7"/>
    <mergeCell ref="ETU7:ETX7"/>
    <mergeCell ref="ETY7:EUB7"/>
    <mergeCell ref="EUC7:EUF7"/>
    <mergeCell ref="EUG7:EUJ7"/>
    <mergeCell ref="ESW7:ESZ7"/>
    <mergeCell ref="ETA7:ETD7"/>
    <mergeCell ref="ETE7:ETH7"/>
    <mergeCell ref="ETI7:ETL7"/>
    <mergeCell ref="ETM7:ETP7"/>
    <mergeCell ref="ESC7:ESF7"/>
    <mergeCell ref="ESG7:ESJ7"/>
    <mergeCell ref="ESK7:ESN7"/>
    <mergeCell ref="ESO7:ESR7"/>
    <mergeCell ref="ESS7:ESV7"/>
    <mergeCell ref="ERI7:ERL7"/>
    <mergeCell ref="ERM7:ERP7"/>
    <mergeCell ref="ERQ7:ERT7"/>
    <mergeCell ref="ERU7:ERX7"/>
    <mergeCell ref="ERY7:ESB7"/>
    <mergeCell ref="EQO7:EQR7"/>
    <mergeCell ref="EQS7:EQV7"/>
    <mergeCell ref="EQW7:EQZ7"/>
    <mergeCell ref="ERA7:ERD7"/>
    <mergeCell ref="ERE7:ERH7"/>
    <mergeCell ref="EPU7:EPX7"/>
    <mergeCell ref="EPY7:EQB7"/>
    <mergeCell ref="EQC7:EQF7"/>
    <mergeCell ref="EQG7:EQJ7"/>
    <mergeCell ref="EQK7:EQN7"/>
    <mergeCell ref="EZU7:EZX7"/>
    <mergeCell ref="EZY7:FAB7"/>
    <mergeCell ref="FAC7:FAF7"/>
    <mergeCell ref="FAG7:FAJ7"/>
    <mergeCell ref="FAK7:FAN7"/>
    <mergeCell ref="EZA7:EZD7"/>
    <mergeCell ref="EZE7:EZH7"/>
    <mergeCell ref="EZI7:EZL7"/>
    <mergeCell ref="EZM7:EZP7"/>
    <mergeCell ref="EZQ7:EZT7"/>
    <mergeCell ref="EYG7:EYJ7"/>
    <mergeCell ref="EYK7:EYN7"/>
    <mergeCell ref="EYO7:EYR7"/>
    <mergeCell ref="EYS7:EYV7"/>
    <mergeCell ref="EYW7:EYZ7"/>
    <mergeCell ref="EXM7:EXP7"/>
    <mergeCell ref="EXQ7:EXT7"/>
    <mergeCell ref="EXU7:EXX7"/>
    <mergeCell ref="EXY7:EYB7"/>
    <mergeCell ref="EYC7:EYF7"/>
    <mergeCell ref="EWS7:EWV7"/>
    <mergeCell ref="EWW7:EWZ7"/>
    <mergeCell ref="EXA7:EXD7"/>
    <mergeCell ref="EXE7:EXH7"/>
    <mergeCell ref="EXI7:EXL7"/>
    <mergeCell ref="EVY7:EWB7"/>
    <mergeCell ref="EWC7:EWF7"/>
    <mergeCell ref="EWG7:EWJ7"/>
    <mergeCell ref="EWK7:EWN7"/>
    <mergeCell ref="EWO7:EWR7"/>
    <mergeCell ref="EVE7:EVH7"/>
    <mergeCell ref="EVI7:EVL7"/>
    <mergeCell ref="EVM7:EVP7"/>
    <mergeCell ref="EVQ7:EVT7"/>
    <mergeCell ref="EVU7:EVX7"/>
    <mergeCell ref="FFE7:FFH7"/>
    <mergeCell ref="FFI7:FFL7"/>
    <mergeCell ref="FFM7:FFP7"/>
    <mergeCell ref="FFQ7:FFT7"/>
    <mergeCell ref="FFU7:FFX7"/>
    <mergeCell ref="FEK7:FEN7"/>
    <mergeCell ref="FEO7:FER7"/>
    <mergeCell ref="FES7:FEV7"/>
    <mergeCell ref="FEW7:FEZ7"/>
    <mergeCell ref="FFA7:FFD7"/>
    <mergeCell ref="FDQ7:FDT7"/>
    <mergeCell ref="FDU7:FDX7"/>
    <mergeCell ref="FDY7:FEB7"/>
    <mergeCell ref="FEC7:FEF7"/>
    <mergeCell ref="FEG7:FEJ7"/>
    <mergeCell ref="FCW7:FCZ7"/>
    <mergeCell ref="FDA7:FDD7"/>
    <mergeCell ref="FDE7:FDH7"/>
    <mergeCell ref="FDI7:FDL7"/>
    <mergeCell ref="FDM7:FDP7"/>
    <mergeCell ref="FCC7:FCF7"/>
    <mergeCell ref="FCG7:FCJ7"/>
    <mergeCell ref="FCK7:FCN7"/>
    <mergeCell ref="FCO7:FCR7"/>
    <mergeCell ref="FCS7:FCV7"/>
    <mergeCell ref="FBI7:FBL7"/>
    <mergeCell ref="FBM7:FBP7"/>
    <mergeCell ref="FBQ7:FBT7"/>
    <mergeCell ref="FBU7:FBX7"/>
    <mergeCell ref="FBY7:FCB7"/>
    <mergeCell ref="FAO7:FAR7"/>
    <mergeCell ref="FAS7:FAV7"/>
    <mergeCell ref="FAW7:FAZ7"/>
    <mergeCell ref="FBA7:FBD7"/>
    <mergeCell ref="FBE7:FBH7"/>
    <mergeCell ref="FKO7:FKR7"/>
    <mergeCell ref="FKS7:FKV7"/>
    <mergeCell ref="FKW7:FKZ7"/>
    <mergeCell ref="FLA7:FLD7"/>
    <mergeCell ref="FLE7:FLH7"/>
    <mergeCell ref="FJU7:FJX7"/>
    <mergeCell ref="FJY7:FKB7"/>
    <mergeCell ref="FKC7:FKF7"/>
    <mergeCell ref="FKG7:FKJ7"/>
    <mergeCell ref="FKK7:FKN7"/>
    <mergeCell ref="FJA7:FJD7"/>
    <mergeCell ref="FJE7:FJH7"/>
    <mergeCell ref="FJI7:FJL7"/>
    <mergeCell ref="FJM7:FJP7"/>
    <mergeCell ref="FJQ7:FJT7"/>
    <mergeCell ref="FIG7:FIJ7"/>
    <mergeCell ref="FIK7:FIN7"/>
    <mergeCell ref="FIO7:FIR7"/>
    <mergeCell ref="FIS7:FIV7"/>
    <mergeCell ref="FIW7:FIZ7"/>
    <mergeCell ref="FHM7:FHP7"/>
    <mergeCell ref="FHQ7:FHT7"/>
    <mergeCell ref="FHU7:FHX7"/>
    <mergeCell ref="FHY7:FIB7"/>
    <mergeCell ref="FIC7:FIF7"/>
    <mergeCell ref="FGS7:FGV7"/>
    <mergeCell ref="FGW7:FGZ7"/>
    <mergeCell ref="FHA7:FHD7"/>
    <mergeCell ref="FHE7:FHH7"/>
    <mergeCell ref="FHI7:FHL7"/>
    <mergeCell ref="FFY7:FGB7"/>
    <mergeCell ref="FGC7:FGF7"/>
    <mergeCell ref="FGG7:FGJ7"/>
    <mergeCell ref="FGK7:FGN7"/>
    <mergeCell ref="FGO7:FGR7"/>
    <mergeCell ref="FPY7:FQB7"/>
    <mergeCell ref="FQC7:FQF7"/>
    <mergeCell ref="FQG7:FQJ7"/>
    <mergeCell ref="FQK7:FQN7"/>
    <mergeCell ref="FQO7:FQR7"/>
    <mergeCell ref="FPE7:FPH7"/>
    <mergeCell ref="FPI7:FPL7"/>
    <mergeCell ref="FPM7:FPP7"/>
    <mergeCell ref="FPQ7:FPT7"/>
    <mergeCell ref="FPU7:FPX7"/>
    <mergeCell ref="FOK7:FON7"/>
    <mergeCell ref="FOO7:FOR7"/>
    <mergeCell ref="FOS7:FOV7"/>
    <mergeCell ref="FOW7:FOZ7"/>
    <mergeCell ref="FPA7:FPD7"/>
    <mergeCell ref="FNQ7:FNT7"/>
    <mergeCell ref="FNU7:FNX7"/>
    <mergeCell ref="FNY7:FOB7"/>
    <mergeCell ref="FOC7:FOF7"/>
    <mergeCell ref="FOG7:FOJ7"/>
    <mergeCell ref="FMW7:FMZ7"/>
    <mergeCell ref="FNA7:FND7"/>
    <mergeCell ref="FNE7:FNH7"/>
    <mergeCell ref="FNI7:FNL7"/>
    <mergeCell ref="FNM7:FNP7"/>
    <mergeCell ref="FMC7:FMF7"/>
    <mergeCell ref="FMG7:FMJ7"/>
    <mergeCell ref="FMK7:FMN7"/>
    <mergeCell ref="FMO7:FMR7"/>
    <mergeCell ref="FMS7:FMV7"/>
    <mergeCell ref="FLI7:FLL7"/>
    <mergeCell ref="FLM7:FLP7"/>
    <mergeCell ref="FLQ7:FLT7"/>
    <mergeCell ref="FLU7:FLX7"/>
    <mergeCell ref="FLY7:FMB7"/>
    <mergeCell ref="FVI7:FVL7"/>
    <mergeCell ref="FVM7:FVP7"/>
    <mergeCell ref="FVQ7:FVT7"/>
    <mergeCell ref="FVU7:FVX7"/>
    <mergeCell ref="FVY7:FWB7"/>
    <mergeCell ref="FUO7:FUR7"/>
    <mergeCell ref="FUS7:FUV7"/>
    <mergeCell ref="FUW7:FUZ7"/>
    <mergeCell ref="FVA7:FVD7"/>
    <mergeCell ref="FVE7:FVH7"/>
    <mergeCell ref="FTU7:FTX7"/>
    <mergeCell ref="FTY7:FUB7"/>
    <mergeCell ref="FUC7:FUF7"/>
    <mergeCell ref="FUG7:FUJ7"/>
    <mergeCell ref="FUK7:FUN7"/>
    <mergeCell ref="FTA7:FTD7"/>
    <mergeCell ref="FTE7:FTH7"/>
    <mergeCell ref="FTI7:FTL7"/>
    <mergeCell ref="FTM7:FTP7"/>
    <mergeCell ref="FTQ7:FTT7"/>
    <mergeCell ref="FSG7:FSJ7"/>
    <mergeCell ref="FSK7:FSN7"/>
    <mergeCell ref="FSO7:FSR7"/>
    <mergeCell ref="FSS7:FSV7"/>
    <mergeCell ref="FSW7:FSZ7"/>
    <mergeCell ref="FRM7:FRP7"/>
    <mergeCell ref="FRQ7:FRT7"/>
    <mergeCell ref="FRU7:FRX7"/>
    <mergeCell ref="FRY7:FSB7"/>
    <mergeCell ref="FSC7:FSF7"/>
    <mergeCell ref="FQS7:FQV7"/>
    <mergeCell ref="FQW7:FQZ7"/>
    <mergeCell ref="FRA7:FRD7"/>
    <mergeCell ref="FRE7:FRH7"/>
    <mergeCell ref="FRI7:FRL7"/>
    <mergeCell ref="GAS7:GAV7"/>
    <mergeCell ref="GAW7:GAZ7"/>
    <mergeCell ref="GBA7:GBD7"/>
    <mergeCell ref="GBE7:GBH7"/>
    <mergeCell ref="GBI7:GBL7"/>
    <mergeCell ref="FZY7:GAB7"/>
    <mergeCell ref="GAC7:GAF7"/>
    <mergeCell ref="GAG7:GAJ7"/>
    <mergeCell ref="GAK7:GAN7"/>
    <mergeCell ref="GAO7:GAR7"/>
    <mergeCell ref="FZE7:FZH7"/>
    <mergeCell ref="FZI7:FZL7"/>
    <mergeCell ref="FZM7:FZP7"/>
    <mergeCell ref="FZQ7:FZT7"/>
    <mergeCell ref="FZU7:FZX7"/>
    <mergeCell ref="FYK7:FYN7"/>
    <mergeCell ref="FYO7:FYR7"/>
    <mergeCell ref="FYS7:FYV7"/>
    <mergeCell ref="FYW7:FYZ7"/>
    <mergeCell ref="FZA7:FZD7"/>
    <mergeCell ref="FXQ7:FXT7"/>
    <mergeCell ref="FXU7:FXX7"/>
    <mergeCell ref="FXY7:FYB7"/>
    <mergeCell ref="FYC7:FYF7"/>
    <mergeCell ref="FYG7:FYJ7"/>
    <mergeCell ref="FWW7:FWZ7"/>
    <mergeCell ref="FXA7:FXD7"/>
    <mergeCell ref="FXE7:FXH7"/>
    <mergeCell ref="FXI7:FXL7"/>
    <mergeCell ref="FXM7:FXP7"/>
    <mergeCell ref="FWC7:FWF7"/>
    <mergeCell ref="FWG7:FWJ7"/>
    <mergeCell ref="FWK7:FWN7"/>
    <mergeCell ref="FWO7:FWR7"/>
    <mergeCell ref="FWS7:FWV7"/>
    <mergeCell ref="GGC7:GGF7"/>
    <mergeCell ref="GGG7:GGJ7"/>
    <mergeCell ref="GGK7:GGN7"/>
    <mergeCell ref="GGO7:GGR7"/>
    <mergeCell ref="GGS7:GGV7"/>
    <mergeCell ref="GFI7:GFL7"/>
    <mergeCell ref="GFM7:GFP7"/>
    <mergeCell ref="GFQ7:GFT7"/>
    <mergeCell ref="GFU7:GFX7"/>
    <mergeCell ref="GFY7:GGB7"/>
    <mergeCell ref="GEO7:GER7"/>
    <mergeCell ref="GES7:GEV7"/>
    <mergeCell ref="GEW7:GEZ7"/>
    <mergeCell ref="GFA7:GFD7"/>
    <mergeCell ref="GFE7:GFH7"/>
    <mergeCell ref="GDU7:GDX7"/>
    <mergeCell ref="GDY7:GEB7"/>
    <mergeCell ref="GEC7:GEF7"/>
    <mergeCell ref="GEG7:GEJ7"/>
    <mergeCell ref="GEK7:GEN7"/>
    <mergeCell ref="GDA7:GDD7"/>
    <mergeCell ref="GDE7:GDH7"/>
    <mergeCell ref="GDI7:GDL7"/>
    <mergeCell ref="GDM7:GDP7"/>
    <mergeCell ref="GDQ7:GDT7"/>
    <mergeCell ref="GCG7:GCJ7"/>
    <mergeCell ref="GCK7:GCN7"/>
    <mergeCell ref="GCO7:GCR7"/>
    <mergeCell ref="GCS7:GCV7"/>
    <mergeCell ref="GCW7:GCZ7"/>
    <mergeCell ref="GBM7:GBP7"/>
    <mergeCell ref="GBQ7:GBT7"/>
    <mergeCell ref="GBU7:GBX7"/>
    <mergeCell ref="GBY7:GCB7"/>
    <mergeCell ref="GCC7:GCF7"/>
    <mergeCell ref="GLM7:GLP7"/>
    <mergeCell ref="GLQ7:GLT7"/>
    <mergeCell ref="GLU7:GLX7"/>
    <mergeCell ref="GLY7:GMB7"/>
    <mergeCell ref="GMC7:GMF7"/>
    <mergeCell ref="GKS7:GKV7"/>
    <mergeCell ref="GKW7:GKZ7"/>
    <mergeCell ref="GLA7:GLD7"/>
    <mergeCell ref="GLE7:GLH7"/>
    <mergeCell ref="GLI7:GLL7"/>
    <mergeCell ref="GJY7:GKB7"/>
    <mergeCell ref="GKC7:GKF7"/>
    <mergeCell ref="GKG7:GKJ7"/>
    <mergeCell ref="GKK7:GKN7"/>
    <mergeCell ref="GKO7:GKR7"/>
    <mergeCell ref="GJE7:GJH7"/>
    <mergeCell ref="GJI7:GJL7"/>
    <mergeCell ref="GJM7:GJP7"/>
    <mergeCell ref="GJQ7:GJT7"/>
    <mergeCell ref="GJU7:GJX7"/>
    <mergeCell ref="GIK7:GIN7"/>
    <mergeCell ref="GIO7:GIR7"/>
    <mergeCell ref="GIS7:GIV7"/>
    <mergeCell ref="GIW7:GIZ7"/>
    <mergeCell ref="GJA7:GJD7"/>
    <mergeCell ref="GHQ7:GHT7"/>
    <mergeCell ref="GHU7:GHX7"/>
    <mergeCell ref="GHY7:GIB7"/>
    <mergeCell ref="GIC7:GIF7"/>
    <mergeCell ref="GIG7:GIJ7"/>
    <mergeCell ref="GGW7:GGZ7"/>
    <mergeCell ref="GHA7:GHD7"/>
    <mergeCell ref="GHE7:GHH7"/>
    <mergeCell ref="GHI7:GHL7"/>
    <mergeCell ref="GHM7:GHP7"/>
    <mergeCell ref="GQW7:GQZ7"/>
    <mergeCell ref="GRA7:GRD7"/>
    <mergeCell ref="GRE7:GRH7"/>
    <mergeCell ref="GRI7:GRL7"/>
    <mergeCell ref="GRM7:GRP7"/>
    <mergeCell ref="GQC7:GQF7"/>
    <mergeCell ref="GQG7:GQJ7"/>
    <mergeCell ref="GQK7:GQN7"/>
    <mergeCell ref="GQO7:GQR7"/>
    <mergeCell ref="GQS7:GQV7"/>
    <mergeCell ref="GPI7:GPL7"/>
    <mergeCell ref="GPM7:GPP7"/>
    <mergeCell ref="GPQ7:GPT7"/>
    <mergeCell ref="GPU7:GPX7"/>
    <mergeCell ref="GPY7:GQB7"/>
    <mergeCell ref="GOO7:GOR7"/>
    <mergeCell ref="GOS7:GOV7"/>
    <mergeCell ref="GOW7:GOZ7"/>
    <mergeCell ref="GPA7:GPD7"/>
    <mergeCell ref="GPE7:GPH7"/>
    <mergeCell ref="GNU7:GNX7"/>
    <mergeCell ref="GNY7:GOB7"/>
    <mergeCell ref="GOC7:GOF7"/>
    <mergeCell ref="GOG7:GOJ7"/>
    <mergeCell ref="GOK7:GON7"/>
    <mergeCell ref="GNA7:GND7"/>
    <mergeCell ref="GNE7:GNH7"/>
    <mergeCell ref="GNI7:GNL7"/>
    <mergeCell ref="GNM7:GNP7"/>
    <mergeCell ref="GNQ7:GNT7"/>
    <mergeCell ref="GMG7:GMJ7"/>
    <mergeCell ref="GMK7:GMN7"/>
    <mergeCell ref="GMO7:GMR7"/>
    <mergeCell ref="GMS7:GMV7"/>
    <mergeCell ref="GMW7:GMZ7"/>
    <mergeCell ref="GWG7:GWJ7"/>
    <mergeCell ref="GWK7:GWN7"/>
    <mergeCell ref="GWO7:GWR7"/>
    <mergeCell ref="GWS7:GWV7"/>
    <mergeCell ref="GWW7:GWZ7"/>
    <mergeCell ref="GVM7:GVP7"/>
    <mergeCell ref="GVQ7:GVT7"/>
    <mergeCell ref="GVU7:GVX7"/>
    <mergeCell ref="GVY7:GWB7"/>
    <mergeCell ref="GWC7:GWF7"/>
    <mergeCell ref="GUS7:GUV7"/>
    <mergeCell ref="GUW7:GUZ7"/>
    <mergeCell ref="GVA7:GVD7"/>
    <mergeCell ref="GVE7:GVH7"/>
    <mergeCell ref="GVI7:GVL7"/>
    <mergeCell ref="GTY7:GUB7"/>
    <mergeCell ref="GUC7:GUF7"/>
    <mergeCell ref="GUG7:GUJ7"/>
    <mergeCell ref="GUK7:GUN7"/>
    <mergeCell ref="GUO7:GUR7"/>
    <mergeCell ref="GTE7:GTH7"/>
    <mergeCell ref="GTI7:GTL7"/>
    <mergeCell ref="GTM7:GTP7"/>
    <mergeCell ref="GTQ7:GTT7"/>
    <mergeCell ref="GTU7:GTX7"/>
    <mergeCell ref="GSK7:GSN7"/>
    <mergeCell ref="GSO7:GSR7"/>
    <mergeCell ref="GSS7:GSV7"/>
    <mergeCell ref="GSW7:GSZ7"/>
    <mergeCell ref="GTA7:GTD7"/>
    <mergeCell ref="GRQ7:GRT7"/>
    <mergeCell ref="GRU7:GRX7"/>
    <mergeCell ref="GRY7:GSB7"/>
    <mergeCell ref="GSC7:GSF7"/>
    <mergeCell ref="GSG7:GSJ7"/>
    <mergeCell ref="HBQ7:HBT7"/>
    <mergeCell ref="HBU7:HBX7"/>
    <mergeCell ref="HBY7:HCB7"/>
    <mergeCell ref="HCC7:HCF7"/>
    <mergeCell ref="HCG7:HCJ7"/>
    <mergeCell ref="HAW7:HAZ7"/>
    <mergeCell ref="HBA7:HBD7"/>
    <mergeCell ref="HBE7:HBH7"/>
    <mergeCell ref="HBI7:HBL7"/>
    <mergeCell ref="HBM7:HBP7"/>
    <mergeCell ref="HAC7:HAF7"/>
    <mergeCell ref="HAG7:HAJ7"/>
    <mergeCell ref="HAK7:HAN7"/>
    <mergeCell ref="HAO7:HAR7"/>
    <mergeCell ref="HAS7:HAV7"/>
    <mergeCell ref="GZI7:GZL7"/>
    <mergeCell ref="GZM7:GZP7"/>
    <mergeCell ref="GZQ7:GZT7"/>
    <mergeCell ref="GZU7:GZX7"/>
    <mergeCell ref="GZY7:HAB7"/>
    <mergeCell ref="GYO7:GYR7"/>
    <mergeCell ref="GYS7:GYV7"/>
    <mergeCell ref="GYW7:GYZ7"/>
    <mergeCell ref="GZA7:GZD7"/>
    <mergeCell ref="GZE7:GZH7"/>
    <mergeCell ref="GXU7:GXX7"/>
    <mergeCell ref="GXY7:GYB7"/>
    <mergeCell ref="GYC7:GYF7"/>
    <mergeCell ref="GYG7:GYJ7"/>
    <mergeCell ref="GYK7:GYN7"/>
    <mergeCell ref="GXA7:GXD7"/>
    <mergeCell ref="GXE7:GXH7"/>
    <mergeCell ref="GXI7:GXL7"/>
    <mergeCell ref="GXM7:GXP7"/>
    <mergeCell ref="GXQ7:GXT7"/>
    <mergeCell ref="HHA7:HHD7"/>
    <mergeCell ref="HHE7:HHH7"/>
    <mergeCell ref="HHI7:HHL7"/>
    <mergeCell ref="HHM7:HHP7"/>
    <mergeCell ref="HHQ7:HHT7"/>
    <mergeCell ref="HGG7:HGJ7"/>
    <mergeCell ref="HGK7:HGN7"/>
    <mergeCell ref="HGO7:HGR7"/>
    <mergeCell ref="HGS7:HGV7"/>
    <mergeCell ref="HGW7:HGZ7"/>
    <mergeCell ref="HFM7:HFP7"/>
    <mergeCell ref="HFQ7:HFT7"/>
    <mergeCell ref="HFU7:HFX7"/>
    <mergeCell ref="HFY7:HGB7"/>
    <mergeCell ref="HGC7:HGF7"/>
    <mergeCell ref="HES7:HEV7"/>
    <mergeCell ref="HEW7:HEZ7"/>
    <mergeCell ref="HFA7:HFD7"/>
    <mergeCell ref="HFE7:HFH7"/>
    <mergeCell ref="HFI7:HFL7"/>
    <mergeCell ref="HDY7:HEB7"/>
    <mergeCell ref="HEC7:HEF7"/>
    <mergeCell ref="HEG7:HEJ7"/>
    <mergeCell ref="HEK7:HEN7"/>
    <mergeCell ref="HEO7:HER7"/>
    <mergeCell ref="HDE7:HDH7"/>
    <mergeCell ref="HDI7:HDL7"/>
    <mergeCell ref="HDM7:HDP7"/>
    <mergeCell ref="HDQ7:HDT7"/>
    <mergeCell ref="HDU7:HDX7"/>
    <mergeCell ref="HCK7:HCN7"/>
    <mergeCell ref="HCO7:HCR7"/>
    <mergeCell ref="HCS7:HCV7"/>
    <mergeCell ref="HCW7:HCZ7"/>
    <mergeCell ref="HDA7:HDD7"/>
    <mergeCell ref="HMK7:HMN7"/>
    <mergeCell ref="HMO7:HMR7"/>
    <mergeCell ref="HMS7:HMV7"/>
    <mergeCell ref="HMW7:HMZ7"/>
    <mergeCell ref="HNA7:HND7"/>
    <mergeCell ref="HLQ7:HLT7"/>
    <mergeCell ref="HLU7:HLX7"/>
    <mergeCell ref="HLY7:HMB7"/>
    <mergeCell ref="HMC7:HMF7"/>
    <mergeCell ref="HMG7:HMJ7"/>
    <mergeCell ref="HKW7:HKZ7"/>
    <mergeCell ref="HLA7:HLD7"/>
    <mergeCell ref="HLE7:HLH7"/>
    <mergeCell ref="HLI7:HLL7"/>
    <mergeCell ref="HLM7:HLP7"/>
    <mergeCell ref="HKC7:HKF7"/>
    <mergeCell ref="HKG7:HKJ7"/>
    <mergeCell ref="HKK7:HKN7"/>
    <mergeCell ref="HKO7:HKR7"/>
    <mergeCell ref="HKS7:HKV7"/>
    <mergeCell ref="HJI7:HJL7"/>
    <mergeCell ref="HJM7:HJP7"/>
    <mergeCell ref="HJQ7:HJT7"/>
    <mergeCell ref="HJU7:HJX7"/>
    <mergeCell ref="HJY7:HKB7"/>
    <mergeCell ref="HIO7:HIR7"/>
    <mergeCell ref="HIS7:HIV7"/>
    <mergeCell ref="HIW7:HIZ7"/>
    <mergeCell ref="HJA7:HJD7"/>
    <mergeCell ref="HJE7:HJH7"/>
    <mergeCell ref="HHU7:HHX7"/>
    <mergeCell ref="HHY7:HIB7"/>
    <mergeCell ref="HIC7:HIF7"/>
    <mergeCell ref="HIG7:HIJ7"/>
    <mergeCell ref="HIK7:HIN7"/>
    <mergeCell ref="HRU7:HRX7"/>
    <mergeCell ref="HRY7:HSB7"/>
    <mergeCell ref="HSC7:HSF7"/>
    <mergeCell ref="HSG7:HSJ7"/>
    <mergeCell ref="HSK7:HSN7"/>
    <mergeCell ref="HRA7:HRD7"/>
    <mergeCell ref="HRE7:HRH7"/>
    <mergeCell ref="HRI7:HRL7"/>
    <mergeCell ref="HRM7:HRP7"/>
    <mergeCell ref="HRQ7:HRT7"/>
    <mergeCell ref="HQG7:HQJ7"/>
    <mergeCell ref="HQK7:HQN7"/>
    <mergeCell ref="HQO7:HQR7"/>
    <mergeCell ref="HQS7:HQV7"/>
    <mergeCell ref="HQW7:HQZ7"/>
    <mergeCell ref="HPM7:HPP7"/>
    <mergeCell ref="HPQ7:HPT7"/>
    <mergeCell ref="HPU7:HPX7"/>
    <mergeCell ref="HPY7:HQB7"/>
    <mergeCell ref="HQC7:HQF7"/>
    <mergeCell ref="HOS7:HOV7"/>
    <mergeCell ref="HOW7:HOZ7"/>
    <mergeCell ref="HPA7:HPD7"/>
    <mergeCell ref="HPE7:HPH7"/>
    <mergeCell ref="HPI7:HPL7"/>
    <mergeCell ref="HNY7:HOB7"/>
    <mergeCell ref="HOC7:HOF7"/>
    <mergeCell ref="HOG7:HOJ7"/>
    <mergeCell ref="HOK7:HON7"/>
    <mergeCell ref="HOO7:HOR7"/>
    <mergeCell ref="HNE7:HNH7"/>
    <mergeCell ref="HNI7:HNL7"/>
    <mergeCell ref="HNM7:HNP7"/>
    <mergeCell ref="HNQ7:HNT7"/>
    <mergeCell ref="HNU7:HNX7"/>
    <mergeCell ref="HXE7:HXH7"/>
    <mergeCell ref="HXI7:HXL7"/>
    <mergeCell ref="HXM7:HXP7"/>
    <mergeCell ref="HXQ7:HXT7"/>
    <mergeCell ref="HXU7:HXX7"/>
    <mergeCell ref="HWK7:HWN7"/>
    <mergeCell ref="HWO7:HWR7"/>
    <mergeCell ref="HWS7:HWV7"/>
    <mergeCell ref="HWW7:HWZ7"/>
    <mergeCell ref="HXA7:HXD7"/>
    <mergeCell ref="HVQ7:HVT7"/>
    <mergeCell ref="HVU7:HVX7"/>
    <mergeCell ref="HVY7:HWB7"/>
    <mergeCell ref="HWC7:HWF7"/>
    <mergeCell ref="HWG7:HWJ7"/>
    <mergeCell ref="HUW7:HUZ7"/>
    <mergeCell ref="HVA7:HVD7"/>
    <mergeCell ref="HVE7:HVH7"/>
    <mergeCell ref="HVI7:HVL7"/>
    <mergeCell ref="HVM7:HVP7"/>
    <mergeCell ref="HUC7:HUF7"/>
    <mergeCell ref="HUG7:HUJ7"/>
    <mergeCell ref="HUK7:HUN7"/>
    <mergeCell ref="HUO7:HUR7"/>
    <mergeCell ref="HUS7:HUV7"/>
    <mergeCell ref="HTI7:HTL7"/>
    <mergeCell ref="HTM7:HTP7"/>
    <mergeCell ref="HTQ7:HTT7"/>
    <mergeCell ref="HTU7:HTX7"/>
    <mergeCell ref="HTY7:HUB7"/>
    <mergeCell ref="HSO7:HSR7"/>
    <mergeCell ref="HSS7:HSV7"/>
    <mergeCell ref="HSW7:HSZ7"/>
    <mergeCell ref="HTA7:HTD7"/>
    <mergeCell ref="HTE7:HTH7"/>
    <mergeCell ref="ICO7:ICR7"/>
    <mergeCell ref="ICS7:ICV7"/>
    <mergeCell ref="ICW7:ICZ7"/>
    <mergeCell ref="IDA7:IDD7"/>
    <mergeCell ref="IDE7:IDH7"/>
    <mergeCell ref="IBU7:IBX7"/>
    <mergeCell ref="IBY7:ICB7"/>
    <mergeCell ref="ICC7:ICF7"/>
    <mergeCell ref="ICG7:ICJ7"/>
    <mergeCell ref="ICK7:ICN7"/>
    <mergeCell ref="IBA7:IBD7"/>
    <mergeCell ref="IBE7:IBH7"/>
    <mergeCell ref="IBI7:IBL7"/>
    <mergeCell ref="IBM7:IBP7"/>
    <mergeCell ref="IBQ7:IBT7"/>
    <mergeCell ref="IAG7:IAJ7"/>
    <mergeCell ref="IAK7:IAN7"/>
    <mergeCell ref="IAO7:IAR7"/>
    <mergeCell ref="IAS7:IAV7"/>
    <mergeCell ref="IAW7:IAZ7"/>
    <mergeCell ref="HZM7:HZP7"/>
    <mergeCell ref="HZQ7:HZT7"/>
    <mergeCell ref="HZU7:HZX7"/>
    <mergeCell ref="HZY7:IAB7"/>
    <mergeCell ref="IAC7:IAF7"/>
    <mergeCell ref="HYS7:HYV7"/>
    <mergeCell ref="HYW7:HYZ7"/>
    <mergeCell ref="HZA7:HZD7"/>
    <mergeCell ref="HZE7:HZH7"/>
    <mergeCell ref="HZI7:HZL7"/>
    <mergeCell ref="HXY7:HYB7"/>
    <mergeCell ref="HYC7:HYF7"/>
    <mergeCell ref="HYG7:HYJ7"/>
    <mergeCell ref="HYK7:HYN7"/>
    <mergeCell ref="HYO7:HYR7"/>
    <mergeCell ref="IHY7:IIB7"/>
    <mergeCell ref="IIC7:IIF7"/>
    <mergeCell ref="IIG7:IIJ7"/>
    <mergeCell ref="IIK7:IIN7"/>
    <mergeCell ref="IIO7:IIR7"/>
    <mergeCell ref="IHE7:IHH7"/>
    <mergeCell ref="IHI7:IHL7"/>
    <mergeCell ref="IHM7:IHP7"/>
    <mergeCell ref="IHQ7:IHT7"/>
    <mergeCell ref="IHU7:IHX7"/>
    <mergeCell ref="IGK7:IGN7"/>
    <mergeCell ref="IGO7:IGR7"/>
    <mergeCell ref="IGS7:IGV7"/>
    <mergeCell ref="IGW7:IGZ7"/>
    <mergeCell ref="IHA7:IHD7"/>
    <mergeCell ref="IFQ7:IFT7"/>
    <mergeCell ref="IFU7:IFX7"/>
    <mergeCell ref="IFY7:IGB7"/>
    <mergeCell ref="IGC7:IGF7"/>
    <mergeCell ref="IGG7:IGJ7"/>
    <mergeCell ref="IEW7:IEZ7"/>
    <mergeCell ref="IFA7:IFD7"/>
    <mergeCell ref="IFE7:IFH7"/>
    <mergeCell ref="IFI7:IFL7"/>
    <mergeCell ref="IFM7:IFP7"/>
    <mergeCell ref="IEC7:IEF7"/>
    <mergeCell ref="IEG7:IEJ7"/>
    <mergeCell ref="IEK7:IEN7"/>
    <mergeCell ref="IEO7:IER7"/>
    <mergeCell ref="IES7:IEV7"/>
    <mergeCell ref="IDI7:IDL7"/>
    <mergeCell ref="IDM7:IDP7"/>
    <mergeCell ref="IDQ7:IDT7"/>
    <mergeCell ref="IDU7:IDX7"/>
    <mergeCell ref="IDY7:IEB7"/>
    <mergeCell ref="INI7:INL7"/>
    <mergeCell ref="INM7:INP7"/>
    <mergeCell ref="INQ7:INT7"/>
    <mergeCell ref="INU7:INX7"/>
    <mergeCell ref="INY7:IOB7"/>
    <mergeCell ref="IMO7:IMR7"/>
    <mergeCell ref="IMS7:IMV7"/>
    <mergeCell ref="IMW7:IMZ7"/>
    <mergeCell ref="INA7:IND7"/>
    <mergeCell ref="INE7:INH7"/>
    <mergeCell ref="ILU7:ILX7"/>
    <mergeCell ref="ILY7:IMB7"/>
    <mergeCell ref="IMC7:IMF7"/>
    <mergeCell ref="IMG7:IMJ7"/>
    <mergeCell ref="IMK7:IMN7"/>
    <mergeCell ref="ILA7:ILD7"/>
    <mergeCell ref="ILE7:ILH7"/>
    <mergeCell ref="ILI7:ILL7"/>
    <mergeCell ref="ILM7:ILP7"/>
    <mergeCell ref="ILQ7:ILT7"/>
    <mergeCell ref="IKG7:IKJ7"/>
    <mergeCell ref="IKK7:IKN7"/>
    <mergeCell ref="IKO7:IKR7"/>
    <mergeCell ref="IKS7:IKV7"/>
    <mergeCell ref="IKW7:IKZ7"/>
    <mergeCell ref="IJM7:IJP7"/>
    <mergeCell ref="IJQ7:IJT7"/>
    <mergeCell ref="IJU7:IJX7"/>
    <mergeCell ref="IJY7:IKB7"/>
    <mergeCell ref="IKC7:IKF7"/>
    <mergeCell ref="IIS7:IIV7"/>
    <mergeCell ref="IIW7:IIZ7"/>
    <mergeCell ref="IJA7:IJD7"/>
    <mergeCell ref="IJE7:IJH7"/>
    <mergeCell ref="IJI7:IJL7"/>
    <mergeCell ref="ISS7:ISV7"/>
    <mergeCell ref="ISW7:ISZ7"/>
    <mergeCell ref="ITA7:ITD7"/>
    <mergeCell ref="ITE7:ITH7"/>
    <mergeCell ref="ITI7:ITL7"/>
    <mergeCell ref="IRY7:ISB7"/>
    <mergeCell ref="ISC7:ISF7"/>
    <mergeCell ref="ISG7:ISJ7"/>
    <mergeCell ref="ISK7:ISN7"/>
    <mergeCell ref="ISO7:ISR7"/>
    <mergeCell ref="IRE7:IRH7"/>
    <mergeCell ref="IRI7:IRL7"/>
    <mergeCell ref="IRM7:IRP7"/>
    <mergeCell ref="IRQ7:IRT7"/>
    <mergeCell ref="IRU7:IRX7"/>
    <mergeCell ref="IQK7:IQN7"/>
    <mergeCell ref="IQO7:IQR7"/>
    <mergeCell ref="IQS7:IQV7"/>
    <mergeCell ref="IQW7:IQZ7"/>
    <mergeCell ref="IRA7:IRD7"/>
    <mergeCell ref="IPQ7:IPT7"/>
    <mergeCell ref="IPU7:IPX7"/>
    <mergeCell ref="IPY7:IQB7"/>
    <mergeCell ref="IQC7:IQF7"/>
    <mergeCell ref="IQG7:IQJ7"/>
    <mergeCell ref="IOW7:IOZ7"/>
    <mergeCell ref="IPA7:IPD7"/>
    <mergeCell ref="IPE7:IPH7"/>
    <mergeCell ref="IPI7:IPL7"/>
    <mergeCell ref="IPM7:IPP7"/>
    <mergeCell ref="IOC7:IOF7"/>
    <mergeCell ref="IOG7:IOJ7"/>
    <mergeCell ref="IOK7:ION7"/>
    <mergeCell ref="IOO7:IOR7"/>
    <mergeCell ref="IOS7:IOV7"/>
    <mergeCell ref="IYC7:IYF7"/>
    <mergeCell ref="IYG7:IYJ7"/>
    <mergeCell ref="IYK7:IYN7"/>
    <mergeCell ref="IYO7:IYR7"/>
    <mergeCell ref="IYS7:IYV7"/>
    <mergeCell ref="IXI7:IXL7"/>
    <mergeCell ref="IXM7:IXP7"/>
    <mergeCell ref="IXQ7:IXT7"/>
    <mergeCell ref="IXU7:IXX7"/>
    <mergeCell ref="IXY7:IYB7"/>
    <mergeCell ref="IWO7:IWR7"/>
    <mergeCell ref="IWS7:IWV7"/>
    <mergeCell ref="IWW7:IWZ7"/>
    <mergeCell ref="IXA7:IXD7"/>
    <mergeCell ref="IXE7:IXH7"/>
    <mergeCell ref="IVU7:IVX7"/>
    <mergeCell ref="IVY7:IWB7"/>
    <mergeCell ref="IWC7:IWF7"/>
    <mergeCell ref="IWG7:IWJ7"/>
    <mergeCell ref="IWK7:IWN7"/>
    <mergeCell ref="IVA7:IVD7"/>
    <mergeCell ref="IVE7:IVH7"/>
    <mergeCell ref="IVI7:IVL7"/>
    <mergeCell ref="IVM7:IVP7"/>
    <mergeCell ref="IVQ7:IVT7"/>
    <mergeCell ref="IUG7:IUJ7"/>
    <mergeCell ref="IUK7:IUN7"/>
    <mergeCell ref="IUO7:IUR7"/>
    <mergeCell ref="IUS7:IUV7"/>
    <mergeCell ref="IUW7:IUZ7"/>
    <mergeCell ref="ITM7:ITP7"/>
    <mergeCell ref="ITQ7:ITT7"/>
    <mergeCell ref="ITU7:ITX7"/>
    <mergeCell ref="ITY7:IUB7"/>
    <mergeCell ref="IUC7:IUF7"/>
    <mergeCell ref="JDM7:JDP7"/>
    <mergeCell ref="JDQ7:JDT7"/>
    <mergeCell ref="JDU7:JDX7"/>
    <mergeCell ref="JDY7:JEB7"/>
    <mergeCell ref="JEC7:JEF7"/>
    <mergeCell ref="JCS7:JCV7"/>
    <mergeCell ref="JCW7:JCZ7"/>
    <mergeCell ref="JDA7:JDD7"/>
    <mergeCell ref="JDE7:JDH7"/>
    <mergeCell ref="JDI7:JDL7"/>
    <mergeCell ref="JBY7:JCB7"/>
    <mergeCell ref="JCC7:JCF7"/>
    <mergeCell ref="JCG7:JCJ7"/>
    <mergeCell ref="JCK7:JCN7"/>
    <mergeCell ref="JCO7:JCR7"/>
    <mergeCell ref="JBE7:JBH7"/>
    <mergeCell ref="JBI7:JBL7"/>
    <mergeCell ref="JBM7:JBP7"/>
    <mergeCell ref="JBQ7:JBT7"/>
    <mergeCell ref="JBU7:JBX7"/>
    <mergeCell ref="JAK7:JAN7"/>
    <mergeCell ref="JAO7:JAR7"/>
    <mergeCell ref="JAS7:JAV7"/>
    <mergeCell ref="JAW7:JAZ7"/>
    <mergeCell ref="JBA7:JBD7"/>
    <mergeCell ref="IZQ7:IZT7"/>
    <mergeCell ref="IZU7:IZX7"/>
    <mergeCell ref="IZY7:JAB7"/>
    <mergeCell ref="JAC7:JAF7"/>
    <mergeCell ref="JAG7:JAJ7"/>
    <mergeCell ref="IYW7:IYZ7"/>
    <mergeCell ref="IZA7:IZD7"/>
    <mergeCell ref="IZE7:IZH7"/>
    <mergeCell ref="IZI7:IZL7"/>
    <mergeCell ref="IZM7:IZP7"/>
    <mergeCell ref="JIW7:JIZ7"/>
    <mergeCell ref="JJA7:JJD7"/>
    <mergeCell ref="JJE7:JJH7"/>
    <mergeCell ref="JJI7:JJL7"/>
    <mergeCell ref="JJM7:JJP7"/>
    <mergeCell ref="JIC7:JIF7"/>
    <mergeCell ref="JIG7:JIJ7"/>
    <mergeCell ref="JIK7:JIN7"/>
    <mergeCell ref="JIO7:JIR7"/>
    <mergeCell ref="JIS7:JIV7"/>
    <mergeCell ref="JHI7:JHL7"/>
    <mergeCell ref="JHM7:JHP7"/>
    <mergeCell ref="JHQ7:JHT7"/>
    <mergeCell ref="JHU7:JHX7"/>
    <mergeCell ref="JHY7:JIB7"/>
    <mergeCell ref="JGO7:JGR7"/>
    <mergeCell ref="JGS7:JGV7"/>
    <mergeCell ref="JGW7:JGZ7"/>
    <mergeCell ref="JHA7:JHD7"/>
    <mergeCell ref="JHE7:JHH7"/>
    <mergeCell ref="JFU7:JFX7"/>
    <mergeCell ref="JFY7:JGB7"/>
    <mergeCell ref="JGC7:JGF7"/>
    <mergeCell ref="JGG7:JGJ7"/>
    <mergeCell ref="JGK7:JGN7"/>
    <mergeCell ref="JFA7:JFD7"/>
    <mergeCell ref="JFE7:JFH7"/>
    <mergeCell ref="JFI7:JFL7"/>
    <mergeCell ref="JFM7:JFP7"/>
    <mergeCell ref="JFQ7:JFT7"/>
    <mergeCell ref="JEG7:JEJ7"/>
    <mergeCell ref="JEK7:JEN7"/>
    <mergeCell ref="JEO7:JER7"/>
    <mergeCell ref="JES7:JEV7"/>
    <mergeCell ref="JEW7:JEZ7"/>
    <mergeCell ref="JOG7:JOJ7"/>
    <mergeCell ref="JOK7:JON7"/>
    <mergeCell ref="JOO7:JOR7"/>
    <mergeCell ref="JOS7:JOV7"/>
    <mergeCell ref="JOW7:JOZ7"/>
    <mergeCell ref="JNM7:JNP7"/>
    <mergeCell ref="JNQ7:JNT7"/>
    <mergeCell ref="JNU7:JNX7"/>
    <mergeCell ref="JNY7:JOB7"/>
    <mergeCell ref="JOC7:JOF7"/>
    <mergeCell ref="JMS7:JMV7"/>
    <mergeCell ref="JMW7:JMZ7"/>
    <mergeCell ref="JNA7:JND7"/>
    <mergeCell ref="JNE7:JNH7"/>
    <mergeCell ref="JNI7:JNL7"/>
    <mergeCell ref="JLY7:JMB7"/>
    <mergeCell ref="JMC7:JMF7"/>
    <mergeCell ref="JMG7:JMJ7"/>
    <mergeCell ref="JMK7:JMN7"/>
    <mergeCell ref="JMO7:JMR7"/>
    <mergeCell ref="JLE7:JLH7"/>
    <mergeCell ref="JLI7:JLL7"/>
    <mergeCell ref="JLM7:JLP7"/>
    <mergeCell ref="JLQ7:JLT7"/>
    <mergeCell ref="JLU7:JLX7"/>
    <mergeCell ref="JKK7:JKN7"/>
    <mergeCell ref="JKO7:JKR7"/>
    <mergeCell ref="JKS7:JKV7"/>
    <mergeCell ref="JKW7:JKZ7"/>
    <mergeCell ref="JLA7:JLD7"/>
    <mergeCell ref="JJQ7:JJT7"/>
    <mergeCell ref="JJU7:JJX7"/>
    <mergeCell ref="JJY7:JKB7"/>
    <mergeCell ref="JKC7:JKF7"/>
    <mergeCell ref="JKG7:JKJ7"/>
    <mergeCell ref="JTQ7:JTT7"/>
    <mergeCell ref="JTU7:JTX7"/>
    <mergeCell ref="JTY7:JUB7"/>
    <mergeCell ref="JUC7:JUF7"/>
    <mergeCell ref="JUG7:JUJ7"/>
    <mergeCell ref="JSW7:JSZ7"/>
    <mergeCell ref="JTA7:JTD7"/>
    <mergeCell ref="JTE7:JTH7"/>
    <mergeCell ref="JTI7:JTL7"/>
    <mergeCell ref="JTM7:JTP7"/>
    <mergeCell ref="JSC7:JSF7"/>
    <mergeCell ref="JSG7:JSJ7"/>
    <mergeCell ref="JSK7:JSN7"/>
    <mergeCell ref="JSO7:JSR7"/>
    <mergeCell ref="JSS7:JSV7"/>
    <mergeCell ref="JRI7:JRL7"/>
    <mergeCell ref="JRM7:JRP7"/>
    <mergeCell ref="JRQ7:JRT7"/>
    <mergeCell ref="JRU7:JRX7"/>
    <mergeCell ref="JRY7:JSB7"/>
    <mergeCell ref="JQO7:JQR7"/>
    <mergeCell ref="JQS7:JQV7"/>
    <mergeCell ref="JQW7:JQZ7"/>
    <mergeCell ref="JRA7:JRD7"/>
    <mergeCell ref="JRE7:JRH7"/>
    <mergeCell ref="JPU7:JPX7"/>
    <mergeCell ref="JPY7:JQB7"/>
    <mergeCell ref="JQC7:JQF7"/>
    <mergeCell ref="JQG7:JQJ7"/>
    <mergeCell ref="JQK7:JQN7"/>
    <mergeCell ref="JPA7:JPD7"/>
    <mergeCell ref="JPE7:JPH7"/>
    <mergeCell ref="JPI7:JPL7"/>
    <mergeCell ref="JPM7:JPP7"/>
    <mergeCell ref="JPQ7:JPT7"/>
    <mergeCell ref="JZA7:JZD7"/>
    <mergeCell ref="JZE7:JZH7"/>
    <mergeCell ref="JZI7:JZL7"/>
    <mergeCell ref="JZM7:JZP7"/>
    <mergeCell ref="JZQ7:JZT7"/>
    <mergeCell ref="JYG7:JYJ7"/>
    <mergeCell ref="JYK7:JYN7"/>
    <mergeCell ref="JYO7:JYR7"/>
    <mergeCell ref="JYS7:JYV7"/>
    <mergeCell ref="JYW7:JYZ7"/>
    <mergeCell ref="JXM7:JXP7"/>
    <mergeCell ref="JXQ7:JXT7"/>
    <mergeCell ref="JXU7:JXX7"/>
    <mergeCell ref="JXY7:JYB7"/>
    <mergeCell ref="JYC7:JYF7"/>
    <mergeCell ref="JWS7:JWV7"/>
    <mergeCell ref="JWW7:JWZ7"/>
    <mergeCell ref="JXA7:JXD7"/>
    <mergeCell ref="JXE7:JXH7"/>
    <mergeCell ref="JXI7:JXL7"/>
    <mergeCell ref="JVY7:JWB7"/>
    <mergeCell ref="JWC7:JWF7"/>
    <mergeCell ref="JWG7:JWJ7"/>
    <mergeCell ref="JWK7:JWN7"/>
    <mergeCell ref="JWO7:JWR7"/>
    <mergeCell ref="JVE7:JVH7"/>
    <mergeCell ref="JVI7:JVL7"/>
    <mergeCell ref="JVM7:JVP7"/>
    <mergeCell ref="JVQ7:JVT7"/>
    <mergeCell ref="JVU7:JVX7"/>
    <mergeCell ref="JUK7:JUN7"/>
    <mergeCell ref="JUO7:JUR7"/>
    <mergeCell ref="JUS7:JUV7"/>
    <mergeCell ref="JUW7:JUZ7"/>
    <mergeCell ref="JVA7:JVD7"/>
    <mergeCell ref="KEK7:KEN7"/>
    <mergeCell ref="KEO7:KER7"/>
    <mergeCell ref="KES7:KEV7"/>
    <mergeCell ref="KEW7:KEZ7"/>
    <mergeCell ref="KFA7:KFD7"/>
    <mergeCell ref="KDQ7:KDT7"/>
    <mergeCell ref="KDU7:KDX7"/>
    <mergeCell ref="KDY7:KEB7"/>
    <mergeCell ref="KEC7:KEF7"/>
    <mergeCell ref="KEG7:KEJ7"/>
    <mergeCell ref="KCW7:KCZ7"/>
    <mergeCell ref="KDA7:KDD7"/>
    <mergeCell ref="KDE7:KDH7"/>
    <mergeCell ref="KDI7:KDL7"/>
    <mergeCell ref="KDM7:KDP7"/>
    <mergeCell ref="KCC7:KCF7"/>
    <mergeCell ref="KCG7:KCJ7"/>
    <mergeCell ref="KCK7:KCN7"/>
    <mergeCell ref="KCO7:KCR7"/>
    <mergeCell ref="KCS7:KCV7"/>
    <mergeCell ref="KBI7:KBL7"/>
    <mergeCell ref="KBM7:KBP7"/>
    <mergeCell ref="KBQ7:KBT7"/>
    <mergeCell ref="KBU7:KBX7"/>
    <mergeCell ref="KBY7:KCB7"/>
    <mergeCell ref="KAO7:KAR7"/>
    <mergeCell ref="KAS7:KAV7"/>
    <mergeCell ref="KAW7:KAZ7"/>
    <mergeCell ref="KBA7:KBD7"/>
    <mergeCell ref="KBE7:KBH7"/>
    <mergeCell ref="JZU7:JZX7"/>
    <mergeCell ref="JZY7:KAB7"/>
    <mergeCell ref="KAC7:KAF7"/>
    <mergeCell ref="KAG7:KAJ7"/>
    <mergeCell ref="KAK7:KAN7"/>
    <mergeCell ref="KJU7:KJX7"/>
    <mergeCell ref="KJY7:KKB7"/>
    <mergeCell ref="KKC7:KKF7"/>
    <mergeCell ref="KKG7:KKJ7"/>
    <mergeCell ref="KKK7:KKN7"/>
    <mergeCell ref="KJA7:KJD7"/>
    <mergeCell ref="KJE7:KJH7"/>
    <mergeCell ref="KJI7:KJL7"/>
    <mergeCell ref="KJM7:KJP7"/>
    <mergeCell ref="KJQ7:KJT7"/>
    <mergeCell ref="KIG7:KIJ7"/>
    <mergeCell ref="KIK7:KIN7"/>
    <mergeCell ref="KIO7:KIR7"/>
    <mergeCell ref="KIS7:KIV7"/>
    <mergeCell ref="KIW7:KIZ7"/>
    <mergeCell ref="KHM7:KHP7"/>
    <mergeCell ref="KHQ7:KHT7"/>
    <mergeCell ref="KHU7:KHX7"/>
    <mergeCell ref="KHY7:KIB7"/>
    <mergeCell ref="KIC7:KIF7"/>
    <mergeCell ref="KGS7:KGV7"/>
    <mergeCell ref="KGW7:KGZ7"/>
    <mergeCell ref="KHA7:KHD7"/>
    <mergeCell ref="KHE7:KHH7"/>
    <mergeCell ref="KHI7:KHL7"/>
    <mergeCell ref="KFY7:KGB7"/>
    <mergeCell ref="KGC7:KGF7"/>
    <mergeCell ref="KGG7:KGJ7"/>
    <mergeCell ref="KGK7:KGN7"/>
    <mergeCell ref="KGO7:KGR7"/>
    <mergeCell ref="KFE7:KFH7"/>
    <mergeCell ref="KFI7:KFL7"/>
    <mergeCell ref="KFM7:KFP7"/>
    <mergeCell ref="KFQ7:KFT7"/>
    <mergeCell ref="KFU7:KFX7"/>
    <mergeCell ref="KPE7:KPH7"/>
    <mergeCell ref="KPI7:KPL7"/>
    <mergeCell ref="KPM7:KPP7"/>
    <mergeCell ref="KPQ7:KPT7"/>
    <mergeCell ref="KPU7:KPX7"/>
    <mergeCell ref="KOK7:KON7"/>
    <mergeCell ref="KOO7:KOR7"/>
    <mergeCell ref="KOS7:KOV7"/>
    <mergeCell ref="KOW7:KOZ7"/>
    <mergeCell ref="KPA7:KPD7"/>
    <mergeCell ref="KNQ7:KNT7"/>
    <mergeCell ref="KNU7:KNX7"/>
    <mergeCell ref="KNY7:KOB7"/>
    <mergeCell ref="KOC7:KOF7"/>
    <mergeCell ref="KOG7:KOJ7"/>
    <mergeCell ref="KMW7:KMZ7"/>
    <mergeCell ref="KNA7:KND7"/>
    <mergeCell ref="KNE7:KNH7"/>
    <mergeCell ref="KNI7:KNL7"/>
    <mergeCell ref="KNM7:KNP7"/>
    <mergeCell ref="KMC7:KMF7"/>
    <mergeCell ref="KMG7:KMJ7"/>
    <mergeCell ref="KMK7:KMN7"/>
    <mergeCell ref="KMO7:KMR7"/>
    <mergeCell ref="KMS7:KMV7"/>
    <mergeCell ref="KLI7:KLL7"/>
    <mergeCell ref="KLM7:KLP7"/>
    <mergeCell ref="KLQ7:KLT7"/>
    <mergeCell ref="KLU7:KLX7"/>
    <mergeCell ref="KLY7:KMB7"/>
    <mergeCell ref="KKO7:KKR7"/>
    <mergeCell ref="KKS7:KKV7"/>
    <mergeCell ref="KKW7:KKZ7"/>
    <mergeCell ref="KLA7:KLD7"/>
    <mergeCell ref="KLE7:KLH7"/>
    <mergeCell ref="KUO7:KUR7"/>
    <mergeCell ref="KUS7:KUV7"/>
    <mergeCell ref="KUW7:KUZ7"/>
    <mergeCell ref="KVA7:KVD7"/>
    <mergeCell ref="KVE7:KVH7"/>
    <mergeCell ref="KTU7:KTX7"/>
    <mergeCell ref="KTY7:KUB7"/>
    <mergeCell ref="KUC7:KUF7"/>
    <mergeCell ref="KUG7:KUJ7"/>
    <mergeCell ref="KUK7:KUN7"/>
    <mergeCell ref="KTA7:KTD7"/>
    <mergeCell ref="KTE7:KTH7"/>
    <mergeCell ref="KTI7:KTL7"/>
    <mergeCell ref="KTM7:KTP7"/>
    <mergeCell ref="KTQ7:KTT7"/>
    <mergeCell ref="KSG7:KSJ7"/>
    <mergeCell ref="KSK7:KSN7"/>
    <mergeCell ref="KSO7:KSR7"/>
    <mergeCell ref="KSS7:KSV7"/>
    <mergeCell ref="KSW7:KSZ7"/>
    <mergeCell ref="KRM7:KRP7"/>
    <mergeCell ref="KRQ7:KRT7"/>
    <mergeCell ref="KRU7:KRX7"/>
    <mergeCell ref="KRY7:KSB7"/>
    <mergeCell ref="KSC7:KSF7"/>
    <mergeCell ref="KQS7:KQV7"/>
    <mergeCell ref="KQW7:KQZ7"/>
    <mergeCell ref="KRA7:KRD7"/>
    <mergeCell ref="KRE7:KRH7"/>
    <mergeCell ref="KRI7:KRL7"/>
    <mergeCell ref="KPY7:KQB7"/>
    <mergeCell ref="KQC7:KQF7"/>
    <mergeCell ref="KQG7:KQJ7"/>
    <mergeCell ref="KQK7:KQN7"/>
    <mergeCell ref="KQO7:KQR7"/>
    <mergeCell ref="KZY7:LAB7"/>
    <mergeCell ref="LAC7:LAF7"/>
    <mergeCell ref="LAG7:LAJ7"/>
    <mergeCell ref="LAK7:LAN7"/>
    <mergeCell ref="LAO7:LAR7"/>
    <mergeCell ref="KZE7:KZH7"/>
    <mergeCell ref="KZI7:KZL7"/>
    <mergeCell ref="KZM7:KZP7"/>
    <mergeCell ref="KZQ7:KZT7"/>
    <mergeCell ref="KZU7:KZX7"/>
    <mergeCell ref="KYK7:KYN7"/>
    <mergeCell ref="KYO7:KYR7"/>
    <mergeCell ref="KYS7:KYV7"/>
    <mergeCell ref="KYW7:KYZ7"/>
    <mergeCell ref="KZA7:KZD7"/>
    <mergeCell ref="KXQ7:KXT7"/>
    <mergeCell ref="KXU7:KXX7"/>
    <mergeCell ref="KXY7:KYB7"/>
    <mergeCell ref="KYC7:KYF7"/>
    <mergeCell ref="KYG7:KYJ7"/>
    <mergeCell ref="KWW7:KWZ7"/>
    <mergeCell ref="KXA7:KXD7"/>
    <mergeCell ref="KXE7:KXH7"/>
    <mergeCell ref="KXI7:KXL7"/>
    <mergeCell ref="KXM7:KXP7"/>
    <mergeCell ref="KWC7:KWF7"/>
    <mergeCell ref="KWG7:KWJ7"/>
    <mergeCell ref="KWK7:KWN7"/>
    <mergeCell ref="KWO7:KWR7"/>
    <mergeCell ref="KWS7:KWV7"/>
    <mergeCell ref="KVI7:KVL7"/>
    <mergeCell ref="KVM7:KVP7"/>
    <mergeCell ref="KVQ7:KVT7"/>
    <mergeCell ref="KVU7:KVX7"/>
    <mergeCell ref="KVY7:KWB7"/>
    <mergeCell ref="LFI7:LFL7"/>
    <mergeCell ref="LFM7:LFP7"/>
    <mergeCell ref="LFQ7:LFT7"/>
    <mergeCell ref="LFU7:LFX7"/>
    <mergeCell ref="LFY7:LGB7"/>
    <mergeCell ref="LEO7:LER7"/>
    <mergeCell ref="LES7:LEV7"/>
    <mergeCell ref="LEW7:LEZ7"/>
    <mergeCell ref="LFA7:LFD7"/>
    <mergeCell ref="LFE7:LFH7"/>
    <mergeCell ref="LDU7:LDX7"/>
    <mergeCell ref="LDY7:LEB7"/>
    <mergeCell ref="LEC7:LEF7"/>
    <mergeCell ref="LEG7:LEJ7"/>
    <mergeCell ref="LEK7:LEN7"/>
    <mergeCell ref="LDA7:LDD7"/>
    <mergeCell ref="LDE7:LDH7"/>
    <mergeCell ref="LDI7:LDL7"/>
    <mergeCell ref="LDM7:LDP7"/>
    <mergeCell ref="LDQ7:LDT7"/>
    <mergeCell ref="LCG7:LCJ7"/>
    <mergeCell ref="LCK7:LCN7"/>
    <mergeCell ref="LCO7:LCR7"/>
    <mergeCell ref="LCS7:LCV7"/>
    <mergeCell ref="LCW7:LCZ7"/>
    <mergeCell ref="LBM7:LBP7"/>
    <mergeCell ref="LBQ7:LBT7"/>
    <mergeCell ref="LBU7:LBX7"/>
    <mergeCell ref="LBY7:LCB7"/>
    <mergeCell ref="LCC7:LCF7"/>
    <mergeCell ref="LAS7:LAV7"/>
    <mergeCell ref="LAW7:LAZ7"/>
    <mergeCell ref="LBA7:LBD7"/>
    <mergeCell ref="LBE7:LBH7"/>
    <mergeCell ref="LBI7:LBL7"/>
    <mergeCell ref="LKS7:LKV7"/>
    <mergeCell ref="LKW7:LKZ7"/>
    <mergeCell ref="LLA7:LLD7"/>
    <mergeCell ref="LLE7:LLH7"/>
    <mergeCell ref="LLI7:LLL7"/>
    <mergeCell ref="LJY7:LKB7"/>
    <mergeCell ref="LKC7:LKF7"/>
    <mergeCell ref="LKG7:LKJ7"/>
    <mergeCell ref="LKK7:LKN7"/>
    <mergeCell ref="LKO7:LKR7"/>
    <mergeCell ref="LJE7:LJH7"/>
    <mergeCell ref="LJI7:LJL7"/>
    <mergeCell ref="LJM7:LJP7"/>
    <mergeCell ref="LJQ7:LJT7"/>
    <mergeCell ref="LJU7:LJX7"/>
    <mergeCell ref="LIK7:LIN7"/>
    <mergeCell ref="LIO7:LIR7"/>
    <mergeCell ref="LIS7:LIV7"/>
    <mergeCell ref="LIW7:LIZ7"/>
    <mergeCell ref="LJA7:LJD7"/>
    <mergeCell ref="LHQ7:LHT7"/>
    <mergeCell ref="LHU7:LHX7"/>
    <mergeCell ref="LHY7:LIB7"/>
    <mergeCell ref="LIC7:LIF7"/>
    <mergeCell ref="LIG7:LIJ7"/>
    <mergeCell ref="LGW7:LGZ7"/>
    <mergeCell ref="LHA7:LHD7"/>
    <mergeCell ref="LHE7:LHH7"/>
    <mergeCell ref="LHI7:LHL7"/>
    <mergeCell ref="LHM7:LHP7"/>
    <mergeCell ref="LGC7:LGF7"/>
    <mergeCell ref="LGG7:LGJ7"/>
    <mergeCell ref="LGK7:LGN7"/>
    <mergeCell ref="LGO7:LGR7"/>
    <mergeCell ref="LGS7:LGV7"/>
    <mergeCell ref="LQC7:LQF7"/>
    <mergeCell ref="LQG7:LQJ7"/>
    <mergeCell ref="LQK7:LQN7"/>
    <mergeCell ref="LQO7:LQR7"/>
    <mergeCell ref="LQS7:LQV7"/>
    <mergeCell ref="LPI7:LPL7"/>
    <mergeCell ref="LPM7:LPP7"/>
    <mergeCell ref="LPQ7:LPT7"/>
    <mergeCell ref="LPU7:LPX7"/>
    <mergeCell ref="LPY7:LQB7"/>
    <mergeCell ref="LOO7:LOR7"/>
    <mergeCell ref="LOS7:LOV7"/>
    <mergeCell ref="LOW7:LOZ7"/>
    <mergeCell ref="LPA7:LPD7"/>
    <mergeCell ref="LPE7:LPH7"/>
    <mergeCell ref="LNU7:LNX7"/>
    <mergeCell ref="LNY7:LOB7"/>
    <mergeCell ref="LOC7:LOF7"/>
    <mergeCell ref="LOG7:LOJ7"/>
    <mergeCell ref="LOK7:LON7"/>
    <mergeCell ref="LNA7:LND7"/>
    <mergeCell ref="LNE7:LNH7"/>
    <mergeCell ref="LNI7:LNL7"/>
    <mergeCell ref="LNM7:LNP7"/>
    <mergeCell ref="LNQ7:LNT7"/>
    <mergeCell ref="LMG7:LMJ7"/>
    <mergeCell ref="LMK7:LMN7"/>
    <mergeCell ref="LMO7:LMR7"/>
    <mergeCell ref="LMS7:LMV7"/>
    <mergeCell ref="LMW7:LMZ7"/>
    <mergeCell ref="LLM7:LLP7"/>
    <mergeCell ref="LLQ7:LLT7"/>
    <mergeCell ref="LLU7:LLX7"/>
    <mergeCell ref="LLY7:LMB7"/>
    <mergeCell ref="LMC7:LMF7"/>
    <mergeCell ref="LVM7:LVP7"/>
    <mergeCell ref="LVQ7:LVT7"/>
    <mergeCell ref="LVU7:LVX7"/>
    <mergeCell ref="LVY7:LWB7"/>
    <mergeCell ref="LWC7:LWF7"/>
    <mergeCell ref="LUS7:LUV7"/>
    <mergeCell ref="LUW7:LUZ7"/>
    <mergeCell ref="LVA7:LVD7"/>
    <mergeCell ref="LVE7:LVH7"/>
    <mergeCell ref="LVI7:LVL7"/>
    <mergeCell ref="LTY7:LUB7"/>
    <mergeCell ref="LUC7:LUF7"/>
    <mergeCell ref="LUG7:LUJ7"/>
    <mergeCell ref="LUK7:LUN7"/>
    <mergeCell ref="LUO7:LUR7"/>
    <mergeCell ref="LTE7:LTH7"/>
    <mergeCell ref="LTI7:LTL7"/>
    <mergeCell ref="LTM7:LTP7"/>
    <mergeCell ref="LTQ7:LTT7"/>
    <mergeCell ref="LTU7:LTX7"/>
    <mergeCell ref="LSK7:LSN7"/>
    <mergeCell ref="LSO7:LSR7"/>
    <mergeCell ref="LSS7:LSV7"/>
    <mergeCell ref="LSW7:LSZ7"/>
    <mergeCell ref="LTA7:LTD7"/>
    <mergeCell ref="LRQ7:LRT7"/>
    <mergeCell ref="LRU7:LRX7"/>
    <mergeCell ref="LRY7:LSB7"/>
    <mergeCell ref="LSC7:LSF7"/>
    <mergeCell ref="LSG7:LSJ7"/>
    <mergeCell ref="LQW7:LQZ7"/>
    <mergeCell ref="LRA7:LRD7"/>
    <mergeCell ref="LRE7:LRH7"/>
    <mergeCell ref="LRI7:LRL7"/>
    <mergeCell ref="LRM7:LRP7"/>
    <mergeCell ref="MAW7:MAZ7"/>
    <mergeCell ref="MBA7:MBD7"/>
    <mergeCell ref="MBE7:MBH7"/>
    <mergeCell ref="MBI7:MBL7"/>
    <mergeCell ref="MBM7:MBP7"/>
    <mergeCell ref="MAC7:MAF7"/>
    <mergeCell ref="MAG7:MAJ7"/>
    <mergeCell ref="MAK7:MAN7"/>
    <mergeCell ref="MAO7:MAR7"/>
    <mergeCell ref="MAS7:MAV7"/>
    <mergeCell ref="LZI7:LZL7"/>
    <mergeCell ref="LZM7:LZP7"/>
    <mergeCell ref="LZQ7:LZT7"/>
    <mergeCell ref="LZU7:LZX7"/>
    <mergeCell ref="LZY7:MAB7"/>
    <mergeCell ref="LYO7:LYR7"/>
    <mergeCell ref="LYS7:LYV7"/>
    <mergeCell ref="LYW7:LYZ7"/>
    <mergeCell ref="LZA7:LZD7"/>
    <mergeCell ref="LZE7:LZH7"/>
    <mergeCell ref="LXU7:LXX7"/>
    <mergeCell ref="LXY7:LYB7"/>
    <mergeCell ref="LYC7:LYF7"/>
    <mergeCell ref="LYG7:LYJ7"/>
    <mergeCell ref="LYK7:LYN7"/>
    <mergeCell ref="LXA7:LXD7"/>
    <mergeCell ref="LXE7:LXH7"/>
    <mergeCell ref="LXI7:LXL7"/>
    <mergeCell ref="LXM7:LXP7"/>
    <mergeCell ref="LXQ7:LXT7"/>
    <mergeCell ref="LWG7:LWJ7"/>
    <mergeCell ref="LWK7:LWN7"/>
    <mergeCell ref="LWO7:LWR7"/>
    <mergeCell ref="LWS7:LWV7"/>
    <mergeCell ref="LWW7:LWZ7"/>
    <mergeCell ref="MGG7:MGJ7"/>
    <mergeCell ref="MGK7:MGN7"/>
    <mergeCell ref="MGO7:MGR7"/>
    <mergeCell ref="MGS7:MGV7"/>
    <mergeCell ref="MGW7:MGZ7"/>
    <mergeCell ref="MFM7:MFP7"/>
    <mergeCell ref="MFQ7:MFT7"/>
    <mergeCell ref="MFU7:MFX7"/>
    <mergeCell ref="MFY7:MGB7"/>
    <mergeCell ref="MGC7:MGF7"/>
    <mergeCell ref="MES7:MEV7"/>
    <mergeCell ref="MEW7:MEZ7"/>
    <mergeCell ref="MFA7:MFD7"/>
    <mergeCell ref="MFE7:MFH7"/>
    <mergeCell ref="MFI7:MFL7"/>
    <mergeCell ref="MDY7:MEB7"/>
    <mergeCell ref="MEC7:MEF7"/>
    <mergeCell ref="MEG7:MEJ7"/>
    <mergeCell ref="MEK7:MEN7"/>
    <mergeCell ref="MEO7:MER7"/>
    <mergeCell ref="MDE7:MDH7"/>
    <mergeCell ref="MDI7:MDL7"/>
    <mergeCell ref="MDM7:MDP7"/>
    <mergeCell ref="MDQ7:MDT7"/>
    <mergeCell ref="MDU7:MDX7"/>
    <mergeCell ref="MCK7:MCN7"/>
    <mergeCell ref="MCO7:MCR7"/>
    <mergeCell ref="MCS7:MCV7"/>
    <mergeCell ref="MCW7:MCZ7"/>
    <mergeCell ref="MDA7:MDD7"/>
    <mergeCell ref="MBQ7:MBT7"/>
    <mergeCell ref="MBU7:MBX7"/>
    <mergeCell ref="MBY7:MCB7"/>
    <mergeCell ref="MCC7:MCF7"/>
    <mergeCell ref="MCG7:MCJ7"/>
    <mergeCell ref="MLQ7:MLT7"/>
    <mergeCell ref="MLU7:MLX7"/>
    <mergeCell ref="MLY7:MMB7"/>
    <mergeCell ref="MMC7:MMF7"/>
    <mergeCell ref="MMG7:MMJ7"/>
    <mergeCell ref="MKW7:MKZ7"/>
    <mergeCell ref="MLA7:MLD7"/>
    <mergeCell ref="MLE7:MLH7"/>
    <mergeCell ref="MLI7:MLL7"/>
    <mergeCell ref="MLM7:MLP7"/>
    <mergeCell ref="MKC7:MKF7"/>
    <mergeCell ref="MKG7:MKJ7"/>
    <mergeCell ref="MKK7:MKN7"/>
    <mergeCell ref="MKO7:MKR7"/>
    <mergeCell ref="MKS7:MKV7"/>
    <mergeCell ref="MJI7:MJL7"/>
    <mergeCell ref="MJM7:MJP7"/>
    <mergeCell ref="MJQ7:MJT7"/>
    <mergeCell ref="MJU7:MJX7"/>
    <mergeCell ref="MJY7:MKB7"/>
    <mergeCell ref="MIO7:MIR7"/>
    <mergeCell ref="MIS7:MIV7"/>
    <mergeCell ref="MIW7:MIZ7"/>
    <mergeCell ref="MJA7:MJD7"/>
    <mergeCell ref="MJE7:MJH7"/>
    <mergeCell ref="MHU7:MHX7"/>
    <mergeCell ref="MHY7:MIB7"/>
    <mergeCell ref="MIC7:MIF7"/>
    <mergeCell ref="MIG7:MIJ7"/>
    <mergeCell ref="MIK7:MIN7"/>
    <mergeCell ref="MHA7:MHD7"/>
    <mergeCell ref="MHE7:MHH7"/>
    <mergeCell ref="MHI7:MHL7"/>
    <mergeCell ref="MHM7:MHP7"/>
    <mergeCell ref="MHQ7:MHT7"/>
    <mergeCell ref="MRA7:MRD7"/>
    <mergeCell ref="MRE7:MRH7"/>
    <mergeCell ref="MRI7:MRL7"/>
    <mergeCell ref="MRM7:MRP7"/>
    <mergeCell ref="MRQ7:MRT7"/>
    <mergeCell ref="MQG7:MQJ7"/>
    <mergeCell ref="MQK7:MQN7"/>
    <mergeCell ref="MQO7:MQR7"/>
    <mergeCell ref="MQS7:MQV7"/>
    <mergeCell ref="MQW7:MQZ7"/>
    <mergeCell ref="MPM7:MPP7"/>
    <mergeCell ref="MPQ7:MPT7"/>
    <mergeCell ref="MPU7:MPX7"/>
    <mergeCell ref="MPY7:MQB7"/>
    <mergeCell ref="MQC7:MQF7"/>
    <mergeCell ref="MOS7:MOV7"/>
    <mergeCell ref="MOW7:MOZ7"/>
    <mergeCell ref="MPA7:MPD7"/>
    <mergeCell ref="MPE7:MPH7"/>
    <mergeCell ref="MPI7:MPL7"/>
    <mergeCell ref="MNY7:MOB7"/>
    <mergeCell ref="MOC7:MOF7"/>
    <mergeCell ref="MOG7:MOJ7"/>
    <mergeCell ref="MOK7:MON7"/>
    <mergeCell ref="MOO7:MOR7"/>
    <mergeCell ref="MNE7:MNH7"/>
    <mergeCell ref="MNI7:MNL7"/>
    <mergeCell ref="MNM7:MNP7"/>
    <mergeCell ref="MNQ7:MNT7"/>
    <mergeCell ref="MNU7:MNX7"/>
    <mergeCell ref="MMK7:MMN7"/>
    <mergeCell ref="MMO7:MMR7"/>
    <mergeCell ref="MMS7:MMV7"/>
    <mergeCell ref="MMW7:MMZ7"/>
    <mergeCell ref="MNA7:MND7"/>
    <mergeCell ref="MWK7:MWN7"/>
    <mergeCell ref="MWO7:MWR7"/>
    <mergeCell ref="MWS7:MWV7"/>
    <mergeCell ref="MWW7:MWZ7"/>
    <mergeCell ref="MXA7:MXD7"/>
    <mergeCell ref="MVQ7:MVT7"/>
    <mergeCell ref="MVU7:MVX7"/>
    <mergeCell ref="MVY7:MWB7"/>
    <mergeCell ref="MWC7:MWF7"/>
    <mergeCell ref="MWG7:MWJ7"/>
    <mergeCell ref="MUW7:MUZ7"/>
    <mergeCell ref="MVA7:MVD7"/>
    <mergeCell ref="MVE7:MVH7"/>
    <mergeCell ref="MVI7:MVL7"/>
    <mergeCell ref="MVM7:MVP7"/>
    <mergeCell ref="MUC7:MUF7"/>
    <mergeCell ref="MUG7:MUJ7"/>
    <mergeCell ref="MUK7:MUN7"/>
    <mergeCell ref="MUO7:MUR7"/>
    <mergeCell ref="MUS7:MUV7"/>
    <mergeCell ref="MTI7:MTL7"/>
    <mergeCell ref="MTM7:MTP7"/>
    <mergeCell ref="MTQ7:MTT7"/>
    <mergeCell ref="MTU7:MTX7"/>
    <mergeCell ref="MTY7:MUB7"/>
    <mergeCell ref="MSO7:MSR7"/>
    <mergeCell ref="MSS7:MSV7"/>
    <mergeCell ref="MSW7:MSZ7"/>
    <mergeCell ref="MTA7:MTD7"/>
    <mergeCell ref="MTE7:MTH7"/>
    <mergeCell ref="MRU7:MRX7"/>
    <mergeCell ref="MRY7:MSB7"/>
    <mergeCell ref="MSC7:MSF7"/>
    <mergeCell ref="MSG7:MSJ7"/>
    <mergeCell ref="MSK7:MSN7"/>
    <mergeCell ref="NBU7:NBX7"/>
    <mergeCell ref="NBY7:NCB7"/>
    <mergeCell ref="NCC7:NCF7"/>
    <mergeCell ref="NCG7:NCJ7"/>
    <mergeCell ref="NCK7:NCN7"/>
    <mergeCell ref="NBA7:NBD7"/>
    <mergeCell ref="NBE7:NBH7"/>
    <mergeCell ref="NBI7:NBL7"/>
    <mergeCell ref="NBM7:NBP7"/>
    <mergeCell ref="NBQ7:NBT7"/>
    <mergeCell ref="NAG7:NAJ7"/>
    <mergeCell ref="NAK7:NAN7"/>
    <mergeCell ref="NAO7:NAR7"/>
    <mergeCell ref="NAS7:NAV7"/>
    <mergeCell ref="NAW7:NAZ7"/>
    <mergeCell ref="MZM7:MZP7"/>
    <mergeCell ref="MZQ7:MZT7"/>
    <mergeCell ref="MZU7:MZX7"/>
    <mergeCell ref="MZY7:NAB7"/>
    <mergeCell ref="NAC7:NAF7"/>
    <mergeCell ref="MYS7:MYV7"/>
    <mergeCell ref="MYW7:MYZ7"/>
    <mergeCell ref="MZA7:MZD7"/>
    <mergeCell ref="MZE7:MZH7"/>
    <mergeCell ref="MZI7:MZL7"/>
    <mergeCell ref="MXY7:MYB7"/>
    <mergeCell ref="MYC7:MYF7"/>
    <mergeCell ref="MYG7:MYJ7"/>
    <mergeCell ref="MYK7:MYN7"/>
    <mergeCell ref="MYO7:MYR7"/>
    <mergeCell ref="MXE7:MXH7"/>
    <mergeCell ref="MXI7:MXL7"/>
    <mergeCell ref="MXM7:MXP7"/>
    <mergeCell ref="MXQ7:MXT7"/>
    <mergeCell ref="MXU7:MXX7"/>
    <mergeCell ref="NHE7:NHH7"/>
    <mergeCell ref="NHI7:NHL7"/>
    <mergeCell ref="NHM7:NHP7"/>
    <mergeCell ref="NHQ7:NHT7"/>
    <mergeCell ref="NHU7:NHX7"/>
    <mergeCell ref="NGK7:NGN7"/>
    <mergeCell ref="NGO7:NGR7"/>
    <mergeCell ref="NGS7:NGV7"/>
    <mergeCell ref="NGW7:NGZ7"/>
    <mergeCell ref="NHA7:NHD7"/>
    <mergeCell ref="NFQ7:NFT7"/>
    <mergeCell ref="NFU7:NFX7"/>
    <mergeCell ref="NFY7:NGB7"/>
    <mergeCell ref="NGC7:NGF7"/>
    <mergeCell ref="NGG7:NGJ7"/>
    <mergeCell ref="NEW7:NEZ7"/>
    <mergeCell ref="NFA7:NFD7"/>
    <mergeCell ref="NFE7:NFH7"/>
    <mergeCell ref="NFI7:NFL7"/>
    <mergeCell ref="NFM7:NFP7"/>
    <mergeCell ref="NEC7:NEF7"/>
    <mergeCell ref="NEG7:NEJ7"/>
    <mergeCell ref="NEK7:NEN7"/>
    <mergeCell ref="NEO7:NER7"/>
    <mergeCell ref="NES7:NEV7"/>
    <mergeCell ref="NDI7:NDL7"/>
    <mergeCell ref="NDM7:NDP7"/>
    <mergeCell ref="NDQ7:NDT7"/>
    <mergeCell ref="NDU7:NDX7"/>
    <mergeCell ref="NDY7:NEB7"/>
    <mergeCell ref="NCO7:NCR7"/>
    <mergeCell ref="NCS7:NCV7"/>
    <mergeCell ref="NCW7:NCZ7"/>
    <mergeCell ref="NDA7:NDD7"/>
    <mergeCell ref="NDE7:NDH7"/>
    <mergeCell ref="NMO7:NMR7"/>
    <mergeCell ref="NMS7:NMV7"/>
    <mergeCell ref="NMW7:NMZ7"/>
    <mergeCell ref="NNA7:NND7"/>
    <mergeCell ref="NNE7:NNH7"/>
    <mergeCell ref="NLU7:NLX7"/>
    <mergeCell ref="NLY7:NMB7"/>
    <mergeCell ref="NMC7:NMF7"/>
    <mergeCell ref="NMG7:NMJ7"/>
    <mergeCell ref="NMK7:NMN7"/>
    <mergeCell ref="NLA7:NLD7"/>
    <mergeCell ref="NLE7:NLH7"/>
    <mergeCell ref="NLI7:NLL7"/>
    <mergeCell ref="NLM7:NLP7"/>
    <mergeCell ref="NLQ7:NLT7"/>
    <mergeCell ref="NKG7:NKJ7"/>
    <mergeCell ref="NKK7:NKN7"/>
    <mergeCell ref="NKO7:NKR7"/>
    <mergeCell ref="NKS7:NKV7"/>
    <mergeCell ref="NKW7:NKZ7"/>
    <mergeCell ref="NJM7:NJP7"/>
    <mergeCell ref="NJQ7:NJT7"/>
    <mergeCell ref="NJU7:NJX7"/>
    <mergeCell ref="NJY7:NKB7"/>
    <mergeCell ref="NKC7:NKF7"/>
    <mergeCell ref="NIS7:NIV7"/>
    <mergeCell ref="NIW7:NIZ7"/>
    <mergeCell ref="NJA7:NJD7"/>
    <mergeCell ref="NJE7:NJH7"/>
    <mergeCell ref="NJI7:NJL7"/>
    <mergeCell ref="NHY7:NIB7"/>
    <mergeCell ref="NIC7:NIF7"/>
    <mergeCell ref="NIG7:NIJ7"/>
    <mergeCell ref="NIK7:NIN7"/>
    <mergeCell ref="NIO7:NIR7"/>
    <mergeCell ref="NRY7:NSB7"/>
    <mergeCell ref="NSC7:NSF7"/>
    <mergeCell ref="NSG7:NSJ7"/>
    <mergeCell ref="NSK7:NSN7"/>
    <mergeCell ref="NSO7:NSR7"/>
    <mergeCell ref="NRE7:NRH7"/>
    <mergeCell ref="NRI7:NRL7"/>
    <mergeCell ref="NRM7:NRP7"/>
    <mergeCell ref="NRQ7:NRT7"/>
    <mergeCell ref="NRU7:NRX7"/>
    <mergeCell ref="NQK7:NQN7"/>
    <mergeCell ref="NQO7:NQR7"/>
    <mergeCell ref="NQS7:NQV7"/>
    <mergeCell ref="NQW7:NQZ7"/>
    <mergeCell ref="NRA7:NRD7"/>
    <mergeCell ref="NPQ7:NPT7"/>
    <mergeCell ref="NPU7:NPX7"/>
    <mergeCell ref="NPY7:NQB7"/>
    <mergeCell ref="NQC7:NQF7"/>
    <mergeCell ref="NQG7:NQJ7"/>
    <mergeCell ref="NOW7:NOZ7"/>
    <mergeCell ref="NPA7:NPD7"/>
    <mergeCell ref="NPE7:NPH7"/>
    <mergeCell ref="NPI7:NPL7"/>
    <mergeCell ref="NPM7:NPP7"/>
    <mergeCell ref="NOC7:NOF7"/>
    <mergeCell ref="NOG7:NOJ7"/>
    <mergeCell ref="NOK7:NON7"/>
    <mergeCell ref="NOO7:NOR7"/>
    <mergeCell ref="NOS7:NOV7"/>
    <mergeCell ref="NNI7:NNL7"/>
    <mergeCell ref="NNM7:NNP7"/>
    <mergeCell ref="NNQ7:NNT7"/>
    <mergeCell ref="NNU7:NNX7"/>
    <mergeCell ref="NNY7:NOB7"/>
    <mergeCell ref="NXI7:NXL7"/>
    <mergeCell ref="NXM7:NXP7"/>
    <mergeCell ref="NXQ7:NXT7"/>
    <mergeCell ref="NXU7:NXX7"/>
    <mergeCell ref="NXY7:NYB7"/>
    <mergeCell ref="NWO7:NWR7"/>
    <mergeCell ref="NWS7:NWV7"/>
    <mergeCell ref="NWW7:NWZ7"/>
    <mergeCell ref="NXA7:NXD7"/>
    <mergeCell ref="NXE7:NXH7"/>
    <mergeCell ref="NVU7:NVX7"/>
    <mergeCell ref="NVY7:NWB7"/>
    <mergeCell ref="NWC7:NWF7"/>
    <mergeCell ref="NWG7:NWJ7"/>
    <mergeCell ref="NWK7:NWN7"/>
    <mergeCell ref="NVA7:NVD7"/>
    <mergeCell ref="NVE7:NVH7"/>
    <mergeCell ref="NVI7:NVL7"/>
    <mergeCell ref="NVM7:NVP7"/>
    <mergeCell ref="NVQ7:NVT7"/>
    <mergeCell ref="NUG7:NUJ7"/>
    <mergeCell ref="NUK7:NUN7"/>
    <mergeCell ref="NUO7:NUR7"/>
    <mergeCell ref="NUS7:NUV7"/>
    <mergeCell ref="NUW7:NUZ7"/>
    <mergeCell ref="NTM7:NTP7"/>
    <mergeCell ref="NTQ7:NTT7"/>
    <mergeCell ref="NTU7:NTX7"/>
    <mergeCell ref="NTY7:NUB7"/>
    <mergeCell ref="NUC7:NUF7"/>
    <mergeCell ref="NSS7:NSV7"/>
    <mergeCell ref="NSW7:NSZ7"/>
    <mergeCell ref="NTA7:NTD7"/>
    <mergeCell ref="NTE7:NTH7"/>
    <mergeCell ref="NTI7:NTL7"/>
    <mergeCell ref="OCS7:OCV7"/>
    <mergeCell ref="OCW7:OCZ7"/>
    <mergeCell ref="ODA7:ODD7"/>
    <mergeCell ref="ODE7:ODH7"/>
    <mergeCell ref="ODI7:ODL7"/>
    <mergeCell ref="OBY7:OCB7"/>
    <mergeCell ref="OCC7:OCF7"/>
    <mergeCell ref="OCG7:OCJ7"/>
    <mergeCell ref="OCK7:OCN7"/>
    <mergeCell ref="OCO7:OCR7"/>
    <mergeCell ref="OBE7:OBH7"/>
    <mergeCell ref="OBI7:OBL7"/>
    <mergeCell ref="OBM7:OBP7"/>
    <mergeCell ref="OBQ7:OBT7"/>
    <mergeCell ref="OBU7:OBX7"/>
    <mergeCell ref="OAK7:OAN7"/>
    <mergeCell ref="OAO7:OAR7"/>
    <mergeCell ref="OAS7:OAV7"/>
    <mergeCell ref="OAW7:OAZ7"/>
    <mergeCell ref="OBA7:OBD7"/>
    <mergeCell ref="NZQ7:NZT7"/>
    <mergeCell ref="NZU7:NZX7"/>
    <mergeCell ref="NZY7:OAB7"/>
    <mergeCell ref="OAC7:OAF7"/>
    <mergeCell ref="OAG7:OAJ7"/>
    <mergeCell ref="NYW7:NYZ7"/>
    <mergeCell ref="NZA7:NZD7"/>
    <mergeCell ref="NZE7:NZH7"/>
    <mergeCell ref="NZI7:NZL7"/>
    <mergeCell ref="NZM7:NZP7"/>
    <mergeCell ref="NYC7:NYF7"/>
    <mergeCell ref="NYG7:NYJ7"/>
    <mergeCell ref="NYK7:NYN7"/>
    <mergeCell ref="NYO7:NYR7"/>
    <mergeCell ref="NYS7:NYV7"/>
    <mergeCell ref="OIC7:OIF7"/>
    <mergeCell ref="OIG7:OIJ7"/>
    <mergeCell ref="OIK7:OIN7"/>
    <mergeCell ref="OIO7:OIR7"/>
    <mergeCell ref="OIS7:OIV7"/>
    <mergeCell ref="OHI7:OHL7"/>
    <mergeCell ref="OHM7:OHP7"/>
    <mergeCell ref="OHQ7:OHT7"/>
    <mergeCell ref="OHU7:OHX7"/>
    <mergeCell ref="OHY7:OIB7"/>
    <mergeCell ref="OGO7:OGR7"/>
    <mergeCell ref="OGS7:OGV7"/>
    <mergeCell ref="OGW7:OGZ7"/>
    <mergeCell ref="OHA7:OHD7"/>
    <mergeCell ref="OHE7:OHH7"/>
    <mergeCell ref="OFU7:OFX7"/>
    <mergeCell ref="OFY7:OGB7"/>
    <mergeCell ref="OGC7:OGF7"/>
    <mergeCell ref="OGG7:OGJ7"/>
    <mergeCell ref="OGK7:OGN7"/>
    <mergeCell ref="OFA7:OFD7"/>
    <mergeCell ref="OFE7:OFH7"/>
    <mergeCell ref="OFI7:OFL7"/>
    <mergeCell ref="OFM7:OFP7"/>
    <mergeCell ref="OFQ7:OFT7"/>
    <mergeCell ref="OEG7:OEJ7"/>
    <mergeCell ref="OEK7:OEN7"/>
    <mergeCell ref="OEO7:OER7"/>
    <mergeCell ref="OES7:OEV7"/>
    <mergeCell ref="OEW7:OEZ7"/>
    <mergeCell ref="ODM7:ODP7"/>
    <mergeCell ref="ODQ7:ODT7"/>
    <mergeCell ref="ODU7:ODX7"/>
    <mergeCell ref="ODY7:OEB7"/>
    <mergeCell ref="OEC7:OEF7"/>
    <mergeCell ref="ONM7:ONP7"/>
    <mergeCell ref="ONQ7:ONT7"/>
    <mergeCell ref="ONU7:ONX7"/>
    <mergeCell ref="ONY7:OOB7"/>
    <mergeCell ref="OOC7:OOF7"/>
    <mergeCell ref="OMS7:OMV7"/>
    <mergeCell ref="OMW7:OMZ7"/>
    <mergeCell ref="ONA7:OND7"/>
    <mergeCell ref="ONE7:ONH7"/>
    <mergeCell ref="ONI7:ONL7"/>
    <mergeCell ref="OLY7:OMB7"/>
    <mergeCell ref="OMC7:OMF7"/>
    <mergeCell ref="OMG7:OMJ7"/>
    <mergeCell ref="OMK7:OMN7"/>
    <mergeCell ref="OMO7:OMR7"/>
    <mergeCell ref="OLE7:OLH7"/>
    <mergeCell ref="OLI7:OLL7"/>
    <mergeCell ref="OLM7:OLP7"/>
    <mergeCell ref="OLQ7:OLT7"/>
    <mergeCell ref="OLU7:OLX7"/>
    <mergeCell ref="OKK7:OKN7"/>
    <mergeCell ref="OKO7:OKR7"/>
    <mergeCell ref="OKS7:OKV7"/>
    <mergeCell ref="OKW7:OKZ7"/>
    <mergeCell ref="OLA7:OLD7"/>
    <mergeCell ref="OJQ7:OJT7"/>
    <mergeCell ref="OJU7:OJX7"/>
    <mergeCell ref="OJY7:OKB7"/>
    <mergeCell ref="OKC7:OKF7"/>
    <mergeCell ref="OKG7:OKJ7"/>
    <mergeCell ref="OIW7:OIZ7"/>
    <mergeCell ref="OJA7:OJD7"/>
    <mergeCell ref="OJE7:OJH7"/>
    <mergeCell ref="OJI7:OJL7"/>
    <mergeCell ref="OJM7:OJP7"/>
    <mergeCell ref="OSW7:OSZ7"/>
    <mergeCell ref="OTA7:OTD7"/>
    <mergeCell ref="OTE7:OTH7"/>
    <mergeCell ref="OTI7:OTL7"/>
    <mergeCell ref="OTM7:OTP7"/>
    <mergeCell ref="OSC7:OSF7"/>
    <mergeCell ref="OSG7:OSJ7"/>
    <mergeCell ref="OSK7:OSN7"/>
    <mergeCell ref="OSO7:OSR7"/>
    <mergeCell ref="OSS7:OSV7"/>
    <mergeCell ref="ORI7:ORL7"/>
    <mergeCell ref="ORM7:ORP7"/>
    <mergeCell ref="ORQ7:ORT7"/>
    <mergeCell ref="ORU7:ORX7"/>
    <mergeCell ref="ORY7:OSB7"/>
    <mergeCell ref="OQO7:OQR7"/>
    <mergeCell ref="OQS7:OQV7"/>
    <mergeCell ref="OQW7:OQZ7"/>
    <mergeCell ref="ORA7:ORD7"/>
    <mergeCell ref="ORE7:ORH7"/>
    <mergeCell ref="OPU7:OPX7"/>
    <mergeCell ref="OPY7:OQB7"/>
    <mergeCell ref="OQC7:OQF7"/>
    <mergeCell ref="OQG7:OQJ7"/>
    <mergeCell ref="OQK7:OQN7"/>
    <mergeCell ref="OPA7:OPD7"/>
    <mergeCell ref="OPE7:OPH7"/>
    <mergeCell ref="OPI7:OPL7"/>
    <mergeCell ref="OPM7:OPP7"/>
    <mergeCell ref="OPQ7:OPT7"/>
    <mergeCell ref="OOG7:OOJ7"/>
    <mergeCell ref="OOK7:OON7"/>
    <mergeCell ref="OOO7:OOR7"/>
    <mergeCell ref="OOS7:OOV7"/>
    <mergeCell ref="OOW7:OOZ7"/>
    <mergeCell ref="OYG7:OYJ7"/>
    <mergeCell ref="OYK7:OYN7"/>
    <mergeCell ref="OYO7:OYR7"/>
    <mergeCell ref="OYS7:OYV7"/>
    <mergeCell ref="OYW7:OYZ7"/>
    <mergeCell ref="OXM7:OXP7"/>
    <mergeCell ref="OXQ7:OXT7"/>
    <mergeCell ref="OXU7:OXX7"/>
    <mergeCell ref="OXY7:OYB7"/>
    <mergeCell ref="OYC7:OYF7"/>
    <mergeCell ref="OWS7:OWV7"/>
    <mergeCell ref="OWW7:OWZ7"/>
    <mergeCell ref="OXA7:OXD7"/>
    <mergeCell ref="OXE7:OXH7"/>
    <mergeCell ref="OXI7:OXL7"/>
    <mergeCell ref="OVY7:OWB7"/>
    <mergeCell ref="OWC7:OWF7"/>
    <mergeCell ref="OWG7:OWJ7"/>
    <mergeCell ref="OWK7:OWN7"/>
    <mergeCell ref="OWO7:OWR7"/>
    <mergeCell ref="OVE7:OVH7"/>
    <mergeCell ref="OVI7:OVL7"/>
    <mergeCell ref="OVM7:OVP7"/>
    <mergeCell ref="OVQ7:OVT7"/>
    <mergeCell ref="OVU7:OVX7"/>
    <mergeCell ref="OUK7:OUN7"/>
    <mergeCell ref="OUO7:OUR7"/>
    <mergeCell ref="OUS7:OUV7"/>
    <mergeCell ref="OUW7:OUZ7"/>
    <mergeCell ref="OVA7:OVD7"/>
    <mergeCell ref="OTQ7:OTT7"/>
    <mergeCell ref="OTU7:OTX7"/>
    <mergeCell ref="OTY7:OUB7"/>
    <mergeCell ref="OUC7:OUF7"/>
    <mergeCell ref="OUG7:OUJ7"/>
    <mergeCell ref="PDQ7:PDT7"/>
    <mergeCell ref="PDU7:PDX7"/>
    <mergeCell ref="PDY7:PEB7"/>
    <mergeCell ref="PEC7:PEF7"/>
    <mergeCell ref="PEG7:PEJ7"/>
    <mergeCell ref="PCW7:PCZ7"/>
    <mergeCell ref="PDA7:PDD7"/>
    <mergeCell ref="PDE7:PDH7"/>
    <mergeCell ref="PDI7:PDL7"/>
    <mergeCell ref="PDM7:PDP7"/>
    <mergeCell ref="PCC7:PCF7"/>
    <mergeCell ref="PCG7:PCJ7"/>
    <mergeCell ref="PCK7:PCN7"/>
    <mergeCell ref="PCO7:PCR7"/>
    <mergeCell ref="PCS7:PCV7"/>
    <mergeCell ref="PBI7:PBL7"/>
    <mergeCell ref="PBM7:PBP7"/>
    <mergeCell ref="PBQ7:PBT7"/>
    <mergeCell ref="PBU7:PBX7"/>
    <mergeCell ref="PBY7:PCB7"/>
    <mergeCell ref="PAO7:PAR7"/>
    <mergeCell ref="PAS7:PAV7"/>
    <mergeCell ref="PAW7:PAZ7"/>
    <mergeCell ref="PBA7:PBD7"/>
    <mergeCell ref="PBE7:PBH7"/>
    <mergeCell ref="OZU7:OZX7"/>
    <mergeCell ref="OZY7:PAB7"/>
    <mergeCell ref="PAC7:PAF7"/>
    <mergeCell ref="PAG7:PAJ7"/>
    <mergeCell ref="PAK7:PAN7"/>
    <mergeCell ref="OZA7:OZD7"/>
    <mergeCell ref="OZE7:OZH7"/>
    <mergeCell ref="OZI7:OZL7"/>
    <mergeCell ref="OZM7:OZP7"/>
    <mergeCell ref="OZQ7:OZT7"/>
    <mergeCell ref="PJA7:PJD7"/>
    <mergeCell ref="PJE7:PJH7"/>
    <mergeCell ref="PJI7:PJL7"/>
    <mergeCell ref="PJM7:PJP7"/>
    <mergeCell ref="PJQ7:PJT7"/>
    <mergeCell ref="PIG7:PIJ7"/>
    <mergeCell ref="PIK7:PIN7"/>
    <mergeCell ref="PIO7:PIR7"/>
    <mergeCell ref="PIS7:PIV7"/>
    <mergeCell ref="PIW7:PIZ7"/>
    <mergeCell ref="PHM7:PHP7"/>
    <mergeCell ref="PHQ7:PHT7"/>
    <mergeCell ref="PHU7:PHX7"/>
    <mergeCell ref="PHY7:PIB7"/>
    <mergeCell ref="PIC7:PIF7"/>
    <mergeCell ref="PGS7:PGV7"/>
    <mergeCell ref="PGW7:PGZ7"/>
    <mergeCell ref="PHA7:PHD7"/>
    <mergeCell ref="PHE7:PHH7"/>
    <mergeCell ref="PHI7:PHL7"/>
    <mergeCell ref="PFY7:PGB7"/>
    <mergeCell ref="PGC7:PGF7"/>
    <mergeCell ref="PGG7:PGJ7"/>
    <mergeCell ref="PGK7:PGN7"/>
    <mergeCell ref="PGO7:PGR7"/>
    <mergeCell ref="PFE7:PFH7"/>
    <mergeCell ref="PFI7:PFL7"/>
    <mergeCell ref="PFM7:PFP7"/>
    <mergeCell ref="PFQ7:PFT7"/>
    <mergeCell ref="PFU7:PFX7"/>
    <mergeCell ref="PEK7:PEN7"/>
    <mergeCell ref="PEO7:PER7"/>
    <mergeCell ref="PES7:PEV7"/>
    <mergeCell ref="PEW7:PEZ7"/>
    <mergeCell ref="PFA7:PFD7"/>
    <mergeCell ref="POK7:PON7"/>
    <mergeCell ref="POO7:POR7"/>
    <mergeCell ref="POS7:POV7"/>
    <mergeCell ref="POW7:POZ7"/>
    <mergeCell ref="PPA7:PPD7"/>
    <mergeCell ref="PNQ7:PNT7"/>
    <mergeCell ref="PNU7:PNX7"/>
    <mergeCell ref="PNY7:POB7"/>
    <mergeCell ref="POC7:POF7"/>
    <mergeCell ref="POG7:POJ7"/>
    <mergeCell ref="PMW7:PMZ7"/>
    <mergeCell ref="PNA7:PND7"/>
    <mergeCell ref="PNE7:PNH7"/>
    <mergeCell ref="PNI7:PNL7"/>
    <mergeCell ref="PNM7:PNP7"/>
    <mergeCell ref="PMC7:PMF7"/>
    <mergeCell ref="PMG7:PMJ7"/>
    <mergeCell ref="PMK7:PMN7"/>
    <mergeCell ref="PMO7:PMR7"/>
    <mergeCell ref="PMS7:PMV7"/>
    <mergeCell ref="PLI7:PLL7"/>
    <mergeCell ref="PLM7:PLP7"/>
    <mergeCell ref="PLQ7:PLT7"/>
    <mergeCell ref="PLU7:PLX7"/>
    <mergeCell ref="PLY7:PMB7"/>
    <mergeCell ref="PKO7:PKR7"/>
    <mergeCell ref="PKS7:PKV7"/>
    <mergeCell ref="PKW7:PKZ7"/>
    <mergeCell ref="PLA7:PLD7"/>
    <mergeCell ref="PLE7:PLH7"/>
    <mergeCell ref="PJU7:PJX7"/>
    <mergeCell ref="PJY7:PKB7"/>
    <mergeCell ref="PKC7:PKF7"/>
    <mergeCell ref="PKG7:PKJ7"/>
    <mergeCell ref="PKK7:PKN7"/>
    <mergeCell ref="PTU7:PTX7"/>
    <mergeCell ref="PTY7:PUB7"/>
    <mergeCell ref="PUC7:PUF7"/>
    <mergeCell ref="PUG7:PUJ7"/>
    <mergeCell ref="PUK7:PUN7"/>
    <mergeCell ref="PTA7:PTD7"/>
    <mergeCell ref="PTE7:PTH7"/>
    <mergeCell ref="PTI7:PTL7"/>
    <mergeCell ref="PTM7:PTP7"/>
    <mergeCell ref="PTQ7:PTT7"/>
    <mergeCell ref="PSG7:PSJ7"/>
    <mergeCell ref="PSK7:PSN7"/>
    <mergeCell ref="PSO7:PSR7"/>
    <mergeCell ref="PSS7:PSV7"/>
    <mergeCell ref="PSW7:PSZ7"/>
    <mergeCell ref="PRM7:PRP7"/>
    <mergeCell ref="PRQ7:PRT7"/>
    <mergeCell ref="PRU7:PRX7"/>
    <mergeCell ref="PRY7:PSB7"/>
    <mergeCell ref="PSC7:PSF7"/>
    <mergeCell ref="PQS7:PQV7"/>
    <mergeCell ref="PQW7:PQZ7"/>
    <mergeCell ref="PRA7:PRD7"/>
    <mergeCell ref="PRE7:PRH7"/>
    <mergeCell ref="PRI7:PRL7"/>
    <mergeCell ref="PPY7:PQB7"/>
    <mergeCell ref="PQC7:PQF7"/>
    <mergeCell ref="PQG7:PQJ7"/>
    <mergeCell ref="PQK7:PQN7"/>
    <mergeCell ref="PQO7:PQR7"/>
    <mergeCell ref="PPE7:PPH7"/>
    <mergeCell ref="PPI7:PPL7"/>
    <mergeCell ref="PPM7:PPP7"/>
    <mergeCell ref="PPQ7:PPT7"/>
    <mergeCell ref="PPU7:PPX7"/>
    <mergeCell ref="PZE7:PZH7"/>
    <mergeCell ref="PZI7:PZL7"/>
    <mergeCell ref="PZM7:PZP7"/>
    <mergeCell ref="PZQ7:PZT7"/>
    <mergeCell ref="PZU7:PZX7"/>
    <mergeCell ref="PYK7:PYN7"/>
    <mergeCell ref="PYO7:PYR7"/>
    <mergeCell ref="PYS7:PYV7"/>
    <mergeCell ref="PYW7:PYZ7"/>
    <mergeCell ref="PZA7:PZD7"/>
    <mergeCell ref="PXQ7:PXT7"/>
    <mergeCell ref="PXU7:PXX7"/>
    <mergeCell ref="PXY7:PYB7"/>
    <mergeCell ref="PYC7:PYF7"/>
    <mergeCell ref="PYG7:PYJ7"/>
    <mergeCell ref="PWW7:PWZ7"/>
    <mergeCell ref="PXA7:PXD7"/>
    <mergeCell ref="PXE7:PXH7"/>
    <mergeCell ref="PXI7:PXL7"/>
    <mergeCell ref="PXM7:PXP7"/>
    <mergeCell ref="PWC7:PWF7"/>
    <mergeCell ref="PWG7:PWJ7"/>
    <mergeCell ref="PWK7:PWN7"/>
    <mergeCell ref="PWO7:PWR7"/>
    <mergeCell ref="PWS7:PWV7"/>
    <mergeCell ref="PVI7:PVL7"/>
    <mergeCell ref="PVM7:PVP7"/>
    <mergeCell ref="PVQ7:PVT7"/>
    <mergeCell ref="PVU7:PVX7"/>
    <mergeCell ref="PVY7:PWB7"/>
    <mergeCell ref="PUO7:PUR7"/>
    <mergeCell ref="PUS7:PUV7"/>
    <mergeCell ref="PUW7:PUZ7"/>
    <mergeCell ref="PVA7:PVD7"/>
    <mergeCell ref="PVE7:PVH7"/>
    <mergeCell ref="QEO7:QER7"/>
    <mergeCell ref="QES7:QEV7"/>
    <mergeCell ref="QEW7:QEZ7"/>
    <mergeCell ref="QFA7:QFD7"/>
    <mergeCell ref="QFE7:QFH7"/>
    <mergeCell ref="QDU7:QDX7"/>
    <mergeCell ref="QDY7:QEB7"/>
    <mergeCell ref="QEC7:QEF7"/>
    <mergeCell ref="QEG7:QEJ7"/>
    <mergeCell ref="QEK7:QEN7"/>
    <mergeCell ref="QDA7:QDD7"/>
    <mergeCell ref="QDE7:QDH7"/>
    <mergeCell ref="QDI7:QDL7"/>
    <mergeCell ref="QDM7:QDP7"/>
    <mergeCell ref="QDQ7:QDT7"/>
    <mergeCell ref="QCG7:QCJ7"/>
    <mergeCell ref="QCK7:QCN7"/>
    <mergeCell ref="QCO7:QCR7"/>
    <mergeCell ref="QCS7:QCV7"/>
    <mergeCell ref="QCW7:QCZ7"/>
    <mergeCell ref="QBM7:QBP7"/>
    <mergeCell ref="QBQ7:QBT7"/>
    <mergeCell ref="QBU7:QBX7"/>
    <mergeCell ref="QBY7:QCB7"/>
    <mergeCell ref="QCC7:QCF7"/>
    <mergeCell ref="QAS7:QAV7"/>
    <mergeCell ref="QAW7:QAZ7"/>
    <mergeCell ref="QBA7:QBD7"/>
    <mergeCell ref="QBE7:QBH7"/>
    <mergeCell ref="QBI7:QBL7"/>
    <mergeCell ref="PZY7:QAB7"/>
    <mergeCell ref="QAC7:QAF7"/>
    <mergeCell ref="QAG7:QAJ7"/>
    <mergeCell ref="QAK7:QAN7"/>
    <mergeCell ref="QAO7:QAR7"/>
    <mergeCell ref="QJY7:QKB7"/>
    <mergeCell ref="QKC7:QKF7"/>
    <mergeCell ref="QKG7:QKJ7"/>
    <mergeCell ref="QKK7:QKN7"/>
    <mergeCell ref="QKO7:QKR7"/>
    <mergeCell ref="QJE7:QJH7"/>
    <mergeCell ref="QJI7:QJL7"/>
    <mergeCell ref="QJM7:QJP7"/>
    <mergeCell ref="QJQ7:QJT7"/>
    <mergeCell ref="QJU7:QJX7"/>
    <mergeCell ref="QIK7:QIN7"/>
    <mergeCell ref="QIO7:QIR7"/>
    <mergeCell ref="QIS7:QIV7"/>
    <mergeCell ref="QIW7:QIZ7"/>
    <mergeCell ref="QJA7:QJD7"/>
    <mergeCell ref="QHQ7:QHT7"/>
    <mergeCell ref="QHU7:QHX7"/>
    <mergeCell ref="QHY7:QIB7"/>
    <mergeCell ref="QIC7:QIF7"/>
    <mergeCell ref="QIG7:QIJ7"/>
    <mergeCell ref="QGW7:QGZ7"/>
    <mergeCell ref="QHA7:QHD7"/>
    <mergeCell ref="QHE7:QHH7"/>
    <mergeCell ref="QHI7:QHL7"/>
    <mergeCell ref="QHM7:QHP7"/>
    <mergeCell ref="QGC7:QGF7"/>
    <mergeCell ref="QGG7:QGJ7"/>
    <mergeCell ref="QGK7:QGN7"/>
    <mergeCell ref="QGO7:QGR7"/>
    <mergeCell ref="QGS7:QGV7"/>
    <mergeCell ref="QFI7:QFL7"/>
    <mergeCell ref="QFM7:QFP7"/>
    <mergeCell ref="QFQ7:QFT7"/>
    <mergeCell ref="QFU7:QFX7"/>
    <mergeCell ref="QFY7:QGB7"/>
    <mergeCell ref="QPI7:QPL7"/>
    <mergeCell ref="QPM7:QPP7"/>
    <mergeCell ref="QPQ7:QPT7"/>
    <mergeCell ref="QPU7:QPX7"/>
    <mergeCell ref="QPY7:QQB7"/>
    <mergeCell ref="QOO7:QOR7"/>
    <mergeCell ref="QOS7:QOV7"/>
    <mergeCell ref="QOW7:QOZ7"/>
    <mergeCell ref="QPA7:QPD7"/>
    <mergeCell ref="QPE7:QPH7"/>
    <mergeCell ref="QNU7:QNX7"/>
    <mergeCell ref="QNY7:QOB7"/>
    <mergeCell ref="QOC7:QOF7"/>
    <mergeCell ref="QOG7:QOJ7"/>
    <mergeCell ref="QOK7:QON7"/>
    <mergeCell ref="QNA7:QND7"/>
    <mergeCell ref="QNE7:QNH7"/>
    <mergeCell ref="QNI7:QNL7"/>
    <mergeCell ref="QNM7:QNP7"/>
    <mergeCell ref="QNQ7:QNT7"/>
    <mergeCell ref="QMG7:QMJ7"/>
    <mergeCell ref="QMK7:QMN7"/>
    <mergeCell ref="QMO7:QMR7"/>
    <mergeCell ref="QMS7:QMV7"/>
    <mergeCell ref="QMW7:QMZ7"/>
    <mergeCell ref="QLM7:QLP7"/>
    <mergeCell ref="QLQ7:QLT7"/>
    <mergeCell ref="QLU7:QLX7"/>
    <mergeCell ref="QLY7:QMB7"/>
    <mergeCell ref="QMC7:QMF7"/>
    <mergeCell ref="QKS7:QKV7"/>
    <mergeCell ref="QKW7:QKZ7"/>
    <mergeCell ref="QLA7:QLD7"/>
    <mergeCell ref="QLE7:QLH7"/>
    <mergeCell ref="QLI7:QLL7"/>
    <mergeCell ref="QUS7:QUV7"/>
    <mergeCell ref="QUW7:QUZ7"/>
    <mergeCell ref="QVA7:QVD7"/>
    <mergeCell ref="QVE7:QVH7"/>
    <mergeCell ref="QVI7:QVL7"/>
    <mergeCell ref="QTY7:QUB7"/>
    <mergeCell ref="QUC7:QUF7"/>
    <mergeCell ref="QUG7:QUJ7"/>
    <mergeCell ref="QUK7:QUN7"/>
    <mergeCell ref="QUO7:QUR7"/>
    <mergeCell ref="QTE7:QTH7"/>
    <mergeCell ref="QTI7:QTL7"/>
    <mergeCell ref="QTM7:QTP7"/>
    <mergeCell ref="QTQ7:QTT7"/>
    <mergeCell ref="QTU7:QTX7"/>
    <mergeCell ref="QSK7:QSN7"/>
    <mergeCell ref="QSO7:QSR7"/>
    <mergeCell ref="QSS7:QSV7"/>
    <mergeCell ref="QSW7:QSZ7"/>
    <mergeCell ref="QTA7:QTD7"/>
    <mergeCell ref="QRQ7:QRT7"/>
    <mergeCell ref="QRU7:QRX7"/>
    <mergeCell ref="QRY7:QSB7"/>
    <mergeCell ref="QSC7:QSF7"/>
    <mergeCell ref="QSG7:QSJ7"/>
    <mergeCell ref="QQW7:QQZ7"/>
    <mergeCell ref="QRA7:QRD7"/>
    <mergeCell ref="QRE7:QRH7"/>
    <mergeCell ref="QRI7:QRL7"/>
    <mergeCell ref="QRM7:QRP7"/>
    <mergeCell ref="QQC7:QQF7"/>
    <mergeCell ref="QQG7:QQJ7"/>
    <mergeCell ref="QQK7:QQN7"/>
    <mergeCell ref="QQO7:QQR7"/>
    <mergeCell ref="QQS7:QQV7"/>
    <mergeCell ref="RAC7:RAF7"/>
    <mergeCell ref="RAG7:RAJ7"/>
    <mergeCell ref="RAK7:RAN7"/>
    <mergeCell ref="RAO7:RAR7"/>
    <mergeCell ref="RAS7:RAV7"/>
    <mergeCell ref="QZI7:QZL7"/>
    <mergeCell ref="QZM7:QZP7"/>
    <mergeCell ref="QZQ7:QZT7"/>
    <mergeCell ref="QZU7:QZX7"/>
    <mergeCell ref="QZY7:RAB7"/>
    <mergeCell ref="QYO7:QYR7"/>
    <mergeCell ref="QYS7:QYV7"/>
    <mergeCell ref="QYW7:QYZ7"/>
    <mergeCell ref="QZA7:QZD7"/>
    <mergeCell ref="QZE7:QZH7"/>
    <mergeCell ref="QXU7:QXX7"/>
    <mergeCell ref="QXY7:QYB7"/>
    <mergeCell ref="QYC7:QYF7"/>
    <mergeCell ref="QYG7:QYJ7"/>
    <mergeCell ref="QYK7:QYN7"/>
    <mergeCell ref="QXA7:QXD7"/>
    <mergeCell ref="QXE7:QXH7"/>
    <mergeCell ref="QXI7:QXL7"/>
    <mergeCell ref="QXM7:QXP7"/>
    <mergeCell ref="QXQ7:QXT7"/>
    <mergeCell ref="QWG7:QWJ7"/>
    <mergeCell ref="QWK7:QWN7"/>
    <mergeCell ref="QWO7:QWR7"/>
    <mergeCell ref="QWS7:QWV7"/>
    <mergeCell ref="QWW7:QWZ7"/>
    <mergeCell ref="QVM7:QVP7"/>
    <mergeCell ref="QVQ7:QVT7"/>
    <mergeCell ref="QVU7:QVX7"/>
    <mergeCell ref="QVY7:QWB7"/>
    <mergeCell ref="QWC7:QWF7"/>
    <mergeCell ref="RFM7:RFP7"/>
    <mergeCell ref="RFQ7:RFT7"/>
    <mergeCell ref="RFU7:RFX7"/>
    <mergeCell ref="RFY7:RGB7"/>
    <mergeCell ref="RGC7:RGF7"/>
    <mergeCell ref="RES7:REV7"/>
    <mergeCell ref="REW7:REZ7"/>
    <mergeCell ref="RFA7:RFD7"/>
    <mergeCell ref="RFE7:RFH7"/>
    <mergeCell ref="RFI7:RFL7"/>
    <mergeCell ref="RDY7:REB7"/>
    <mergeCell ref="REC7:REF7"/>
    <mergeCell ref="REG7:REJ7"/>
    <mergeCell ref="REK7:REN7"/>
    <mergeCell ref="REO7:RER7"/>
    <mergeCell ref="RDE7:RDH7"/>
    <mergeCell ref="RDI7:RDL7"/>
    <mergeCell ref="RDM7:RDP7"/>
    <mergeCell ref="RDQ7:RDT7"/>
    <mergeCell ref="RDU7:RDX7"/>
    <mergeCell ref="RCK7:RCN7"/>
    <mergeCell ref="RCO7:RCR7"/>
    <mergeCell ref="RCS7:RCV7"/>
    <mergeCell ref="RCW7:RCZ7"/>
    <mergeCell ref="RDA7:RDD7"/>
    <mergeCell ref="RBQ7:RBT7"/>
    <mergeCell ref="RBU7:RBX7"/>
    <mergeCell ref="RBY7:RCB7"/>
    <mergeCell ref="RCC7:RCF7"/>
    <mergeCell ref="RCG7:RCJ7"/>
    <mergeCell ref="RAW7:RAZ7"/>
    <mergeCell ref="RBA7:RBD7"/>
    <mergeCell ref="RBE7:RBH7"/>
    <mergeCell ref="RBI7:RBL7"/>
    <mergeCell ref="RBM7:RBP7"/>
    <mergeCell ref="RKW7:RKZ7"/>
    <mergeCell ref="RLA7:RLD7"/>
    <mergeCell ref="RLE7:RLH7"/>
    <mergeCell ref="RLI7:RLL7"/>
    <mergeCell ref="RLM7:RLP7"/>
    <mergeCell ref="RKC7:RKF7"/>
    <mergeCell ref="RKG7:RKJ7"/>
    <mergeCell ref="RKK7:RKN7"/>
    <mergeCell ref="RKO7:RKR7"/>
    <mergeCell ref="RKS7:RKV7"/>
    <mergeCell ref="RJI7:RJL7"/>
    <mergeCell ref="RJM7:RJP7"/>
    <mergeCell ref="RJQ7:RJT7"/>
    <mergeCell ref="RJU7:RJX7"/>
    <mergeCell ref="RJY7:RKB7"/>
    <mergeCell ref="RIO7:RIR7"/>
    <mergeCell ref="RIS7:RIV7"/>
    <mergeCell ref="RIW7:RIZ7"/>
    <mergeCell ref="RJA7:RJD7"/>
    <mergeCell ref="RJE7:RJH7"/>
    <mergeCell ref="RHU7:RHX7"/>
    <mergeCell ref="RHY7:RIB7"/>
    <mergeCell ref="RIC7:RIF7"/>
    <mergeCell ref="RIG7:RIJ7"/>
    <mergeCell ref="RIK7:RIN7"/>
    <mergeCell ref="RHA7:RHD7"/>
    <mergeCell ref="RHE7:RHH7"/>
    <mergeCell ref="RHI7:RHL7"/>
    <mergeCell ref="RHM7:RHP7"/>
    <mergeCell ref="RHQ7:RHT7"/>
    <mergeCell ref="RGG7:RGJ7"/>
    <mergeCell ref="RGK7:RGN7"/>
    <mergeCell ref="RGO7:RGR7"/>
    <mergeCell ref="RGS7:RGV7"/>
    <mergeCell ref="RGW7:RGZ7"/>
    <mergeCell ref="RQG7:RQJ7"/>
    <mergeCell ref="RQK7:RQN7"/>
    <mergeCell ref="RQO7:RQR7"/>
    <mergeCell ref="RQS7:RQV7"/>
    <mergeCell ref="RQW7:RQZ7"/>
    <mergeCell ref="RPM7:RPP7"/>
    <mergeCell ref="RPQ7:RPT7"/>
    <mergeCell ref="RPU7:RPX7"/>
    <mergeCell ref="RPY7:RQB7"/>
    <mergeCell ref="RQC7:RQF7"/>
    <mergeCell ref="ROS7:ROV7"/>
    <mergeCell ref="ROW7:ROZ7"/>
    <mergeCell ref="RPA7:RPD7"/>
    <mergeCell ref="RPE7:RPH7"/>
    <mergeCell ref="RPI7:RPL7"/>
    <mergeCell ref="RNY7:ROB7"/>
    <mergeCell ref="ROC7:ROF7"/>
    <mergeCell ref="ROG7:ROJ7"/>
    <mergeCell ref="ROK7:RON7"/>
    <mergeCell ref="ROO7:ROR7"/>
    <mergeCell ref="RNE7:RNH7"/>
    <mergeCell ref="RNI7:RNL7"/>
    <mergeCell ref="RNM7:RNP7"/>
    <mergeCell ref="RNQ7:RNT7"/>
    <mergeCell ref="RNU7:RNX7"/>
    <mergeCell ref="RMK7:RMN7"/>
    <mergeCell ref="RMO7:RMR7"/>
    <mergeCell ref="RMS7:RMV7"/>
    <mergeCell ref="RMW7:RMZ7"/>
    <mergeCell ref="RNA7:RND7"/>
    <mergeCell ref="RLQ7:RLT7"/>
    <mergeCell ref="RLU7:RLX7"/>
    <mergeCell ref="RLY7:RMB7"/>
    <mergeCell ref="RMC7:RMF7"/>
    <mergeCell ref="RMG7:RMJ7"/>
    <mergeCell ref="RVQ7:RVT7"/>
    <mergeCell ref="RVU7:RVX7"/>
    <mergeCell ref="RVY7:RWB7"/>
    <mergeCell ref="RWC7:RWF7"/>
    <mergeCell ref="RWG7:RWJ7"/>
    <mergeCell ref="RUW7:RUZ7"/>
    <mergeCell ref="RVA7:RVD7"/>
    <mergeCell ref="RVE7:RVH7"/>
    <mergeCell ref="RVI7:RVL7"/>
    <mergeCell ref="RVM7:RVP7"/>
    <mergeCell ref="RUC7:RUF7"/>
    <mergeCell ref="RUG7:RUJ7"/>
    <mergeCell ref="RUK7:RUN7"/>
    <mergeCell ref="RUO7:RUR7"/>
    <mergeCell ref="RUS7:RUV7"/>
    <mergeCell ref="RTI7:RTL7"/>
    <mergeCell ref="RTM7:RTP7"/>
    <mergeCell ref="RTQ7:RTT7"/>
    <mergeCell ref="RTU7:RTX7"/>
    <mergeCell ref="RTY7:RUB7"/>
    <mergeCell ref="RSO7:RSR7"/>
    <mergeCell ref="RSS7:RSV7"/>
    <mergeCell ref="RSW7:RSZ7"/>
    <mergeCell ref="RTA7:RTD7"/>
    <mergeCell ref="RTE7:RTH7"/>
    <mergeCell ref="RRU7:RRX7"/>
    <mergeCell ref="RRY7:RSB7"/>
    <mergeCell ref="RSC7:RSF7"/>
    <mergeCell ref="RSG7:RSJ7"/>
    <mergeCell ref="RSK7:RSN7"/>
    <mergeCell ref="RRA7:RRD7"/>
    <mergeCell ref="RRE7:RRH7"/>
    <mergeCell ref="RRI7:RRL7"/>
    <mergeCell ref="RRM7:RRP7"/>
    <mergeCell ref="RRQ7:RRT7"/>
    <mergeCell ref="SBA7:SBD7"/>
    <mergeCell ref="SBE7:SBH7"/>
    <mergeCell ref="SBI7:SBL7"/>
    <mergeCell ref="SBM7:SBP7"/>
    <mergeCell ref="SBQ7:SBT7"/>
    <mergeCell ref="SAG7:SAJ7"/>
    <mergeCell ref="SAK7:SAN7"/>
    <mergeCell ref="SAO7:SAR7"/>
    <mergeCell ref="SAS7:SAV7"/>
    <mergeCell ref="SAW7:SAZ7"/>
    <mergeCell ref="RZM7:RZP7"/>
    <mergeCell ref="RZQ7:RZT7"/>
    <mergeCell ref="RZU7:RZX7"/>
    <mergeCell ref="RZY7:SAB7"/>
    <mergeCell ref="SAC7:SAF7"/>
    <mergeCell ref="RYS7:RYV7"/>
    <mergeCell ref="RYW7:RYZ7"/>
    <mergeCell ref="RZA7:RZD7"/>
    <mergeCell ref="RZE7:RZH7"/>
    <mergeCell ref="RZI7:RZL7"/>
    <mergeCell ref="RXY7:RYB7"/>
    <mergeCell ref="RYC7:RYF7"/>
    <mergeCell ref="RYG7:RYJ7"/>
    <mergeCell ref="RYK7:RYN7"/>
    <mergeCell ref="RYO7:RYR7"/>
    <mergeCell ref="RXE7:RXH7"/>
    <mergeCell ref="RXI7:RXL7"/>
    <mergeCell ref="RXM7:RXP7"/>
    <mergeCell ref="RXQ7:RXT7"/>
    <mergeCell ref="RXU7:RXX7"/>
    <mergeCell ref="RWK7:RWN7"/>
    <mergeCell ref="RWO7:RWR7"/>
    <mergeCell ref="RWS7:RWV7"/>
    <mergeCell ref="RWW7:RWZ7"/>
    <mergeCell ref="RXA7:RXD7"/>
    <mergeCell ref="SGK7:SGN7"/>
    <mergeCell ref="SGO7:SGR7"/>
    <mergeCell ref="SGS7:SGV7"/>
    <mergeCell ref="SGW7:SGZ7"/>
    <mergeCell ref="SHA7:SHD7"/>
    <mergeCell ref="SFQ7:SFT7"/>
    <mergeCell ref="SFU7:SFX7"/>
    <mergeCell ref="SFY7:SGB7"/>
    <mergeCell ref="SGC7:SGF7"/>
    <mergeCell ref="SGG7:SGJ7"/>
    <mergeCell ref="SEW7:SEZ7"/>
    <mergeCell ref="SFA7:SFD7"/>
    <mergeCell ref="SFE7:SFH7"/>
    <mergeCell ref="SFI7:SFL7"/>
    <mergeCell ref="SFM7:SFP7"/>
    <mergeCell ref="SEC7:SEF7"/>
    <mergeCell ref="SEG7:SEJ7"/>
    <mergeCell ref="SEK7:SEN7"/>
    <mergeCell ref="SEO7:SER7"/>
    <mergeCell ref="SES7:SEV7"/>
    <mergeCell ref="SDI7:SDL7"/>
    <mergeCell ref="SDM7:SDP7"/>
    <mergeCell ref="SDQ7:SDT7"/>
    <mergeCell ref="SDU7:SDX7"/>
    <mergeCell ref="SDY7:SEB7"/>
    <mergeCell ref="SCO7:SCR7"/>
    <mergeCell ref="SCS7:SCV7"/>
    <mergeCell ref="SCW7:SCZ7"/>
    <mergeCell ref="SDA7:SDD7"/>
    <mergeCell ref="SDE7:SDH7"/>
    <mergeCell ref="SBU7:SBX7"/>
    <mergeCell ref="SBY7:SCB7"/>
    <mergeCell ref="SCC7:SCF7"/>
    <mergeCell ref="SCG7:SCJ7"/>
    <mergeCell ref="SCK7:SCN7"/>
    <mergeCell ref="SLU7:SLX7"/>
    <mergeCell ref="SLY7:SMB7"/>
    <mergeCell ref="SMC7:SMF7"/>
    <mergeCell ref="SMG7:SMJ7"/>
    <mergeCell ref="SMK7:SMN7"/>
    <mergeCell ref="SLA7:SLD7"/>
    <mergeCell ref="SLE7:SLH7"/>
    <mergeCell ref="SLI7:SLL7"/>
    <mergeCell ref="SLM7:SLP7"/>
    <mergeCell ref="SLQ7:SLT7"/>
    <mergeCell ref="SKG7:SKJ7"/>
    <mergeCell ref="SKK7:SKN7"/>
    <mergeCell ref="SKO7:SKR7"/>
    <mergeCell ref="SKS7:SKV7"/>
    <mergeCell ref="SKW7:SKZ7"/>
    <mergeCell ref="SJM7:SJP7"/>
    <mergeCell ref="SJQ7:SJT7"/>
    <mergeCell ref="SJU7:SJX7"/>
    <mergeCell ref="SJY7:SKB7"/>
    <mergeCell ref="SKC7:SKF7"/>
    <mergeCell ref="SIS7:SIV7"/>
    <mergeCell ref="SIW7:SIZ7"/>
    <mergeCell ref="SJA7:SJD7"/>
    <mergeCell ref="SJE7:SJH7"/>
    <mergeCell ref="SJI7:SJL7"/>
    <mergeCell ref="SHY7:SIB7"/>
    <mergeCell ref="SIC7:SIF7"/>
    <mergeCell ref="SIG7:SIJ7"/>
    <mergeCell ref="SIK7:SIN7"/>
    <mergeCell ref="SIO7:SIR7"/>
    <mergeCell ref="SHE7:SHH7"/>
    <mergeCell ref="SHI7:SHL7"/>
    <mergeCell ref="SHM7:SHP7"/>
    <mergeCell ref="SHQ7:SHT7"/>
    <mergeCell ref="SHU7:SHX7"/>
    <mergeCell ref="SRE7:SRH7"/>
    <mergeCell ref="SRI7:SRL7"/>
    <mergeCell ref="SRM7:SRP7"/>
    <mergeCell ref="SRQ7:SRT7"/>
    <mergeCell ref="SRU7:SRX7"/>
    <mergeCell ref="SQK7:SQN7"/>
    <mergeCell ref="SQO7:SQR7"/>
    <mergeCell ref="SQS7:SQV7"/>
    <mergeCell ref="SQW7:SQZ7"/>
    <mergeCell ref="SRA7:SRD7"/>
    <mergeCell ref="SPQ7:SPT7"/>
    <mergeCell ref="SPU7:SPX7"/>
    <mergeCell ref="SPY7:SQB7"/>
    <mergeCell ref="SQC7:SQF7"/>
    <mergeCell ref="SQG7:SQJ7"/>
    <mergeCell ref="SOW7:SOZ7"/>
    <mergeCell ref="SPA7:SPD7"/>
    <mergeCell ref="SPE7:SPH7"/>
    <mergeCell ref="SPI7:SPL7"/>
    <mergeCell ref="SPM7:SPP7"/>
    <mergeCell ref="SOC7:SOF7"/>
    <mergeCell ref="SOG7:SOJ7"/>
    <mergeCell ref="SOK7:SON7"/>
    <mergeCell ref="SOO7:SOR7"/>
    <mergeCell ref="SOS7:SOV7"/>
    <mergeCell ref="SNI7:SNL7"/>
    <mergeCell ref="SNM7:SNP7"/>
    <mergeCell ref="SNQ7:SNT7"/>
    <mergeCell ref="SNU7:SNX7"/>
    <mergeCell ref="SNY7:SOB7"/>
    <mergeCell ref="SMO7:SMR7"/>
    <mergeCell ref="SMS7:SMV7"/>
    <mergeCell ref="SMW7:SMZ7"/>
    <mergeCell ref="SNA7:SND7"/>
    <mergeCell ref="SNE7:SNH7"/>
    <mergeCell ref="SWO7:SWR7"/>
    <mergeCell ref="SWS7:SWV7"/>
    <mergeCell ref="SWW7:SWZ7"/>
    <mergeCell ref="SXA7:SXD7"/>
    <mergeCell ref="SXE7:SXH7"/>
    <mergeCell ref="SVU7:SVX7"/>
    <mergeCell ref="SVY7:SWB7"/>
    <mergeCell ref="SWC7:SWF7"/>
    <mergeCell ref="SWG7:SWJ7"/>
    <mergeCell ref="SWK7:SWN7"/>
    <mergeCell ref="SVA7:SVD7"/>
    <mergeCell ref="SVE7:SVH7"/>
    <mergeCell ref="SVI7:SVL7"/>
    <mergeCell ref="SVM7:SVP7"/>
    <mergeCell ref="SVQ7:SVT7"/>
    <mergeCell ref="SUG7:SUJ7"/>
    <mergeCell ref="SUK7:SUN7"/>
    <mergeCell ref="SUO7:SUR7"/>
    <mergeCell ref="SUS7:SUV7"/>
    <mergeCell ref="SUW7:SUZ7"/>
    <mergeCell ref="STM7:STP7"/>
    <mergeCell ref="STQ7:STT7"/>
    <mergeCell ref="STU7:STX7"/>
    <mergeCell ref="STY7:SUB7"/>
    <mergeCell ref="SUC7:SUF7"/>
    <mergeCell ref="SSS7:SSV7"/>
    <mergeCell ref="SSW7:SSZ7"/>
    <mergeCell ref="STA7:STD7"/>
    <mergeCell ref="STE7:STH7"/>
    <mergeCell ref="STI7:STL7"/>
    <mergeCell ref="SRY7:SSB7"/>
    <mergeCell ref="SSC7:SSF7"/>
    <mergeCell ref="SSG7:SSJ7"/>
    <mergeCell ref="SSK7:SSN7"/>
    <mergeCell ref="SSO7:SSR7"/>
    <mergeCell ref="TBY7:TCB7"/>
    <mergeCell ref="TCC7:TCF7"/>
    <mergeCell ref="TCG7:TCJ7"/>
    <mergeCell ref="TCK7:TCN7"/>
    <mergeCell ref="TCO7:TCR7"/>
    <mergeCell ref="TBE7:TBH7"/>
    <mergeCell ref="TBI7:TBL7"/>
    <mergeCell ref="TBM7:TBP7"/>
    <mergeCell ref="TBQ7:TBT7"/>
    <mergeCell ref="TBU7:TBX7"/>
    <mergeCell ref="TAK7:TAN7"/>
    <mergeCell ref="TAO7:TAR7"/>
    <mergeCell ref="TAS7:TAV7"/>
    <mergeCell ref="TAW7:TAZ7"/>
    <mergeCell ref="TBA7:TBD7"/>
    <mergeCell ref="SZQ7:SZT7"/>
    <mergeCell ref="SZU7:SZX7"/>
    <mergeCell ref="SZY7:TAB7"/>
    <mergeCell ref="TAC7:TAF7"/>
    <mergeCell ref="TAG7:TAJ7"/>
    <mergeCell ref="SYW7:SYZ7"/>
    <mergeCell ref="SZA7:SZD7"/>
    <mergeCell ref="SZE7:SZH7"/>
    <mergeCell ref="SZI7:SZL7"/>
    <mergeCell ref="SZM7:SZP7"/>
    <mergeCell ref="SYC7:SYF7"/>
    <mergeCell ref="SYG7:SYJ7"/>
    <mergeCell ref="SYK7:SYN7"/>
    <mergeCell ref="SYO7:SYR7"/>
    <mergeCell ref="SYS7:SYV7"/>
    <mergeCell ref="SXI7:SXL7"/>
    <mergeCell ref="SXM7:SXP7"/>
    <mergeCell ref="SXQ7:SXT7"/>
    <mergeCell ref="SXU7:SXX7"/>
    <mergeCell ref="SXY7:SYB7"/>
    <mergeCell ref="THI7:THL7"/>
    <mergeCell ref="THM7:THP7"/>
    <mergeCell ref="THQ7:THT7"/>
    <mergeCell ref="THU7:THX7"/>
    <mergeCell ref="THY7:TIB7"/>
    <mergeCell ref="TGO7:TGR7"/>
    <mergeCell ref="TGS7:TGV7"/>
    <mergeCell ref="TGW7:TGZ7"/>
    <mergeCell ref="THA7:THD7"/>
    <mergeCell ref="THE7:THH7"/>
    <mergeCell ref="TFU7:TFX7"/>
    <mergeCell ref="TFY7:TGB7"/>
    <mergeCell ref="TGC7:TGF7"/>
    <mergeCell ref="TGG7:TGJ7"/>
    <mergeCell ref="TGK7:TGN7"/>
    <mergeCell ref="TFA7:TFD7"/>
    <mergeCell ref="TFE7:TFH7"/>
    <mergeCell ref="TFI7:TFL7"/>
    <mergeCell ref="TFM7:TFP7"/>
    <mergeCell ref="TFQ7:TFT7"/>
    <mergeCell ref="TEG7:TEJ7"/>
    <mergeCell ref="TEK7:TEN7"/>
    <mergeCell ref="TEO7:TER7"/>
    <mergeCell ref="TES7:TEV7"/>
    <mergeCell ref="TEW7:TEZ7"/>
    <mergeCell ref="TDM7:TDP7"/>
    <mergeCell ref="TDQ7:TDT7"/>
    <mergeCell ref="TDU7:TDX7"/>
    <mergeCell ref="TDY7:TEB7"/>
    <mergeCell ref="TEC7:TEF7"/>
    <mergeCell ref="TCS7:TCV7"/>
    <mergeCell ref="TCW7:TCZ7"/>
    <mergeCell ref="TDA7:TDD7"/>
    <mergeCell ref="TDE7:TDH7"/>
    <mergeCell ref="TDI7:TDL7"/>
    <mergeCell ref="TMS7:TMV7"/>
    <mergeCell ref="TMW7:TMZ7"/>
    <mergeCell ref="TNA7:TND7"/>
    <mergeCell ref="TNE7:TNH7"/>
    <mergeCell ref="TNI7:TNL7"/>
    <mergeCell ref="TLY7:TMB7"/>
    <mergeCell ref="TMC7:TMF7"/>
    <mergeCell ref="TMG7:TMJ7"/>
    <mergeCell ref="TMK7:TMN7"/>
    <mergeCell ref="TMO7:TMR7"/>
    <mergeCell ref="TLE7:TLH7"/>
    <mergeCell ref="TLI7:TLL7"/>
    <mergeCell ref="TLM7:TLP7"/>
    <mergeCell ref="TLQ7:TLT7"/>
    <mergeCell ref="TLU7:TLX7"/>
    <mergeCell ref="TKK7:TKN7"/>
    <mergeCell ref="TKO7:TKR7"/>
    <mergeCell ref="TKS7:TKV7"/>
    <mergeCell ref="TKW7:TKZ7"/>
    <mergeCell ref="TLA7:TLD7"/>
    <mergeCell ref="TJQ7:TJT7"/>
    <mergeCell ref="TJU7:TJX7"/>
    <mergeCell ref="TJY7:TKB7"/>
    <mergeCell ref="TKC7:TKF7"/>
    <mergeCell ref="TKG7:TKJ7"/>
    <mergeCell ref="TIW7:TIZ7"/>
    <mergeCell ref="TJA7:TJD7"/>
    <mergeCell ref="TJE7:TJH7"/>
    <mergeCell ref="TJI7:TJL7"/>
    <mergeCell ref="TJM7:TJP7"/>
    <mergeCell ref="TIC7:TIF7"/>
    <mergeCell ref="TIG7:TIJ7"/>
    <mergeCell ref="TIK7:TIN7"/>
    <mergeCell ref="TIO7:TIR7"/>
    <mergeCell ref="TIS7:TIV7"/>
    <mergeCell ref="TSC7:TSF7"/>
    <mergeCell ref="TSG7:TSJ7"/>
    <mergeCell ref="TSK7:TSN7"/>
    <mergeCell ref="TSO7:TSR7"/>
    <mergeCell ref="TSS7:TSV7"/>
    <mergeCell ref="TRI7:TRL7"/>
    <mergeCell ref="TRM7:TRP7"/>
    <mergeCell ref="TRQ7:TRT7"/>
    <mergeCell ref="TRU7:TRX7"/>
    <mergeCell ref="TRY7:TSB7"/>
    <mergeCell ref="TQO7:TQR7"/>
    <mergeCell ref="TQS7:TQV7"/>
    <mergeCell ref="TQW7:TQZ7"/>
    <mergeCell ref="TRA7:TRD7"/>
    <mergeCell ref="TRE7:TRH7"/>
    <mergeCell ref="TPU7:TPX7"/>
    <mergeCell ref="TPY7:TQB7"/>
    <mergeCell ref="TQC7:TQF7"/>
    <mergeCell ref="TQG7:TQJ7"/>
    <mergeCell ref="TQK7:TQN7"/>
    <mergeCell ref="TPA7:TPD7"/>
    <mergeCell ref="TPE7:TPH7"/>
    <mergeCell ref="TPI7:TPL7"/>
    <mergeCell ref="TPM7:TPP7"/>
    <mergeCell ref="TPQ7:TPT7"/>
    <mergeCell ref="TOG7:TOJ7"/>
    <mergeCell ref="TOK7:TON7"/>
    <mergeCell ref="TOO7:TOR7"/>
    <mergeCell ref="TOS7:TOV7"/>
    <mergeCell ref="TOW7:TOZ7"/>
    <mergeCell ref="TNM7:TNP7"/>
    <mergeCell ref="TNQ7:TNT7"/>
    <mergeCell ref="TNU7:TNX7"/>
    <mergeCell ref="TNY7:TOB7"/>
    <mergeCell ref="TOC7:TOF7"/>
    <mergeCell ref="TXM7:TXP7"/>
    <mergeCell ref="TXQ7:TXT7"/>
    <mergeCell ref="TXU7:TXX7"/>
    <mergeCell ref="TXY7:TYB7"/>
    <mergeCell ref="TYC7:TYF7"/>
    <mergeCell ref="TWS7:TWV7"/>
    <mergeCell ref="TWW7:TWZ7"/>
    <mergeCell ref="TXA7:TXD7"/>
    <mergeCell ref="TXE7:TXH7"/>
    <mergeCell ref="TXI7:TXL7"/>
    <mergeCell ref="TVY7:TWB7"/>
    <mergeCell ref="TWC7:TWF7"/>
    <mergeCell ref="TWG7:TWJ7"/>
    <mergeCell ref="TWK7:TWN7"/>
    <mergeCell ref="TWO7:TWR7"/>
    <mergeCell ref="TVE7:TVH7"/>
    <mergeCell ref="TVI7:TVL7"/>
    <mergeCell ref="TVM7:TVP7"/>
    <mergeCell ref="TVQ7:TVT7"/>
    <mergeCell ref="TVU7:TVX7"/>
    <mergeCell ref="TUK7:TUN7"/>
    <mergeCell ref="TUO7:TUR7"/>
    <mergeCell ref="TUS7:TUV7"/>
    <mergeCell ref="TUW7:TUZ7"/>
    <mergeCell ref="TVA7:TVD7"/>
    <mergeCell ref="TTQ7:TTT7"/>
    <mergeCell ref="TTU7:TTX7"/>
    <mergeCell ref="TTY7:TUB7"/>
    <mergeCell ref="TUC7:TUF7"/>
    <mergeCell ref="TUG7:TUJ7"/>
    <mergeCell ref="TSW7:TSZ7"/>
    <mergeCell ref="TTA7:TTD7"/>
    <mergeCell ref="TTE7:TTH7"/>
    <mergeCell ref="TTI7:TTL7"/>
    <mergeCell ref="TTM7:TTP7"/>
    <mergeCell ref="UCW7:UCZ7"/>
    <mergeCell ref="UDA7:UDD7"/>
    <mergeCell ref="UDE7:UDH7"/>
    <mergeCell ref="UDI7:UDL7"/>
    <mergeCell ref="UDM7:UDP7"/>
    <mergeCell ref="UCC7:UCF7"/>
    <mergeCell ref="UCG7:UCJ7"/>
    <mergeCell ref="UCK7:UCN7"/>
    <mergeCell ref="UCO7:UCR7"/>
    <mergeCell ref="UCS7:UCV7"/>
    <mergeCell ref="UBI7:UBL7"/>
    <mergeCell ref="UBM7:UBP7"/>
    <mergeCell ref="UBQ7:UBT7"/>
    <mergeCell ref="UBU7:UBX7"/>
    <mergeCell ref="UBY7:UCB7"/>
    <mergeCell ref="UAO7:UAR7"/>
    <mergeCell ref="UAS7:UAV7"/>
    <mergeCell ref="UAW7:UAZ7"/>
    <mergeCell ref="UBA7:UBD7"/>
    <mergeCell ref="UBE7:UBH7"/>
    <mergeCell ref="TZU7:TZX7"/>
    <mergeCell ref="TZY7:UAB7"/>
    <mergeCell ref="UAC7:UAF7"/>
    <mergeCell ref="UAG7:UAJ7"/>
    <mergeCell ref="UAK7:UAN7"/>
    <mergeCell ref="TZA7:TZD7"/>
    <mergeCell ref="TZE7:TZH7"/>
    <mergeCell ref="TZI7:TZL7"/>
    <mergeCell ref="TZM7:TZP7"/>
    <mergeCell ref="TZQ7:TZT7"/>
    <mergeCell ref="TYG7:TYJ7"/>
    <mergeCell ref="TYK7:TYN7"/>
    <mergeCell ref="TYO7:TYR7"/>
    <mergeCell ref="TYS7:TYV7"/>
    <mergeCell ref="TYW7:TYZ7"/>
    <mergeCell ref="UIG7:UIJ7"/>
    <mergeCell ref="UIK7:UIN7"/>
    <mergeCell ref="UIO7:UIR7"/>
    <mergeCell ref="UIS7:UIV7"/>
    <mergeCell ref="UIW7:UIZ7"/>
    <mergeCell ref="UHM7:UHP7"/>
    <mergeCell ref="UHQ7:UHT7"/>
    <mergeCell ref="UHU7:UHX7"/>
    <mergeCell ref="UHY7:UIB7"/>
    <mergeCell ref="UIC7:UIF7"/>
    <mergeCell ref="UGS7:UGV7"/>
    <mergeCell ref="UGW7:UGZ7"/>
    <mergeCell ref="UHA7:UHD7"/>
    <mergeCell ref="UHE7:UHH7"/>
    <mergeCell ref="UHI7:UHL7"/>
    <mergeCell ref="UFY7:UGB7"/>
    <mergeCell ref="UGC7:UGF7"/>
    <mergeCell ref="UGG7:UGJ7"/>
    <mergeCell ref="UGK7:UGN7"/>
    <mergeCell ref="UGO7:UGR7"/>
    <mergeCell ref="UFE7:UFH7"/>
    <mergeCell ref="UFI7:UFL7"/>
    <mergeCell ref="UFM7:UFP7"/>
    <mergeCell ref="UFQ7:UFT7"/>
    <mergeCell ref="UFU7:UFX7"/>
    <mergeCell ref="UEK7:UEN7"/>
    <mergeCell ref="UEO7:UER7"/>
    <mergeCell ref="UES7:UEV7"/>
    <mergeCell ref="UEW7:UEZ7"/>
    <mergeCell ref="UFA7:UFD7"/>
    <mergeCell ref="UDQ7:UDT7"/>
    <mergeCell ref="UDU7:UDX7"/>
    <mergeCell ref="UDY7:UEB7"/>
    <mergeCell ref="UEC7:UEF7"/>
    <mergeCell ref="UEG7:UEJ7"/>
    <mergeCell ref="UNQ7:UNT7"/>
    <mergeCell ref="UNU7:UNX7"/>
    <mergeCell ref="UNY7:UOB7"/>
    <mergeCell ref="UOC7:UOF7"/>
    <mergeCell ref="UOG7:UOJ7"/>
    <mergeCell ref="UMW7:UMZ7"/>
    <mergeCell ref="UNA7:UND7"/>
    <mergeCell ref="UNE7:UNH7"/>
    <mergeCell ref="UNI7:UNL7"/>
    <mergeCell ref="UNM7:UNP7"/>
    <mergeCell ref="UMC7:UMF7"/>
    <mergeCell ref="UMG7:UMJ7"/>
    <mergeCell ref="UMK7:UMN7"/>
    <mergeCell ref="UMO7:UMR7"/>
    <mergeCell ref="UMS7:UMV7"/>
    <mergeCell ref="ULI7:ULL7"/>
    <mergeCell ref="ULM7:ULP7"/>
    <mergeCell ref="ULQ7:ULT7"/>
    <mergeCell ref="ULU7:ULX7"/>
    <mergeCell ref="ULY7:UMB7"/>
    <mergeCell ref="UKO7:UKR7"/>
    <mergeCell ref="UKS7:UKV7"/>
    <mergeCell ref="UKW7:UKZ7"/>
    <mergeCell ref="ULA7:ULD7"/>
    <mergeCell ref="ULE7:ULH7"/>
    <mergeCell ref="UJU7:UJX7"/>
    <mergeCell ref="UJY7:UKB7"/>
    <mergeCell ref="UKC7:UKF7"/>
    <mergeCell ref="UKG7:UKJ7"/>
    <mergeCell ref="UKK7:UKN7"/>
    <mergeCell ref="UJA7:UJD7"/>
    <mergeCell ref="UJE7:UJH7"/>
    <mergeCell ref="UJI7:UJL7"/>
    <mergeCell ref="UJM7:UJP7"/>
    <mergeCell ref="UJQ7:UJT7"/>
    <mergeCell ref="UTA7:UTD7"/>
    <mergeCell ref="UTE7:UTH7"/>
    <mergeCell ref="UTI7:UTL7"/>
    <mergeCell ref="UTM7:UTP7"/>
    <mergeCell ref="UTQ7:UTT7"/>
    <mergeCell ref="USG7:USJ7"/>
    <mergeCell ref="USK7:USN7"/>
    <mergeCell ref="USO7:USR7"/>
    <mergeCell ref="USS7:USV7"/>
    <mergeCell ref="USW7:USZ7"/>
    <mergeCell ref="URM7:URP7"/>
    <mergeCell ref="URQ7:URT7"/>
    <mergeCell ref="URU7:URX7"/>
    <mergeCell ref="URY7:USB7"/>
    <mergeCell ref="USC7:USF7"/>
    <mergeCell ref="UQS7:UQV7"/>
    <mergeCell ref="UQW7:UQZ7"/>
    <mergeCell ref="URA7:URD7"/>
    <mergeCell ref="URE7:URH7"/>
    <mergeCell ref="URI7:URL7"/>
    <mergeCell ref="UPY7:UQB7"/>
    <mergeCell ref="UQC7:UQF7"/>
    <mergeCell ref="UQG7:UQJ7"/>
    <mergeCell ref="UQK7:UQN7"/>
    <mergeCell ref="UQO7:UQR7"/>
    <mergeCell ref="UPE7:UPH7"/>
    <mergeCell ref="UPI7:UPL7"/>
    <mergeCell ref="UPM7:UPP7"/>
    <mergeCell ref="UPQ7:UPT7"/>
    <mergeCell ref="UPU7:UPX7"/>
    <mergeCell ref="UOK7:UON7"/>
    <mergeCell ref="UOO7:UOR7"/>
    <mergeCell ref="UOS7:UOV7"/>
    <mergeCell ref="UOW7:UOZ7"/>
    <mergeCell ref="UPA7:UPD7"/>
    <mergeCell ref="UYK7:UYN7"/>
    <mergeCell ref="UYO7:UYR7"/>
    <mergeCell ref="UYS7:UYV7"/>
    <mergeCell ref="UYW7:UYZ7"/>
    <mergeCell ref="UZA7:UZD7"/>
    <mergeCell ref="UXQ7:UXT7"/>
    <mergeCell ref="UXU7:UXX7"/>
    <mergeCell ref="UXY7:UYB7"/>
    <mergeCell ref="UYC7:UYF7"/>
    <mergeCell ref="UYG7:UYJ7"/>
    <mergeCell ref="UWW7:UWZ7"/>
    <mergeCell ref="UXA7:UXD7"/>
    <mergeCell ref="UXE7:UXH7"/>
    <mergeCell ref="UXI7:UXL7"/>
    <mergeCell ref="UXM7:UXP7"/>
    <mergeCell ref="UWC7:UWF7"/>
    <mergeCell ref="UWG7:UWJ7"/>
    <mergeCell ref="UWK7:UWN7"/>
    <mergeCell ref="UWO7:UWR7"/>
    <mergeCell ref="UWS7:UWV7"/>
    <mergeCell ref="UVI7:UVL7"/>
    <mergeCell ref="UVM7:UVP7"/>
    <mergeCell ref="UVQ7:UVT7"/>
    <mergeCell ref="UVU7:UVX7"/>
    <mergeCell ref="UVY7:UWB7"/>
    <mergeCell ref="UUO7:UUR7"/>
    <mergeCell ref="UUS7:UUV7"/>
    <mergeCell ref="UUW7:UUZ7"/>
    <mergeCell ref="UVA7:UVD7"/>
    <mergeCell ref="UVE7:UVH7"/>
    <mergeCell ref="UTU7:UTX7"/>
    <mergeCell ref="UTY7:UUB7"/>
    <mergeCell ref="UUC7:UUF7"/>
    <mergeCell ref="UUG7:UUJ7"/>
    <mergeCell ref="UUK7:UUN7"/>
    <mergeCell ref="VDU7:VDX7"/>
    <mergeCell ref="VDY7:VEB7"/>
    <mergeCell ref="VEC7:VEF7"/>
    <mergeCell ref="VEG7:VEJ7"/>
    <mergeCell ref="VEK7:VEN7"/>
    <mergeCell ref="VDA7:VDD7"/>
    <mergeCell ref="VDE7:VDH7"/>
    <mergeCell ref="VDI7:VDL7"/>
    <mergeCell ref="VDM7:VDP7"/>
    <mergeCell ref="VDQ7:VDT7"/>
    <mergeCell ref="VCG7:VCJ7"/>
    <mergeCell ref="VCK7:VCN7"/>
    <mergeCell ref="VCO7:VCR7"/>
    <mergeCell ref="VCS7:VCV7"/>
    <mergeCell ref="VCW7:VCZ7"/>
    <mergeCell ref="VBM7:VBP7"/>
    <mergeCell ref="VBQ7:VBT7"/>
    <mergeCell ref="VBU7:VBX7"/>
    <mergeCell ref="VBY7:VCB7"/>
    <mergeCell ref="VCC7:VCF7"/>
    <mergeCell ref="VAS7:VAV7"/>
    <mergeCell ref="VAW7:VAZ7"/>
    <mergeCell ref="VBA7:VBD7"/>
    <mergeCell ref="VBE7:VBH7"/>
    <mergeCell ref="VBI7:VBL7"/>
    <mergeCell ref="UZY7:VAB7"/>
    <mergeCell ref="VAC7:VAF7"/>
    <mergeCell ref="VAG7:VAJ7"/>
    <mergeCell ref="VAK7:VAN7"/>
    <mergeCell ref="VAO7:VAR7"/>
    <mergeCell ref="UZE7:UZH7"/>
    <mergeCell ref="UZI7:UZL7"/>
    <mergeCell ref="UZM7:UZP7"/>
    <mergeCell ref="UZQ7:UZT7"/>
    <mergeCell ref="UZU7:UZX7"/>
    <mergeCell ref="VJE7:VJH7"/>
    <mergeCell ref="VJI7:VJL7"/>
    <mergeCell ref="VJM7:VJP7"/>
    <mergeCell ref="VJQ7:VJT7"/>
    <mergeCell ref="VJU7:VJX7"/>
    <mergeCell ref="VIK7:VIN7"/>
    <mergeCell ref="VIO7:VIR7"/>
    <mergeCell ref="VIS7:VIV7"/>
    <mergeCell ref="VIW7:VIZ7"/>
    <mergeCell ref="VJA7:VJD7"/>
    <mergeCell ref="VHQ7:VHT7"/>
    <mergeCell ref="VHU7:VHX7"/>
    <mergeCell ref="VHY7:VIB7"/>
    <mergeCell ref="VIC7:VIF7"/>
    <mergeCell ref="VIG7:VIJ7"/>
    <mergeCell ref="VGW7:VGZ7"/>
    <mergeCell ref="VHA7:VHD7"/>
    <mergeCell ref="VHE7:VHH7"/>
    <mergeCell ref="VHI7:VHL7"/>
    <mergeCell ref="VHM7:VHP7"/>
    <mergeCell ref="VGC7:VGF7"/>
    <mergeCell ref="VGG7:VGJ7"/>
    <mergeCell ref="VGK7:VGN7"/>
    <mergeCell ref="VGO7:VGR7"/>
    <mergeCell ref="VGS7:VGV7"/>
    <mergeCell ref="VFI7:VFL7"/>
    <mergeCell ref="VFM7:VFP7"/>
    <mergeCell ref="VFQ7:VFT7"/>
    <mergeCell ref="VFU7:VFX7"/>
    <mergeCell ref="VFY7:VGB7"/>
    <mergeCell ref="VEO7:VER7"/>
    <mergeCell ref="VES7:VEV7"/>
    <mergeCell ref="VEW7:VEZ7"/>
    <mergeCell ref="VFA7:VFD7"/>
    <mergeCell ref="VFE7:VFH7"/>
    <mergeCell ref="VOO7:VOR7"/>
    <mergeCell ref="VOS7:VOV7"/>
    <mergeCell ref="VOW7:VOZ7"/>
    <mergeCell ref="VPA7:VPD7"/>
    <mergeCell ref="VPE7:VPH7"/>
    <mergeCell ref="VNU7:VNX7"/>
    <mergeCell ref="VNY7:VOB7"/>
    <mergeCell ref="VOC7:VOF7"/>
    <mergeCell ref="VOG7:VOJ7"/>
    <mergeCell ref="VOK7:VON7"/>
    <mergeCell ref="VNA7:VND7"/>
    <mergeCell ref="VNE7:VNH7"/>
    <mergeCell ref="VNI7:VNL7"/>
    <mergeCell ref="VNM7:VNP7"/>
    <mergeCell ref="VNQ7:VNT7"/>
    <mergeCell ref="VMG7:VMJ7"/>
    <mergeCell ref="VMK7:VMN7"/>
    <mergeCell ref="VMO7:VMR7"/>
    <mergeCell ref="VMS7:VMV7"/>
    <mergeCell ref="VMW7:VMZ7"/>
    <mergeCell ref="VLM7:VLP7"/>
    <mergeCell ref="VLQ7:VLT7"/>
    <mergeCell ref="VLU7:VLX7"/>
    <mergeCell ref="VLY7:VMB7"/>
    <mergeCell ref="VMC7:VMF7"/>
    <mergeCell ref="VKS7:VKV7"/>
    <mergeCell ref="VKW7:VKZ7"/>
    <mergeCell ref="VLA7:VLD7"/>
    <mergeCell ref="VLE7:VLH7"/>
    <mergeCell ref="VLI7:VLL7"/>
    <mergeCell ref="VJY7:VKB7"/>
    <mergeCell ref="VKC7:VKF7"/>
    <mergeCell ref="VKG7:VKJ7"/>
    <mergeCell ref="VKK7:VKN7"/>
    <mergeCell ref="VKO7:VKR7"/>
    <mergeCell ref="VTY7:VUB7"/>
    <mergeCell ref="VUC7:VUF7"/>
    <mergeCell ref="VUG7:VUJ7"/>
    <mergeCell ref="VUK7:VUN7"/>
    <mergeCell ref="VUO7:VUR7"/>
    <mergeCell ref="VTE7:VTH7"/>
    <mergeCell ref="VTI7:VTL7"/>
    <mergeCell ref="VTM7:VTP7"/>
    <mergeCell ref="VTQ7:VTT7"/>
    <mergeCell ref="VTU7:VTX7"/>
    <mergeCell ref="VSK7:VSN7"/>
    <mergeCell ref="VSO7:VSR7"/>
    <mergeCell ref="VSS7:VSV7"/>
    <mergeCell ref="VSW7:VSZ7"/>
    <mergeCell ref="VTA7:VTD7"/>
    <mergeCell ref="VRQ7:VRT7"/>
    <mergeCell ref="VRU7:VRX7"/>
    <mergeCell ref="VRY7:VSB7"/>
    <mergeCell ref="VSC7:VSF7"/>
    <mergeCell ref="VSG7:VSJ7"/>
    <mergeCell ref="VQW7:VQZ7"/>
    <mergeCell ref="VRA7:VRD7"/>
    <mergeCell ref="VRE7:VRH7"/>
    <mergeCell ref="VRI7:VRL7"/>
    <mergeCell ref="VRM7:VRP7"/>
    <mergeCell ref="VQC7:VQF7"/>
    <mergeCell ref="VQG7:VQJ7"/>
    <mergeCell ref="VQK7:VQN7"/>
    <mergeCell ref="VQO7:VQR7"/>
    <mergeCell ref="VQS7:VQV7"/>
    <mergeCell ref="VPI7:VPL7"/>
    <mergeCell ref="VPM7:VPP7"/>
    <mergeCell ref="VPQ7:VPT7"/>
    <mergeCell ref="VPU7:VPX7"/>
    <mergeCell ref="VPY7:VQB7"/>
    <mergeCell ref="VZI7:VZL7"/>
    <mergeCell ref="VZM7:VZP7"/>
    <mergeCell ref="VZQ7:VZT7"/>
    <mergeCell ref="VZU7:VZX7"/>
    <mergeCell ref="VZY7:WAB7"/>
    <mergeCell ref="VYO7:VYR7"/>
    <mergeCell ref="VYS7:VYV7"/>
    <mergeCell ref="VYW7:VYZ7"/>
    <mergeCell ref="VZA7:VZD7"/>
    <mergeCell ref="VZE7:VZH7"/>
    <mergeCell ref="VXU7:VXX7"/>
    <mergeCell ref="VXY7:VYB7"/>
    <mergeCell ref="VYC7:VYF7"/>
    <mergeCell ref="VYG7:VYJ7"/>
    <mergeCell ref="VYK7:VYN7"/>
    <mergeCell ref="VXA7:VXD7"/>
    <mergeCell ref="VXE7:VXH7"/>
    <mergeCell ref="VXI7:VXL7"/>
    <mergeCell ref="VXM7:VXP7"/>
    <mergeCell ref="VXQ7:VXT7"/>
    <mergeCell ref="VWG7:VWJ7"/>
    <mergeCell ref="VWK7:VWN7"/>
    <mergeCell ref="VWO7:VWR7"/>
    <mergeCell ref="VWS7:VWV7"/>
    <mergeCell ref="VWW7:VWZ7"/>
    <mergeCell ref="VVM7:VVP7"/>
    <mergeCell ref="VVQ7:VVT7"/>
    <mergeCell ref="VVU7:VVX7"/>
    <mergeCell ref="VVY7:VWB7"/>
    <mergeCell ref="VWC7:VWF7"/>
    <mergeCell ref="VUS7:VUV7"/>
    <mergeCell ref="VUW7:VUZ7"/>
    <mergeCell ref="VVA7:VVD7"/>
    <mergeCell ref="VVE7:VVH7"/>
    <mergeCell ref="VVI7:VVL7"/>
    <mergeCell ref="WES7:WEV7"/>
    <mergeCell ref="WEW7:WEZ7"/>
    <mergeCell ref="WFA7:WFD7"/>
    <mergeCell ref="WFE7:WFH7"/>
    <mergeCell ref="WFI7:WFL7"/>
    <mergeCell ref="WDY7:WEB7"/>
    <mergeCell ref="WEC7:WEF7"/>
    <mergeCell ref="WEG7:WEJ7"/>
    <mergeCell ref="WEK7:WEN7"/>
    <mergeCell ref="WEO7:WER7"/>
    <mergeCell ref="WDE7:WDH7"/>
    <mergeCell ref="WDI7:WDL7"/>
    <mergeCell ref="WDM7:WDP7"/>
    <mergeCell ref="WDQ7:WDT7"/>
    <mergeCell ref="WDU7:WDX7"/>
    <mergeCell ref="WCK7:WCN7"/>
    <mergeCell ref="WCO7:WCR7"/>
    <mergeCell ref="WCS7:WCV7"/>
    <mergeCell ref="WCW7:WCZ7"/>
    <mergeCell ref="WDA7:WDD7"/>
    <mergeCell ref="WBQ7:WBT7"/>
    <mergeCell ref="WBU7:WBX7"/>
    <mergeCell ref="WBY7:WCB7"/>
    <mergeCell ref="WCC7:WCF7"/>
    <mergeCell ref="WCG7:WCJ7"/>
    <mergeCell ref="WAW7:WAZ7"/>
    <mergeCell ref="WBA7:WBD7"/>
    <mergeCell ref="WBE7:WBH7"/>
    <mergeCell ref="WBI7:WBL7"/>
    <mergeCell ref="WBM7:WBP7"/>
    <mergeCell ref="WAC7:WAF7"/>
    <mergeCell ref="WAG7:WAJ7"/>
    <mergeCell ref="WAK7:WAN7"/>
    <mergeCell ref="WAO7:WAR7"/>
    <mergeCell ref="WAS7:WAV7"/>
    <mergeCell ref="WKC7:WKF7"/>
    <mergeCell ref="WKG7:WKJ7"/>
    <mergeCell ref="WKK7:WKN7"/>
    <mergeCell ref="WKO7:WKR7"/>
    <mergeCell ref="WKS7:WKV7"/>
    <mergeCell ref="WJI7:WJL7"/>
    <mergeCell ref="WJM7:WJP7"/>
    <mergeCell ref="WJQ7:WJT7"/>
    <mergeCell ref="WJU7:WJX7"/>
    <mergeCell ref="WJY7:WKB7"/>
    <mergeCell ref="WIO7:WIR7"/>
    <mergeCell ref="WIS7:WIV7"/>
    <mergeCell ref="WIW7:WIZ7"/>
    <mergeCell ref="WJA7:WJD7"/>
    <mergeCell ref="WJE7:WJH7"/>
    <mergeCell ref="WHU7:WHX7"/>
    <mergeCell ref="WHY7:WIB7"/>
    <mergeCell ref="WIC7:WIF7"/>
    <mergeCell ref="WIG7:WIJ7"/>
    <mergeCell ref="WIK7:WIN7"/>
    <mergeCell ref="WHA7:WHD7"/>
    <mergeCell ref="WHE7:WHH7"/>
    <mergeCell ref="WHI7:WHL7"/>
    <mergeCell ref="WHM7:WHP7"/>
    <mergeCell ref="WHQ7:WHT7"/>
    <mergeCell ref="WGG7:WGJ7"/>
    <mergeCell ref="WGK7:WGN7"/>
    <mergeCell ref="WGO7:WGR7"/>
    <mergeCell ref="WGS7:WGV7"/>
    <mergeCell ref="WGW7:WGZ7"/>
    <mergeCell ref="WFM7:WFP7"/>
    <mergeCell ref="WFQ7:WFT7"/>
    <mergeCell ref="WFU7:WFX7"/>
    <mergeCell ref="WFY7:WGB7"/>
    <mergeCell ref="WGC7:WGF7"/>
    <mergeCell ref="WPM7:WPP7"/>
    <mergeCell ref="WPQ7:WPT7"/>
    <mergeCell ref="WPU7:WPX7"/>
    <mergeCell ref="WPY7:WQB7"/>
    <mergeCell ref="WQC7:WQF7"/>
    <mergeCell ref="WOS7:WOV7"/>
    <mergeCell ref="WOW7:WOZ7"/>
    <mergeCell ref="WPA7:WPD7"/>
    <mergeCell ref="WPE7:WPH7"/>
    <mergeCell ref="WPI7:WPL7"/>
    <mergeCell ref="WNY7:WOB7"/>
    <mergeCell ref="WOC7:WOF7"/>
    <mergeCell ref="WOG7:WOJ7"/>
    <mergeCell ref="WOK7:WON7"/>
    <mergeCell ref="WOO7:WOR7"/>
    <mergeCell ref="WNE7:WNH7"/>
    <mergeCell ref="WNI7:WNL7"/>
    <mergeCell ref="WNM7:WNP7"/>
    <mergeCell ref="WNQ7:WNT7"/>
    <mergeCell ref="WNU7:WNX7"/>
    <mergeCell ref="WMK7:WMN7"/>
    <mergeCell ref="WMO7:WMR7"/>
    <mergeCell ref="WMS7:WMV7"/>
    <mergeCell ref="WMW7:WMZ7"/>
    <mergeCell ref="WNA7:WND7"/>
    <mergeCell ref="WLQ7:WLT7"/>
    <mergeCell ref="WLU7:WLX7"/>
    <mergeCell ref="WLY7:WMB7"/>
    <mergeCell ref="WMC7:WMF7"/>
    <mergeCell ref="WMG7:WMJ7"/>
    <mergeCell ref="WKW7:WKZ7"/>
    <mergeCell ref="WLA7:WLD7"/>
    <mergeCell ref="WLE7:WLH7"/>
    <mergeCell ref="WLI7:WLL7"/>
    <mergeCell ref="WLM7:WLP7"/>
    <mergeCell ref="WUW7:WUZ7"/>
    <mergeCell ref="WVA7:WVD7"/>
    <mergeCell ref="WVE7:WVH7"/>
    <mergeCell ref="WVI7:WVL7"/>
    <mergeCell ref="WVM7:WVP7"/>
    <mergeCell ref="WUC7:WUF7"/>
    <mergeCell ref="WUG7:WUJ7"/>
    <mergeCell ref="WUK7:WUN7"/>
    <mergeCell ref="WUO7:WUR7"/>
    <mergeCell ref="WUS7:WUV7"/>
    <mergeCell ref="WTI7:WTL7"/>
    <mergeCell ref="WTM7:WTP7"/>
    <mergeCell ref="WTQ7:WTT7"/>
    <mergeCell ref="WTU7:WTX7"/>
    <mergeCell ref="WTY7:WUB7"/>
    <mergeCell ref="WSO7:WSR7"/>
    <mergeCell ref="WSS7:WSV7"/>
    <mergeCell ref="WSW7:WSZ7"/>
    <mergeCell ref="WTA7:WTD7"/>
    <mergeCell ref="WTE7:WTH7"/>
    <mergeCell ref="WRU7:WRX7"/>
    <mergeCell ref="WRY7:WSB7"/>
    <mergeCell ref="WSC7:WSF7"/>
    <mergeCell ref="WSG7:WSJ7"/>
    <mergeCell ref="WSK7:WSN7"/>
    <mergeCell ref="WRA7:WRD7"/>
    <mergeCell ref="WRE7:WRH7"/>
    <mergeCell ref="WRI7:WRL7"/>
    <mergeCell ref="WRM7:WRP7"/>
    <mergeCell ref="WRQ7:WRT7"/>
    <mergeCell ref="WQG7:WQJ7"/>
    <mergeCell ref="WQK7:WQN7"/>
    <mergeCell ref="WQO7:WQR7"/>
    <mergeCell ref="WQS7:WQV7"/>
    <mergeCell ref="WQW7:WQZ7"/>
    <mergeCell ref="XBM7:XBP7"/>
    <mergeCell ref="XBQ7:XBT7"/>
    <mergeCell ref="XAG7:XAJ7"/>
    <mergeCell ref="XAK7:XAN7"/>
    <mergeCell ref="XAO7:XAR7"/>
    <mergeCell ref="XAS7:XAV7"/>
    <mergeCell ref="XAW7:XAZ7"/>
    <mergeCell ref="WZM7:WZP7"/>
    <mergeCell ref="WZQ7:WZT7"/>
    <mergeCell ref="WZU7:WZX7"/>
    <mergeCell ref="WZY7:XAB7"/>
    <mergeCell ref="XAC7:XAF7"/>
    <mergeCell ref="WYS7:WYV7"/>
    <mergeCell ref="WYW7:WYZ7"/>
    <mergeCell ref="WZA7:WZD7"/>
    <mergeCell ref="WZE7:WZH7"/>
    <mergeCell ref="WZI7:WZL7"/>
    <mergeCell ref="WXY7:WYB7"/>
    <mergeCell ref="WYC7:WYF7"/>
    <mergeCell ref="WYG7:WYJ7"/>
    <mergeCell ref="WYK7:WYN7"/>
    <mergeCell ref="WYO7:WYR7"/>
    <mergeCell ref="WXE7:WXH7"/>
    <mergeCell ref="WXI7:WXL7"/>
    <mergeCell ref="WXM7:WXP7"/>
    <mergeCell ref="WXQ7:WXT7"/>
    <mergeCell ref="WXU7:WXX7"/>
    <mergeCell ref="WWK7:WWN7"/>
    <mergeCell ref="WWO7:WWR7"/>
    <mergeCell ref="WWS7:WWV7"/>
    <mergeCell ref="WWW7:WWZ7"/>
    <mergeCell ref="WXA7:WXD7"/>
    <mergeCell ref="WVQ7:WVT7"/>
    <mergeCell ref="WVU7:WVX7"/>
    <mergeCell ref="WVY7:WWB7"/>
    <mergeCell ref="WWC7:WWF7"/>
    <mergeCell ref="WWG7:WWJ7"/>
    <mergeCell ref="EG9:EJ9"/>
    <mergeCell ref="EK9:EN9"/>
    <mergeCell ref="EO9:ER9"/>
    <mergeCell ref="ES9:EV9"/>
    <mergeCell ref="EW9:EZ9"/>
    <mergeCell ref="DM9:DP9"/>
    <mergeCell ref="DQ9:DT9"/>
    <mergeCell ref="DU9:DX9"/>
    <mergeCell ref="DY9:EB9"/>
    <mergeCell ref="EC9:EF9"/>
    <mergeCell ref="CS9:CV9"/>
    <mergeCell ref="CW9:CZ9"/>
    <mergeCell ref="DA9:DD9"/>
    <mergeCell ref="DE9:DH9"/>
    <mergeCell ref="DI9:DL9"/>
    <mergeCell ref="BY9:CB9"/>
    <mergeCell ref="CC9:CF9"/>
    <mergeCell ref="CG9:CJ9"/>
    <mergeCell ref="CK9:CN9"/>
    <mergeCell ref="CO9:CR9"/>
    <mergeCell ref="BE9:BH9"/>
    <mergeCell ref="BI9:BL9"/>
    <mergeCell ref="BM9:BP9"/>
    <mergeCell ref="BQ9:BT9"/>
    <mergeCell ref="BU9:BX9"/>
    <mergeCell ref="XEW7:XEZ7"/>
    <mergeCell ref="XFA7:XFD7"/>
    <mergeCell ref="B9:E9"/>
    <mergeCell ref="F9:I9"/>
    <mergeCell ref="J9:M9"/>
    <mergeCell ref="N9:P9"/>
    <mergeCell ref="Q9:T9"/>
    <mergeCell ref="U9:X9"/>
    <mergeCell ref="Y9:AB9"/>
    <mergeCell ref="AC9:AF9"/>
    <mergeCell ref="AG9:AJ9"/>
    <mergeCell ref="AK9:AN9"/>
    <mergeCell ref="AO9:AR9"/>
    <mergeCell ref="AS9:AV9"/>
    <mergeCell ref="AW9:AZ9"/>
    <mergeCell ref="BA9:BD9"/>
    <mergeCell ref="XEC7:XEF7"/>
    <mergeCell ref="XEG7:XEJ7"/>
    <mergeCell ref="XEK7:XEN7"/>
    <mergeCell ref="XEO7:XER7"/>
    <mergeCell ref="XES7:XEV7"/>
    <mergeCell ref="XDI7:XDL7"/>
    <mergeCell ref="XDM7:XDP7"/>
    <mergeCell ref="XDQ7:XDT7"/>
    <mergeCell ref="XDU7:XDX7"/>
    <mergeCell ref="XDY7:XEB7"/>
    <mergeCell ref="XCO7:XCR7"/>
    <mergeCell ref="XCS7:XCV7"/>
    <mergeCell ref="XCW7:XCZ7"/>
    <mergeCell ref="XDA7:XDD7"/>
    <mergeCell ref="XDE7:XDH7"/>
    <mergeCell ref="XBU7:XBX7"/>
    <mergeCell ref="XBY7:XCB7"/>
    <mergeCell ref="XCC7:XCF7"/>
    <mergeCell ref="XCG7:XCJ7"/>
    <mergeCell ref="XCK7:XCN7"/>
    <mergeCell ref="XBA7:XBD7"/>
    <mergeCell ref="XBE7:XBH7"/>
    <mergeCell ref="XBI7:XBL7"/>
    <mergeCell ref="JQ9:JT9"/>
    <mergeCell ref="JU9:JX9"/>
    <mergeCell ref="JY9:KB9"/>
    <mergeCell ref="KC9:KF9"/>
    <mergeCell ref="KG9:KJ9"/>
    <mergeCell ref="IW9:IZ9"/>
    <mergeCell ref="JA9:JD9"/>
    <mergeCell ref="JE9:JH9"/>
    <mergeCell ref="JI9:JL9"/>
    <mergeCell ref="JM9:JP9"/>
    <mergeCell ref="IC9:IF9"/>
    <mergeCell ref="IG9:IJ9"/>
    <mergeCell ref="IK9:IN9"/>
    <mergeCell ref="IO9:IR9"/>
    <mergeCell ref="IS9:IV9"/>
    <mergeCell ref="HI9:HL9"/>
    <mergeCell ref="HM9:HP9"/>
    <mergeCell ref="HQ9:HT9"/>
    <mergeCell ref="HU9:HX9"/>
    <mergeCell ref="HY9:IB9"/>
    <mergeCell ref="GO9:GR9"/>
    <mergeCell ref="GS9:GV9"/>
    <mergeCell ref="GW9:GZ9"/>
    <mergeCell ref="HA9:HD9"/>
    <mergeCell ref="HE9:HH9"/>
    <mergeCell ref="FU9:FX9"/>
    <mergeCell ref="FY9:GB9"/>
    <mergeCell ref="GC9:GF9"/>
    <mergeCell ref="GG9:GJ9"/>
    <mergeCell ref="GK9:GN9"/>
    <mergeCell ref="FA9:FD9"/>
    <mergeCell ref="FE9:FH9"/>
    <mergeCell ref="FI9:FL9"/>
    <mergeCell ref="FM9:FP9"/>
    <mergeCell ref="FQ9:FT9"/>
    <mergeCell ref="PA9:PD9"/>
    <mergeCell ref="PE9:PH9"/>
    <mergeCell ref="PI9:PL9"/>
    <mergeCell ref="PM9:PP9"/>
    <mergeCell ref="PQ9:PT9"/>
    <mergeCell ref="OG9:OJ9"/>
    <mergeCell ref="OK9:ON9"/>
    <mergeCell ref="OO9:OR9"/>
    <mergeCell ref="OS9:OV9"/>
    <mergeCell ref="OW9:OZ9"/>
    <mergeCell ref="NM9:NP9"/>
    <mergeCell ref="NQ9:NT9"/>
    <mergeCell ref="NU9:NX9"/>
    <mergeCell ref="NY9:OB9"/>
    <mergeCell ref="OC9:OF9"/>
    <mergeCell ref="MS9:MV9"/>
    <mergeCell ref="MW9:MZ9"/>
    <mergeCell ref="NA9:ND9"/>
    <mergeCell ref="NE9:NH9"/>
    <mergeCell ref="NI9:NL9"/>
    <mergeCell ref="LY9:MB9"/>
    <mergeCell ref="MC9:MF9"/>
    <mergeCell ref="MG9:MJ9"/>
    <mergeCell ref="MK9:MN9"/>
    <mergeCell ref="MO9:MR9"/>
    <mergeCell ref="LE9:LH9"/>
    <mergeCell ref="LI9:LL9"/>
    <mergeCell ref="LM9:LP9"/>
    <mergeCell ref="LQ9:LT9"/>
    <mergeCell ref="LU9:LX9"/>
    <mergeCell ref="KK9:KN9"/>
    <mergeCell ref="KO9:KR9"/>
    <mergeCell ref="KS9:KV9"/>
    <mergeCell ref="KW9:KZ9"/>
    <mergeCell ref="LA9:LD9"/>
    <mergeCell ref="UK9:UN9"/>
    <mergeCell ref="UO9:UR9"/>
    <mergeCell ref="US9:UV9"/>
    <mergeCell ref="UW9:UZ9"/>
    <mergeCell ref="VA9:VD9"/>
    <mergeCell ref="TQ9:TT9"/>
    <mergeCell ref="TU9:TX9"/>
    <mergeCell ref="TY9:UB9"/>
    <mergeCell ref="UC9:UF9"/>
    <mergeCell ref="UG9:UJ9"/>
    <mergeCell ref="SW9:SZ9"/>
    <mergeCell ref="TA9:TD9"/>
    <mergeCell ref="TE9:TH9"/>
    <mergeCell ref="TI9:TL9"/>
    <mergeCell ref="TM9:TP9"/>
    <mergeCell ref="SC9:SF9"/>
    <mergeCell ref="SG9:SJ9"/>
    <mergeCell ref="SK9:SN9"/>
    <mergeCell ref="SO9:SR9"/>
    <mergeCell ref="SS9:SV9"/>
    <mergeCell ref="RI9:RL9"/>
    <mergeCell ref="RM9:RP9"/>
    <mergeCell ref="RQ9:RT9"/>
    <mergeCell ref="RU9:RX9"/>
    <mergeCell ref="RY9:SB9"/>
    <mergeCell ref="QO9:QR9"/>
    <mergeCell ref="QS9:QV9"/>
    <mergeCell ref="QW9:QZ9"/>
    <mergeCell ref="RA9:RD9"/>
    <mergeCell ref="RE9:RH9"/>
    <mergeCell ref="PU9:PX9"/>
    <mergeCell ref="PY9:QB9"/>
    <mergeCell ref="QC9:QF9"/>
    <mergeCell ref="QG9:QJ9"/>
    <mergeCell ref="QK9:QN9"/>
    <mergeCell ref="ZU9:ZX9"/>
    <mergeCell ref="ZY9:AAB9"/>
    <mergeCell ref="AAC9:AAF9"/>
    <mergeCell ref="AAG9:AAJ9"/>
    <mergeCell ref="AAK9:AAN9"/>
    <mergeCell ref="ZA9:ZD9"/>
    <mergeCell ref="ZE9:ZH9"/>
    <mergeCell ref="ZI9:ZL9"/>
    <mergeCell ref="ZM9:ZP9"/>
    <mergeCell ref="ZQ9:ZT9"/>
    <mergeCell ref="YG9:YJ9"/>
    <mergeCell ref="YK9:YN9"/>
    <mergeCell ref="YO9:YR9"/>
    <mergeCell ref="YS9:YV9"/>
    <mergeCell ref="YW9:YZ9"/>
    <mergeCell ref="XM9:XP9"/>
    <mergeCell ref="XQ9:XT9"/>
    <mergeCell ref="XU9:XX9"/>
    <mergeCell ref="XY9:YB9"/>
    <mergeCell ref="YC9:YF9"/>
    <mergeCell ref="WS9:WV9"/>
    <mergeCell ref="WW9:WZ9"/>
    <mergeCell ref="XA9:XD9"/>
    <mergeCell ref="XE9:XH9"/>
    <mergeCell ref="XI9:XL9"/>
    <mergeCell ref="VY9:WB9"/>
    <mergeCell ref="WC9:WF9"/>
    <mergeCell ref="WG9:WJ9"/>
    <mergeCell ref="WK9:WN9"/>
    <mergeCell ref="WO9:WR9"/>
    <mergeCell ref="VE9:VH9"/>
    <mergeCell ref="VI9:VL9"/>
    <mergeCell ref="VM9:VP9"/>
    <mergeCell ref="VQ9:VT9"/>
    <mergeCell ref="VU9:VX9"/>
    <mergeCell ref="AFE9:AFH9"/>
    <mergeCell ref="AFI9:AFL9"/>
    <mergeCell ref="AFM9:AFP9"/>
    <mergeCell ref="AFQ9:AFT9"/>
    <mergeCell ref="AFU9:AFX9"/>
    <mergeCell ref="AEK9:AEN9"/>
    <mergeCell ref="AEO9:AER9"/>
    <mergeCell ref="AES9:AEV9"/>
    <mergeCell ref="AEW9:AEZ9"/>
    <mergeCell ref="AFA9:AFD9"/>
    <mergeCell ref="ADQ9:ADT9"/>
    <mergeCell ref="ADU9:ADX9"/>
    <mergeCell ref="ADY9:AEB9"/>
    <mergeCell ref="AEC9:AEF9"/>
    <mergeCell ref="AEG9:AEJ9"/>
    <mergeCell ref="ACW9:ACZ9"/>
    <mergeCell ref="ADA9:ADD9"/>
    <mergeCell ref="ADE9:ADH9"/>
    <mergeCell ref="ADI9:ADL9"/>
    <mergeCell ref="ADM9:ADP9"/>
    <mergeCell ref="ACC9:ACF9"/>
    <mergeCell ref="ACG9:ACJ9"/>
    <mergeCell ref="ACK9:ACN9"/>
    <mergeCell ref="ACO9:ACR9"/>
    <mergeCell ref="ACS9:ACV9"/>
    <mergeCell ref="ABI9:ABL9"/>
    <mergeCell ref="ABM9:ABP9"/>
    <mergeCell ref="ABQ9:ABT9"/>
    <mergeCell ref="ABU9:ABX9"/>
    <mergeCell ref="ABY9:ACB9"/>
    <mergeCell ref="AAO9:AAR9"/>
    <mergeCell ref="AAS9:AAV9"/>
    <mergeCell ref="AAW9:AAZ9"/>
    <mergeCell ref="ABA9:ABD9"/>
    <mergeCell ref="ABE9:ABH9"/>
    <mergeCell ref="AKO9:AKR9"/>
    <mergeCell ref="AKS9:AKV9"/>
    <mergeCell ref="AKW9:AKZ9"/>
    <mergeCell ref="ALA9:ALD9"/>
    <mergeCell ref="ALE9:ALH9"/>
    <mergeCell ref="AJU9:AJX9"/>
    <mergeCell ref="AJY9:AKB9"/>
    <mergeCell ref="AKC9:AKF9"/>
    <mergeCell ref="AKG9:AKJ9"/>
    <mergeCell ref="AKK9:AKN9"/>
    <mergeCell ref="AJA9:AJD9"/>
    <mergeCell ref="AJE9:AJH9"/>
    <mergeCell ref="AJI9:AJL9"/>
    <mergeCell ref="AJM9:AJP9"/>
    <mergeCell ref="AJQ9:AJT9"/>
    <mergeCell ref="AIG9:AIJ9"/>
    <mergeCell ref="AIK9:AIN9"/>
    <mergeCell ref="AIO9:AIR9"/>
    <mergeCell ref="AIS9:AIV9"/>
    <mergeCell ref="AIW9:AIZ9"/>
    <mergeCell ref="AHM9:AHP9"/>
    <mergeCell ref="AHQ9:AHT9"/>
    <mergeCell ref="AHU9:AHX9"/>
    <mergeCell ref="AHY9:AIB9"/>
    <mergeCell ref="AIC9:AIF9"/>
    <mergeCell ref="AGS9:AGV9"/>
    <mergeCell ref="AGW9:AGZ9"/>
    <mergeCell ref="AHA9:AHD9"/>
    <mergeCell ref="AHE9:AHH9"/>
    <mergeCell ref="AHI9:AHL9"/>
    <mergeCell ref="AFY9:AGB9"/>
    <mergeCell ref="AGC9:AGF9"/>
    <mergeCell ref="AGG9:AGJ9"/>
    <mergeCell ref="AGK9:AGN9"/>
    <mergeCell ref="AGO9:AGR9"/>
    <mergeCell ref="APY9:AQB9"/>
    <mergeCell ref="AQC9:AQF9"/>
    <mergeCell ref="AQG9:AQJ9"/>
    <mergeCell ref="AQK9:AQN9"/>
    <mergeCell ref="AQO9:AQR9"/>
    <mergeCell ref="APE9:APH9"/>
    <mergeCell ref="API9:APL9"/>
    <mergeCell ref="APM9:APP9"/>
    <mergeCell ref="APQ9:APT9"/>
    <mergeCell ref="APU9:APX9"/>
    <mergeCell ref="AOK9:AON9"/>
    <mergeCell ref="AOO9:AOR9"/>
    <mergeCell ref="AOS9:AOV9"/>
    <mergeCell ref="AOW9:AOZ9"/>
    <mergeCell ref="APA9:APD9"/>
    <mergeCell ref="ANQ9:ANT9"/>
    <mergeCell ref="ANU9:ANX9"/>
    <mergeCell ref="ANY9:AOB9"/>
    <mergeCell ref="AOC9:AOF9"/>
    <mergeCell ref="AOG9:AOJ9"/>
    <mergeCell ref="AMW9:AMZ9"/>
    <mergeCell ref="ANA9:AND9"/>
    <mergeCell ref="ANE9:ANH9"/>
    <mergeCell ref="ANI9:ANL9"/>
    <mergeCell ref="ANM9:ANP9"/>
    <mergeCell ref="AMC9:AMF9"/>
    <mergeCell ref="AMG9:AMJ9"/>
    <mergeCell ref="AMK9:AMN9"/>
    <mergeCell ref="AMO9:AMR9"/>
    <mergeCell ref="AMS9:AMV9"/>
    <mergeCell ref="ALI9:ALL9"/>
    <mergeCell ref="ALM9:ALP9"/>
    <mergeCell ref="ALQ9:ALT9"/>
    <mergeCell ref="ALU9:ALX9"/>
    <mergeCell ref="ALY9:AMB9"/>
    <mergeCell ref="AVI9:AVL9"/>
    <mergeCell ref="AVM9:AVP9"/>
    <mergeCell ref="AVQ9:AVT9"/>
    <mergeCell ref="AVU9:AVX9"/>
    <mergeCell ref="AVY9:AWB9"/>
    <mergeCell ref="AUO9:AUR9"/>
    <mergeCell ref="AUS9:AUV9"/>
    <mergeCell ref="AUW9:AUZ9"/>
    <mergeCell ref="AVA9:AVD9"/>
    <mergeCell ref="AVE9:AVH9"/>
    <mergeCell ref="ATU9:ATX9"/>
    <mergeCell ref="ATY9:AUB9"/>
    <mergeCell ref="AUC9:AUF9"/>
    <mergeCell ref="AUG9:AUJ9"/>
    <mergeCell ref="AUK9:AUN9"/>
    <mergeCell ref="ATA9:ATD9"/>
    <mergeCell ref="ATE9:ATH9"/>
    <mergeCell ref="ATI9:ATL9"/>
    <mergeCell ref="ATM9:ATP9"/>
    <mergeCell ref="ATQ9:ATT9"/>
    <mergeCell ref="ASG9:ASJ9"/>
    <mergeCell ref="ASK9:ASN9"/>
    <mergeCell ref="ASO9:ASR9"/>
    <mergeCell ref="ASS9:ASV9"/>
    <mergeCell ref="ASW9:ASZ9"/>
    <mergeCell ref="ARM9:ARP9"/>
    <mergeCell ref="ARQ9:ART9"/>
    <mergeCell ref="ARU9:ARX9"/>
    <mergeCell ref="ARY9:ASB9"/>
    <mergeCell ref="ASC9:ASF9"/>
    <mergeCell ref="AQS9:AQV9"/>
    <mergeCell ref="AQW9:AQZ9"/>
    <mergeCell ref="ARA9:ARD9"/>
    <mergeCell ref="ARE9:ARH9"/>
    <mergeCell ref="ARI9:ARL9"/>
    <mergeCell ref="BAS9:BAV9"/>
    <mergeCell ref="BAW9:BAZ9"/>
    <mergeCell ref="BBA9:BBD9"/>
    <mergeCell ref="BBE9:BBH9"/>
    <mergeCell ref="BBI9:BBL9"/>
    <mergeCell ref="AZY9:BAB9"/>
    <mergeCell ref="BAC9:BAF9"/>
    <mergeCell ref="BAG9:BAJ9"/>
    <mergeCell ref="BAK9:BAN9"/>
    <mergeCell ref="BAO9:BAR9"/>
    <mergeCell ref="AZE9:AZH9"/>
    <mergeCell ref="AZI9:AZL9"/>
    <mergeCell ref="AZM9:AZP9"/>
    <mergeCell ref="AZQ9:AZT9"/>
    <mergeCell ref="AZU9:AZX9"/>
    <mergeCell ref="AYK9:AYN9"/>
    <mergeCell ref="AYO9:AYR9"/>
    <mergeCell ref="AYS9:AYV9"/>
    <mergeCell ref="AYW9:AYZ9"/>
    <mergeCell ref="AZA9:AZD9"/>
    <mergeCell ref="AXQ9:AXT9"/>
    <mergeCell ref="AXU9:AXX9"/>
    <mergeCell ref="AXY9:AYB9"/>
    <mergeCell ref="AYC9:AYF9"/>
    <mergeCell ref="AYG9:AYJ9"/>
    <mergeCell ref="AWW9:AWZ9"/>
    <mergeCell ref="AXA9:AXD9"/>
    <mergeCell ref="AXE9:AXH9"/>
    <mergeCell ref="AXI9:AXL9"/>
    <mergeCell ref="AXM9:AXP9"/>
    <mergeCell ref="AWC9:AWF9"/>
    <mergeCell ref="AWG9:AWJ9"/>
    <mergeCell ref="AWK9:AWN9"/>
    <mergeCell ref="AWO9:AWR9"/>
    <mergeCell ref="AWS9:AWV9"/>
    <mergeCell ref="BGC9:BGF9"/>
    <mergeCell ref="BGG9:BGJ9"/>
    <mergeCell ref="BGK9:BGN9"/>
    <mergeCell ref="BGO9:BGR9"/>
    <mergeCell ref="BGS9:BGV9"/>
    <mergeCell ref="BFI9:BFL9"/>
    <mergeCell ref="BFM9:BFP9"/>
    <mergeCell ref="BFQ9:BFT9"/>
    <mergeCell ref="BFU9:BFX9"/>
    <mergeCell ref="BFY9:BGB9"/>
    <mergeCell ref="BEO9:BER9"/>
    <mergeCell ref="BES9:BEV9"/>
    <mergeCell ref="BEW9:BEZ9"/>
    <mergeCell ref="BFA9:BFD9"/>
    <mergeCell ref="BFE9:BFH9"/>
    <mergeCell ref="BDU9:BDX9"/>
    <mergeCell ref="BDY9:BEB9"/>
    <mergeCell ref="BEC9:BEF9"/>
    <mergeCell ref="BEG9:BEJ9"/>
    <mergeCell ref="BEK9:BEN9"/>
    <mergeCell ref="BDA9:BDD9"/>
    <mergeCell ref="BDE9:BDH9"/>
    <mergeCell ref="BDI9:BDL9"/>
    <mergeCell ref="BDM9:BDP9"/>
    <mergeCell ref="BDQ9:BDT9"/>
    <mergeCell ref="BCG9:BCJ9"/>
    <mergeCell ref="BCK9:BCN9"/>
    <mergeCell ref="BCO9:BCR9"/>
    <mergeCell ref="BCS9:BCV9"/>
    <mergeCell ref="BCW9:BCZ9"/>
    <mergeCell ref="BBM9:BBP9"/>
    <mergeCell ref="BBQ9:BBT9"/>
    <mergeCell ref="BBU9:BBX9"/>
    <mergeCell ref="BBY9:BCB9"/>
    <mergeCell ref="BCC9:BCF9"/>
    <mergeCell ref="BLM9:BLP9"/>
    <mergeCell ref="BLQ9:BLT9"/>
    <mergeCell ref="BLU9:BLX9"/>
    <mergeCell ref="BLY9:BMB9"/>
    <mergeCell ref="BMC9:BMF9"/>
    <mergeCell ref="BKS9:BKV9"/>
    <mergeCell ref="BKW9:BKZ9"/>
    <mergeCell ref="BLA9:BLD9"/>
    <mergeCell ref="BLE9:BLH9"/>
    <mergeCell ref="BLI9:BLL9"/>
    <mergeCell ref="BJY9:BKB9"/>
    <mergeCell ref="BKC9:BKF9"/>
    <mergeCell ref="BKG9:BKJ9"/>
    <mergeCell ref="BKK9:BKN9"/>
    <mergeCell ref="BKO9:BKR9"/>
    <mergeCell ref="BJE9:BJH9"/>
    <mergeCell ref="BJI9:BJL9"/>
    <mergeCell ref="BJM9:BJP9"/>
    <mergeCell ref="BJQ9:BJT9"/>
    <mergeCell ref="BJU9:BJX9"/>
    <mergeCell ref="BIK9:BIN9"/>
    <mergeCell ref="BIO9:BIR9"/>
    <mergeCell ref="BIS9:BIV9"/>
    <mergeCell ref="BIW9:BIZ9"/>
    <mergeCell ref="BJA9:BJD9"/>
    <mergeCell ref="BHQ9:BHT9"/>
    <mergeCell ref="BHU9:BHX9"/>
    <mergeCell ref="BHY9:BIB9"/>
    <mergeCell ref="BIC9:BIF9"/>
    <mergeCell ref="BIG9:BIJ9"/>
    <mergeCell ref="BGW9:BGZ9"/>
    <mergeCell ref="BHA9:BHD9"/>
    <mergeCell ref="BHE9:BHH9"/>
    <mergeCell ref="BHI9:BHL9"/>
    <mergeCell ref="BHM9:BHP9"/>
    <mergeCell ref="BQW9:BQZ9"/>
    <mergeCell ref="BRA9:BRD9"/>
    <mergeCell ref="BRE9:BRH9"/>
    <mergeCell ref="BRI9:BRL9"/>
    <mergeCell ref="BRM9:BRP9"/>
    <mergeCell ref="BQC9:BQF9"/>
    <mergeCell ref="BQG9:BQJ9"/>
    <mergeCell ref="BQK9:BQN9"/>
    <mergeCell ref="BQO9:BQR9"/>
    <mergeCell ref="BQS9:BQV9"/>
    <mergeCell ref="BPI9:BPL9"/>
    <mergeCell ref="BPM9:BPP9"/>
    <mergeCell ref="BPQ9:BPT9"/>
    <mergeCell ref="BPU9:BPX9"/>
    <mergeCell ref="BPY9:BQB9"/>
    <mergeCell ref="BOO9:BOR9"/>
    <mergeCell ref="BOS9:BOV9"/>
    <mergeCell ref="BOW9:BOZ9"/>
    <mergeCell ref="BPA9:BPD9"/>
    <mergeCell ref="BPE9:BPH9"/>
    <mergeCell ref="BNU9:BNX9"/>
    <mergeCell ref="BNY9:BOB9"/>
    <mergeCell ref="BOC9:BOF9"/>
    <mergeCell ref="BOG9:BOJ9"/>
    <mergeCell ref="BOK9:BON9"/>
    <mergeCell ref="BNA9:BND9"/>
    <mergeCell ref="BNE9:BNH9"/>
    <mergeCell ref="BNI9:BNL9"/>
    <mergeCell ref="BNM9:BNP9"/>
    <mergeCell ref="BNQ9:BNT9"/>
    <mergeCell ref="BMG9:BMJ9"/>
    <mergeCell ref="BMK9:BMN9"/>
    <mergeCell ref="BMO9:BMR9"/>
    <mergeCell ref="BMS9:BMV9"/>
    <mergeCell ref="BMW9:BMZ9"/>
    <mergeCell ref="BWG9:BWJ9"/>
    <mergeCell ref="BWK9:BWN9"/>
    <mergeCell ref="BWO9:BWR9"/>
    <mergeCell ref="BWS9:BWV9"/>
    <mergeCell ref="BWW9:BWZ9"/>
    <mergeCell ref="BVM9:BVP9"/>
    <mergeCell ref="BVQ9:BVT9"/>
    <mergeCell ref="BVU9:BVX9"/>
    <mergeCell ref="BVY9:BWB9"/>
    <mergeCell ref="BWC9:BWF9"/>
    <mergeCell ref="BUS9:BUV9"/>
    <mergeCell ref="BUW9:BUZ9"/>
    <mergeCell ref="BVA9:BVD9"/>
    <mergeCell ref="BVE9:BVH9"/>
    <mergeCell ref="BVI9:BVL9"/>
    <mergeCell ref="BTY9:BUB9"/>
    <mergeCell ref="BUC9:BUF9"/>
    <mergeCell ref="BUG9:BUJ9"/>
    <mergeCell ref="BUK9:BUN9"/>
    <mergeCell ref="BUO9:BUR9"/>
    <mergeCell ref="BTE9:BTH9"/>
    <mergeCell ref="BTI9:BTL9"/>
    <mergeCell ref="BTM9:BTP9"/>
    <mergeCell ref="BTQ9:BTT9"/>
    <mergeCell ref="BTU9:BTX9"/>
    <mergeCell ref="BSK9:BSN9"/>
    <mergeCell ref="BSO9:BSR9"/>
    <mergeCell ref="BSS9:BSV9"/>
    <mergeCell ref="BSW9:BSZ9"/>
    <mergeCell ref="BTA9:BTD9"/>
    <mergeCell ref="BRQ9:BRT9"/>
    <mergeCell ref="BRU9:BRX9"/>
    <mergeCell ref="BRY9:BSB9"/>
    <mergeCell ref="BSC9:BSF9"/>
    <mergeCell ref="BSG9:BSJ9"/>
    <mergeCell ref="CBQ9:CBT9"/>
    <mergeCell ref="CBU9:CBX9"/>
    <mergeCell ref="CBY9:CCB9"/>
    <mergeCell ref="CCC9:CCF9"/>
    <mergeCell ref="CCG9:CCJ9"/>
    <mergeCell ref="CAW9:CAZ9"/>
    <mergeCell ref="CBA9:CBD9"/>
    <mergeCell ref="CBE9:CBH9"/>
    <mergeCell ref="CBI9:CBL9"/>
    <mergeCell ref="CBM9:CBP9"/>
    <mergeCell ref="CAC9:CAF9"/>
    <mergeCell ref="CAG9:CAJ9"/>
    <mergeCell ref="CAK9:CAN9"/>
    <mergeCell ref="CAO9:CAR9"/>
    <mergeCell ref="CAS9:CAV9"/>
    <mergeCell ref="BZI9:BZL9"/>
    <mergeCell ref="BZM9:BZP9"/>
    <mergeCell ref="BZQ9:BZT9"/>
    <mergeCell ref="BZU9:BZX9"/>
    <mergeCell ref="BZY9:CAB9"/>
    <mergeCell ref="BYO9:BYR9"/>
    <mergeCell ref="BYS9:BYV9"/>
    <mergeCell ref="BYW9:BYZ9"/>
    <mergeCell ref="BZA9:BZD9"/>
    <mergeCell ref="BZE9:BZH9"/>
    <mergeCell ref="BXU9:BXX9"/>
    <mergeCell ref="BXY9:BYB9"/>
    <mergeCell ref="BYC9:BYF9"/>
    <mergeCell ref="BYG9:BYJ9"/>
    <mergeCell ref="BYK9:BYN9"/>
    <mergeCell ref="BXA9:BXD9"/>
    <mergeCell ref="BXE9:BXH9"/>
    <mergeCell ref="BXI9:BXL9"/>
    <mergeCell ref="BXM9:BXP9"/>
    <mergeCell ref="BXQ9:BXT9"/>
    <mergeCell ref="CHA9:CHD9"/>
    <mergeCell ref="CHE9:CHH9"/>
    <mergeCell ref="CHI9:CHL9"/>
    <mergeCell ref="CHM9:CHP9"/>
    <mergeCell ref="CHQ9:CHT9"/>
    <mergeCell ref="CGG9:CGJ9"/>
    <mergeCell ref="CGK9:CGN9"/>
    <mergeCell ref="CGO9:CGR9"/>
    <mergeCell ref="CGS9:CGV9"/>
    <mergeCell ref="CGW9:CGZ9"/>
    <mergeCell ref="CFM9:CFP9"/>
    <mergeCell ref="CFQ9:CFT9"/>
    <mergeCell ref="CFU9:CFX9"/>
    <mergeCell ref="CFY9:CGB9"/>
    <mergeCell ref="CGC9:CGF9"/>
    <mergeCell ref="CES9:CEV9"/>
    <mergeCell ref="CEW9:CEZ9"/>
    <mergeCell ref="CFA9:CFD9"/>
    <mergeCell ref="CFE9:CFH9"/>
    <mergeCell ref="CFI9:CFL9"/>
    <mergeCell ref="CDY9:CEB9"/>
    <mergeCell ref="CEC9:CEF9"/>
    <mergeCell ref="CEG9:CEJ9"/>
    <mergeCell ref="CEK9:CEN9"/>
    <mergeCell ref="CEO9:CER9"/>
    <mergeCell ref="CDE9:CDH9"/>
    <mergeCell ref="CDI9:CDL9"/>
    <mergeCell ref="CDM9:CDP9"/>
    <mergeCell ref="CDQ9:CDT9"/>
    <mergeCell ref="CDU9:CDX9"/>
    <mergeCell ref="CCK9:CCN9"/>
    <mergeCell ref="CCO9:CCR9"/>
    <mergeCell ref="CCS9:CCV9"/>
    <mergeCell ref="CCW9:CCZ9"/>
    <mergeCell ref="CDA9:CDD9"/>
    <mergeCell ref="CMK9:CMN9"/>
    <mergeCell ref="CMO9:CMR9"/>
    <mergeCell ref="CMS9:CMV9"/>
    <mergeCell ref="CMW9:CMZ9"/>
    <mergeCell ref="CNA9:CND9"/>
    <mergeCell ref="CLQ9:CLT9"/>
    <mergeCell ref="CLU9:CLX9"/>
    <mergeCell ref="CLY9:CMB9"/>
    <mergeCell ref="CMC9:CMF9"/>
    <mergeCell ref="CMG9:CMJ9"/>
    <mergeCell ref="CKW9:CKZ9"/>
    <mergeCell ref="CLA9:CLD9"/>
    <mergeCell ref="CLE9:CLH9"/>
    <mergeCell ref="CLI9:CLL9"/>
    <mergeCell ref="CLM9:CLP9"/>
    <mergeCell ref="CKC9:CKF9"/>
    <mergeCell ref="CKG9:CKJ9"/>
    <mergeCell ref="CKK9:CKN9"/>
    <mergeCell ref="CKO9:CKR9"/>
    <mergeCell ref="CKS9:CKV9"/>
    <mergeCell ref="CJI9:CJL9"/>
    <mergeCell ref="CJM9:CJP9"/>
    <mergeCell ref="CJQ9:CJT9"/>
    <mergeCell ref="CJU9:CJX9"/>
    <mergeCell ref="CJY9:CKB9"/>
    <mergeCell ref="CIO9:CIR9"/>
    <mergeCell ref="CIS9:CIV9"/>
    <mergeCell ref="CIW9:CIZ9"/>
    <mergeCell ref="CJA9:CJD9"/>
    <mergeCell ref="CJE9:CJH9"/>
    <mergeCell ref="CHU9:CHX9"/>
    <mergeCell ref="CHY9:CIB9"/>
    <mergeCell ref="CIC9:CIF9"/>
    <mergeCell ref="CIG9:CIJ9"/>
    <mergeCell ref="CIK9:CIN9"/>
    <mergeCell ref="CRU9:CRX9"/>
    <mergeCell ref="CRY9:CSB9"/>
    <mergeCell ref="CSC9:CSF9"/>
    <mergeCell ref="CSG9:CSJ9"/>
    <mergeCell ref="CSK9:CSN9"/>
    <mergeCell ref="CRA9:CRD9"/>
    <mergeCell ref="CRE9:CRH9"/>
    <mergeCell ref="CRI9:CRL9"/>
    <mergeCell ref="CRM9:CRP9"/>
    <mergeCell ref="CRQ9:CRT9"/>
    <mergeCell ref="CQG9:CQJ9"/>
    <mergeCell ref="CQK9:CQN9"/>
    <mergeCell ref="CQO9:CQR9"/>
    <mergeCell ref="CQS9:CQV9"/>
    <mergeCell ref="CQW9:CQZ9"/>
    <mergeCell ref="CPM9:CPP9"/>
    <mergeCell ref="CPQ9:CPT9"/>
    <mergeCell ref="CPU9:CPX9"/>
    <mergeCell ref="CPY9:CQB9"/>
    <mergeCell ref="CQC9:CQF9"/>
    <mergeCell ref="COS9:COV9"/>
    <mergeCell ref="COW9:COZ9"/>
    <mergeCell ref="CPA9:CPD9"/>
    <mergeCell ref="CPE9:CPH9"/>
    <mergeCell ref="CPI9:CPL9"/>
    <mergeCell ref="CNY9:COB9"/>
    <mergeCell ref="COC9:COF9"/>
    <mergeCell ref="COG9:COJ9"/>
    <mergeCell ref="COK9:CON9"/>
    <mergeCell ref="COO9:COR9"/>
    <mergeCell ref="CNE9:CNH9"/>
    <mergeCell ref="CNI9:CNL9"/>
    <mergeCell ref="CNM9:CNP9"/>
    <mergeCell ref="CNQ9:CNT9"/>
    <mergeCell ref="CNU9:CNX9"/>
    <mergeCell ref="CXE9:CXH9"/>
    <mergeCell ref="CXI9:CXL9"/>
    <mergeCell ref="CXM9:CXP9"/>
    <mergeCell ref="CXQ9:CXT9"/>
    <mergeCell ref="CXU9:CXX9"/>
    <mergeCell ref="CWK9:CWN9"/>
    <mergeCell ref="CWO9:CWR9"/>
    <mergeCell ref="CWS9:CWV9"/>
    <mergeCell ref="CWW9:CWZ9"/>
    <mergeCell ref="CXA9:CXD9"/>
    <mergeCell ref="CVQ9:CVT9"/>
    <mergeCell ref="CVU9:CVX9"/>
    <mergeCell ref="CVY9:CWB9"/>
    <mergeCell ref="CWC9:CWF9"/>
    <mergeCell ref="CWG9:CWJ9"/>
    <mergeCell ref="CUW9:CUZ9"/>
    <mergeCell ref="CVA9:CVD9"/>
    <mergeCell ref="CVE9:CVH9"/>
    <mergeCell ref="CVI9:CVL9"/>
    <mergeCell ref="CVM9:CVP9"/>
    <mergeCell ref="CUC9:CUF9"/>
    <mergeCell ref="CUG9:CUJ9"/>
    <mergeCell ref="CUK9:CUN9"/>
    <mergeCell ref="CUO9:CUR9"/>
    <mergeCell ref="CUS9:CUV9"/>
    <mergeCell ref="CTI9:CTL9"/>
    <mergeCell ref="CTM9:CTP9"/>
    <mergeCell ref="CTQ9:CTT9"/>
    <mergeCell ref="CTU9:CTX9"/>
    <mergeCell ref="CTY9:CUB9"/>
    <mergeCell ref="CSO9:CSR9"/>
    <mergeCell ref="CSS9:CSV9"/>
    <mergeCell ref="CSW9:CSZ9"/>
    <mergeCell ref="CTA9:CTD9"/>
    <mergeCell ref="CTE9:CTH9"/>
    <mergeCell ref="DCO9:DCR9"/>
    <mergeCell ref="DCS9:DCV9"/>
    <mergeCell ref="DCW9:DCZ9"/>
    <mergeCell ref="DDA9:DDD9"/>
    <mergeCell ref="DDE9:DDH9"/>
    <mergeCell ref="DBU9:DBX9"/>
    <mergeCell ref="DBY9:DCB9"/>
    <mergeCell ref="DCC9:DCF9"/>
    <mergeCell ref="DCG9:DCJ9"/>
    <mergeCell ref="DCK9:DCN9"/>
    <mergeCell ref="DBA9:DBD9"/>
    <mergeCell ref="DBE9:DBH9"/>
    <mergeCell ref="DBI9:DBL9"/>
    <mergeCell ref="DBM9:DBP9"/>
    <mergeCell ref="DBQ9:DBT9"/>
    <mergeCell ref="DAG9:DAJ9"/>
    <mergeCell ref="DAK9:DAN9"/>
    <mergeCell ref="DAO9:DAR9"/>
    <mergeCell ref="DAS9:DAV9"/>
    <mergeCell ref="DAW9:DAZ9"/>
    <mergeCell ref="CZM9:CZP9"/>
    <mergeCell ref="CZQ9:CZT9"/>
    <mergeCell ref="CZU9:CZX9"/>
    <mergeCell ref="CZY9:DAB9"/>
    <mergeCell ref="DAC9:DAF9"/>
    <mergeCell ref="CYS9:CYV9"/>
    <mergeCell ref="CYW9:CYZ9"/>
    <mergeCell ref="CZA9:CZD9"/>
    <mergeCell ref="CZE9:CZH9"/>
    <mergeCell ref="CZI9:CZL9"/>
    <mergeCell ref="CXY9:CYB9"/>
    <mergeCell ref="CYC9:CYF9"/>
    <mergeCell ref="CYG9:CYJ9"/>
    <mergeCell ref="CYK9:CYN9"/>
    <mergeCell ref="CYO9:CYR9"/>
    <mergeCell ref="DHY9:DIB9"/>
    <mergeCell ref="DIC9:DIF9"/>
    <mergeCell ref="DIG9:DIJ9"/>
    <mergeCell ref="DIK9:DIN9"/>
    <mergeCell ref="DIO9:DIR9"/>
    <mergeCell ref="DHE9:DHH9"/>
    <mergeCell ref="DHI9:DHL9"/>
    <mergeCell ref="DHM9:DHP9"/>
    <mergeCell ref="DHQ9:DHT9"/>
    <mergeCell ref="DHU9:DHX9"/>
    <mergeCell ref="DGK9:DGN9"/>
    <mergeCell ref="DGO9:DGR9"/>
    <mergeCell ref="DGS9:DGV9"/>
    <mergeCell ref="DGW9:DGZ9"/>
    <mergeCell ref="DHA9:DHD9"/>
    <mergeCell ref="DFQ9:DFT9"/>
    <mergeCell ref="DFU9:DFX9"/>
    <mergeCell ref="DFY9:DGB9"/>
    <mergeCell ref="DGC9:DGF9"/>
    <mergeCell ref="DGG9:DGJ9"/>
    <mergeCell ref="DEW9:DEZ9"/>
    <mergeCell ref="DFA9:DFD9"/>
    <mergeCell ref="DFE9:DFH9"/>
    <mergeCell ref="DFI9:DFL9"/>
    <mergeCell ref="DFM9:DFP9"/>
    <mergeCell ref="DEC9:DEF9"/>
    <mergeCell ref="DEG9:DEJ9"/>
    <mergeCell ref="DEK9:DEN9"/>
    <mergeCell ref="DEO9:DER9"/>
    <mergeCell ref="DES9:DEV9"/>
    <mergeCell ref="DDI9:DDL9"/>
    <mergeCell ref="DDM9:DDP9"/>
    <mergeCell ref="DDQ9:DDT9"/>
    <mergeCell ref="DDU9:DDX9"/>
    <mergeCell ref="DDY9:DEB9"/>
    <mergeCell ref="DNI9:DNL9"/>
    <mergeCell ref="DNM9:DNP9"/>
    <mergeCell ref="DNQ9:DNT9"/>
    <mergeCell ref="DNU9:DNX9"/>
    <mergeCell ref="DNY9:DOB9"/>
    <mergeCell ref="DMO9:DMR9"/>
    <mergeCell ref="DMS9:DMV9"/>
    <mergeCell ref="DMW9:DMZ9"/>
    <mergeCell ref="DNA9:DND9"/>
    <mergeCell ref="DNE9:DNH9"/>
    <mergeCell ref="DLU9:DLX9"/>
    <mergeCell ref="DLY9:DMB9"/>
    <mergeCell ref="DMC9:DMF9"/>
    <mergeCell ref="DMG9:DMJ9"/>
    <mergeCell ref="DMK9:DMN9"/>
    <mergeCell ref="DLA9:DLD9"/>
    <mergeCell ref="DLE9:DLH9"/>
    <mergeCell ref="DLI9:DLL9"/>
    <mergeCell ref="DLM9:DLP9"/>
    <mergeCell ref="DLQ9:DLT9"/>
    <mergeCell ref="DKG9:DKJ9"/>
    <mergeCell ref="DKK9:DKN9"/>
    <mergeCell ref="DKO9:DKR9"/>
    <mergeCell ref="DKS9:DKV9"/>
    <mergeCell ref="DKW9:DKZ9"/>
    <mergeCell ref="DJM9:DJP9"/>
    <mergeCell ref="DJQ9:DJT9"/>
    <mergeCell ref="DJU9:DJX9"/>
    <mergeCell ref="DJY9:DKB9"/>
    <mergeCell ref="DKC9:DKF9"/>
    <mergeCell ref="DIS9:DIV9"/>
    <mergeCell ref="DIW9:DIZ9"/>
    <mergeCell ref="DJA9:DJD9"/>
    <mergeCell ref="DJE9:DJH9"/>
    <mergeCell ref="DJI9:DJL9"/>
    <mergeCell ref="DSS9:DSV9"/>
    <mergeCell ref="DSW9:DSZ9"/>
    <mergeCell ref="DTA9:DTD9"/>
    <mergeCell ref="DTE9:DTH9"/>
    <mergeCell ref="DTI9:DTL9"/>
    <mergeCell ref="DRY9:DSB9"/>
    <mergeCell ref="DSC9:DSF9"/>
    <mergeCell ref="DSG9:DSJ9"/>
    <mergeCell ref="DSK9:DSN9"/>
    <mergeCell ref="DSO9:DSR9"/>
    <mergeCell ref="DRE9:DRH9"/>
    <mergeCell ref="DRI9:DRL9"/>
    <mergeCell ref="DRM9:DRP9"/>
    <mergeCell ref="DRQ9:DRT9"/>
    <mergeCell ref="DRU9:DRX9"/>
    <mergeCell ref="DQK9:DQN9"/>
    <mergeCell ref="DQO9:DQR9"/>
    <mergeCell ref="DQS9:DQV9"/>
    <mergeCell ref="DQW9:DQZ9"/>
    <mergeCell ref="DRA9:DRD9"/>
    <mergeCell ref="DPQ9:DPT9"/>
    <mergeCell ref="DPU9:DPX9"/>
    <mergeCell ref="DPY9:DQB9"/>
    <mergeCell ref="DQC9:DQF9"/>
    <mergeCell ref="DQG9:DQJ9"/>
    <mergeCell ref="DOW9:DOZ9"/>
    <mergeCell ref="DPA9:DPD9"/>
    <mergeCell ref="DPE9:DPH9"/>
    <mergeCell ref="DPI9:DPL9"/>
    <mergeCell ref="DPM9:DPP9"/>
    <mergeCell ref="DOC9:DOF9"/>
    <mergeCell ref="DOG9:DOJ9"/>
    <mergeCell ref="DOK9:DON9"/>
    <mergeCell ref="DOO9:DOR9"/>
    <mergeCell ref="DOS9:DOV9"/>
    <mergeCell ref="DYC9:DYF9"/>
    <mergeCell ref="DYG9:DYJ9"/>
    <mergeCell ref="DYK9:DYN9"/>
    <mergeCell ref="DYO9:DYR9"/>
    <mergeCell ref="DYS9:DYV9"/>
    <mergeCell ref="DXI9:DXL9"/>
    <mergeCell ref="DXM9:DXP9"/>
    <mergeCell ref="DXQ9:DXT9"/>
    <mergeCell ref="DXU9:DXX9"/>
    <mergeCell ref="DXY9:DYB9"/>
    <mergeCell ref="DWO9:DWR9"/>
    <mergeCell ref="DWS9:DWV9"/>
    <mergeCell ref="DWW9:DWZ9"/>
    <mergeCell ref="DXA9:DXD9"/>
    <mergeCell ref="DXE9:DXH9"/>
    <mergeCell ref="DVU9:DVX9"/>
    <mergeCell ref="DVY9:DWB9"/>
    <mergeCell ref="DWC9:DWF9"/>
    <mergeCell ref="DWG9:DWJ9"/>
    <mergeCell ref="DWK9:DWN9"/>
    <mergeCell ref="DVA9:DVD9"/>
    <mergeCell ref="DVE9:DVH9"/>
    <mergeCell ref="DVI9:DVL9"/>
    <mergeCell ref="DVM9:DVP9"/>
    <mergeCell ref="DVQ9:DVT9"/>
    <mergeCell ref="DUG9:DUJ9"/>
    <mergeCell ref="DUK9:DUN9"/>
    <mergeCell ref="DUO9:DUR9"/>
    <mergeCell ref="DUS9:DUV9"/>
    <mergeCell ref="DUW9:DUZ9"/>
    <mergeCell ref="DTM9:DTP9"/>
    <mergeCell ref="DTQ9:DTT9"/>
    <mergeCell ref="DTU9:DTX9"/>
    <mergeCell ref="DTY9:DUB9"/>
    <mergeCell ref="DUC9:DUF9"/>
    <mergeCell ref="EDM9:EDP9"/>
    <mergeCell ref="EDQ9:EDT9"/>
    <mergeCell ref="EDU9:EDX9"/>
    <mergeCell ref="EDY9:EEB9"/>
    <mergeCell ref="EEC9:EEF9"/>
    <mergeCell ref="ECS9:ECV9"/>
    <mergeCell ref="ECW9:ECZ9"/>
    <mergeCell ref="EDA9:EDD9"/>
    <mergeCell ref="EDE9:EDH9"/>
    <mergeCell ref="EDI9:EDL9"/>
    <mergeCell ref="EBY9:ECB9"/>
    <mergeCell ref="ECC9:ECF9"/>
    <mergeCell ref="ECG9:ECJ9"/>
    <mergeCell ref="ECK9:ECN9"/>
    <mergeCell ref="ECO9:ECR9"/>
    <mergeCell ref="EBE9:EBH9"/>
    <mergeCell ref="EBI9:EBL9"/>
    <mergeCell ref="EBM9:EBP9"/>
    <mergeCell ref="EBQ9:EBT9"/>
    <mergeCell ref="EBU9:EBX9"/>
    <mergeCell ref="EAK9:EAN9"/>
    <mergeCell ref="EAO9:EAR9"/>
    <mergeCell ref="EAS9:EAV9"/>
    <mergeCell ref="EAW9:EAZ9"/>
    <mergeCell ref="EBA9:EBD9"/>
    <mergeCell ref="DZQ9:DZT9"/>
    <mergeCell ref="DZU9:DZX9"/>
    <mergeCell ref="DZY9:EAB9"/>
    <mergeCell ref="EAC9:EAF9"/>
    <mergeCell ref="EAG9:EAJ9"/>
    <mergeCell ref="DYW9:DYZ9"/>
    <mergeCell ref="DZA9:DZD9"/>
    <mergeCell ref="DZE9:DZH9"/>
    <mergeCell ref="DZI9:DZL9"/>
    <mergeCell ref="DZM9:DZP9"/>
    <mergeCell ref="EIW9:EIZ9"/>
    <mergeCell ref="EJA9:EJD9"/>
    <mergeCell ref="EJE9:EJH9"/>
    <mergeCell ref="EJI9:EJL9"/>
    <mergeCell ref="EJM9:EJP9"/>
    <mergeCell ref="EIC9:EIF9"/>
    <mergeCell ref="EIG9:EIJ9"/>
    <mergeCell ref="EIK9:EIN9"/>
    <mergeCell ref="EIO9:EIR9"/>
    <mergeCell ref="EIS9:EIV9"/>
    <mergeCell ref="EHI9:EHL9"/>
    <mergeCell ref="EHM9:EHP9"/>
    <mergeCell ref="EHQ9:EHT9"/>
    <mergeCell ref="EHU9:EHX9"/>
    <mergeCell ref="EHY9:EIB9"/>
    <mergeCell ref="EGO9:EGR9"/>
    <mergeCell ref="EGS9:EGV9"/>
    <mergeCell ref="EGW9:EGZ9"/>
    <mergeCell ref="EHA9:EHD9"/>
    <mergeCell ref="EHE9:EHH9"/>
    <mergeCell ref="EFU9:EFX9"/>
    <mergeCell ref="EFY9:EGB9"/>
    <mergeCell ref="EGC9:EGF9"/>
    <mergeCell ref="EGG9:EGJ9"/>
    <mergeCell ref="EGK9:EGN9"/>
    <mergeCell ref="EFA9:EFD9"/>
    <mergeCell ref="EFE9:EFH9"/>
    <mergeCell ref="EFI9:EFL9"/>
    <mergeCell ref="EFM9:EFP9"/>
    <mergeCell ref="EFQ9:EFT9"/>
    <mergeCell ref="EEG9:EEJ9"/>
    <mergeCell ref="EEK9:EEN9"/>
    <mergeCell ref="EEO9:EER9"/>
    <mergeCell ref="EES9:EEV9"/>
    <mergeCell ref="EEW9:EEZ9"/>
    <mergeCell ref="EOG9:EOJ9"/>
    <mergeCell ref="EOK9:EON9"/>
    <mergeCell ref="EOO9:EOR9"/>
    <mergeCell ref="EOS9:EOV9"/>
    <mergeCell ref="EOW9:EOZ9"/>
    <mergeCell ref="ENM9:ENP9"/>
    <mergeCell ref="ENQ9:ENT9"/>
    <mergeCell ref="ENU9:ENX9"/>
    <mergeCell ref="ENY9:EOB9"/>
    <mergeCell ref="EOC9:EOF9"/>
    <mergeCell ref="EMS9:EMV9"/>
    <mergeCell ref="EMW9:EMZ9"/>
    <mergeCell ref="ENA9:END9"/>
    <mergeCell ref="ENE9:ENH9"/>
    <mergeCell ref="ENI9:ENL9"/>
    <mergeCell ref="ELY9:EMB9"/>
    <mergeCell ref="EMC9:EMF9"/>
    <mergeCell ref="EMG9:EMJ9"/>
    <mergeCell ref="EMK9:EMN9"/>
    <mergeCell ref="EMO9:EMR9"/>
    <mergeCell ref="ELE9:ELH9"/>
    <mergeCell ref="ELI9:ELL9"/>
    <mergeCell ref="ELM9:ELP9"/>
    <mergeCell ref="ELQ9:ELT9"/>
    <mergeCell ref="ELU9:ELX9"/>
    <mergeCell ref="EKK9:EKN9"/>
    <mergeCell ref="EKO9:EKR9"/>
    <mergeCell ref="EKS9:EKV9"/>
    <mergeCell ref="EKW9:EKZ9"/>
    <mergeCell ref="ELA9:ELD9"/>
    <mergeCell ref="EJQ9:EJT9"/>
    <mergeCell ref="EJU9:EJX9"/>
    <mergeCell ref="EJY9:EKB9"/>
    <mergeCell ref="EKC9:EKF9"/>
    <mergeCell ref="EKG9:EKJ9"/>
    <mergeCell ref="ETQ9:ETT9"/>
    <mergeCell ref="ETU9:ETX9"/>
    <mergeCell ref="ETY9:EUB9"/>
    <mergeCell ref="EUC9:EUF9"/>
    <mergeCell ref="EUG9:EUJ9"/>
    <mergeCell ref="ESW9:ESZ9"/>
    <mergeCell ref="ETA9:ETD9"/>
    <mergeCell ref="ETE9:ETH9"/>
    <mergeCell ref="ETI9:ETL9"/>
    <mergeCell ref="ETM9:ETP9"/>
    <mergeCell ref="ESC9:ESF9"/>
    <mergeCell ref="ESG9:ESJ9"/>
    <mergeCell ref="ESK9:ESN9"/>
    <mergeCell ref="ESO9:ESR9"/>
    <mergeCell ref="ESS9:ESV9"/>
    <mergeCell ref="ERI9:ERL9"/>
    <mergeCell ref="ERM9:ERP9"/>
    <mergeCell ref="ERQ9:ERT9"/>
    <mergeCell ref="ERU9:ERX9"/>
    <mergeCell ref="ERY9:ESB9"/>
    <mergeCell ref="EQO9:EQR9"/>
    <mergeCell ref="EQS9:EQV9"/>
    <mergeCell ref="EQW9:EQZ9"/>
    <mergeCell ref="ERA9:ERD9"/>
    <mergeCell ref="ERE9:ERH9"/>
    <mergeCell ref="EPU9:EPX9"/>
    <mergeCell ref="EPY9:EQB9"/>
    <mergeCell ref="EQC9:EQF9"/>
    <mergeCell ref="EQG9:EQJ9"/>
    <mergeCell ref="EQK9:EQN9"/>
    <mergeCell ref="EPA9:EPD9"/>
    <mergeCell ref="EPE9:EPH9"/>
    <mergeCell ref="EPI9:EPL9"/>
    <mergeCell ref="EPM9:EPP9"/>
    <mergeCell ref="EPQ9:EPT9"/>
    <mergeCell ref="EZA9:EZD9"/>
    <mergeCell ref="EZE9:EZH9"/>
    <mergeCell ref="EZI9:EZL9"/>
    <mergeCell ref="EZM9:EZP9"/>
    <mergeCell ref="EZQ9:EZT9"/>
    <mergeCell ref="EYG9:EYJ9"/>
    <mergeCell ref="EYK9:EYN9"/>
    <mergeCell ref="EYO9:EYR9"/>
    <mergeCell ref="EYS9:EYV9"/>
    <mergeCell ref="EYW9:EYZ9"/>
    <mergeCell ref="EXM9:EXP9"/>
    <mergeCell ref="EXQ9:EXT9"/>
    <mergeCell ref="EXU9:EXX9"/>
    <mergeCell ref="EXY9:EYB9"/>
    <mergeCell ref="EYC9:EYF9"/>
    <mergeCell ref="EWS9:EWV9"/>
    <mergeCell ref="EWW9:EWZ9"/>
    <mergeCell ref="EXA9:EXD9"/>
    <mergeCell ref="EXE9:EXH9"/>
    <mergeCell ref="EXI9:EXL9"/>
    <mergeCell ref="EVY9:EWB9"/>
    <mergeCell ref="EWC9:EWF9"/>
    <mergeCell ref="EWG9:EWJ9"/>
    <mergeCell ref="EWK9:EWN9"/>
    <mergeCell ref="EWO9:EWR9"/>
    <mergeCell ref="EVE9:EVH9"/>
    <mergeCell ref="EVI9:EVL9"/>
    <mergeCell ref="EVM9:EVP9"/>
    <mergeCell ref="EVQ9:EVT9"/>
    <mergeCell ref="EVU9:EVX9"/>
    <mergeCell ref="EUK9:EUN9"/>
    <mergeCell ref="EUO9:EUR9"/>
    <mergeCell ref="EUS9:EUV9"/>
    <mergeCell ref="EUW9:EUZ9"/>
    <mergeCell ref="EVA9:EVD9"/>
    <mergeCell ref="FEK9:FEN9"/>
    <mergeCell ref="FEO9:FER9"/>
    <mergeCell ref="FES9:FEV9"/>
    <mergeCell ref="FEW9:FEZ9"/>
    <mergeCell ref="FFA9:FFD9"/>
    <mergeCell ref="FDQ9:FDT9"/>
    <mergeCell ref="FDU9:FDX9"/>
    <mergeCell ref="FDY9:FEB9"/>
    <mergeCell ref="FEC9:FEF9"/>
    <mergeCell ref="FEG9:FEJ9"/>
    <mergeCell ref="FCW9:FCZ9"/>
    <mergeCell ref="FDA9:FDD9"/>
    <mergeCell ref="FDE9:FDH9"/>
    <mergeCell ref="FDI9:FDL9"/>
    <mergeCell ref="FDM9:FDP9"/>
    <mergeCell ref="FCC9:FCF9"/>
    <mergeCell ref="FCG9:FCJ9"/>
    <mergeCell ref="FCK9:FCN9"/>
    <mergeCell ref="FCO9:FCR9"/>
    <mergeCell ref="FCS9:FCV9"/>
    <mergeCell ref="FBI9:FBL9"/>
    <mergeCell ref="FBM9:FBP9"/>
    <mergeCell ref="FBQ9:FBT9"/>
    <mergeCell ref="FBU9:FBX9"/>
    <mergeCell ref="FBY9:FCB9"/>
    <mergeCell ref="FAO9:FAR9"/>
    <mergeCell ref="FAS9:FAV9"/>
    <mergeCell ref="FAW9:FAZ9"/>
    <mergeCell ref="FBA9:FBD9"/>
    <mergeCell ref="FBE9:FBH9"/>
    <mergeCell ref="EZU9:EZX9"/>
    <mergeCell ref="EZY9:FAB9"/>
    <mergeCell ref="FAC9:FAF9"/>
    <mergeCell ref="FAG9:FAJ9"/>
    <mergeCell ref="FAK9:FAN9"/>
    <mergeCell ref="FJU9:FJX9"/>
    <mergeCell ref="FJY9:FKB9"/>
    <mergeCell ref="FKC9:FKF9"/>
    <mergeCell ref="FKG9:FKJ9"/>
    <mergeCell ref="FKK9:FKN9"/>
    <mergeCell ref="FJA9:FJD9"/>
    <mergeCell ref="FJE9:FJH9"/>
    <mergeCell ref="FJI9:FJL9"/>
    <mergeCell ref="FJM9:FJP9"/>
    <mergeCell ref="FJQ9:FJT9"/>
    <mergeCell ref="FIG9:FIJ9"/>
    <mergeCell ref="FIK9:FIN9"/>
    <mergeCell ref="FIO9:FIR9"/>
    <mergeCell ref="FIS9:FIV9"/>
    <mergeCell ref="FIW9:FIZ9"/>
    <mergeCell ref="FHM9:FHP9"/>
    <mergeCell ref="FHQ9:FHT9"/>
    <mergeCell ref="FHU9:FHX9"/>
    <mergeCell ref="FHY9:FIB9"/>
    <mergeCell ref="FIC9:FIF9"/>
    <mergeCell ref="FGS9:FGV9"/>
    <mergeCell ref="FGW9:FGZ9"/>
    <mergeCell ref="FHA9:FHD9"/>
    <mergeCell ref="FHE9:FHH9"/>
    <mergeCell ref="FHI9:FHL9"/>
    <mergeCell ref="FFY9:FGB9"/>
    <mergeCell ref="FGC9:FGF9"/>
    <mergeCell ref="FGG9:FGJ9"/>
    <mergeCell ref="FGK9:FGN9"/>
    <mergeCell ref="FGO9:FGR9"/>
    <mergeCell ref="FFE9:FFH9"/>
    <mergeCell ref="FFI9:FFL9"/>
    <mergeCell ref="FFM9:FFP9"/>
    <mergeCell ref="FFQ9:FFT9"/>
    <mergeCell ref="FFU9:FFX9"/>
    <mergeCell ref="FPE9:FPH9"/>
    <mergeCell ref="FPI9:FPL9"/>
    <mergeCell ref="FPM9:FPP9"/>
    <mergeCell ref="FPQ9:FPT9"/>
    <mergeCell ref="FPU9:FPX9"/>
    <mergeCell ref="FOK9:FON9"/>
    <mergeCell ref="FOO9:FOR9"/>
    <mergeCell ref="FOS9:FOV9"/>
    <mergeCell ref="FOW9:FOZ9"/>
    <mergeCell ref="FPA9:FPD9"/>
    <mergeCell ref="FNQ9:FNT9"/>
    <mergeCell ref="FNU9:FNX9"/>
    <mergeCell ref="FNY9:FOB9"/>
    <mergeCell ref="FOC9:FOF9"/>
    <mergeCell ref="FOG9:FOJ9"/>
    <mergeCell ref="FMW9:FMZ9"/>
    <mergeCell ref="FNA9:FND9"/>
    <mergeCell ref="FNE9:FNH9"/>
    <mergeCell ref="FNI9:FNL9"/>
    <mergeCell ref="FNM9:FNP9"/>
    <mergeCell ref="FMC9:FMF9"/>
    <mergeCell ref="FMG9:FMJ9"/>
    <mergeCell ref="FMK9:FMN9"/>
    <mergeCell ref="FMO9:FMR9"/>
    <mergeCell ref="FMS9:FMV9"/>
    <mergeCell ref="FLI9:FLL9"/>
    <mergeCell ref="FLM9:FLP9"/>
    <mergeCell ref="FLQ9:FLT9"/>
    <mergeCell ref="FLU9:FLX9"/>
    <mergeCell ref="FLY9:FMB9"/>
    <mergeCell ref="FKO9:FKR9"/>
    <mergeCell ref="FKS9:FKV9"/>
    <mergeCell ref="FKW9:FKZ9"/>
    <mergeCell ref="FLA9:FLD9"/>
    <mergeCell ref="FLE9:FLH9"/>
    <mergeCell ref="FUO9:FUR9"/>
    <mergeCell ref="FUS9:FUV9"/>
    <mergeCell ref="FUW9:FUZ9"/>
    <mergeCell ref="FVA9:FVD9"/>
    <mergeCell ref="FVE9:FVH9"/>
    <mergeCell ref="FTU9:FTX9"/>
    <mergeCell ref="FTY9:FUB9"/>
    <mergeCell ref="FUC9:FUF9"/>
    <mergeCell ref="FUG9:FUJ9"/>
    <mergeCell ref="FUK9:FUN9"/>
    <mergeCell ref="FTA9:FTD9"/>
    <mergeCell ref="FTE9:FTH9"/>
    <mergeCell ref="FTI9:FTL9"/>
    <mergeCell ref="FTM9:FTP9"/>
    <mergeCell ref="FTQ9:FTT9"/>
    <mergeCell ref="FSG9:FSJ9"/>
    <mergeCell ref="FSK9:FSN9"/>
    <mergeCell ref="FSO9:FSR9"/>
    <mergeCell ref="FSS9:FSV9"/>
    <mergeCell ref="FSW9:FSZ9"/>
    <mergeCell ref="FRM9:FRP9"/>
    <mergeCell ref="FRQ9:FRT9"/>
    <mergeCell ref="FRU9:FRX9"/>
    <mergeCell ref="FRY9:FSB9"/>
    <mergeCell ref="FSC9:FSF9"/>
    <mergeCell ref="FQS9:FQV9"/>
    <mergeCell ref="FQW9:FQZ9"/>
    <mergeCell ref="FRA9:FRD9"/>
    <mergeCell ref="FRE9:FRH9"/>
    <mergeCell ref="FRI9:FRL9"/>
    <mergeCell ref="FPY9:FQB9"/>
    <mergeCell ref="FQC9:FQF9"/>
    <mergeCell ref="FQG9:FQJ9"/>
    <mergeCell ref="FQK9:FQN9"/>
    <mergeCell ref="FQO9:FQR9"/>
    <mergeCell ref="FZY9:GAB9"/>
    <mergeCell ref="GAC9:GAF9"/>
    <mergeCell ref="GAG9:GAJ9"/>
    <mergeCell ref="GAK9:GAN9"/>
    <mergeCell ref="GAO9:GAR9"/>
    <mergeCell ref="FZE9:FZH9"/>
    <mergeCell ref="FZI9:FZL9"/>
    <mergeCell ref="FZM9:FZP9"/>
    <mergeCell ref="FZQ9:FZT9"/>
    <mergeCell ref="FZU9:FZX9"/>
    <mergeCell ref="FYK9:FYN9"/>
    <mergeCell ref="FYO9:FYR9"/>
    <mergeCell ref="FYS9:FYV9"/>
    <mergeCell ref="FYW9:FYZ9"/>
    <mergeCell ref="FZA9:FZD9"/>
    <mergeCell ref="FXQ9:FXT9"/>
    <mergeCell ref="FXU9:FXX9"/>
    <mergeCell ref="FXY9:FYB9"/>
    <mergeCell ref="FYC9:FYF9"/>
    <mergeCell ref="FYG9:FYJ9"/>
    <mergeCell ref="FWW9:FWZ9"/>
    <mergeCell ref="FXA9:FXD9"/>
    <mergeCell ref="FXE9:FXH9"/>
    <mergeCell ref="FXI9:FXL9"/>
    <mergeCell ref="FXM9:FXP9"/>
    <mergeCell ref="FWC9:FWF9"/>
    <mergeCell ref="FWG9:FWJ9"/>
    <mergeCell ref="FWK9:FWN9"/>
    <mergeCell ref="FWO9:FWR9"/>
    <mergeCell ref="FWS9:FWV9"/>
    <mergeCell ref="FVI9:FVL9"/>
    <mergeCell ref="FVM9:FVP9"/>
    <mergeCell ref="FVQ9:FVT9"/>
    <mergeCell ref="FVU9:FVX9"/>
    <mergeCell ref="FVY9:FWB9"/>
    <mergeCell ref="GFI9:GFL9"/>
    <mergeCell ref="GFM9:GFP9"/>
    <mergeCell ref="GFQ9:GFT9"/>
    <mergeCell ref="GFU9:GFX9"/>
    <mergeCell ref="GFY9:GGB9"/>
    <mergeCell ref="GEO9:GER9"/>
    <mergeCell ref="GES9:GEV9"/>
    <mergeCell ref="GEW9:GEZ9"/>
    <mergeCell ref="GFA9:GFD9"/>
    <mergeCell ref="GFE9:GFH9"/>
    <mergeCell ref="GDU9:GDX9"/>
    <mergeCell ref="GDY9:GEB9"/>
    <mergeCell ref="GEC9:GEF9"/>
    <mergeCell ref="GEG9:GEJ9"/>
    <mergeCell ref="GEK9:GEN9"/>
    <mergeCell ref="GDA9:GDD9"/>
    <mergeCell ref="GDE9:GDH9"/>
    <mergeCell ref="GDI9:GDL9"/>
    <mergeCell ref="GDM9:GDP9"/>
    <mergeCell ref="GDQ9:GDT9"/>
    <mergeCell ref="GCG9:GCJ9"/>
    <mergeCell ref="GCK9:GCN9"/>
    <mergeCell ref="GCO9:GCR9"/>
    <mergeCell ref="GCS9:GCV9"/>
    <mergeCell ref="GCW9:GCZ9"/>
    <mergeCell ref="GBM9:GBP9"/>
    <mergeCell ref="GBQ9:GBT9"/>
    <mergeCell ref="GBU9:GBX9"/>
    <mergeCell ref="GBY9:GCB9"/>
    <mergeCell ref="GCC9:GCF9"/>
    <mergeCell ref="GAS9:GAV9"/>
    <mergeCell ref="GAW9:GAZ9"/>
    <mergeCell ref="GBA9:GBD9"/>
    <mergeCell ref="GBE9:GBH9"/>
    <mergeCell ref="GBI9:GBL9"/>
    <mergeCell ref="GKS9:GKV9"/>
    <mergeCell ref="GKW9:GKZ9"/>
    <mergeCell ref="GLA9:GLD9"/>
    <mergeCell ref="GLE9:GLH9"/>
    <mergeCell ref="GLI9:GLL9"/>
    <mergeCell ref="GJY9:GKB9"/>
    <mergeCell ref="GKC9:GKF9"/>
    <mergeCell ref="GKG9:GKJ9"/>
    <mergeCell ref="GKK9:GKN9"/>
    <mergeCell ref="GKO9:GKR9"/>
    <mergeCell ref="GJE9:GJH9"/>
    <mergeCell ref="GJI9:GJL9"/>
    <mergeCell ref="GJM9:GJP9"/>
    <mergeCell ref="GJQ9:GJT9"/>
    <mergeCell ref="GJU9:GJX9"/>
    <mergeCell ref="GIK9:GIN9"/>
    <mergeCell ref="GIO9:GIR9"/>
    <mergeCell ref="GIS9:GIV9"/>
    <mergeCell ref="GIW9:GIZ9"/>
    <mergeCell ref="GJA9:GJD9"/>
    <mergeCell ref="GHQ9:GHT9"/>
    <mergeCell ref="GHU9:GHX9"/>
    <mergeCell ref="GHY9:GIB9"/>
    <mergeCell ref="GIC9:GIF9"/>
    <mergeCell ref="GIG9:GIJ9"/>
    <mergeCell ref="GGW9:GGZ9"/>
    <mergeCell ref="GHA9:GHD9"/>
    <mergeCell ref="GHE9:GHH9"/>
    <mergeCell ref="GHI9:GHL9"/>
    <mergeCell ref="GHM9:GHP9"/>
    <mergeCell ref="GGC9:GGF9"/>
    <mergeCell ref="GGG9:GGJ9"/>
    <mergeCell ref="GGK9:GGN9"/>
    <mergeCell ref="GGO9:GGR9"/>
    <mergeCell ref="GGS9:GGV9"/>
    <mergeCell ref="GQC9:GQF9"/>
    <mergeCell ref="GQG9:GQJ9"/>
    <mergeCell ref="GQK9:GQN9"/>
    <mergeCell ref="GQO9:GQR9"/>
    <mergeCell ref="GQS9:GQV9"/>
    <mergeCell ref="GPI9:GPL9"/>
    <mergeCell ref="GPM9:GPP9"/>
    <mergeCell ref="GPQ9:GPT9"/>
    <mergeCell ref="GPU9:GPX9"/>
    <mergeCell ref="GPY9:GQB9"/>
    <mergeCell ref="GOO9:GOR9"/>
    <mergeCell ref="GOS9:GOV9"/>
    <mergeCell ref="GOW9:GOZ9"/>
    <mergeCell ref="GPA9:GPD9"/>
    <mergeCell ref="GPE9:GPH9"/>
    <mergeCell ref="GNU9:GNX9"/>
    <mergeCell ref="GNY9:GOB9"/>
    <mergeCell ref="GOC9:GOF9"/>
    <mergeCell ref="GOG9:GOJ9"/>
    <mergeCell ref="GOK9:GON9"/>
    <mergeCell ref="GNA9:GND9"/>
    <mergeCell ref="GNE9:GNH9"/>
    <mergeCell ref="GNI9:GNL9"/>
    <mergeCell ref="GNM9:GNP9"/>
    <mergeCell ref="GNQ9:GNT9"/>
    <mergeCell ref="GMG9:GMJ9"/>
    <mergeCell ref="GMK9:GMN9"/>
    <mergeCell ref="GMO9:GMR9"/>
    <mergeCell ref="GMS9:GMV9"/>
    <mergeCell ref="GMW9:GMZ9"/>
    <mergeCell ref="GLM9:GLP9"/>
    <mergeCell ref="GLQ9:GLT9"/>
    <mergeCell ref="GLU9:GLX9"/>
    <mergeCell ref="GLY9:GMB9"/>
    <mergeCell ref="GMC9:GMF9"/>
    <mergeCell ref="GVM9:GVP9"/>
    <mergeCell ref="GVQ9:GVT9"/>
    <mergeCell ref="GVU9:GVX9"/>
    <mergeCell ref="GVY9:GWB9"/>
    <mergeCell ref="GWC9:GWF9"/>
    <mergeCell ref="GUS9:GUV9"/>
    <mergeCell ref="GUW9:GUZ9"/>
    <mergeCell ref="GVA9:GVD9"/>
    <mergeCell ref="GVE9:GVH9"/>
    <mergeCell ref="GVI9:GVL9"/>
    <mergeCell ref="GTY9:GUB9"/>
    <mergeCell ref="GUC9:GUF9"/>
    <mergeCell ref="GUG9:GUJ9"/>
    <mergeCell ref="GUK9:GUN9"/>
    <mergeCell ref="GUO9:GUR9"/>
    <mergeCell ref="GTE9:GTH9"/>
    <mergeCell ref="GTI9:GTL9"/>
    <mergeCell ref="GTM9:GTP9"/>
    <mergeCell ref="GTQ9:GTT9"/>
    <mergeCell ref="GTU9:GTX9"/>
    <mergeCell ref="GSK9:GSN9"/>
    <mergeCell ref="GSO9:GSR9"/>
    <mergeCell ref="GSS9:GSV9"/>
    <mergeCell ref="GSW9:GSZ9"/>
    <mergeCell ref="GTA9:GTD9"/>
    <mergeCell ref="GRQ9:GRT9"/>
    <mergeCell ref="GRU9:GRX9"/>
    <mergeCell ref="GRY9:GSB9"/>
    <mergeCell ref="GSC9:GSF9"/>
    <mergeCell ref="GSG9:GSJ9"/>
    <mergeCell ref="GQW9:GQZ9"/>
    <mergeCell ref="GRA9:GRD9"/>
    <mergeCell ref="GRE9:GRH9"/>
    <mergeCell ref="GRI9:GRL9"/>
    <mergeCell ref="GRM9:GRP9"/>
    <mergeCell ref="HAW9:HAZ9"/>
    <mergeCell ref="HBA9:HBD9"/>
    <mergeCell ref="HBE9:HBH9"/>
    <mergeCell ref="HBI9:HBL9"/>
    <mergeCell ref="HBM9:HBP9"/>
    <mergeCell ref="HAC9:HAF9"/>
    <mergeCell ref="HAG9:HAJ9"/>
    <mergeCell ref="HAK9:HAN9"/>
    <mergeCell ref="HAO9:HAR9"/>
    <mergeCell ref="HAS9:HAV9"/>
    <mergeCell ref="GZI9:GZL9"/>
    <mergeCell ref="GZM9:GZP9"/>
    <mergeCell ref="GZQ9:GZT9"/>
    <mergeCell ref="GZU9:GZX9"/>
    <mergeCell ref="GZY9:HAB9"/>
    <mergeCell ref="GYO9:GYR9"/>
    <mergeCell ref="GYS9:GYV9"/>
    <mergeCell ref="GYW9:GYZ9"/>
    <mergeCell ref="GZA9:GZD9"/>
    <mergeCell ref="GZE9:GZH9"/>
    <mergeCell ref="GXU9:GXX9"/>
    <mergeCell ref="GXY9:GYB9"/>
    <mergeCell ref="GYC9:GYF9"/>
    <mergeCell ref="GYG9:GYJ9"/>
    <mergeCell ref="GYK9:GYN9"/>
    <mergeCell ref="GXA9:GXD9"/>
    <mergeCell ref="GXE9:GXH9"/>
    <mergeCell ref="GXI9:GXL9"/>
    <mergeCell ref="GXM9:GXP9"/>
    <mergeCell ref="GXQ9:GXT9"/>
    <mergeCell ref="GWG9:GWJ9"/>
    <mergeCell ref="GWK9:GWN9"/>
    <mergeCell ref="GWO9:GWR9"/>
    <mergeCell ref="GWS9:GWV9"/>
    <mergeCell ref="GWW9:GWZ9"/>
    <mergeCell ref="HGG9:HGJ9"/>
    <mergeCell ref="HGK9:HGN9"/>
    <mergeCell ref="HGO9:HGR9"/>
    <mergeCell ref="HGS9:HGV9"/>
    <mergeCell ref="HGW9:HGZ9"/>
    <mergeCell ref="HFM9:HFP9"/>
    <mergeCell ref="HFQ9:HFT9"/>
    <mergeCell ref="HFU9:HFX9"/>
    <mergeCell ref="HFY9:HGB9"/>
    <mergeCell ref="HGC9:HGF9"/>
    <mergeCell ref="HES9:HEV9"/>
    <mergeCell ref="HEW9:HEZ9"/>
    <mergeCell ref="HFA9:HFD9"/>
    <mergeCell ref="HFE9:HFH9"/>
    <mergeCell ref="HFI9:HFL9"/>
    <mergeCell ref="HDY9:HEB9"/>
    <mergeCell ref="HEC9:HEF9"/>
    <mergeCell ref="HEG9:HEJ9"/>
    <mergeCell ref="HEK9:HEN9"/>
    <mergeCell ref="HEO9:HER9"/>
    <mergeCell ref="HDE9:HDH9"/>
    <mergeCell ref="HDI9:HDL9"/>
    <mergeCell ref="HDM9:HDP9"/>
    <mergeCell ref="HDQ9:HDT9"/>
    <mergeCell ref="HDU9:HDX9"/>
    <mergeCell ref="HCK9:HCN9"/>
    <mergeCell ref="HCO9:HCR9"/>
    <mergeCell ref="HCS9:HCV9"/>
    <mergeCell ref="HCW9:HCZ9"/>
    <mergeCell ref="HDA9:HDD9"/>
    <mergeCell ref="HBQ9:HBT9"/>
    <mergeCell ref="HBU9:HBX9"/>
    <mergeCell ref="HBY9:HCB9"/>
    <mergeCell ref="HCC9:HCF9"/>
    <mergeCell ref="HCG9:HCJ9"/>
    <mergeCell ref="HLQ9:HLT9"/>
    <mergeCell ref="HLU9:HLX9"/>
    <mergeCell ref="HLY9:HMB9"/>
    <mergeCell ref="HMC9:HMF9"/>
    <mergeCell ref="HMG9:HMJ9"/>
    <mergeCell ref="HKW9:HKZ9"/>
    <mergeCell ref="HLA9:HLD9"/>
    <mergeCell ref="HLE9:HLH9"/>
    <mergeCell ref="HLI9:HLL9"/>
    <mergeCell ref="HLM9:HLP9"/>
    <mergeCell ref="HKC9:HKF9"/>
    <mergeCell ref="HKG9:HKJ9"/>
    <mergeCell ref="HKK9:HKN9"/>
    <mergeCell ref="HKO9:HKR9"/>
    <mergeCell ref="HKS9:HKV9"/>
    <mergeCell ref="HJI9:HJL9"/>
    <mergeCell ref="HJM9:HJP9"/>
    <mergeCell ref="HJQ9:HJT9"/>
    <mergeCell ref="HJU9:HJX9"/>
    <mergeCell ref="HJY9:HKB9"/>
    <mergeCell ref="HIO9:HIR9"/>
    <mergeCell ref="HIS9:HIV9"/>
    <mergeCell ref="HIW9:HIZ9"/>
    <mergeCell ref="HJA9:HJD9"/>
    <mergeCell ref="HJE9:HJH9"/>
    <mergeCell ref="HHU9:HHX9"/>
    <mergeCell ref="HHY9:HIB9"/>
    <mergeCell ref="HIC9:HIF9"/>
    <mergeCell ref="HIG9:HIJ9"/>
    <mergeCell ref="HIK9:HIN9"/>
    <mergeCell ref="HHA9:HHD9"/>
    <mergeCell ref="HHE9:HHH9"/>
    <mergeCell ref="HHI9:HHL9"/>
    <mergeCell ref="HHM9:HHP9"/>
    <mergeCell ref="HHQ9:HHT9"/>
    <mergeCell ref="HRA9:HRD9"/>
    <mergeCell ref="HRE9:HRH9"/>
    <mergeCell ref="HRI9:HRL9"/>
    <mergeCell ref="HRM9:HRP9"/>
    <mergeCell ref="HRQ9:HRT9"/>
    <mergeCell ref="HQG9:HQJ9"/>
    <mergeCell ref="HQK9:HQN9"/>
    <mergeCell ref="HQO9:HQR9"/>
    <mergeCell ref="HQS9:HQV9"/>
    <mergeCell ref="HQW9:HQZ9"/>
    <mergeCell ref="HPM9:HPP9"/>
    <mergeCell ref="HPQ9:HPT9"/>
    <mergeCell ref="HPU9:HPX9"/>
    <mergeCell ref="HPY9:HQB9"/>
    <mergeCell ref="HQC9:HQF9"/>
    <mergeCell ref="HOS9:HOV9"/>
    <mergeCell ref="HOW9:HOZ9"/>
    <mergeCell ref="HPA9:HPD9"/>
    <mergeCell ref="HPE9:HPH9"/>
    <mergeCell ref="HPI9:HPL9"/>
    <mergeCell ref="HNY9:HOB9"/>
    <mergeCell ref="HOC9:HOF9"/>
    <mergeCell ref="HOG9:HOJ9"/>
    <mergeCell ref="HOK9:HON9"/>
    <mergeCell ref="HOO9:HOR9"/>
    <mergeCell ref="HNE9:HNH9"/>
    <mergeCell ref="HNI9:HNL9"/>
    <mergeCell ref="HNM9:HNP9"/>
    <mergeCell ref="HNQ9:HNT9"/>
    <mergeCell ref="HNU9:HNX9"/>
    <mergeCell ref="HMK9:HMN9"/>
    <mergeCell ref="HMO9:HMR9"/>
    <mergeCell ref="HMS9:HMV9"/>
    <mergeCell ref="HMW9:HMZ9"/>
    <mergeCell ref="HNA9:HND9"/>
    <mergeCell ref="HWK9:HWN9"/>
    <mergeCell ref="HWO9:HWR9"/>
    <mergeCell ref="HWS9:HWV9"/>
    <mergeCell ref="HWW9:HWZ9"/>
    <mergeCell ref="HXA9:HXD9"/>
    <mergeCell ref="HVQ9:HVT9"/>
    <mergeCell ref="HVU9:HVX9"/>
    <mergeCell ref="HVY9:HWB9"/>
    <mergeCell ref="HWC9:HWF9"/>
    <mergeCell ref="HWG9:HWJ9"/>
    <mergeCell ref="HUW9:HUZ9"/>
    <mergeCell ref="HVA9:HVD9"/>
    <mergeCell ref="HVE9:HVH9"/>
    <mergeCell ref="HVI9:HVL9"/>
    <mergeCell ref="HVM9:HVP9"/>
    <mergeCell ref="HUC9:HUF9"/>
    <mergeCell ref="HUG9:HUJ9"/>
    <mergeCell ref="HUK9:HUN9"/>
    <mergeCell ref="HUO9:HUR9"/>
    <mergeCell ref="HUS9:HUV9"/>
    <mergeCell ref="HTI9:HTL9"/>
    <mergeCell ref="HTM9:HTP9"/>
    <mergeCell ref="HTQ9:HTT9"/>
    <mergeCell ref="HTU9:HTX9"/>
    <mergeCell ref="HTY9:HUB9"/>
    <mergeCell ref="HSO9:HSR9"/>
    <mergeCell ref="HSS9:HSV9"/>
    <mergeCell ref="HSW9:HSZ9"/>
    <mergeCell ref="HTA9:HTD9"/>
    <mergeCell ref="HTE9:HTH9"/>
    <mergeCell ref="HRU9:HRX9"/>
    <mergeCell ref="HRY9:HSB9"/>
    <mergeCell ref="HSC9:HSF9"/>
    <mergeCell ref="HSG9:HSJ9"/>
    <mergeCell ref="HSK9:HSN9"/>
    <mergeCell ref="IBU9:IBX9"/>
    <mergeCell ref="IBY9:ICB9"/>
    <mergeCell ref="ICC9:ICF9"/>
    <mergeCell ref="ICG9:ICJ9"/>
    <mergeCell ref="ICK9:ICN9"/>
    <mergeCell ref="IBA9:IBD9"/>
    <mergeCell ref="IBE9:IBH9"/>
    <mergeCell ref="IBI9:IBL9"/>
    <mergeCell ref="IBM9:IBP9"/>
    <mergeCell ref="IBQ9:IBT9"/>
    <mergeCell ref="IAG9:IAJ9"/>
    <mergeCell ref="IAK9:IAN9"/>
    <mergeCell ref="IAO9:IAR9"/>
    <mergeCell ref="IAS9:IAV9"/>
    <mergeCell ref="IAW9:IAZ9"/>
    <mergeCell ref="HZM9:HZP9"/>
    <mergeCell ref="HZQ9:HZT9"/>
    <mergeCell ref="HZU9:HZX9"/>
    <mergeCell ref="HZY9:IAB9"/>
    <mergeCell ref="IAC9:IAF9"/>
    <mergeCell ref="HYS9:HYV9"/>
    <mergeCell ref="HYW9:HYZ9"/>
    <mergeCell ref="HZA9:HZD9"/>
    <mergeCell ref="HZE9:HZH9"/>
    <mergeCell ref="HZI9:HZL9"/>
    <mergeCell ref="HXY9:HYB9"/>
    <mergeCell ref="HYC9:HYF9"/>
    <mergeCell ref="HYG9:HYJ9"/>
    <mergeCell ref="HYK9:HYN9"/>
    <mergeCell ref="HYO9:HYR9"/>
    <mergeCell ref="HXE9:HXH9"/>
    <mergeCell ref="HXI9:HXL9"/>
    <mergeCell ref="HXM9:HXP9"/>
    <mergeCell ref="HXQ9:HXT9"/>
    <mergeCell ref="HXU9:HXX9"/>
    <mergeCell ref="IHE9:IHH9"/>
    <mergeCell ref="IHI9:IHL9"/>
    <mergeCell ref="IHM9:IHP9"/>
    <mergeCell ref="IHQ9:IHT9"/>
    <mergeCell ref="IHU9:IHX9"/>
    <mergeCell ref="IGK9:IGN9"/>
    <mergeCell ref="IGO9:IGR9"/>
    <mergeCell ref="IGS9:IGV9"/>
    <mergeCell ref="IGW9:IGZ9"/>
    <mergeCell ref="IHA9:IHD9"/>
    <mergeCell ref="IFQ9:IFT9"/>
    <mergeCell ref="IFU9:IFX9"/>
    <mergeCell ref="IFY9:IGB9"/>
    <mergeCell ref="IGC9:IGF9"/>
    <mergeCell ref="IGG9:IGJ9"/>
    <mergeCell ref="IEW9:IEZ9"/>
    <mergeCell ref="IFA9:IFD9"/>
    <mergeCell ref="IFE9:IFH9"/>
    <mergeCell ref="IFI9:IFL9"/>
    <mergeCell ref="IFM9:IFP9"/>
    <mergeCell ref="IEC9:IEF9"/>
    <mergeCell ref="IEG9:IEJ9"/>
    <mergeCell ref="IEK9:IEN9"/>
    <mergeCell ref="IEO9:IER9"/>
    <mergeCell ref="IES9:IEV9"/>
    <mergeCell ref="IDI9:IDL9"/>
    <mergeCell ref="IDM9:IDP9"/>
    <mergeCell ref="IDQ9:IDT9"/>
    <mergeCell ref="IDU9:IDX9"/>
    <mergeCell ref="IDY9:IEB9"/>
    <mergeCell ref="ICO9:ICR9"/>
    <mergeCell ref="ICS9:ICV9"/>
    <mergeCell ref="ICW9:ICZ9"/>
    <mergeCell ref="IDA9:IDD9"/>
    <mergeCell ref="IDE9:IDH9"/>
    <mergeCell ref="IMO9:IMR9"/>
    <mergeCell ref="IMS9:IMV9"/>
    <mergeCell ref="IMW9:IMZ9"/>
    <mergeCell ref="INA9:IND9"/>
    <mergeCell ref="INE9:INH9"/>
    <mergeCell ref="ILU9:ILX9"/>
    <mergeCell ref="ILY9:IMB9"/>
    <mergeCell ref="IMC9:IMF9"/>
    <mergeCell ref="IMG9:IMJ9"/>
    <mergeCell ref="IMK9:IMN9"/>
    <mergeCell ref="ILA9:ILD9"/>
    <mergeCell ref="ILE9:ILH9"/>
    <mergeCell ref="ILI9:ILL9"/>
    <mergeCell ref="ILM9:ILP9"/>
    <mergeCell ref="ILQ9:ILT9"/>
    <mergeCell ref="IKG9:IKJ9"/>
    <mergeCell ref="IKK9:IKN9"/>
    <mergeCell ref="IKO9:IKR9"/>
    <mergeCell ref="IKS9:IKV9"/>
    <mergeCell ref="IKW9:IKZ9"/>
    <mergeCell ref="IJM9:IJP9"/>
    <mergeCell ref="IJQ9:IJT9"/>
    <mergeCell ref="IJU9:IJX9"/>
    <mergeCell ref="IJY9:IKB9"/>
    <mergeCell ref="IKC9:IKF9"/>
    <mergeCell ref="IIS9:IIV9"/>
    <mergeCell ref="IIW9:IIZ9"/>
    <mergeCell ref="IJA9:IJD9"/>
    <mergeCell ref="IJE9:IJH9"/>
    <mergeCell ref="IJI9:IJL9"/>
    <mergeCell ref="IHY9:IIB9"/>
    <mergeCell ref="IIC9:IIF9"/>
    <mergeCell ref="IIG9:IIJ9"/>
    <mergeCell ref="IIK9:IIN9"/>
    <mergeCell ref="IIO9:IIR9"/>
    <mergeCell ref="IRY9:ISB9"/>
    <mergeCell ref="ISC9:ISF9"/>
    <mergeCell ref="ISG9:ISJ9"/>
    <mergeCell ref="ISK9:ISN9"/>
    <mergeCell ref="ISO9:ISR9"/>
    <mergeCell ref="IRE9:IRH9"/>
    <mergeCell ref="IRI9:IRL9"/>
    <mergeCell ref="IRM9:IRP9"/>
    <mergeCell ref="IRQ9:IRT9"/>
    <mergeCell ref="IRU9:IRX9"/>
    <mergeCell ref="IQK9:IQN9"/>
    <mergeCell ref="IQO9:IQR9"/>
    <mergeCell ref="IQS9:IQV9"/>
    <mergeCell ref="IQW9:IQZ9"/>
    <mergeCell ref="IRA9:IRD9"/>
    <mergeCell ref="IPQ9:IPT9"/>
    <mergeCell ref="IPU9:IPX9"/>
    <mergeCell ref="IPY9:IQB9"/>
    <mergeCell ref="IQC9:IQF9"/>
    <mergeCell ref="IQG9:IQJ9"/>
    <mergeCell ref="IOW9:IOZ9"/>
    <mergeCell ref="IPA9:IPD9"/>
    <mergeCell ref="IPE9:IPH9"/>
    <mergeCell ref="IPI9:IPL9"/>
    <mergeCell ref="IPM9:IPP9"/>
    <mergeCell ref="IOC9:IOF9"/>
    <mergeCell ref="IOG9:IOJ9"/>
    <mergeCell ref="IOK9:ION9"/>
    <mergeCell ref="IOO9:IOR9"/>
    <mergeCell ref="IOS9:IOV9"/>
    <mergeCell ref="INI9:INL9"/>
    <mergeCell ref="INM9:INP9"/>
    <mergeCell ref="INQ9:INT9"/>
    <mergeCell ref="INU9:INX9"/>
    <mergeCell ref="INY9:IOB9"/>
    <mergeCell ref="IXI9:IXL9"/>
    <mergeCell ref="IXM9:IXP9"/>
    <mergeCell ref="IXQ9:IXT9"/>
    <mergeCell ref="IXU9:IXX9"/>
    <mergeCell ref="IXY9:IYB9"/>
    <mergeCell ref="IWO9:IWR9"/>
    <mergeCell ref="IWS9:IWV9"/>
    <mergeCell ref="IWW9:IWZ9"/>
    <mergeCell ref="IXA9:IXD9"/>
    <mergeCell ref="IXE9:IXH9"/>
    <mergeCell ref="IVU9:IVX9"/>
    <mergeCell ref="IVY9:IWB9"/>
    <mergeCell ref="IWC9:IWF9"/>
    <mergeCell ref="IWG9:IWJ9"/>
    <mergeCell ref="IWK9:IWN9"/>
    <mergeCell ref="IVA9:IVD9"/>
    <mergeCell ref="IVE9:IVH9"/>
    <mergeCell ref="IVI9:IVL9"/>
    <mergeCell ref="IVM9:IVP9"/>
    <mergeCell ref="IVQ9:IVT9"/>
    <mergeCell ref="IUG9:IUJ9"/>
    <mergeCell ref="IUK9:IUN9"/>
    <mergeCell ref="IUO9:IUR9"/>
    <mergeCell ref="IUS9:IUV9"/>
    <mergeCell ref="IUW9:IUZ9"/>
    <mergeCell ref="ITM9:ITP9"/>
    <mergeCell ref="ITQ9:ITT9"/>
    <mergeCell ref="ITU9:ITX9"/>
    <mergeCell ref="ITY9:IUB9"/>
    <mergeCell ref="IUC9:IUF9"/>
    <mergeCell ref="ISS9:ISV9"/>
    <mergeCell ref="ISW9:ISZ9"/>
    <mergeCell ref="ITA9:ITD9"/>
    <mergeCell ref="ITE9:ITH9"/>
    <mergeCell ref="ITI9:ITL9"/>
    <mergeCell ref="JCS9:JCV9"/>
    <mergeCell ref="JCW9:JCZ9"/>
    <mergeCell ref="JDA9:JDD9"/>
    <mergeCell ref="JDE9:JDH9"/>
    <mergeCell ref="JDI9:JDL9"/>
    <mergeCell ref="JBY9:JCB9"/>
    <mergeCell ref="JCC9:JCF9"/>
    <mergeCell ref="JCG9:JCJ9"/>
    <mergeCell ref="JCK9:JCN9"/>
    <mergeCell ref="JCO9:JCR9"/>
    <mergeCell ref="JBE9:JBH9"/>
    <mergeCell ref="JBI9:JBL9"/>
    <mergeCell ref="JBM9:JBP9"/>
    <mergeCell ref="JBQ9:JBT9"/>
    <mergeCell ref="JBU9:JBX9"/>
    <mergeCell ref="JAK9:JAN9"/>
    <mergeCell ref="JAO9:JAR9"/>
    <mergeCell ref="JAS9:JAV9"/>
    <mergeCell ref="JAW9:JAZ9"/>
    <mergeCell ref="JBA9:JBD9"/>
    <mergeCell ref="IZQ9:IZT9"/>
    <mergeCell ref="IZU9:IZX9"/>
    <mergeCell ref="IZY9:JAB9"/>
    <mergeCell ref="JAC9:JAF9"/>
    <mergeCell ref="JAG9:JAJ9"/>
    <mergeCell ref="IYW9:IYZ9"/>
    <mergeCell ref="IZA9:IZD9"/>
    <mergeCell ref="IZE9:IZH9"/>
    <mergeCell ref="IZI9:IZL9"/>
    <mergeCell ref="IZM9:IZP9"/>
    <mergeCell ref="IYC9:IYF9"/>
    <mergeCell ref="IYG9:IYJ9"/>
    <mergeCell ref="IYK9:IYN9"/>
    <mergeCell ref="IYO9:IYR9"/>
    <mergeCell ref="IYS9:IYV9"/>
    <mergeCell ref="JIC9:JIF9"/>
    <mergeCell ref="JIG9:JIJ9"/>
    <mergeCell ref="JIK9:JIN9"/>
    <mergeCell ref="JIO9:JIR9"/>
    <mergeCell ref="JIS9:JIV9"/>
    <mergeCell ref="JHI9:JHL9"/>
    <mergeCell ref="JHM9:JHP9"/>
    <mergeCell ref="JHQ9:JHT9"/>
    <mergeCell ref="JHU9:JHX9"/>
    <mergeCell ref="JHY9:JIB9"/>
    <mergeCell ref="JGO9:JGR9"/>
    <mergeCell ref="JGS9:JGV9"/>
    <mergeCell ref="JGW9:JGZ9"/>
    <mergeCell ref="JHA9:JHD9"/>
    <mergeCell ref="JHE9:JHH9"/>
    <mergeCell ref="JFU9:JFX9"/>
    <mergeCell ref="JFY9:JGB9"/>
    <mergeCell ref="JGC9:JGF9"/>
    <mergeCell ref="JGG9:JGJ9"/>
    <mergeCell ref="JGK9:JGN9"/>
    <mergeCell ref="JFA9:JFD9"/>
    <mergeCell ref="JFE9:JFH9"/>
    <mergeCell ref="JFI9:JFL9"/>
    <mergeCell ref="JFM9:JFP9"/>
    <mergeCell ref="JFQ9:JFT9"/>
    <mergeCell ref="JEG9:JEJ9"/>
    <mergeCell ref="JEK9:JEN9"/>
    <mergeCell ref="JEO9:JER9"/>
    <mergeCell ref="JES9:JEV9"/>
    <mergeCell ref="JEW9:JEZ9"/>
    <mergeCell ref="JDM9:JDP9"/>
    <mergeCell ref="JDQ9:JDT9"/>
    <mergeCell ref="JDU9:JDX9"/>
    <mergeCell ref="JDY9:JEB9"/>
    <mergeCell ref="JEC9:JEF9"/>
    <mergeCell ref="JNM9:JNP9"/>
    <mergeCell ref="JNQ9:JNT9"/>
    <mergeCell ref="JNU9:JNX9"/>
    <mergeCell ref="JNY9:JOB9"/>
    <mergeCell ref="JOC9:JOF9"/>
    <mergeCell ref="JMS9:JMV9"/>
    <mergeCell ref="JMW9:JMZ9"/>
    <mergeCell ref="JNA9:JND9"/>
    <mergeCell ref="JNE9:JNH9"/>
    <mergeCell ref="JNI9:JNL9"/>
    <mergeCell ref="JLY9:JMB9"/>
    <mergeCell ref="JMC9:JMF9"/>
    <mergeCell ref="JMG9:JMJ9"/>
    <mergeCell ref="JMK9:JMN9"/>
    <mergeCell ref="JMO9:JMR9"/>
    <mergeCell ref="JLE9:JLH9"/>
    <mergeCell ref="JLI9:JLL9"/>
    <mergeCell ref="JLM9:JLP9"/>
    <mergeCell ref="JLQ9:JLT9"/>
    <mergeCell ref="JLU9:JLX9"/>
    <mergeCell ref="JKK9:JKN9"/>
    <mergeCell ref="JKO9:JKR9"/>
    <mergeCell ref="JKS9:JKV9"/>
    <mergeCell ref="JKW9:JKZ9"/>
    <mergeCell ref="JLA9:JLD9"/>
    <mergeCell ref="JJQ9:JJT9"/>
    <mergeCell ref="JJU9:JJX9"/>
    <mergeCell ref="JJY9:JKB9"/>
    <mergeCell ref="JKC9:JKF9"/>
    <mergeCell ref="JKG9:JKJ9"/>
    <mergeCell ref="JIW9:JIZ9"/>
    <mergeCell ref="JJA9:JJD9"/>
    <mergeCell ref="JJE9:JJH9"/>
    <mergeCell ref="JJI9:JJL9"/>
    <mergeCell ref="JJM9:JJP9"/>
    <mergeCell ref="JSW9:JSZ9"/>
    <mergeCell ref="JTA9:JTD9"/>
    <mergeCell ref="JTE9:JTH9"/>
    <mergeCell ref="JTI9:JTL9"/>
    <mergeCell ref="JTM9:JTP9"/>
    <mergeCell ref="JSC9:JSF9"/>
    <mergeCell ref="JSG9:JSJ9"/>
    <mergeCell ref="JSK9:JSN9"/>
    <mergeCell ref="JSO9:JSR9"/>
    <mergeCell ref="JSS9:JSV9"/>
    <mergeCell ref="JRI9:JRL9"/>
    <mergeCell ref="JRM9:JRP9"/>
    <mergeCell ref="JRQ9:JRT9"/>
    <mergeCell ref="JRU9:JRX9"/>
    <mergeCell ref="JRY9:JSB9"/>
    <mergeCell ref="JQO9:JQR9"/>
    <mergeCell ref="JQS9:JQV9"/>
    <mergeCell ref="JQW9:JQZ9"/>
    <mergeCell ref="JRA9:JRD9"/>
    <mergeCell ref="JRE9:JRH9"/>
    <mergeCell ref="JPU9:JPX9"/>
    <mergeCell ref="JPY9:JQB9"/>
    <mergeCell ref="JQC9:JQF9"/>
    <mergeCell ref="JQG9:JQJ9"/>
    <mergeCell ref="JQK9:JQN9"/>
    <mergeCell ref="JPA9:JPD9"/>
    <mergeCell ref="JPE9:JPH9"/>
    <mergeCell ref="JPI9:JPL9"/>
    <mergeCell ref="JPM9:JPP9"/>
    <mergeCell ref="JPQ9:JPT9"/>
    <mergeCell ref="JOG9:JOJ9"/>
    <mergeCell ref="JOK9:JON9"/>
    <mergeCell ref="JOO9:JOR9"/>
    <mergeCell ref="JOS9:JOV9"/>
    <mergeCell ref="JOW9:JOZ9"/>
    <mergeCell ref="JYG9:JYJ9"/>
    <mergeCell ref="JYK9:JYN9"/>
    <mergeCell ref="JYO9:JYR9"/>
    <mergeCell ref="JYS9:JYV9"/>
    <mergeCell ref="JYW9:JYZ9"/>
    <mergeCell ref="JXM9:JXP9"/>
    <mergeCell ref="JXQ9:JXT9"/>
    <mergeCell ref="JXU9:JXX9"/>
    <mergeCell ref="JXY9:JYB9"/>
    <mergeCell ref="JYC9:JYF9"/>
    <mergeCell ref="JWS9:JWV9"/>
    <mergeCell ref="JWW9:JWZ9"/>
    <mergeCell ref="JXA9:JXD9"/>
    <mergeCell ref="JXE9:JXH9"/>
    <mergeCell ref="JXI9:JXL9"/>
    <mergeCell ref="JVY9:JWB9"/>
    <mergeCell ref="JWC9:JWF9"/>
    <mergeCell ref="JWG9:JWJ9"/>
    <mergeCell ref="JWK9:JWN9"/>
    <mergeCell ref="JWO9:JWR9"/>
    <mergeCell ref="JVE9:JVH9"/>
    <mergeCell ref="JVI9:JVL9"/>
    <mergeCell ref="JVM9:JVP9"/>
    <mergeCell ref="JVQ9:JVT9"/>
    <mergeCell ref="JVU9:JVX9"/>
    <mergeCell ref="JUK9:JUN9"/>
    <mergeCell ref="JUO9:JUR9"/>
    <mergeCell ref="JUS9:JUV9"/>
    <mergeCell ref="JUW9:JUZ9"/>
    <mergeCell ref="JVA9:JVD9"/>
    <mergeCell ref="JTQ9:JTT9"/>
    <mergeCell ref="JTU9:JTX9"/>
    <mergeCell ref="JTY9:JUB9"/>
    <mergeCell ref="JUC9:JUF9"/>
    <mergeCell ref="JUG9:JUJ9"/>
    <mergeCell ref="KDQ9:KDT9"/>
    <mergeCell ref="KDU9:KDX9"/>
    <mergeCell ref="KDY9:KEB9"/>
    <mergeCell ref="KEC9:KEF9"/>
    <mergeCell ref="KEG9:KEJ9"/>
    <mergeCell ref="KCW9:KCZ9"/>
    <mergeCell ref="KDA9:KDD9"/>
    <mergeCell ref="KDE9:KDH9"/>
    <mergeCell ref="KDI9:KDL9"/>
    <mergeCell ref="KDM9:KDP9"/>
    <mergeCell ref="KCC9:KCF9"/>
    <mergeCell ref="KCG9:KCJ9"/>
    <mergeCell ref="KCK9:KCN9"/>
    <mergeCell ref="KCO9:KCR9"/>
    <mergeCell ref="KCS9:KCV9"/>
    <mergeCell ref="KBI9:KBL9"/>
    <mergeCell ref="KBM9:KBP9"/>
    <mergeCell ref="KBQ9:KBT9"/>
    <mergeCell ref="KBU9:KBX9"/>
    <mergeCell ref="KBY9:KCB9"/>
    <mergeCell ref="KAO9:KAR9"/>
    <mergeCell ref="KAS9:KAV9"/>
    <mergeCell ref="KAW9:KAZ9"/>
    <mergeCell ref="KBA9:KBD9"/>
    <mergeCell ref="KBE9:KBH9"/>
    <mergeCell ref="JZU9:JZX9"/>
    <mergeCell ref="JZY9:KAB9"/>
    <mergeCell ref="KAC9:KAF9"/>
    <mergeCell ref="KAG9:KAJ9"/>
    <mergeCell ref="KAK9:KAN9"/>
    <mergeCell ref="JZA9:JZD9"/>
    <mergeCell ref="JZE9:JZH9"/>
    <mergeCell ref="JZI9:JZL9"/>
    <mergeCell ref="JZM9:JZP9"/>
    <mergeCell ref="JZQ9:JZT9"/>
    <mergeCell ref="KJA9:KJD9"/>
    <mergeCell ref="KJE9:KJH9"/>
    <mergeCell ref="KJI9:KJL9"/>
    <mergeCell ref="KJM9:KJP9"/>
    <mergeCell ref="KJQ9:KJT9"/>
    <mergeCell ref="KIG9:KIJ9"/>
    <mergeCell ref="KIK9:KIN9"/>
    <mergeCell ref="KIO9:KIR9"/>
    <mergeCell ref="KIS9:KIV9"/>
    <mergeCell ref="KIW9:KIZ9"/>
    <mergeCell ref="KHM9:KHP9"/>
    <mergeCell ref="KHQ9:KHT9"/>
    <mergeCell ref="KHU9:KHX9"/>
    <mergeCell ref="KHY9:KIB9"/>
    <mergeCell ref="KIC9:KIF9"/>
    <mergeCell ref="KGS9:KGV9"/>
    <mergeCell ref="KGW9:KGZ9"/>
    <mergeCell ref="KHA9:KHD9"/>
    <mergeCell ref="KHE9:KHH9"/>
    <mergeCell ref="KHI9:KHL9"/>
    <mergeCell ref="KFY9:KGB9"/>
    <mergeCell ref="KGC9:KGF9"/>
    <mergeCell ref="KGG9:KGJ9"/>
    <mergeCell ref="KGK9:KGN9"/>
    <mergeCell ref="KGO9:KGR9"/>
    <mergeCell ref="KFE9:KFH9"/>
    <mergeCell ref="KFI9:KFL9"/>
    <mergeCell ref="KFM9:KFP9"/>
    <mergeCell ref="KFQ9:KFT9"/>
    <mergeCell ref="KFU9:KFX9"/>
    <mergeCell ref="KEK9:KEN9"/>
    <mergeCell ref="KEO9:KER9"/>
    <mergeCell ref="KES9:KEV9"/>
    <mergeCell ref="KEW9:KEZ9"/>
    <mergeCell ref="KFA9:KFD9"/>
    <mergeCell ref="KOK9:KON9"/>
    <mergeCell ref="KOO9:KOR9"/>
    <mergeCell ref="KOS9:KOV9"/>
    <mergeCell ref="KOW9:KOZ9"/>
    <mergeCell ref="KPA9:KPD9"/>
    <mergeCell ref="KNQ9:KNT9"/>
    <mergeCell ref="KNU9:KNX9"/>
    <mergeCell ref="KNY9:KOB9"/>
    <mergeCell ref="KOC9:KOF9"/>
    <mergeCell ref="KOG9:KOJ9"/>
    <mergeCell ref="KMW9:KMZ9"/>
    <mergeCell ref="KNA9:KND9"/>
    <mergeCell ref="KNE9:KNH9"/>
    <mergeCell ref="KNI9:KNL9"/>
    <mergeCell ref="KNM9:KNP9"/>
    <mergeCell ref="KMC9:KMF9"/>
    <mergeCell ref="KMG9:KMJ9"/>
    <mergeCell ref="KMK9:KMN9"/>
    <mergeCell ref="KMO9:KMR9"/>
    <mergeCell ref="KMS9:KMV9"/>
    <mergeCell ref="KLI9:KLL9"/>
    <mergeCell ref="KLM9:KLP9"/>
    <mergeCell ref="KLQ9:KLT9"/>
    <mergeCell ref="KLU9:KLX9"/>
    <mergeCell ref="KLY9:KMB9"/>
    <mergeCell ref="KKO9:KKR9"/>
    <mergeCell ref="KKS9:KKV9"/>
    <mergeCell ref="KKW9:KKZ9"/>
    <mergeCell ref="KLA9:KLD9"/>
    <mergeCell ref="KLE9:KLH9"/>
    <mergeCell ref="KJU9:KJX9"/>
    <mergeCell ref="KJY9:KKB9"/>
    <mergeCell ref="KKC9:KKF9"/>
    <mergeCell ref="KKG9:KKJ9"/>
    <mergeCell ref="KKK9:KKN9"/>
    <mergeCell ref="KTU9:KTX9"/>
    <mergeCell ref="KTY9:KUB9"/>
    <mergeCell ref="KUC9:KUF9"/>
    <mergeCell ref="KUG9:KUJ9"/>
    <mergeCell ref="KUK9:KUN9"/>
    <mergeCell ref="KTA9:KTD9"/>
    <mergeCell ref="KTE9:KTH9"/>
    <mergeCell ref="KTI9:KTL9"/>
    <mergeCell ref="KTM9:KTP9"/>
    <mergeCell ref="KTQ9:KTT9"/>
    <mergeCell ref="KSG9:KSJ9"/>
    <mergeCell ref="KSK9:KSN9"/>
    <mergeCell ref="KSO9:KSR9"/>
    <mergeCell ref="KSS9:KSV9"/>
    <mergeCell ref="KSW9:KSZ9"/>
    <mergeCell ref="KRM9:KRP9"/>
    <mergeCell ref="KRQ9:KRT9"/>
    <mergeCell ref="KRU9:KRX9"/>
    <mergeCell ref="KRY9:KSB9"/>
    <mergeCell ref="KSC9:KSF9"/>
    <mergeCell ref="KQS9:KQV9"/>
    <mergeCell ref="KQW9:KQZ9"/>
    <mergeCell ref="KRA9:KRD9"/>
    <mergeCell ref="KRE9:KRH9"/>
    <mergeCell ref="KRI9:KRL9"/>
    <mergeCell ref="KPY9:KQB9"/>
    <mergeCell ref="KQC9:KQF9"/>
    <mergeCell ref="KQG9:KQJ9"/>
    <mergeCell ref="KQK9:KQN9"/>
    <mergeCell ref="KQO9:KQR9"/>
    <mergeCell ref="KPE9:KPH9"/>
    <mergeCell ref="KPI9:KPL9"/>
    <mergeCell ref="KPM9:KPP9"/>
    <mergeCell ref="KPQ9:KPT9"/>
    <mergeCell ref="KPU9:KPX9"/>
    <mergeCell ref="KZE9:KZH9"/>
    <mergeCell ref="KZI9:KZL9"/>
    <mergeCell ref="KZM9:KZP9"/>
    <mergeCell ref="KZQ9:KZT9"/>
    <mergeCell ref="KZU9:KZX9"/>
    <mergeCell ref="KYK9:KYN9"/>
    <mergeCell ref="KYO9:KYR9"/>
    <mergeCell ref="KYS9:KYV9"/>
    <mergeCell ref="KYW9:KYZ9"/>
    <mergeCell ref="KZA9:KZD9"/>
    <mergeCell ref="KXQ9:KXT9"/>
    <mergeCell ref="KXU9:KXX9"/>
    <mergeCell ref="KXY9:KYB9"/>
    <mergeCell ref="KYC9:KYF9"/>
    <mergeCell ref="KYG9:KYJ9"/>
    <mergeCell ref="KWW9:KWZ9"/>
    <mergeCell ref="KXA9:KXD9"/>
    <mergeCell ref="KXE9:KXH9"/>
    <mergeCell ref="KXI9:KXL9"/>
    <mergeCell ref="KXM9:KXP9"/>
    <mergeCell ref="KWC9:KWF9"/>
    <mergeCell ref="KWG9:KWJ9"/>
    <mergeCell ref="KWK9:KWN9"/>
    <mergeCell ref="KWO9:KWR9"/>
    <mergeCell ref="KWS9:KWV9"/>
    <mergeCell ref="KVI9:KVL9"/>
    <mergeCell ref="KVM9:KVP9"/>
    <mergeCell ref="KVQ9:KVT9"/>
    <mergeCell ref="KVU9:KVX9"/>
    <mergeCell ref="KVY9:KWB9"/>
    <mergeCell ref="KUO9:KUR9"/>
    <mergeCell ref="KUS9:KUV9"/>
    <mergeCell ref="KUW9:KUZ9"/>
    <mergeCell ref="KVA9:KVD9"/>
    <mergeCell ref="KVE9:KVH9"/>
    <mergeCell ref="LEO9:LER9"/>
    <mergeCell ref="LES9:LEV9"/>
    <mergeCell ref="LEW9:LEZ9"/>
    <mergeCell ref="LFA9:LFD9"/>
    <mergeCell ref="LFE9:LFH9"/>
    <mergeCell ref="LDU9:LDX9"/>
    <mergeCell ref="LDY9:LEB9"/>
    <mergeCell ref="LEC9:LEF9"/>
    <mergeCell ref="LEG9:LEJ9"/>
    <mergeCell ref="LEK9:LEN9"/>
    <mergeCell ref="LDA9:LDD9"/>
    <mergeCell ref="LDE9:LDH9"/>
    <mergeCell ref="LDI9:LDL9"/>
    <mergeCell ref="LDM9:LDP9"/>
    <mergeCell ref="LDQ9:LDT9"/>
    <mergeCell ref="LCG9:LCJ9"/>
    <mergeCell ref="LCK9:LCN9"/>
    <mergeCell ref="LCO9:LCR9"/>
    <mergeCell ref="LCS9:LCV9"/>
    <mergeCell ref="LCW9:LCZ9"/>
    <mergeCell ref="LBM9:LBP9"/>
    <mergeCell ref="LBQ9:LBT9"/>
    <mergeCell ref="LBU9:LBX9"/>
    <mergeCell ref="LBY9:LCB9"/>
    <mergeCell ref="LCC9:LCF9"/>
    <mergeCell ref="LAS9:LAV9"/>
    <mergeCell ref="LAW9:LAZ9"/>
    <mergeCell ref="LBA9:LBD9"/>
    <mergeCell ref="LBE9:LBH9"/>
    <mergeCell ref="LBI9:LBL9"/>
    <mergeCell ref="KZY9:LAB9"/>
    <mergeCell ref="LAC9:LAF9"/>
    <mergeCell ref="LAG9:LAJ9"/>
    <mergeCell ref="LAK9:LAN9"/>
    <mergeCell ref="LAO9:LAR9"/>
    <mergeCell ref="LJY9:LKB9"/>
    <mergeCell ref="LKC9:LKF9"/>
    <mergeCell ref="LKG9:LKJ9"/>
    <mergeCell ref="LKK9:LKN9"/>
    <mergeCell ref="LKO9:LKR9"/>
    <mergeCell ref="LJE9:LJH9"/>
    <mergeCell ref="LJI9:LJL9"/>
    <mergeCell ref="LJM9:LJP9"/>
    <mergeCell ref="LJQ9:LJT9"/>
    <mergeCell ref="LJU9:LJX9"/>
    <mergeCell ref="LIK9:LIN9"/>
    <mergeCell ref="LIO9:LIR9"/>
    <mergeCell ref="LIS9:LIV9"/>
    <mergeCell ref="LIW9:LIZ9"/>
    <mergeCell ref="LJA9:LJD9"/>
    <mergeCell ref="LHQ9:LHT9"/>
    <mergeCell ref="LHU9:LHX9"/>
    <mergeCell ref="LHY9:LIB9"/>
    <mergeCell ref="LIC9:LIF9"/>
    <mergeCell ref="LIG9:LIJ9"/>
    <mergeCell ref="LGW9:LGZ9"/>
    <mergeCell ref="LHA9:LHD9"/>
    <mergeCell ref="LHE9:LHH9"/>
    <mergeCell ref="LHI9:LHL9"/>
    <mergeCell ref="LHM9:LHP9"/>
    <mergeCell ref="LGC9:LGF9"/>
    <mergeCell ref="LGG9:LGJ9"/>
    <mergeCell ref="LGK9:LGN9"/>
    <mergeCell ref="LGO9:LGR9"/>
    <mergeCell ref="LGS9:LGV9"/>
    <mergeCell ref="LFI9:LFL9"/>
    <mergeCell ref="LFM9:LFP9"/>
    <mergeCell ref="LFQ9:LFT9"/>
    <mergeCell ref="LFU9:LFX9"/>
    <mergeCell ref="LFY9:LGB9"/>
    <mergeCell ref="LPI9:LPL9"/>
    <mergeCell ref="LPM9:LPP9"/>
    <mergeCell ref="LPQ9:LPT9"/>
    <mergeCell ref="LPU9:LPX9"/>
    <mergeCell ref="LPY9:LQB9"/>
    <mergeCell ref="LOO9:LOR9"/>
    <mergeCell ref="LOS9:LOV9"/>
    <mergeCell ref="LOW9:LOZ9"/>
    <mergeCell ref="LPA9:LPD9"/>
    <mergeCell ref="LPE9:LPH9"/>
    <mergeCell ref="LNU9:LNX9"/>
    <mergeCell ref="LNY9:LOB9"/>
    <mergeCell ref="LOC9:LOF9"/>
    <mergeCell ref="LOG9:LOJ9"/>
    <mergeCell ref="LOK9:LON9"/>
    <mergeCell ref="LNA9:LND9"/>
    <mergeCell ref="LNE9:LNH9"/>
    <mergeCell ref="LNI9:LNL9"/>
    <mergeCell ref="LNM9:LNP9"/>
    <mergeCell ref="LNQ9:LNT9"/>
    <mergeCell ref="LMG9:LMJ9"/>
    <mergeCell ref="LMK9:LMN9"/>
    <mergeCell ref="LMO9:LMR9"/>
    <mergeCell ref="LMS9:LMV9"/>
    <mergeCell ref="LMW9:LMZ9"/>
    <mergeCell ref="LLM9:LLP9"/>
    <mergeCell ref="LLQ9:LLT9"/>
    <mergeCell ref="LLU9:LLX9"/>
    <mergeCell ref="LLY9:LMB9"/>
    <mergeCell ref="LMC9:LMF9"/>
    <mergeCell ref="LKS9:LKV9"/>
    <mergeCell ref="LKW9:LKZ9"/>
    <mergeCell ref="LLA9:LLD9"/>
    <mergeCell ref="LLE9:LLH9"/>
    <mergeCell ref="LLI9:LLL9"/>
    <mergeCell ref="LUS9:LUV9"/>
    <mergeCell ref="LUW9:LUZ9"/>
    <mergeCell ref="LVA9:LVD9"/>
    <mergeCell ref="LVE9:LVH9"/>
    <mergeCell ref="LVI9:LVL9"/>
    <mergeCell ref="LTY9:LUB9"/>
    <mergeCell ref="LUC9:LUF9"/>
    <mergeCell ref="LUG9:LUJ9"/>
    <mergeCell ref="LUK9:LUN9"/>
    <mergeCell ref="LUO9:LUR9"/>
    <mergeCell ref="LTE9:LTH9"/>
    <mergeCell ref="LTI9:LTL9"/>
    <mergeCell ref="LTM9:LTP9"/>
    <mergeCell ref="LTQ9:LTT9"/>
    <mergeCell ref="LTU9:LTX9"/>
    <mergeCell ref="LSK9:LSN9"/>
    <mergeCell ref="LSO9:LSR9"/>
    <mergeCell ref="LSS9:LSV9"/>
    <mergeCell ref="LSW9:LSZ9"/>
    <mergeCell ref="LTA9:LTD9"/>
    <mergeCell ref="LRQ9:LRT9"/>
    <mergeCell ref="LRU9:LRX9"/>
    <mergeCell ref="LRY9:LSB9"/>
    <mergeCell ref="LSC9:LSF9"/>
    <mergeCell ref="LSG9:LSJ9"/>
    <mergeCell ref="LQW9:LQZ9"/>
    <mergeCell ref="LRA9:LRD9"/>
    <mergeCell ref="LRE9:LRH9"/>
    <mergeCell ref="LRI9:LRL9"/>
    <mergeCell ref="LRM9:LRP9"/>
    <mergeCell ref="LQC9:LQF9"/>
    <mergeCell ref="LQG9:LQJ9"/>
    <mergeCell ref="LQK9:LQN9"/>
    <mergeCell ref="LQO9:LQR9"/>
    <mergeCell ref="LQS9:LQV9"/>
    <mergeCell ref="MAC9:MAF9"/>
    <mergeCell ref="MAG9:MAJ9"/>
    <mergeCell ref="MAK9:MAN9"/>
    <mergeCell ref="MAO9:MAR9"/>
    <mergeCell ref="MAS9:MAV9"/>
    <mergeCell ref="LZI9:LZL9"/>
    <mergeCell ref="LZM9:LZP9"/>
    <mergeCell ref="LZQ9:LZT9"/>
    <mergeCell ref="LZU9:LZX9"/>
    <mergeCell ref="LZY9:MAB9"/>
    <mergeCell ref="LYO9:LYR9"/>
    <mergeCell ref="LYS9:LYV9"/>
    <mergeCell ref="LYW9:LYZ9"/>
    <mergeCell ref="LZA9:LZD9"/>
    <mergeCell ref="LZE9:LZH9"/>
    <mergeCell ref="LXU9:LXX9"/>
    <mergeCell ref="LXY9:LYB9"/>
    <mergeCell ref="LYC9:LYF9"/>
    <mergeCell ref="LYG9:LYJ9"/>
    <mergeCell ref="LYK9:LYN9"/>
    <mergeCell ref="LXA9:LXD9"/>
    <mergeCell ref="LXE9:LXH9"/>
    <mergeCell ref="LXI9:LXL9"/>
    <mergeCell ref="LXM9:LXP9"/>
    <mergeCell ref="LXQ9:LXT9"/>
    <mergeCell ref="LWG9:LWJ9"/>
    <mergeCell ref="LWK9:LWN9"/>
    <mergeCell ref="LWO9:LWR9"/>
    <mergeCell ref="LWS9:LWV9"/>
    <mergeCell ref="LWW9:LWZ9"/>
    <mergeCell ref="LVM9:LVP9"/>
    <mergeCell ref="LVQ9:LVT9"/>
    <mergeCell ref="LVU9:LVX9"/>
    <mergeCell ref="LVY9:LWB9"/>
    <mergeCell ref="LWC9:LWF9"/>
    <mergeCell ref="MFM9:MFP9"/>
    <mergeCell ref="MFQ9:MFT9"/>
    <mergeCell ref="MFU9:MFX9"/>
    <mergeCell ref="MFY9:MGB9"/>
    <mergeCell ref="MGC9:MGF9"/>
    <mergeCell ref="MES9:MEV9"/>
    <mergeCell ref="MEW9:MEZ9"/>
    <mergeCell ref="MFA9:MFD9"/>
    <mergeCell ref="MFE9:MFH9"/>
    <mergeCell ref="MFI9:MFL9"/>
    <mergeCell ref="MDY9:MEB9"/>
    <mergeCell ref="MEC9:MEF9"/>
    <mergeCell ref="MEG9:MEJ9"/>
    <mergeCell ref="MEK9:MEN9"/>
    <mergeCell ref="MEO9:MER9"/>
    <mergeCell ref="MDE9:MDH9"/>
    <mergeCell ref="MDI9:MDL9"/>
    <mergeCell ref="MDM9:MDP9"/>
    <mergeCell ref="MDQ9:MDT9"/>
    <mergeCell ref="MDU9:MDX9"/>
    <mergeCell ref="MCK9:MCN9"/>
    <mergeCell ref="MCO9:MCR9"/>
    <mergeCell ref="MCS9:MCV9"/>
    <mergeCell ref="MCW9:MCZ9"/>
    <mergeCell ref="MDA9:MDD9"/>
    <mergeCell ref="MBQ9:MBT9"/>
    <mergeCell ref="MBU9:MBX9"/>
    <mergeCell ref="MBY9:MCB9"/>
    <mergeCell ref="MCC9:MCF9"/>
    <mergeCell ref="MCG9:MCJ9"/>
    <mergeCell ref="MAW9:MAZ9"/>
    <mergeCell ref="MBA9:MBD9"/>
    <mergeCell ref="MBE9:MBH9"/>
    <mergeCell ref="MBI9:MBL9"/>
    <mergeCell ref="MBM9:MBP9"/>
    <mergeCell ref="MKW9:MKZ9"/>
    <mergeCell ref="MLA9:MLD9"/>
    <mergeCell ref="MLE9:MLH9"/>
    <mergeCell ref="MLI9:MLL9"/>
    <mergeCell ref="MLM9:MLP9"/>
    <mergeCell ref="MKC9:MKF9"/>
    <mergeCell ref="MKG9:MKJ9"/>
    <mergeCell ref="MKK9:MKN9"/>
    <mergeCell ref="MKO9:MKR9"/>
    <mergeCell ref="MKS9:MKV9"/>
    <mergeCell ref="MJI9:MJL9"/>
    <mergeCell ref="MJM9:MJP9"/>
    <mergeCell ref="MJQ9:MJT9"/>
    <mergeCell ref="MJU9:MJX9"/>
    <mergeCell ref="MJY9:MKB9"/>
    <mergeCell ref="MIO9:MIR9"/>
    <mergeCell ref="MIS9:MIV9"/>
    <mergeCell ref="MIW9:MIZ9"/>
    <mergeCell ref="MJA9:MJD9"/>
    <mergeCell ref="MJE9:MJH9"/>
    <mergeCell ref="MHU9:MHX9"/>
    <mergeCell ref="MHY9:MIB9"/>
    <mergeCell ref="MIC9:MIF9"/>
    <mergeCell ref="MIG9:MIJ9"/>
    <mergeCell ref="MIK9:MIN9"/>
    <mergeCell ref="MHA9:MHD9"/>
    <mergeCell ref="MHE9:MHH9"/>
    <mergeCell ref="MHI9:MHL9"/>
    <mergeCell ref="MHM9:MHP9"/>
    <mergeCell ref="MHQ9:MHT9"/>
    <mergeCell ref="MGG9:MGJ9"/>
    <mergeCell ref="MGK9:MGN9"/>
    <mergeCell ref="MGO9:MGR9"/>
    <mergeCell ref="MGS9:MGV9"/>
    <mergeCell ref="MGW9:MGZ9"/>
    <mergeCell ref="MQG9:MQJ9"/>
    <mergeCell ref="MQK9:MQN9"/>
    <mergeCell ref="MQO9:MQR9"/>
    <mergeCell ref="MQS9:MQV9"/>
    <mergeCell ref="MQW9:MQZ9"/>
    <mergeCell ref="MPM9:MPP9"/>
    <mergeCell ref="MPQ9:MPT9"/>
    <mergeCell ref="MPU9:MPX9"/>
    <mergeCell ref="MPY9:MQB9"/>
    <mergeCell ref="MQC9:MQF9"/>
    <mergeCell ref="MOS9:MOV9"/>
    <mergeCell ref="MOW9:MOZ9"/>
    <mergeCell ref="MPA9:MPD9"/>
    <mergeCell ref="MPE9:MPH9"/>
    <mergeCell ref="MPI9:MPL9"/>
    <mergeCell ref="MNY9:MOB9"/>
    <mergeCell ref="MOC9:MOF9"/>
    <mergeCell ref="MOG9:MOJ9"/>
    <mergeCell ref="MOK9:MON9"/>
    <mergeCell ref="MOO9:MOR9"/>
    <mergeCell ref="MNE9:MNH9"/>
    <mergeCell ref="MNI9:MNL9"/>
    <mergeCell ref="MNM9:MNP9"/>
    <mergeCell ref="MNQ9:MNT9"/>
    <mergeCell ref="MNU9:MNX9"/>
    <mergeCell ref="MMK9:MMN9"/>
    <mergeCell ref="MMO9:MMR9"/>
    <mergeCell ref="MMS9:MMV9"/>
    <mergeCell ref="MMW9:MMZ9"/>
    <mergeCell ref="MNA9:MND9"/>
    <mergeCell ref="MLQ9:MLT9"/>
    <mergeCell ref="MLU9:MLX9"/>
    <mergeCell ref="MLY9:MMB9"/>
    <mergeCell ref="MMC9:MMF9"/>
    <mergeCell ref="MMG9:MMJ9"/>
    <mergeCell ref="MVQ9:MVT9"/>
    <mergeCell ref="MVU9:MVX9"/>
    <mergeCell ref="MVY9:MWB9"/>
    <mergeCell ref="MWC9:MWF9"/>
    <mergeCell ref="MWG9:MWJ9"/>
    <mergeCell ref="MUW9:MUZ9"/>
    <mergeCell ref="MVA9:MVD9"/>
    <mergeCell ref="MVE9:MVH9"/>
    <mergeCell ref="MVI9:MVL9"/>
    <mergeCell ref="MVM9:MVP9"/>
    <mergeCell ref="MUC9:MUF9"/>
    <mergeCell ref="MUG9:MUJ9"/>
    <mergeCell ref="MUK9:MUN9"/>
    <mergeCell ref="MUO9:MUR9"/>
    <mergeCell ref="MUS9:MUV9"/>
    <mergeCell ref="MTI9:MTL9"/>
    <mergeCell ref="MTM9:MTP9"/>
    <mergeCell ref="MTQ9:MTT9"/>
    <mergeCell ref="MTU9:MTX9"/>
    <mergeCell ref="MTY9:MUB9"/>
    <mergeCell ref="MSO9:MSR9"/>
    <mergeCell ref="MSS9:MSV9"/>
    <mergeCell ref="MSW9:MSZ9"/>
    <mergeCell ref="MTA9:MTD9"/>
    <mergeCell ref="MTE9:MTH9"/>
    <mergeCell ref="MRU9:MRX9"/>
    <mergeCell ref="MRY9:MSB9"/>
    <mergeCell ref="MSC9:MSF9"/>
    <mergeCell ref="MSG9:MSJ9"/>
    <mergeCell ref="MSK9:MSN9"/>
    <mergeCell ref="MRA9:MRD9"/>
    <mergeCell ref="MRE9:MRH9"/>
    <mergeCell ref="MRI9:MRL9"/>
    <mergeCell ref="MRM9:MRP9"/>
    <mergeCell ref="MRQ9:MRT9"/>
    <mergeCell ref="NBA9:NBD9"/>
    <mergeCell ref="NBE9:NBH9"/>
    <mergeCell ref="NBI9:NBL9"/>
    <mergeCell ref="NBM9:NBP9"/>
    <mergeCell ref="NBQ9:NBT9"/>
    <mergeCell ref="NAG9:NAJ9"/>
    <mergeCell ref="NAK9:NAN9"/>
    <mergeCell ref="NAO9:NAR9"/>
    <mergeCell ref="NAS9:NAV9"/>
    <mergeCell ref="NAW9:NAZ9"/>
    <mergeCell ref="MZM9:MZP9"/>
    <mergeCell ref="MZQ9:MZT9"/>
    <mergeCell ref="MZU9:MZX9"/>
    <mergeCell ref="MZY9:NAB9"/>
    <mergeCell ref="NAC9:NAF9"/>
    <mergeCell ref="MYS9:MYV9"/>
    <mergeCell ref="MYW9:MYZ9"/>
    <mergeCell ref="MZA9:MZD9"/>
    <mergeCell ref="MZE9:MZH9"/>
    <mergeCell ref="MZI9:MZL9"/>
    <mergeCell ref="MXY9:MYB9"/>
    <mergeCell ref="MYC9:MYF9"/>
    <mergeCell ref="MYG9:MYJ9"/>
    <mergeCell ref="MYK9:MYN9"/>
    <mergeCell ref="MYO9:MYR9"/>
    <mergeCell ref="MXE9:MXH9"/>
    <mergeCell ref="MXI9:MXL9"/>
    <mergeCell ref="MXM9:MXP9"/>
    <mergeCell ref="MXQ9:MXT9"/>
    <mergeCell ref="MXU9:MXX9"/>
    <mergeCell ref="MWK9:MWN9"/>
    <mergeCell ref="MWO9:MWR9"/>
    <mergeCell ref="MWS9:MWV9"/>
    <mergeCell ref="MWW9:MWZ9"/>
    <mergeCell ref="MXA9:MXD9"/>
    <mergeCell ref="NGK9:NGN9"/>
    <mergeCell ref="NGO9:NGR9"/>
    <mergeCell ref="NGS9:NGV9"/>
    <mergeCell ref="NGW9:NGZ9"/>
    <mergeCell ref="NHA9:NHD9"/>
    <mergeCell ref="NFQ9:NFT9"/>
    <mergeCell ref="NFU9:NFX9"/>
    <mergeCell ref="NFY9:NGB9"/>
    <mergeCell ref="NGC9:NGF9"/>
    <mergeCell ref="NGG9:NGJ9"/>
    <mergeCell ref="NEW9:NEZ9"/>
    <mergeCell ref="NFA9:NFD9"/>
    <mergeCell ref="NFE9:NFH9"/>
    <mergeCell ref="NFI9:NFL9"/>
    <mergeCell ref="NFM9:NFP9"/>
    <mergeCell ref="NEC9:NEF9"/>
    <mergeCell ref="NEG9:NEJ9"/>
    <mergeCell ref="NEK9:NEN9"/>
    <mergeCell ref="NEO9:NER9"/>
    <mergeCell ref="NES9:NEV9"/>
    <mergeCell ref="NDI9:NDL9"/>
    <mergeCell ref="NDM9:NDP9"/>
    <mergeCell ref="NDQ9:NDT9"/>
    <mergeCell ref="NDU9:NDX9"/>
    <mergeCell ref="NDY9:NEB9"/>
    <mergeCell ref="NCO9:NCR9"/>
    <mergeCell ref="NCS9:NCV9"/>
    <mergeCell ref="NCW9:NCZ9"/>
    <mergeCell ref="NDA9:NDD9"/>
    <mergeCell ref="NDE9:NDH9"/>
    <mergeCell ref="NBU9:NBX9"/>
    <mergeCell ref="NBY9:NCB9"/>
    <mergeCell ref="NCC9:NCF9"/>
    <mergeCell ref="NCG9:NCJ9"/>
    <mergeCell ref="NCK9:NCN9"/>
    <mergeCell ref="NLU9:NLX9"/>
    <mergeCell ref="NLY9:NMB9"/>
    <mergeCell ref="NMC9:NMF9"/>
    <mergeCell ref="NMG9:NMJ9"/>
    <mergeCell ref="NMK9:NMN9"/>
    <mergeCell ref="NLA9:NLD9"/>
    <mergeCell ref="NLE9:NLH9"/>
    <mergeCell ref="NLI9:NLL9"/>
    <mergeCell ref="NLM9:NLP9"/>
    <mergeCell ref="NLQ9:NLT9"/>
    <mergeCell ref="NKG9:NKJ9"/>
    <mergeCell ref="NKK9:NKN9"/>
    <mergeCell ref="NKO9:NKR9"/>
    <mergeCell ref="NKS9:NKV9"/>
    <mergeCell ref="NKW9:NKZ9"/>
    <mergeCell ref="NJM9:NJP9"/>
    <mergeCell ref="NJQ9:NJT9"/>
    <mergeCell ref="NJU9:NJX9"/>
    <mergeCell ref="NJY9:NKB9"/>
    <mergeCell ref="NKC9:NKF9"/>
    <mergeCell ref="NIS9:NIV9"/>
    <mergeCell ref="NIW9:NIZ9"/>
    <mergeCell ref="NJA9:NJD9"/>
    <mergeCell ref="NJE9:NJH9"/>
    <mergeCell ref="NJI9:NJL9"/>
    <mergeCell ref="NHY9:NIB9"/>
    <mergeCell ref="NIC9:NIF9"/>
    <mergeCell ref="NIG9:NIJ9"/>
    <mergeCell ref="NIK9:NIN9"/>
    <mergeCell ref="NIO9:NIR9"/>
    <mergeCell ref="NHE9:NHH9"/>
    <mergeCell ref="NHI9:NHL9"/>
    <mergeCell ref="NHM9:NHP9"/>
    <mergeCell ref="NHQ9:NHT9"/>
    <mergeCell ref="NHU9:NHX9"/>
    <mergeCell ref="NRE9:NRH9"/>
    <mergeCell ref="NRI9:NRL9"/>
    <mergeCell ref="NRM9:NRP9"/>
    <mergeCell ref="NRQ9:NRT9"/>
    <mergeCell ref="NRU9:NRX9"/>
    <mergeCell ref="NQK9:NQN9"/>
    <mergeCell ref="NQO9:NQR9"/>
    <mergeCell ref="NQS9:NQV9"/>
    <mergeCell ref="NQW9:NQZ9"/>
    <mergeCell ref="NRA9:NRD9"/>
    <mergeCell ref="NPQ9:NPT9"/>
    <mergeCell ref="NPU9:NPX9"/>
    <mergeCell ref="NPY9:NQB9"/>
    <mergeCell ref="NQC9:NQF9"/>
    <mergeCell ref="NQG9:NQJ9"/>
    <mergeCell ref="NOW9:NOZ9"/>
    <mergeCell ref="NPA9:NPD9"/>
    <mergeCell ref="NPE9:NPH9"/>
    <mergeCell ref="NPI9:NPL9"/>
    <mergeCell ref="NPM9:NPP9"/>
    <mergeCell ref="NOC9:NOF9"/>
    <mergeCell ref="NOG9:NOJ9"/>
    <mergeCell ref="NOK9:NON9"/>
    <mergeCell ref="NOO9:NOR9"/>
    <mergeCell ref="NOS9:NOV9"/>
    <mergeCell ref="NNI9:NNL9"/>
    <mergeCell ref="NNM9:NNP9"/>
    <mergeCell ref="NNQ9:NNT9"/>
    <mergeCell ref="NNU9:NNX9"/>
    <mergeCell ref="NNY9:NOB9"/>
    <mergeCell ref="NMO9:NMR9"/>
    <mergeCell ref="NMS9:NMV9"/>
    <mergeCell ref="NMW9:NMZ9"/>
    <mergeCell ref="NNA9:NND9"/>
    <mergeCell ref="NNE9:NNH9"/>
    <mergeCell ref="NWO9:NWR9"/>
    <mergeCell ref="NWS9:NWV9"/>
    <mergeCell ref="NWW9:NWZ9"/>
    <mergeCell ref="NXA9:NXD9"/>
    <mergeCell ref="NXE9:NXH9"/>
    <mergeCell ref="NVU9:NVX9"/>
    <mergeCell ref="NVY9:NWB9"/>
    <mergeCell ref="NWC9:NWF9"/>
    <mergeCell ref="NWG9:NWJ9"/>
    <mergeCell ref="NWK9:NWN9"/>
    <mergeCell ref="NVA9:NVD9"/>
    <mergeCell ref="NVE9:NVH9"/>
    <mergeCell ref="NVI9:NVL9"/>
    <mergeCell ref="NVM9:NVP9"/>
    <mergeCell ref="NVQ9:NVT9"/>
    <mergeCell ref="NUG9:NUJ9"/>
    <mergeCell ref="NUK9:NUN9"/>
    <mergeCell ref="NUO9:NUR9"/>
    <mergeCell ref="NUS9:NUV9"/>
    <mergeCell ref="NUW9:NUZ9"/>
    <mergeCell ref="NTM9:NTP9"/>
    <mergeCell ref="NTQ9:NTT9"/>
    <mergeCell ref="NTU9:NTX9"/>
    <mergeCell ref="NTY9:NUB9"/>
    <mergeCell ref="NUC9:NUF9"/>
    <mergeCell ref="NSS9:NSV9"/>
    <mergeCell ref="NSW9:NSZ9"/>
    <mergeCell ref="NTA9:NTD9"/>
    <mergeCell ref="NTE9:NTH9"/>
    <mergeCell ref="NTI9:NTL9"/>
    <mergeCell ref="NRY9:NSB9"/>
    <mergeCell ref="NSC9:NSF9"/>
    <mergeCell ref="NSG9:NSJ9"/>
    <mergeCell ref="NSK9:NSN9"/>
    <mergeCell ref="NSO9:NSR9"/>
    <mergeCell ref="OBY9:OCB9"/>
    <mergeCell ref="OCC9:OCF9"/>
    <mergeCell ref="OCG9:OCJ9"/>
    <mergeCell ref="OCK9:OCN9"/>
    <mergeCell ref="OCO9:OCR9"/>
    <mergeCell ref="OBE9:OBH9"/>
    <mergeCell ref="OBI9:OBL9"/>
    <mergeCell ref="OBM9:OBP9"/>
    <mergeCell ref="OBQ9:OBT9"/>
    <mergeCell ref="OBU9:OBX9"/>
    <mergeCell ref="OAK9:OAN9"/>
    <mergeCell ref="OAO9:OAR9"/>
    <mergeCell ref="OAS9:OAV9"/>
    <mergeCell ref="OAW9:OAZ9"/>
    <mergeCell ref="OBA9:OBD9"/>
    <mergeCell ref="NZQ9:NZT9"/>
    <mergeCell ref="NZU9:NZX9"/>
    <mergeCell ref="NZY9:OAB9"/>
    <mergeCell ref="OAC9:OAF9"/>
    <mergeCell ref="OAG9:OAJ9"/>
    <mergeCell ref="NYW9:NYZ9"/>
    <mergeCell ref="NZA9:NZD9"/>
    <mergeCell ref="NZE9:NZH9"/>
    <mergeCell ref="NZI9:NZL9"/>
    <mergeCell ref="NZM9:NZP9"/>
    <mergeCell ref="NYC9:NYF9"/>
    <mergeCell ref="NYG9:NYJ9"/>
    <mergeCell ref="NYK9:NYN9"/>
    <mergeCell ref="NYO9:NYR9"/>
    <mergeCell ref="NYS9:NYV9"/>
    <mergeCell ref="NXI9:NXL9"/>
    <mergeCell ref="NXM9:NXP9"/>
    <mergeCell ref="NXQ9:NXT9"/>
    <mergeCell ref="NXU9:NXX9"/>
    <mergeCell ref="NXY9:NYB9"/>
    <mergeCell ref="OHI9:OHL9"/>
    <mergeCell ref="OHM9:OHP9"/>
    <mergeCell ref="OHQ9:OHT9"/>
    <mergeCell ref="OHU9:OHX9"/>
    <mergeCell ref="OHY9:OIB9"/>
    <mergeCell ref="OGO9:OGR9"/>
    <mergeCell ref="OGS9:OGV9"/>
    <mergeCell ref="OGW9:OGZ9"/>
    <mergeCell ref="OHA9:OHD9"/>
    <mergeCell ref="OHE9:OHH9"/>
    <mergeCell ref="OFU9:OFX9"/>
    <mergeCell ref="OFY9:OGB9"/>
    <mergeCell ref="OGC9:OGF9"/>
    <mergeCell ref="OGG9:OGJ9"/>
    <mergeCell ref="OGK9:OGN9"/>
    <mergeCell ref="OFA9:OFD9"/>
    <mergeCell ref="OFE9:OFH9"/>
    <mergeCell ref="OFI9:OFL9"/>
    <mergeCell ref="OFM9:OFP9"/>
    <mergeCell ref="OFQ9:OFT9"/>
    <mergeCell ref="OEG9:OEJ9"/>
    <mergeCell ref="OEK9:OEN9"/>
    <mergeCell ref="OEO9:OER9"/>
    <mergeCell ref="OES9:OEV9"/>
    <mergeCell ref="OEW9:OEZ9"/>
    <mergeCell ref="ODM9:ODP9"/>
    <mergeCell ref="ODQ9:ODT9"/>
    <mergeCell ref="ODU9:ODX9"/>
    <mergeCell ref="ODY9:OEB9"/>
    <mergeCell ref="OEC9:OEF9"/>
    <mergeCell ref="OCS9:OCV9"/>
    <mergeCell ref="OCW9:OCZ9"/>
    <mergeCell ref="ODA9:ODD9"/>
    <mergeCell ref="ODE9:ODH9"/>
    <mergeCell ref="ODI9:ODL9"/>
    <mergeCell ref="OMS9:OMV9"/>
    <mergeCell ref="OMW9:OMZ9"/>
    <mergeCell ref="ONA9:OND9"/>
    <mergeCell ref="ONE9:ONH9"/>
    <mergeCell ref="ONI9:ONL9"/>
    <mergeCell ref="OLY9:OMB9"/>
    <mergeCell ref="OMC9:OMF9"/>
    <mergeCell ref="OMG9:OMJ9"/>
    <mergeCell ref="OMK9:OMN9"/>
    <mergeCell ref="OMO9:OMR9"/>
    <mergeCell ref="OLE9:OLH9"/>
    <mergeCell ref="OLI9:OLL9"/>
    <mergeCell ref="OLM9:OLP9"/>
    <mergeCell ref="OLQ9:OLT9"/>
    <mergeCell ref="OLU9:OLX9"/>
    <mergeCell ref="OKK9:OKN9"/>
    <mergeCell ref="OKO9:OKR9"/>
    <mergeCell ref="OKS9:OKV9"/>
    <mergeCell ref="OKW9:OKZ9"/>
    <mergeCell ref="OLA9:OLD9"/>
    <mergeCell ref="OJQ9:OJT9"/>
    <mergeCell ref="OJU9:OJX9"/>
    <mergeCell ref="OJY9:OKB9"/>
    <mergeCell ref="OKC9:OKF9"/>
    <mergeCell ref="OKG9:OKJ9"/>
    <mergeCell ref="OIW9:OIZ9"/>
    <mergeCell ref="OJA9:OJD9"/>
    <mergeCell ref="OJE9:OJH9"/>
    <mergeCell ref="OJI9:OJL9"/>
    <mergeCell ref="OJM9:OJP9"/>
    <mergeCell ref="OIC9:OIF9"/>
    <mergeCell ref="OIG9:OIJ9"/>
    <mergeCell ref="OIK9:OIN9"/>
    <mergeCell ref="OIO9:OIR9"/>
    <mergeCell ref="OIS9:OIV9"/>
    <mergeCell ref="OSC9:OSF9"/>
    <mergeCell ref="OSG9:OSJ9"/>
    <mergeCell ref="OSK9:OSN9"/>
    <mergeCell ref="OSO9:OSR9"/>
    <mergeCell ref="OSS9:OSV9"/>
    <mergeCell ref="ORI9:ORL9"/>
    <mergeCell ref="ORM9:ORP9"/>
    <mergeCell ref="ORQ9:ORT9"/>
    <mergeCell ref="ORU9:ORX9"/>
    <mergeCell ref="ORY9:OSB9"/>
    <mergeCell ref="OQO9:OQR9"/>
    <mergeCell ref="OQS9:OQV9"/>
    <mergeCell ref="OQW9:OQZ9"/>
    <mergeCell ref="ORA9:ORD9"/>
    <mergeCell ref="ORE9:ORH9"/>
    <mergeCell ref="OPU9:OPX9"/>
    <mergeCell ref="OPY9:OQB9"/>
    <mergeCell ref="OQC9:OQF9"/>
    <mergeCell ref="OQG9:OQJ9"/>
    <mergeCell ref="OQK9:OQN9"/>
    <mergeCell ref="OPA9:OPD9"/>
    <mergeCell ref="OPE9:OPH9"/>
    <mergeCell ref="OPI9:OPL9"/>
    <mergeCell ref="OPM9:OPP9"/>
    <mergeCell ref="OPQ9:OPT9"/>
    <mergeCell ref="OOG9:OOJ9"/>
    <mergeCell ref="OOK9:OON9"/>
    <mergeCell ref="OOO9:OOR9"/>
    <mergeCell ref="OOS9:OOV9"/>
    <mergeCell ref="OOW9:OOZ9"/>
    <mergeCell ref="ONM9:ONP9"/>
    <mergeCell ref="ONQ9:ONT9"/>
    <mergeCell ref="ONU9:ONX9"/>
    <mergeCell ref="ONY9:OOB9"/>
    <mergeCell ref="OOC9:OOF9"/>
    <mergeCell ref="OXM9:OXP9"/>
    <mergeCell ref="OXQ9:OXT9"/>
    <mergeCell ref="OXU9:OXX9"/>
    <mergeCell ref="OXY9:OYB9"/>
    <mergeCell ref="OYC9:OYF9"/>
    <mergeCell ref="OWS9:OWV9"/>
    <mergeCell ref="OWW9:OWZ9"/>
    <mergeCell ref="OXA9:OXD9"/>
    <mergeCell ref="OXE9:OXH9"/>
    <mergeCell ref="OXI9:OXL9"/>
    <mergeCell ref="OVY9:OWB9"/>
    <mergeCell ref="OWC9:OWF9"/>
    <mergeCell ref="OWG9:OWJ9"/>
    <mergeCell ref="OWK9:OWN9"/>
    <mergeCell ref="OWO9:OWR9"/>
    <mergeCell ref="OVE9:OVH9"/>
    <mergeCell ref="OVI9:OVL9"/>
    <mergeCell ref="OVM9:OVP9"/>
    <mergeCell ref="OVQ9:OVT9"/>
    <mergeCell ref="OVU9:OVX9"/>
    <mergeCell ref="OUK9:OUN9"/>
    <mergeCell ref="OUO9:OUR9"/>
    <mergeCell ref="OUS9:OUV9"/>
    <mergeCell ref="OUW9:OUZ9"/>
    <mergeCell ref="OVA9:OVD9"/>
    <mergeCell ref="OTQ9:OTT9"/>
    <mergeCell ref="OTU9:OTX9"/>
    <mergeCell ref="OTY9:OUB9"/>
    <mergeCell ref="OUC9:OUF9"/>
    <mergeCell ref="OUG9:OUJ9"/>
    <mergeCell ref="OSW9:OSZ9"/>
    <mergeCell ref="OTA9:OTD9"/>
    <mergeCell ref="OTE9:OTH9"/>
    <mergeCell ref="OTI9:OTL9"/>
    <mergeCell ref="OTM9:OTP9"/>
    <mergeCell ref="PCW9:PCZ9"/>
    <mergeCell ref="PDA9:PDD9"/>
    <mergeCell ref="PDE9:PDH9"/>
    <mergeCell ref="PDI9:PDL9"/>
    <mergeCell ref="PDM9:PDP9"/>
    <mergeCell ref="PCC9:PCF9"/>
    <mergeCell ref="PCG9:PCJ9"/>
    <mergeCell ref="PCK9:PCN9"/>
    <mergeCell ref="PCO9:PCR9"/>
    <mergeCell ref="PCS9:PCV9"/>
    <mergeCell ref="PBI9:PBL9"/>
    <mergeCell ref="PBM9:PBP9"/>
    <mergeCell ref="PBQ9:PBT9"/>
    <mergeCell ref="PBU9:PBX9"/>
    <mergeCell ref="PBY9:PCB9"/>
    <mergeCell ref="PAO9:PAR9"/>
    <mergeCell ref="PAS9:PAV9"/>
    <mergeCell ref="PAW9:PAZ9"/>
    <mergeCell ref="PBA9:PBD9"/>
    <mergeCell ref="PBE9:PBH9"/>
    <mergeCell ref="OZU9:OZX9"/>
    <mergeCell ref="OZY9:PAB9"/>
    <mergeCell ref="PAC9:PAF9"/>
    <mergeCell ref="PAG9:PAJ9"/>
    <mergeCell ref="PAK9:PAN9"/>
    <mergeCell ref="OZA9:OZD9"/>
    <mergeCell ref="OZE9:OZH9"/>
    <mergeCell ref="OZI9:OZL9"/>
    <mergeCell ref="OZM9:OZP9"/>
    <mergeCell ref="OZQ9:OZT9"/>
    <mergeCell ref="OYG9:OYJ9"/>
    <mergeCell ref="OYK9:OYN9"/>
    <mergeCell ref="OYO9:OYR9"/>
    <mergeCell ref="OYS9:OYV9"/>
    <mergeCell ref="OYW9:OYZ9"/>
    <mergeCell ref="PIG9:PIJ9"/>
    <mergeCell ref="PIK9:PIN9"/>
    <mergeCell ref="PIO9:PIR9"/>
    <mergeCell ref="PIS9:PIV9"/>
    <mergeCell ref="PIW9:PIZ9"/>
    <mergeCell ref="PHM9:PHP9"/>
    <mergeCell ref="PHQ9:PHT9"/>
    <mergeCell ref="PHU9:PHX9"/>
    <mergeCell ref="PHY9:PIB9"/>
    <mergeCell ref="PIC9:PIF9"/>
    <mergeCell ref="PGS9:PGV9"/>
    <mergeCell ref="PGW9:PGZ9"/>
    <mergeCell ref="PHA9:PHD9"/>
    <mergeCell ref="PHE9:PHH9"/>
    <mergeCell ref="PHI9:PHL9"/>
    <mergeCell ref="PFY9:PGB9"/>
    <mergeCell ref="PGC9:PGF9"/>
    <mergeCell ref="PGG9:PGJ9"/>
    <mergeCell ref="PGK9:PGN9"/>
    <mergeCell ref="PGO9:PGR9"/>
    <mergeCell ref="PFE9:PFH9"/>
    <mergeCell ref="PFI9:PFL9"/>
    <mergeCell ref="PFM9:PFP9"/>
    <mergeCell ref="PFQ9:PFT9"/>
    <mergeCell ref="PFU9:PFX9"/>
    <mergeCell ref="PEK9:PEN9"/>
    <mergeCell ref="PEO9:PER9"/>
    <mergeCell ref="PES9:PEV9"/>
    <mergeCell ref="PEW9:PEZ9"/>
    <mergeCell ref="PFA9:PFD9"/>
    <mergeCell ref="PDQ9:PDT9"/>
    <mergeCell ref="PDU9:PDX9"/>
    <mergeCell ref="PDY9:PEB9"/>
    <mergeCell ref="PEC9:PEF9"/>
    <mergeCell ref="PEG9:PEJ9"/>
    <mergeCell ref="PNQ9:PNT9"/>
    <mergeCell ref="PNU9:PNX9"/>
    <mergeCell ref="PNY9:POB9"/>
    <mergeCell ref="POC9:POF9"/>
    <mergeCell ref="POG9:POJ9"/>
    <mergeCell ref="PMW9:PMZ9"/>
    <mergeCell ref="PNA9:PND9"/>
    <mergeCell ref="PNE9:PNH9"/>
    <mergeCell ref="PNI9:PNL9"/>
    <mergeCell ref="PNM9:PNP9"/>
    <mergeCell ref="PMC9:PMF9"/>
    <mergeCell ref="PMG9:PMJ9"/>
    <mergeCell ref="PMK9:PMN9"/>
    <mergeCell ref="PMO9:PMR9"/>
    <mergeCell ref="PMS9:PMV9"/>
    <mergeCell ref="PLI9:PLL9"/>
    <mergeCell ref="PLM9:PLP9"/>
    <mergeCell ref="PLQ9:PLT9"/>
    <mergeCell ref="PLU9:PLX9"/>
    <mergeCell ref="PLY9:PMB9"/>
    <mergeCell ref="PKO9:PKR9"/>
    <mergeCell ref="PKS9:PKV9"/>
    <mergeCell ref="PKW9:PKZ9"/>
    <mergeCell ref="PLA9:PLD9"/>
    <mergeCell ref="PLE9:PLH9"/>
    <mergeCell ref="PJU9:PJX9"/>
    <mergeCell ref="PJY9:PKB9"/>
    <mergeCell ref="PKC9:PKF9"/>
    <mergeCell ref="PKG9:PKJ9"/>
    <mergeCell ref="PKK9:PKN9"/>
    <mergeCell ref="PJA9:PJD9"/>
    <mergeCell ref="PJE9:PJH9"/>
    <mergeCell ref="PJI9:PJL9"/>
    <mergeCell ref="PJM9:PJP9"/>
    <mergeCell ref="PJQ9:PJT9"/>
    <mergeCell ref="PTA9:PTD9"/>
    <mergeCell ref="PTE9:PTH9"/>
    <mergeCell ref="PTI9:PTL9"/>
    <mergeCell ref="PTM9:PTP9"/>
    <mergeCell ref="PTQ9:PTT9"/>
    <mergeCell ref="PSG9:PSJ9"/>
    <mergeCell ref="PSK9:PSN9"/>
    <mergeCell ref="PSO9:PSR9"/>
    <mergeCell ref="PSS9:PSV9"/>
    <mergeCell ref="PSW9:PSZ9"/>
    <mergeCell ref="PRM9:PRP9"/>
    <mergeCell ref="PRQ9:PRT9"/>
    <mergeCell ref="PRU9:PRX9"/>
    <mergeCell ref="PRY9:PSB9"/>
    <mergeCell ref="PSC9:PSF9"/>
    <mergeCell ref="PQS9:PQV9"/>
    <mergeCell ref="PQW9:PQZ9"/>
    <mergeCell ref="PRA9:PRD9"/>
    <mergeCell ref="PRE9:PRH9"/>
    <mergeCell ref="PRI9:PRL9"/>
    <mergeCell ref="PPY9:PQB9"/>
    <mergeCell ref="PQC9:PQF9"/>
    <mergeCell ref="PQG9:PQJ9"/>
    <mergeCell ref="PQK9:PQN9"/>
    <mergeCell ref="PQO9:PQR9"/>
    <mergeCell ref="PPE9:PPH9"/>
    <mergeCell ref="PPI9:PPL9"/>
    <mergeCell ref="PPM9:PPP9"/>
    <mergeCell ref="PPQ9:PPT9"/>
    <mergeCell ref="PPU9:PPX9"/>
    <mergeCell ref="POK9:PON9"/>
    <mergeCell ref="POO9:POR9"/>
    <mergeCell ref="POS9:POV9"/>
    <mergeCell ref="POW9:POZ9"/>
    <mergeCell ref="PPA9:PPD9"/>
    <mergeCell ref="PYK9:PYN9"/>
    <mergeCell ref="PYO9:PYR9"/>
    <mergeCell ref="PYS9:PYV9"/>
    <mergeCell ref="PYW9:PYZ9"/>
    <mergeCell ref="PZA9:PZD9"/>
    <mergeCell ref="PXQ9:PXT9"/>
    <mergeCell ref="PXU9:PXX9"/>
    <mergeCell ref="PXY9:PYB9"/>
    <mergeCell ref="PYC9:PYF9"/>
    <mergeCell ref="PYG9:PYJ9"/>
    <mergeCell ref="PWW9:PWZ9"/>
    <mergeCell ref="PXA9:PXD9"/>
    <mergeCell ref="PXE9:PXH9"/>
    <mergeCell ref="PXI9:PXL9"/>
    <mergeCell ref="PXM9:PXP9"/>
    <mergeCell ref="PWC9:PWF9"/>
    <mergeCell ref="PWG9:PWJ9"/>
    <mergeCell ref="PWK9:PWN9"/>
    <mergeCell ref="PWO9:PWR9"/>
    <mergeCell ref="PWS9:PWV9"/>
    <mergeCell ref="PVI9:PVL9"/>
    <mergeCell ref="PVM9:PVP9"/>
    <mergeCell ref="PVQ9:PVT9"/>
    <mergeCell ref="PVU9:PVX9"/>
    <mergeCell ref="PVY9:PWB9"/>
    <mergeCell ref="PUO9:PUR9"/>
    <mergeCell ref="PUS9:PUV9"/>
    <mergeCell ref="PUW9:PUZ9"/>
    <mergeCell ref="PVA9:PVD9"/>
    <mergeCell ref="PVE9:PVH9"/>
    <mergeCell ref="PTU9:PTX9"/>
    <mergeCell ref="PTY9:PUB9"/>
    <mergeCell ref="PUC9:PUF9"/>
    <mergeCell ref="PUG9:PUJ9"/>
    <mergeCell ref="PUK9:PUN9"/>
    <mergeCell ref="QDU9:QDX9"/>
    <mergeCell ref="QDY9:QEB9"/>
    <mergeCell ref="QEC9:QEF9"/>
    <mergeCell ref="QEG9:QEJ9"/>
    <mergeCell ref="QEK9:QEN9"/>
    <mergeCell ref="QDA9:QDD9"/>
    <mergeCell ref="QDE9:QDH9"/>
    <mergeCell ref="QDI9:QDL9"/>
    <mergeCell ref="QDM9:QDP9"/>
    <mergeCell ref="QDQ9:QDT9"/>
    <mergeCell ref="QCG9:QCJ9"/>
    <mergeCell ref="QCK9:QCN9"/>
    <mergeCell ref="QCO9:QCR9"/>
    <mergeCell ref="QCS9:QCV9"/>
    <mergeCell ref="QCW9:QCZ9"/>
    <mergeCell ref="QBM9:QBP9"/>
    <mergeCell ref="QBQ9:QBT9"/>
    <mergeCell ref="QBU9:QBX9"/>
    <mergeCell ref="QBY9:QCB9"/>
    <mergeCell ref="QCC9:QCF9"/>
    <mergeCell ref="QAS9:QAV9"/>
    <mergeCell ref="QAW9:QAZ9"/>
    <mergeCell ref="QBA9:QBD9"/>
    <mergeCell ref="QBE9:QBH9"/>
    <mergeCell ref="QBI9:QBL9"/>
    <mergeCell ref="PZY9:QAB9"/>
    <mergeCell ref="QAC9:QAF9"/>
    <mergeCell ref="QAG9:QAJ9"/>
    <mergeCell ref="QAK9:QAN9"/>
    <mergeCell ref="QAO9:QAR9"/>
    <mergeCell ref="PZE9:PZH9"/>
    <mergeCell ref="PZI9:PZL9"/>
    <mergeCell ref="PZM9:PZP9"/>
    <mergeCell ref="PZQ9:PZT9"/>
    <mergeCell ref="PZU9:PZX9"/>
    <mergeCell ref="QJE9:QJH9"/>
    <mergeCell ref="QJI9:QJL9"/>
    <mergeCell ref="QJM9:QJP9"/>
    <mergeCell ref="QJQ9:QJT9"/>
    <mergeCell ref="QJU9:QJX9"/>
    <mergeCell ref="QIK9:QIN9"/>
    <mergeCell ref="QIO9:QIR9"/>
    <mergeCell ref="QIS9:QIV9"/>
    <mergeCell ref="QIW9:QIZ9"/>
    <mergeCell ref="QJA9:QJD9"/>
    <mergeCell ref="QHQ9:QHT9"/>
    <mergeCell ref="QHU9:QHX9"/>
    <mergeCell ref="QHY9:QIB9"/>
    <mergeCell ref="QIC9:QIF9"/>
    <mergeCell ref="QIG9:QIJ9"/>
    <mergeCell ref="QGW9:QGZ9"/>
    <mergeCell ref="QHA9:QHD9"/>
    <mergeCell ref="QHE9:QHH9"/>
    <mergeCell ref="QHI9:QHL9"/>
    <mergeCell ref="QHM9:QHP9"/>
    <mergeCell ref="QGC9:QGF9"/>
    <mergeCell ref="QGG9:QGJ9"/>
    <mergeCell ref="QGK9:QGN9"/>
    <mergeCell ref="QGO9:QGR9"/>
    <mergeCell ref="QGS9:QGV9"/>
    <mergeCell ref="QFI9:QFL9"/>
    <mergeCell ref="QFM9:QFP9"/>
    <mergeCell ref="QFQ9:QFT9"/>
    <mergeCell ref="QFU9:QFX9"/>
    <mergeCell ref="QFY9:QGB9"/>
    <mergeCell ref="QEO9:QER9"/>
    <mergeCell ref="QES9:QEV9"/>
    <mergeCell ref="QEW9:QEZ9"/>
    <mergeCell ref="QFA9:QFD9"/>
    <mergeCell ref="QFE9:QFH9"/>
    <mergeCell ref="QOO9:QOR9"/>
    <mergeCell ref="QOS9:QOV9"/>
    <mergeCell ref="QOW9:QOZ9"/>
    <mergeCell ref="QPA9:QPD9"/>
    <mergeCell ref="QPE9:QPH9"/>
    <mergeCell ref="QNU9:QNX9"/>
    <mergeCell ref="QNY9:QOB9"/>
    <mergeCell ref="QOC9:QOF9"/>
    <mergeCell ref="QOG9:QOJ9"/>
    <mergeCell ref="QOK9:QON9"/>
    <mergeCell ref="QNA9:QND9"/>
    <mergeCell ref="QNE9:QNH9"/>
    <mergeCell ref="QNI9:QNL9"/>
    <mergeCell ref="QNM9:QNP9"/>
    <mergeCell ref="QNQ9:QNT9"/>
    <mergeCell ref="QMG9:QMJ9"/>
    <mergeCell ref="QMK9:QMN9"/>
    <mergeCell ref="QMO9:QMR9"/>
    <mergeCell ref="QMS9:QMV9"/>
    <mergeCell ref="QMW9:QMZ9"/>
    <mergeCell ref="QLM9:QLP9"/>
    <mergeCell ref="QLQ9:QLT9"/>
    <mergeCell ref="QLU9:QLX9"/>
    <mergeCell ref="QLY9:QMB9"/>
    <mergeCell ref="QMC9:QMF9"/>
    <mergeCell ref="QKS9:QKV9"/>
    <mergeCell ref="QKW9:QKZ9"/>
    <mergeCell ref="QLA9:QLD9"/>
    <mergeCell ref="QLE9:QLH9"/>
    <mergeCell ref="QLI9:QLL9"/>
    <mergeCell ref="QJY9:QKB9"/>
    <mergeCell ref="QKC9:QKF9"/>
    <mergeCell ref="QKG9:QKJ9"/>
    <mergeCell ref="QKK9:QKN9"/>
    <mergeCell ref="QKO9:QKR9"/>
    <mergeCell ref="QTY9:QUB9"/>
    <mergeCell ref="QUC9:QUF9"/>
    <mergeCell ref="QUG9:QUJ9"/>
    <mergeCell ref="QUK9:QUN9"/>
    <mergeCell ref="QUO9:QUR9"/>
    <mergeCell ref="QTE9:QTH9"/>
    <mergeCell ref="QTI9:QTL9"/>
    <mergeCell ref="QTM9:QTP9"/>
    <mergeCell ref="QTQ9:QTT9"/>
    <mergeCell ref="QTU9:QTX9"/>
    <mergeCell ref="QSK9:QSN9"/>
    <mergeCell ref="QSO9:QSR9"/>
    <mergeCell ref="QSS9:QSV9"/>
    <mergeCell ref="QSW9:QSZ9"/>
    <mergeCell ref="QTA9:QTD9"/>
    <mergeCell ref="QRQ9:QRT9"/>
    <mergeCell ref="QRU9:QRX9"/>
    <mergeCell ref="QRY9:QSB9"/>
    <mergeCell ref="QSC9:QSF9"/>
    <mergeCell ref="QSG9:QSJ9"/>
    <mergeCell ref="QQW9:QQZ9"/>
    <mergeCell ref="QRA9:QRD9"/>
    <mergeCell ref="QRE9:QRH9"/>
    <mergeCell ref="QRI9:QRL9"/>
    <mergeCell ref="QRM9:QRP9"/>
    <mergeCell ref="QQC9:QQF9"/>
    <mergeCell ref="QQG9:QQJ9"/>
    <mergeCell ref="QQK9:QQN9"/>
    <mergeCell ref="QQO9:QQR9"/>
    <mergeCell ref="QQS9:QQV9"/>
    <mergeCell ref="QPI9:QPL9"/>
    <mergeCell ref="QPM9:QPP9"/>
    <mergeCell ref="QPQ9:QPT9"/>
    <mergeCell ref="QPU9:QPX9"/>
    <mergeCell ref="QPY9:QQB9"/>
    <mergeCell ref="QZI9:QZL9"/>
    <mergeCell ref="QZM9:QZP9"/>
    <mergeCell ref="QZQ9:QZT9"/>
    <mergeCell ref="QZU9:QZX9"/>
    <mergeCell ref="QZY9:RAB9"/>
    <mergeCell ref="QYO9:QYR9"/>
    <mergeCell ref="QYS9:QYV9"/>
    <mergeCell ref="QYW9:QYZ9"/>
    <mergeCell ref="QZA9:QZD9"/>
    <mergeCell ref="QZE9:QZH9"/>
    <mergeCell ref="QXU9:QXX9"/>
    <mergeCell ref="QXY9:QYB9"/>
    <mergeCell ref="QYC9:QYF9"/>
    <mergeCell ref="QYG9:QYJ9"/>
    <mergeCell ref="QYK9:QYN9"/>
    <mergeCell ref="QXA9:QXD9"/>
    <mergeCell ref="QXE9:QXH9"/>
    <mergeCell ref="QXI9:QXL9"/>
    <mergeCell ref="QXM9:QXP9"/>
    <mergeCell ref="QXQ9:QXT9"/>
    <mergeCell ref="QWG9:QWJ9"/>
    <mergeCell ref="QWK9:QWN9"/>
    <mergeCell ref="QWO9:QWR9"/>
    <mergeCell ref="QWS9:QWV9"/>
    <mergeCell ref="QWW9:QWZ9"/>
    <mergeCell ref="QVM9:QVP9"/>
    <mergeCell ref="QVQ9:QVT9"/>
    <mergeCell ref="QVU9:QVX9"/>
    <mergeCell ref="QVY9:QWB9"/>
    <mergeCell ref="QWC9:QWF9"/>
    <mergeCell ref="QUS9:QUV9"/>
    <mergeCell ref="QUW9:QUZ9"/>
    <mergeCell ref="QVA9:QVD9"/>
    <mergeCell ref="QVE9:QVH9"/>
    <mergeCell ref="QVI9:QVL9"/>
    <mergeCell ref="RES9:REV9"/>
    <mergeCell ref="REW9:REZ9"/>
    <mergeCell ref="RFA9:RFD9"/>
    <mergeCell ref="RFE9:RFH9"/>
    <mergeCell ref="RFI9:RFL9"/>
    <mergeCell ref="RDY9:REB9"/>
    <mergeCell ref="REC9:REF9"/>
    <mergeCell ref="REG9:REJ9"/>
    <mergeCell ref="REK9:REN9"/>
    <mergeCell ref="REO9:RER9"/>
    <mergeCell ref="RDE9:RDH9"/>
    <mergeCell ref="RDI9:RDL9"/>
    <mergeCell ref="RDM9:RDP9"/>
    <mergeCell ref="RDQ9:RDT9"/>
    <mergeCell ref="RDU9:RDX9"/>
    <mergeCell ref="RCK9:RCN9"/>
    <mergeCell ref="RCO9:RCR9"/>
    <mergeCell ref="RCS9:RCV9"/>
    <mergeCell ref="RCW9:RCZ9"/>
    <mergeCell ref="RDA9:RDD9"/>
    <mergeCell ref="RBQ9:RBT9"/>
    <mergeCell ref="RBU9:RBX9"/>
    <mergeCell ref="RBY9:RCB9"/>
    <mergeCell ref="RCC9:RCF9"/>
    <mergeCell ref="RCG9:RCJ9"/>
    <mergeCell ref="RAW9:RAZ9"/>
    <mergeCell ref="RBA9:RBD9"/>
    <mergeCell ref="RBE9:RBH9"/>
    <mergeCell ref="RBI9:RBL9"/>
    <mergeCell ref="RBM9:RBP9"/>
    <mergeCell ref="RAC9:RAF9"/>
    <mergeCell ref="RAG9:RAJ9"/>
    <mergeCell ref="RAK9:RAN9"/>
    <mergeCell ref="RAO9:RAR9"/>
    <mergeCell ref="RAS9:RAV9"/>
    <mergeCell ref="RKC9:RKF9"/>
    <mergeCell ref="RKG9:RKJ9"/>
    <mergeCell ref="RKK9:RKN9"/>
    <mergeCell ref="RKO9:RKR9"/>
    <mergeCell ref="RKS9:RKV9"/>
    <mergeCell ref="RJI9:RJL9"/>
    <mergeCell ref="RJM9:RJP9"/>
    <mergeCell ref="RJQ9:RJT9"/>
    <mergeCell ref="RJU9:RJX9"/>
    <mergeCell ref="RJY9:RKB9"/>
    <mergeCell ref="RIO9:RIR9"/>
    <mergeCell ref="RIS9:RIV9"/>
    <mergeCell ref="RIW9:RIZ9"/>
    <mergeCell ref="RJA9:RJD9"/>
    <mergeCell ref="RJE9:RJH9"/>
    <mergeCell ref="RHU9:RHX9"/>
    <mergeCell ref="RHY9:RIB9"/>
    <mergeCell ref="RIC9:RIF9"/>
    <mergeCell ref="RIG9:RIJ9"/>
    <mergeCell ref="RIK9:RIN9"/>
    <mergeCell ref="RHA9:RHD9"/>
    <mergeCell ref="RHE9:RHH9"/>
    <mergeCell ref="RHI9:RHL9"/>
    <mergeCell ref="RHM9:RHP9"/>
    <mergeCell ref="RHQ9:RHT9"/>
    <mergeCell ref="RGG9:RGJ9"/>
    <mergeCell ref="RGK9:RGN9"/>
    <mergeCell ref="RGO9:RGR9"/>
    <mergeCell ref="RGS9:RGV9"/>
    <mergeCell ref="RGW9:RGZ9"/>
    <mergeCell ref="RFM9:RFP9"/>
    <mergeCell ref="RFQ9:RFT9"/>
    <mergeCell ref="RFU9:RFX9"/>
    <mergeCell ref="RFY9:RGB9"/>
    <mergeCell ref="RGC9:RGF9"/>
    <mergeCell ref="RPM9:RPP9"/>
    <mergeCell ref="RPQ9:RPT9"/>
    <mergeCell ref="RPU9:RPX9"/>
    <mergeCell ref="RPY9:RQB9"/>
    <mergeCell ref="RQC9:RQF9"/>
    <mergeCell ref="ROS9:ROV9"/>
    <mergeCell ref="ROW9:ROZ9"/>
    <mergeCell ref="RPA9:RPD9"/>
    <mergeCell ref="RPE9:RPH9"/>
    <mergeCell ref="RPI9:RPL9"/>
    <mergeCell ref="RNY9:ROB9"/>
    <mergeCell ref="ROC9:ROF9"/>
    <mergeCell ref="ROG9:ROJ9"/>
    <mergeCell ref="ROK9:RON9"/>
    <mergeCell ref="ROO9:ROR9"/>
    <mergeCell ref="RNE9:RNH9"/>
    <mergeCell ref="RNI9:RNL9"/>
    <mergeCell ref="RNM9:RNP9"/>
    <mergeCell ref="RNQ9:RNT9"/>
    <mergeCell ref="RNU9:RNX9"/>
    <mergeCell ref="RMK9:RMN9"/>
    <mergeCell ref="RMO9:RMR9"/>
    <mergeCell ref="RMS9:RMV9"/>
    <mergeCell ref="RMW9:RMZ9"/>
    <mergeCell ref="RNA9:RND9"/>
    <mergeCell ref="RLQ9:RLT9"/>
    <mergeCell ref="RLU9:RLX9"/>
    <mergeCell ref="RLY9:RMB9"/>
    <mergeCell ref="RMC9:RMF9"/>
    <mergeCell ref="RMG9:RMJ9"/>
    <mergeCell ref="RKW9:RKZ9"/>
    <mergeCell ref="RLA9:RLD9"/>
    <mergeCell ref="RLE9:RLH9"/>
    <mergeCell ref="RLI9:RLL9"/>
    <mergeCell ref="RLM9:RLP9"/>
    <mergeCell ref="RUW9:RUZ9"/>
    <mergeCell ref="RVA9:RVD9"/>
    <mergeCell ref="RVE9:RVH9"/>
    <mergeCell ref="RVI9:RVL9"/>
    <mergeCell ref="RVM9:RVP9"/>
    <mergeCell ref="RUC9:RUF9"/>
    <mergeCell ref="RUG9:RUJ9"/>
    <mergeCell ref="RUK9:RUN9"/>
    <mergeCell ref="RUO9:RUR9"/>
    <mergeCell ref="RUS9:RUV9"/>
    <mergeCell ref="RTI9:RTL9"/>
    <mergeCell ref="RTM9:RTP9"/>
    <mergeCell ref="RTQ9:RTT9"/>
    <mergeCell ref="RTU9:RTX9"/>
    <mergeCell ref="RTY9:RUB9"/>
    <mergeCell ref="RSO9:RSR9"/>
    <mergeCell ref="RSS9:RSV9"/>
    <mergeCell ref="RSW9:RSZ9"/>
    <mergeCell ref="RTA9:RTD9"/>
    <mergeCell ref="RTE9:RTH9"/>
    <mergeCell ref="RRU9:RRX9"/>
    <mergeCell ref="RRY9:RSB9"/>
    <mergeCell ref="RSC9:RSF9"/>
    <mergeCell ref="RSG9:RSJ9"/>
    <mergeCell ref="RSK9:RSN9"/>
    <mergeCell ref="RRA9:RRD9"/>
    <mergeCell ref="RRE9:RRH9"/>
    <mergeCell ref="RRI9:RRL9"/>
    <mergeCell ref="RRM9:RRP9"/>
    <mergeCell ref="RRQ9:RRT9"/>
    <mergeCell ref="RQG9:RQJ9"/>
    <mergeCell ref="RQK9:RQN9"/>
    <mergeCell ref="RQO9:RQR9"/>
    <mergeCell ref="RQS9:RQV9"/>
    <mergeCell ref="RQW9:RQZ9"/>
    <mergeCell ref="SAG9:SAJ9"/>
    <mergeCell ref="SAK9:SAN9"/>
    <mergeCell ref="SAO9:SAR9"/>
    <mergeCell ref="SAS9:SAV9"/>
    <mergeCell ref="SAW9:SAZ9"/>
    <mergeCell ref="RZM9:RZP9"/>
    <mergeCell ref="RZQ9:RZT9"/>
    <mergeCell ref="RZU9:RZX9"/>
    <mergeCell ref="RZY9:SAB9"/>
    <mergeCell ref="SAC9:SAF9"/>
    <mergeCell ref="RYS9:RYV9"/>
    <mergeCell ref="RYW9:RYZ9"/>
    <mergeCell ref="RZA9:RZD9"/>
    <mergeCell ref="RZE9:RZH9"/>
    <mergeCell ref="RZI9:RZL9"/>
    <mergeCell ref="RXY9:RYB9"/>
    <mergeCell ref="RYC9:RYF9"/>
    <mergeCell ref="RYG9:RYJ9"/>
    <mergeCell ref="RYK9:RYN9"/>
    <mergeCell ref="RYO9:RYR9"/>
    <mergeCell ref="RXE9:RXH9"/>
    <mergeCell ref="RXI9:RXL9"/>
    <mergeCell ref="RXM9:RXP9"/>
    <mergeCell ref="RXQ9:RXT9"/>
    <mergeCell ref="RXU9:RXX9"/>
    <mergeCell ref="RWK9:RWN9"/>
    <mergeCell ref="RWO9:RWR9"/>
    <mergeCell ref="RWS9:RWV9"/>
    <mergeCell ref="RWW9:RWZ9"/>
    <mergeCell ref="RXA9:RXD9"/>
    <mergeCell ref="RVQ9:RVT9"/>
    <mergeCell ref="RVU9:RVX9"/>
    <mergeCell ref="RVY9:RWB9"/>
    <mergeCell ref="RWC9:RWF9"/>
    <mergeCell ref="RWG9:RWJ9"/>
    <mergeCell ref="SFQ9:SFT9"/>
    <mergeCell ref="SFU9:SFX9"/>
    <mergeCell ref="SFY9:SGB9"/>
    <mergeCell ref="SGC9:SGF9"/>
    <mergeCell ref="SGG9:SGJ9"/>
    <mergeCell ref="SEW9:SEZ9"/>
    <mergeCell ref="SFA9:SFD9"/>
    <mergeCell ref="SFE9:SFH9"/>
    <mergeCell ref="SFI9:SFL9"/>
    <mergeCell ref="SFM9:SFP9"/>
    <mergeCell ref="SEC9:SEF9"/>
    <mergeCell ref="SEG9:SEJ9"/>
    <mergeCell ref="SEK9:SEN9"/>
    <mergeCell ref="SEO9:SER9"/>
    <mergeCell ref="SES9:SEV9"/>
    <mergeCell ref="SDI9:SDL9"/>
    <mergeCell ref="SDM9:SDP9"/>
    <mergeCell ref="SDQ9:SDT9"/>
    <mergeCell ref="SDU9:SDX9"/>
    <mergeCell ref="SDY9:SEB9"/>
    <mergeCell ref="SCO9:SCR9"/>
    <mergeCell ref="SCS9:SCV9"/>
    <mergeCell ref="SCW9:SCZ9"/>
    <mergeCell ref="SDA9:SDD9"/>
    <mergeCell ref="SDE9:SDH9"/>
    <mergeCell ref="SBU9:SBX9"/>
    <mergeCell ref="SBY9:SCB9"/>
    <mergeCell ref="SCC9:SCF9"/>
    <mergeCell ref="SCG9:SCJ9"/>
    <mergeCell ref="SCK9:SCN9"/>
    <mergeCell ref="SBA9:SBD9"/>
    <mergeCell ref="SBE9:SBH9"/>
    <mergeCell ref="SBI9:SBL9"/>
    <mergeCell ref="SBM9:SBP9"/>
    <mergeCell ref="SBQ9:SBT9"/>
    <mergeCell ref="SLA9:SLD9"/>
    <mergeCell ref="SLE9:SLH9"/>
    <mergeCell ref="SLI9:SLL9"/>
    <mergeCell ref="SLM9:SLP9"/>
    <mergeCell ref="SLQ9:SLT9"/>
    <mergeCell ref="SKG9:SKJ9"/>
    <mergeCell ref="SKK9:SKN9"/>
    <mergeCell ref="SKO9:SKR9"/>
    <mergeCell ref="SKS9:SKV9"/>
    <mergeCell ref="SKW9:SKZ9"/>
    <mergeCell ref="SJM9:SJP9"/>
    <mergeCell ref="SJQ9:SJT9"/>
    <mergeCell ref="SJU9:SJX9"/>
    <mergeCell ref="SJY9:SKB9"/>
    <mergeCell ref="SKC9:SKF9"/>
    <mergeCell ref="SIS9:SIV9"/>
    <mergeCell ref="SIW9:SIZ9"/>
    <mergeCell ref="SJA9:SJD9"/>
    <mergeCell ref="SJE9:SJH9"/>
    <mergeCell ref="SJI9:SJL9"/>
    <mergeCell ref="SHY9:SIB9"/>
    <mergeCell ref="SIC9:SIF9"/>
    <mergeCell ref="SIG9:SIJ9"/>
    <mergeCell ref="SIK9:SIN9"/>
    <mergeCell ref="SIO9:SIR9"/>
    <mergeCell ref="SHE9:SHH9"/>
    <mergeCell ref="SHI9:SHL9"/>
    <mergeCell ref="SHM9:SHP9"/>
    <mergeCell ref="SHQ9:SHT9"/>
    <mergeCell ref="SHU9:SHX9"/>
    <mergeCell ref="SGK9:SGN9"/>
    <mergeCell ref="SGO9:SGR9"/>
    <mergeCell ref="SGS9:SGV9"/>
    <mergeCell ref="SGW9:SGZ9"/>
    <mergeCell ref="SHA9:SHD9"/>
    <mergeCell ref="SQK9:SQN9"/>
    <mergeCell ref="SQO9:SQR9"/>
    <mergeCell ref="SQS9:SQV9"/>
    <mergeCell ref="SQW9:SQZ9"/>
    <mergeCell ref="SRA9:SRD9"/>
    <mergeCell ref="SPQ9:SPT9"/>
    <mergeCell ref="SPU9:SPX9"/>
    <mergeCell ref="SPY9:SQB9"/>
    <mergeCell ref="SQC9:SQF9"/>
    <mergeCell ref="SQG9:SQJ9"/>
    <mergeCell ref="SOW9:SOZ9"/>
    <mergeCell ref="SPA9:SPD9"/>
    <mergeCell ref="SPE9:SPH9"/>
    <mergeCell ref="SPI9:SPL9"/>
    <mergeCell ref="SPM9:SPP9"/>
    <mergeCell ref="SOC9:SOF9"/>
    <mergeCell ref="SOG9:SOJ9"/>
    <mergeCell ref="SOK9:SON9"/>
    <mergeCell ref="SOO9:SOR9"/>
    <mergeCell ref="SOS9:SOV9"/>
    <mergeCell ref="SNI9:SNL9"/>
    <mergeCell ref="SNM9:SNP9"/>
    <mergeCell ref="SNQ9:SNT9"/>
    <mergeCell ref="SNU9:SNX9"/>
    <mergeCell ref="SNY9:SOB9"/>
    <mergeCell ref="SMO9:SMR9"/>
    <mergeCell ref="SMS9:SMV9"/>
    <mergeCell ref="SMW9:SMZ9"/>
    <mergeCell ref="SNA9:SND9"/>
    <mergeCell ref="SNE9:SNH9"/>
    <mergeCell ref="SLU9:SLX9"/>
    <mergeCell ref="SLY9:SMB9"/>
    <mergeCell ref="SMC9:SMF9"/>
    <mergeCell ref="SMG9:SMJ9"/>
    <mergeCell ref="SMK9:SMN9"/>
    <mergeCell ref="SVU9:SVX9"/>
    <mergeCell ref="SVY9:SWB9"/>
    <mergeCell ref="SWC9:SWF9"/>
    <mergeCell ref="SWG9:SWJ9"/>
    <mergeCell ref="SWK9:SWN9"/>
    <mergeCell ref="SVA9:SVD9"/>
    <mergeCell ref="SVE9:SVH9"/>
    <mergeCell ref="SVI9:SVL9"/>
    <mergeCell ref="SVM9:SVP9"/>
    <mergeCell ref="SVQ9:SVT9"/>
    <mergeCell ref="SUG9:SUJ9"/>
    <mergeCell ref="SUK9:SUN9"/>
    <mergeCell ref="SUO9:SUR9"/>
    <mergeCell ref="SUS9:SUV9"/>
    <mergeCell ref="SUW9:SUZ9"/>
    <mergeCell ref="STM9:STP9"/>
    <mergeCell ref="STQ9:STT9"/>
    <mergeCell ref="STU9:STX9"/>
    <mergeCell ref="STY9:SUB9"/>
    <mergeCell ref="SUC9:SUF9"/>
    <mergeCell ref="SSS9:SSV9"/>
    <mergeCell ref="SSW9:SSZ9"/>
    <mergeCell ref="STA9:STD9"/>
    <mergeCell ref="STE9:STH9"/>
    <mergeCell ref="STI9:STL9"/>
    <mergeCell ref="SRY9:SSB9"/>
    <mergeCell ref="SSC9:SSF9"/>
    <mergeCell ref="SSG9:SSJ9"/>
    <mergeCell ref="SSK9:SSN9"/>
    <mergeCell ref="SSO9:SSR9"/>
    <mergeCell ref="SRE9:SRH9"/>
    <mergeCell ref="SRI9:SRL9"/>
    <mergeCell ref="SRM9:SRP9"/>
    <mergeCell ref="SRQ9:SRT9"/>
    <mergeCell ref="SRU9:SRX9"/>
    <mergeCell ref="TBE9:TBH9"/>
    <mergeCell ref="TBI9:TBL9"/>
    <mergeCell ref="TBM9:TBP9"/>
    <mergeCell ref="TBQ9:TBT9"/>
    <mergeCell ref="TBU9:TBX9"/>
    <mergeCell ref="TAK9:TAN9"/>
    <mergeCell ref="TAO9:TAR9"/>
    <mergeCell ref="TAS9:TAV9"/>
    <mergeCell ref="TAW9:TAZ9"/>
    <mergeCell ref="TBA9:TBD9"/>
    <mergeCell ref="SZQ9:SZT9"/>
    <mergeCell ref="SZU9:SZX9"/>
    <mergeCell ref="SZY9:TAB9"/>
    <mergeCell ref="TAC9:TAF9"/>
    <mergeCell ref="TAG9:TAJ9"/>
    <mergeCell ref="SYW9:SYZ9"/>
    <mergeCell ref="SZA9:SZD9"/>
    <mergeCell ref="SZE9:SZH9"/>
    <mergeCell ref="SZI9:SZL9"/>
    <mergeCell ref="SZM9:SZP9"/>
    <mergeCell ref="SYC9:SYF9"/>
    <mergeCell ref="SYG9:SYJ9"/>
    <mergeCell ref="SYK9:SYN9"/>
    <mergeCell ref="SYO9:SYR9"/>
    <mergeCell ref="SYS9:SYV9"/>
    <mergeCell ref="SXI9:SXL9"/>
    <mergeCell ref="SXM9:SXP9"/>
    <mergeCell ref="SXQ9:SXT9"/>
    <mergeCell ref="SXU9:SXX9"/>
    <mergeCell ref="SXY9:SYB9"/>
    <mergeCell ref="SWO9:SWR9"/>
    <mergeCell ref="SWS9:SWV9"/>
    <mergeCell ref="SWW9:SWZ9"/>
    <mergeCell ref="SXA9:SXD9"/>
    <mergeCell ref="SXE9:SXH9"/>
    <mergeCell ref="TGO9:TGR9"/>
    <mergeCell ref="TGS9:TGV9"/>
    <mergeCell ref="TGW9:TGZ9"/>
    <mergeCell ref="THA9:THD9"/>
    <mergeCell ref="THE9:THH9"/>
    <mergeCell ref="TFU9:TFX9"/>
    <mergeCell ref="TFY9:TGB9"/>
    <mergeCell ref="TGC9:TGF9"/>
    <mergeCell ref="TGG9:TGJ9"/>
    <mergeCell ref="TGK9:TGN9"/>
    <mergeCell ref="TFA9:TFD9"/>
    <mergeCell ref="TFE9:TFH9"/>
    <mergeCell ref="TFI9:TFL9"/>
    <mergeCell ref="TFM9:TFP9"/>
    <mergeCell ref="TFQ9:TFT9"/>
    <mergeCell ref="TEG9:TEJ9"/>
    <mergeCell ref="TEK9:TEN9"/>
    <mergeCell ref="TEO9:TER9"/>
    <mergeCell ref="TES9:TEV9"/>
    <mergeCell ref="TEW9:TEZ9"/>
    <mergeCell ref="TDM9:TDP9"/>
    <mergeCell ref="TDQ9:TDT9"/>
    <mergeCell ref="TDU9:TDX9"/>
    <mergeCell ref="TDY9:TEB9"/>
    <mergeCell ref="TEC9:TEF9"/>
    <mergeCell ref="TCS9:TCV9"/>
    <mergeCell ref="TCW9:TCZ9"/>
    <mergeCell ref="TDA9:TDD9"/>
    <mergeCell ref="TDE9:TDH9"/>
    <mergeCell ref="TDI9:TDL9"/>
    <mergeCell ref="TBY9:TCB9"/>
    <mergeCell ref="TCC9:TCF9"/>
    <mergeCell ref="TCG9:TCJ9"/>
    <mergeCell ref="TCK9:TCN9"/>
    <mergeCell ref="TCO9:TCR9"/>
    <mergeCell ref="TLY9:TMB9"/>
    <mergeCell ref="TMC9:TMF9"/>
    <mergeCell ref="TMG9:TMJ9"/>
    <mergeCell ref="TMK9:TMN9"/>
    <mergeCell ref="TMO9:TMR9"/>
    <mergeCell ref="TLE9:TLH9"/>
    <mergeCell ref="TLI9:TLL9"/>
    <mergeCell ref="TLM9:TLP9"/>
    <mergeCell ref="TLQ9:TLT9"/>
    <mergeCell ref="TLU9:TLX9"/>
    <mergeCell ref="TKK9:TKN9"/>
    <mergeCell ref="TKO9:TKR9"/>
    <mergeCell ref="TKS9:TKV9"/>
    <mergeCell ref="TKW9:TKZ9"/>
    <mergeCell ref="TLA9:TLD9"/>
    <mergeCell ref="TJQ9:TJT9"/>
    <mergeCell ref="TJU9:TJX9"/>
    <mergeCell ref="TJY9:TKB9"/>
    <mergeCell ref="TKC9:TKF9"/>
    <mergeCell ref="TKG9:TKJ9"/>
    <mergeCell ref="TIW9:TIZ9"/>
    <mergeCell ref="TJA9:TJD9"/>
    <mergeCell ref="TJE9:TJH9"/>
    <mergeCell ref="TJI9:TJL9"/>
    <mergeCell ref="TJM9:TJP9"/>
    <mergeCell ref="TIC9:TIF9"/>
    <mergeCell ref="TIG9:TIJ9"/>
    <mergeCell ref="TIK9:TIN9"/>
    <mergeCell ref="TIO9:TIR9"/>
    <mergeCell ref="TIS9:TIV9"/>
    <mergeCell ref="THI9:THL9"/>
    <mergeCell ref="THM9:THP9"/>
    <mergeCell ref="THQ9:THT9"/>
    <mergeCell ref="THU9:THX9"/>
    <mergeCell ref="THY9:TIB9"/>
    <mergeCell ref="TRI9:TRL9"/>
    <mergeCell ref="TRM9:TRP9"/>
    <mergeCell ref="TRQ9:TRT9"/>
    <mergeCell ref="TRU9:TRX9"/>
    <mergeCell ref="TRY9:TSB9"/>
    <mergeCell ref="TQO9:TQR9"/>
    <mergeCell ref="TQS9:TQV9"/>
    <mergeCell ref="TQW9:TQZ9"/>
    <mergeCell ref="TRA9:TRD9"/>
    <mergeCell ref="TRE9:TRH9"/>
    <mergeCell ref="TPU9:TPX9"/>
    <mergeCell ref="TPY9:TQB9"/>
    <mergeCell ref="TQC9:TQF9"/>
    <mergeCell ref="TQG9:TQJ9"/>
    <mergeCell ref="TQK9:TQN9"/>
    <mergeCell ref="TPA9:TPD9"/>
    <mergeCell ref="TPE9:TPH9"/>
    <mergeCell ref="TPI9:TPL9"/>
    <mergeCell ref="TPM9:TPP9"/>
    <mergeCell ref="TPQ9:TPT9"/>
    <mergeCell ref="TOG9:TOJ9"/>
    <mergeCell ref="TOK9:TON9"/>
    <mergeCell ref="TOO9:TOR9"/>
    <mergeCell ref="TOS9:TOV9"/>
    <mergeCell ref="TOW9:TOZ9"/>
    <mergeCell ref="TNM9:TNP9"/>
    <mergeCell ref="TNQ9:TNT9"/>
    <mergeCell ref="TNU9:TNX9"/>
    <mergeCell ref="TNY9:TOB9"/>
    <mergeCell ref="TOC9:TOF9"/>
    <mergeCell ref="TMS9:TMV9"/>
    <mergeCell ref="TMW9:TMZ9"/>
    <mergeCell ref="TNA9:TND9"/>
    <mergeCell ref="TNE9:TNH9"/>
    <mergeCell ref="TNI9:TNL9"/>
    <mergeCell ref="TWS9:TWV9"/>
    <mergeCell ref="TWW9:TWZ9"/>
    <mergeCell ref="TXA9:TXD9"/>
    <mergeCell ref="TXE9:TXH9"/>
    <mergeCell ref="TXI9:TXL9"/>
    <mergeCell ref="TVY9:TWB9"/>
    <mergeCell ref="TWC9:TWF9"/>
    <mergeCell ref="TWG9:TWJ9"/>
    <mergeCell ref="TWK9:TWN9"/>
    <mergeCell ref="TWO9:TWR9"/>
    <mergeCell ref="TVE9:TVH9"/>
    <mergeCell ref="TVI9:TVL9"/>
    <mergeCell ref="TVM9:TVP9"/>
    <mergeCell ref="TVQ9:TVT9"/>
    <mergeCell ref="TVU9:TVX9"/>
    <mergeCell ref="TUK9:TUN9"/>
    <mergeCell ref="TUO9:TUR9"/>
    <mergeCell ref="TUS9:TUV9"/>
    <mergeCell ref="TUW9:TUZ9"/>
    <mergeCell ref="TVA9:TVD9"/>
    <mergeCell ref="TTQ9:TTT9"/>
    <mergeCell ref="TTU9:TTX9"/>
    <mergeCell ref="TTY9:TUB9"/>
    <mergeCell ref="TUC9:TUF9"/>
    <mergeCell ref="TUG9:TUJ9"/>
    <mergeCell ref="TSW9:TSZ9"/>
    <mergeCell ref="TTA9:TTD9"/>
    <mergeCell ref="TTE9:TTH9"/>
    <mergeCell ref="TTI9:TTL9"/>
    <mergeCell ref="TTM9:TTP9"/>
    <mergeCell ref="TSC9:TSF9"/>
    <mergeCell ref="TSG9:TSJ9"/>
    <mergeCell ref="TSK9:TSN9"/>
    <mergeCell ref="TSO9:TSR9"/>
    <mergeCell ref="TSS9:TSV9"/>
    <mergeCell ref="UCC9:UCF9"/>
    <mergeCell ref="UCG9:UCJ9"/>
    <mergeCell ref="UCK9:UCN9"/>
    <mergeCell ref="UCO9:UCR9"/>
    <mergeCell ref="UCS9:UCV9"/>
    <mergeCell ref="UBI9:UBL9"/>
    <mergeCell ref="UBM9:UBP9"/>
    <mergeCell ref="UBQ9:UBT9"/>
    <mergeCell ref="UBU9:UBX9"/>
    <mergeCell ref="UBY9:UCB9"/>
    <mergeCell ref="UAO9:UAR9"/>
    <mergeCell ref="UAS9:UAV9"/>
    <mergeCell ref="UAW9:UAZ9"/>
    <mergeCell ref="UBA9:UBD9"/>
    <mergeCell ref="UBE9:UBH9"/>
    <mergeCell ref="TZU9:TZX9"/>
    <mergeCell ref="TZY9:UAB9"/>
    <mergeCell ref="UAC9:UAF9"/>
    <mergeCell ref="UAG9:UAJ9"/>
    <mergeCell ref="UAK9:UAN9"/>
    <mergeCell ref="TZA9:TZD9"/>
    <mergeCell ref="TZE9:TZH9"/>
    <mergeCell ref="TZI9:TZL9"/>
    <mergeCell ref="TZM9:TZP9"/>
    <mergeCell ref="TZQ9:TZT9"/>
    <mergeCell ref="TYG9:TYJ9"/>
    <mergeCell ref="TYK9:TYN9"/>
    <mergeCell ref="TYO9:TYR9"/>
    <mergeCell ref="TYS9:TYV9"/>
    <mergeCell ref="TYW9:TYZ9"/>
    <mergeCell ref="TXM9:TXP9"/>
    <mergeCell ref="TXQ9:TXT9"/>
    <mergeCell ref="TXU9:TXX9"/>
    <mergeCell ref="TXY9:TYB9"/>
    <mergeCell ref="TYC9:TYF9"/>
    <mergeCell ref="UHM9:UHP9"/>
    <mergeCell ref="UHQ9:UHT9"/>
    <mergeCell ref="UHU9:UHX9"/>
    <mergeCell ref="UHY9:UIB9"/>
    <mergeCell ref="UIC9:UIF9"/>
    <mergeCell ref="UGS9:UGV9"/>
    <mergeCell ref="UGW9:UGZ9"/>
    <mergeCell ref="UHA9:UHD9"/>
    <mergeCell ref="UHE9:UHH9"/>
    <mergeCell ref="UHI9:UHL9"/>
    <mergeCell ref="UFY9:UGB9"/>
    <mergeCell ref="UGC9:UGF9"/>
    <mergeCell ref="UGG9:UGJ9"/>
    <mergeCell ref="UGK9:UGN9"/>
    <mergeCell ref="UGO9:UGR9"/>
    <mergeCell ref="UFE9:UFH9"/>
    <mergeCell ref="UFI9:UFL9"/>
    <mergeCell ref="UFM9:UFP9"/>
    <mergeCell ref="UFQ9:UFT9"/>
    <mergeCell ref="UFU9:UFX9"/>
    <mergeCell ref="UEK9:UEN9"/>
    <mergeCell ref="UEO9:UER9"/>
    <mergeCell ref="UES9:UEV9"/>
    <mergeCell ref="UEW9:UEZ9"/>
    <mergeCell ref="UFA9:UFD9"/>
    <mergeCell ref="UDQ9:UDT9"/>
    <mergeCell ref="UDU9:UDX9"/>
    <mergeCell ref="UDY9:UEB9"/>
    <mergeCell ref="UEC9:UEF9"/>
    <mergeCell ref="UEG9:UEJ9"/>
    <mergeCell ref="UCW9:UCZ9"/>
    <mergeCell ref="UDA9:UDD9"/>
    <mergeCell ref="UDE9:UDH9"/>
    <mergeCell ref="UDI9:UDL9"/>
    <mergeCell ref="UDM9:UDP9"/>
    <mergeCell ref="UMW9:UMZ9"/>
    <mergeCell ref="UNA9:UND9"/>
    <mergeCell ref="UNE9:UNH9"/>
    <mergeCell ref="UNI9:UNL9"/>
    <mergeCell ref="UNM9:UNP9"/>
    <mergeCell ref="UMC9:UMF9"/>
    <mergeCell ref="UMG9:UMJ9"/>
    <mergeCell ref="UMK9:UMN9"/>
    <mergeCell ref="UMO9:UMR9"/>
    <mergeCell ref="UMS9:UMV9"/>
    <mergeCell ref="ULI9:ULL9"/>
    <mergeCell ref="ULM9:ULP9"/>
    <mergeCell ref="ULQ9:ULT9"/>
    <mergeCell ref="ULU9:ULX9"/>
    <mergeCell ref="ULY9:UMB9"/>
    <mergeCell ref="UKO9:UKR9"/>
    <mergeCell ref="UKS9:UKV9"/>
    <mergeCell ref="UKW9:UKZ9"/>
    <mergeCell ref="ULA9:ULD9"/>
    <mergeCell ref="ULE9:ULH9"/>
    <mergeCell ref="UJU9:UJX9"/>
    <mergeCell ref="UJY9:UKB9"/>
    <mergeCell ref="UKC9:UKF9"/>
    <mergeCell ref="UKG9:UKJ9"/>
    <mergeCell ref="UKK9:UKN9"/>
    <mergeCell ref="UJA9:UJD9"/>
    <mergeCell ref="UJE9:UJH9"/>
    <mergeCell ref="UJI9:UJL9"/>
    <mergeCell ref="UJM9:UJP9"/>
    <mergeCell ref="UJQ9:UJT9"/>
    <mergeCell ref="UIG9:UIJ9"/>
    <mergeCell ref="UIK9:UIN9"/>
    <mergeCell ref="UIO9:UIR9"/>
    <mergeCell ref="UIS9:UIV9"/>
    <mergeCell ref="UIW9:UIZ9"/>
    <mergeCell ref="USG9:USJ9"/>
    <mergeCell ref="USK9:USN9"/>
    <mergeCell ref="USO9:USR9"/>
    <mergeCell ref="USS9:USV9"/>
    <mergeCell ref="USW9:USZ9"/>
    <mergeCell ref="URM9:URP9"/>
    <mergeCell ref="URQ9:URT9"/>
    <mergeCell ref="URU9:URX9"/>
    <mergeCell ref="URY9:USB9"/>
    <mergeCell ref="USC9:USF9"/>
    <mergeCell ref="UQS9:UQV9"/>
    <mergeCell ref="UQW9:UQZ9"/>
    <mergeCell ref="URA9:URD9"/>
    <mergeCell ref="URE9:URH9"/>
    <mergeCell ref="URI9:URL9"/>
    <mergeCell ref="UPY9:UQB9"/>
    <mergeCell ref="UQC9:UQF9"/>
    <mergeCell ref="UQG9:UQJ9"/>
    <mergeCell ref="UQK9:UQN9"/>
    <mergeCell ref="UQO9:UQR9"/>
    <mergeCell ref="UPE9:UPH9"/>
    <mergeCell ref="UPI9:UPL9"/>
    <mergeCell ref="UPM9:UPP9"/>
    <mergeCell ref="UPQ9:UPT9"/>
    <mergeCell ref="UPU9:UPX9"/>
    <mergeCell ref="UOK9:UON9"/>
    <mergeCell ref="UOO9:UOR9"/>
    <mergeCell ref="UOS9:UOV9"/>
    <mergeCell ref="UOW9:UOZ9"/>
    <mergeCell ref="UPA9:UPD9"/>
    <mergeCell ref="UNQ9:UNT9"/>
    <mergeCell ref="UNU9:UNX9"/>
    <mergeCell ref="UNY9:UOB9"/>
    <mergeCell ref="UOC9:UOF9"/>
    <mergeCell ref="UOG9:UOJ9"/>
    <mergeCell ref="UXQ9:UXT9"/>
    <mergeCell ref="UXU9:UXX9"/>
    <mergeCell ref="UXY9:UYB9"/>
    <mergeCell ref="UYC9:UYF9"/>
    <mergeCell ref="UYG9:UYJ9"/>
    <mergeCell ref="UWW9:UWZ9"/>
    <mergeCell ref="UXA9:UXD9"/>
    <mergeCell ref="UXE9:UXH9"/>
    <mergeCell ref="UXI9:UXL9"/>
    <mergeCell ref="UXM9:UXP9"/>
    <mergeCell ref="UWC9:UWF9"/>
    <mergeCell ref="UWG9:UWJ9"/>
    <mergeCell ref="UWK9:UWN9"/>
    <mergeCell ref="UWO9:UWR9"/>
    <mergeCell ref="UWS9:UWV9"/>
    <mergeCell ref="UVI9:UVL9"/>
    <mergeCell ref="UVM9:UVP9"/>
    <mergeCell ref="UVQ9:UVT9"/>
    <mergeCell ref="UVU9:UVX9"/>
    <mergeCell ref="UVY9:UWB9"/>
    <mergeCell ref="UUO9:UUR9"/>
    <mergeCell ref="UUS9:UUV9"/>
    <mergeCell ref="UUW9:UUZ9"/>
    <mergeCell ref="UVA9:UVD9"/>
    <mergeCell ref="UVE9:UVH9"/>
    <mergeCell ref="UTU9:UTX9"/>
    <mergeCell ref="UTY9:UUB9"/>
    <mergeCell ref="UUC9:UUF9"/>
    <mergeCell ref="UUG9:UUJ9"/>
    <mergeCell ref="UUK9:UUN9"/>
    <mergeCell ref="UTA9:UTD9"/>
    <mergeCell ref="UTE9:UTH9"/>
    <mergeCell ref="UTI9:UTL9"/>
    <mergeCell ref="UTM9:UTP9"/>
    <mergeCell ref="UTQ9:UTT9"/>
    <mergeCell ref="VDA9:VDD9"/>
    <mergeCell ref="VDE9:VDH9"/>
    <mergeCell ref="VDI9:VDL9"/>
    <mergeCell ref="VDM9:VDP9"/>
    <mergeCell ref="VDQ9:VDT9"/>
    <mergeCell ref="VCG9:VCJ9"/>
    <mergeCell ref="VCK9:VCN9"/>
    <mergeCell ref="VCO9:VCR9"/>
    <mergeCell ref="VCS9:VCV9"/>
    <mergeCell ref="VCW9:VCZ9"/>
    <mergeCell ref="VBM9:VBP9"/>
    <mergeCell ref="VBQ9:VBT9"/>
    <mergeCell ref="VBU9:VBX9"/>
    <mergeCell ref="VBY9:VCB9"/>
    <mergeCell ref="VCC9:VCF9"/>
    <mergeCell ref="VAS9:VAV9"/>
    <mergeCell ref="VAW9:VAZ9"/>
    <mergeCell ref="VBA9:VBD9"/>
    <mergeCell ref="VBE9:VBH9"/>
    <mergeCell ref="VBI9:VBL9"/>
    <mergeCell ref="UZY9:VAB9"/>
    <mergeCell ref="VAC9:VAF9"/>
    <mergeCell ref="VAG9:VAJ9"/>
    <mergeCell ref="VAK9:VAN9"/>
    <mergeCell ref="VAO9:VAR9"/>
    <mergeCell ref="UZE9:UZH9"/>
    <mergeCell ref="UZI9:UZL9"/>
    <mergeCell ref="UZM9:UZP9"/>
    <mergeCell ref="UZQ9:UZT9"/>
    <mergeCell ref="UZU9:UZX9"/>
    <mergeCell ref="UYK9:UYN9"/>
    <mergeCell ref="UYO9:UYR9"/>
    <mergeCell ref="UYS9:UYV9"/>
    <mergeCell ref="UYW9:UYZ9"/>
    <mergeCell ref="UZA9:UZD9"/>
    <mergeCell ref="VIK9:VIN9"/>
    <mergeCell ref="VIO9:VIR9"/>
    <mergeCell ref="VIS9:VIV9"/>
    <mergeCell ref="VIW9:VIZ9"/>
    <mergeCell ref="VJA9:VJD9"/>
    <mergeCell ref="VHQ9:VHT9"/>
    <mergeCell ref="VHU9:VHX9"/>
    <mergeCell ref="VHY9:VIB9"/>
    <mergeCell ref="VIC9:VIF9"/>
    <mergeCell ref="VIG9:VIJ9"/>
    <mergeCell ref="VGW9:VGZ9"/>
    <mergeCell ref="VHA9:VHD9"/>
    <mergeCell ref="VHE9:VHH9"/>
    <mergeCell ref="VHI9:VHL9"/>
    <mergeCell ref="VHM9:VHP9"/>
    <mergeCell ref="VGC9:VGF9"/>
    <mergeCell ref="VGG9:VGJ9"/>
    <mergeCell ref="VGK9:VGN9"/>
    <mergeCell ref="VGO9:VGR9"/>
    <mergeCell ref="VGS9:VGV9"/>
    <mergeCell ref="VFI9:VFL9"/>
    <mergeCell ref="VFM9:VFP9"/>
    <mergeCell ref="VFQ9:VFT9"/>
    <mergeCell ref="VFU9:VFX9"/>
    <mergeCell ref="VFY9:VGB9"/>
    <mergeCell ref="VEO9:VER9"/>
    <mergeCell ref="VES9:VEV9"/>
    <mergeCell ref="VEW9:VEZ9"/>
    <mergeCell ref="VFA9:VFD9"/>
    <mergeCell ref="VFE9:VFH9"/>
    <mergeCell ref="VDU9:VDX9"/>
    <mergeCell ref="VDY9:VEB9"/>
    <mergeCell ref="VEC9:VEF9"/>
    <mergeCell ref="VEG9:VEJ9"/>
    <mergeCell ref="VEK9:VEN9"/>
    <mergeCell ref="VNU9:VNX9"/>
    <mergeCell ref="VNY9:VOB9"/>
    <mergeCell ref="VOC9:VOF9"/>
    <mergeCell ref="VOG9:VOJ9"/>
    <mergeCell ref="VOK9:VON9"/>
    <mergeCell ref="VNA9:VND9"/>
    <mergeCell ref="VNE9:VNH9"/>
    <mergeCell ref="VNI9:VNL9"/>
    <mergeCell ref="VNM9:VNP9"/>
    <mergeCell ref="VNQ9:VNT9"/>
    <mergeCell ref="VMG9:VMJ9"/>
    <mergeCell ref="VMK9:VMN9"/>
    <mergeCell ref="VMO9:VMR9"/>
    <mergeCell ref="VMS9:VMV9"/>
    <mergeCell ref="VMW9:VMZ9"/>
    <mergeCell ref="VLM9:VLP9"/>
    <mergeCell ref="VLQ9:VLT9"/>
    <mergeCell ref="VLU9:VLX9"/>
    <mergeCell ref="VLY9:VMB9"/>
    <mergeCell ref="VMC9:VMF9"/>
    <mergeCell ref="VKS9:VKV9"/>
    <mergeCell ref="VKW9:VKZ9"/>
    <mergeCell ref="VLA9:VLD9"/>
    <mergeCell ref="VLE9:VLH9"/>
    <mergeCell ref="VLI9:VLL9"/>
    <mergeCell ref="VJY9:VKB9"/>
    <mergeCell ref="VKC9:VKF9"/>
    <mergeCell ref="VKG9:VKJ9"/>
    <mergeCell ref="VKK9:VKN9"/>
    <mergeCell ref="VKO9:VKR9"/>
    <mergeCell ref="VJE9:VJH9"/>
    <mergeCell ref="VJI9:VJL9"/>
    <mergeCell ref="VJM9:VJP9"/>
    <mergeCell ref="VJQ9:VJT9"/>
    <mergeCell ref="VJU9:VJX9"/>
    <mergeCell ref="VTE9:VTH9"/>
    <mergeCell ref="VTI9:VTL9"/>
    <mergeCell ref="VTM9:VTP9"/>
    <mergeCell ref="VTQ9:VTT9"/>
    <mergeCell ref="VTU9:VTX9"/>
    <mergeCell ref="VSK9:VSN9"/>
    <mergeCell ref="VSO9:VSR9"/>
    <mergeCell ref="VSS9:VSV9"/>
    <mergeCell ref="VSW9:VSZ9"/>
    <mergeCell ref="VTA9:VTD9"/>
    <mergeCell ref="VRQ9:VRT9"/>
    <mergeCell ref="VRU9:VRX9"/>
    <mergeCell ref="VRY9:VSB9"/>
    <mergeCell ref="VSC9:VSF9"/>
    <mergeCell ref="VSG9:VSJ9"/>
    <mergeCell ref="VQW9:VQZ9"/>
    <mergeCell ref="VRA9:VRD9"/>
    <mergeCell ref="VRE9:VRH9"/>
    <mergeCell ref="VRI9:VRL9"/>
    <mergeCell ref="VRM9:VRP9"/>
    <mergeCell ref="VQC9:VQF9"/>
    <mergeCell ref="VQG9:VQJ9"/>
    <mergeCell ref="VQK9:VQN9"/>
    <mergeCell ref="VQO9:VQR9"/>
    <mergeCell ref="VQS9:VQV9"/>
    <mergeCell ref="VPI9:VPL9"/>
    <mergeCell ref="VPM9:VPP9"/>
    <mergeCell ref="VPQ9:VPT9"/>
    <mergeCell ref="VPU9:VPX9"/>
    <mergeCell ref="VPY9:VQB9"/>
    <mergeCell ref="VOO9:VOR9"/>
    <mergeCell ref="VOS9:VOV9"/>
    <mergeCell ref="VOW9:VOZ9"/>
    <mergeCell ref="VPA9:VPD9"/>
    <mergeCell ref="VPE9:VPH9"/>
    <mergeCell ref="VYO9:VYR9"/>
    <mergeCell ref="VYS9:VYV9"/>
    <mergeCell ref="VYW9:VYZ9"/>
    <mergeCell ref="VZA9:VZD9"/>
    <mergeCell ref="VZE9:VZH9"/>
    <mergeCell ref="VXU9:VXX9"/>
    <mergeCell ref="VXY9:VYB9"/>
    <mergeCell ref="VYC9:VYF9"/>
    <mergeCell ref="VYG9:VYJ9"/>
    <mergeCell ref="VYK9:VYN9"/>
    <mergeCell ref="VXA9:VXD9"/>
    <mergeCell ref="VXE9:VXH9"/>
    <mergeCell ref="VXI9:VXL9"/>
    <mergeCell ref="VXM9:VXP9"/>
    <mergeCell ref="VXQ9:VXT9"/>
    <mergeCell ref="VWG9:VWJ9"/>
    <mergeCell ref="VWK9:VWN9"/>
    <mergeCell ref="VWO9:VWR9"/>
    <mergeCell ref="VWS9:VWV9"/>
    <mergeCell ref="VWW9:VWZ9"/>
    <mergeCell ref="VVM9:VVP9"/>
    <mergeCell ref="VVQ9:VVT9"/>
    <mergeCell ref="VVU9:VVX9"/>
    <mergeCell ref="VVY9:VWB9"/>
    <mergeCell ref="VWC9:VWF9"/>
    <mergeCell ref="VUS9:VUV9"/>
    <mergeCell ref="VUW9:VUZ9"/>
    <mergeCell ref="VVA9:VVD9"/>
    <mergeCell ref="VVE9:VVH9"/>
    <mergeCell ref="VVI9:VVL9"/>
    <mergeCell ref="VTY9:VUB9"/>
    <mergeCell ref="VUC9:VUF9"/>
    <mergeCell ref="VUG9:VUJ9"/>
    <mergeCell ref="VUK9:VUN9"/>
    <mergeCell ref="VUO9:VUR9"/>
    <mergeCell ref="WDY9:WEB9"/>
    <mergeCell ref="WEC9:WEF9"/>
    <mergeCell ref="WEG9:WEJ9"/>
    <mergeCell ref="WEK9:WEN9"/>
    <mergeCell ref="WEO9:WER9"/>
    <mergeCell ref="WDE9:WDH9"/>
    <mergeCell ref="WDI9:WDL9"/>
    <mergeCell ref="WDM9:WDP9"/>
    <mergeCell ref="WDQ9:WDT9"/>
    <mergeCell ref="WDU9:WDX9"/>
    <mergeCell ref="WCK9:WCN9"/>
    <mergeCell ref="WCO9:WCR9"/>
    <mergeCell ref="WCS9:WCV9"/>
    <mergeCell ref="WCW9:WCZ9"/>
    <mergeCell ref="WDA9:WDD9"/>
    <mergeCell ref="WBQ9:WBT9"/>
    <mergeCell ref="WBU9:WBX9"/>
    <mergeCell ref="WBY9:WCB9"/>
    <mergeCell ref="WCC9:WCF9"/>
    <mergeCell ref="WCG9:WCJ9"/>
    <mergeCell ref="WAW9:WAZ9"/>
    <mergeCell ref="WBA9:WBD9"/>
    <mergeCell ref="WBE9:WBH9"/>
    <mergeCell ref="WBI9:WBL9"/>
    <mergeCell ref="WBM9:WBP9"/>
    <mergeCell ref="WAC9:WAF9"/>
    <mergeCell ref="WAG9:WAJ9"/>
    <mergeCell ref="WAK9:WAN9"/>
    <mergeCell ref="WAO9:WAR9"/>
    <mergeCell ref="WAS9:WAV9"/>
    <mergeCell ref="VZI9:VZL9"/>
    <mergeCell ref="VZM9:VZP9"/>
    <mergeCell ref="VZQ9:VZT9"/>
    <mergeCell ref="VZU9:VZX9"/>
    <mergeCell ref="VZY9:WAB9"/>
    <mergeCell ref="WJI9:WJL9"/>
    <mergeCell ref="WJM9:WJP9"/>
    <mergeCell ref="WJQ9:WJT9"/>
    <mergeCell ref="WJU9:WJX9"/>
    <mergeCell ref="WJY9:WKB9"/>
    <mergeCell ref="WIO9:WIR9"/>
    <mergeCell ref="WIS9:WIV9"/>
    <mergeCell ref="WIW9:WIZ9"/>
    <mergeCell ref="WJA9:WJD9"/>
    <mergeCell ref="WJE9:WJH9"/>
    <mergeCell ref="WHU9:WHX9"/>
    <mergeCell ref="WHY9:WIB9"/>
    <mergeCell ref="WIC9:WIF9"/>
    <mergeCell ref="WIG9:WIJ9"/>
    <mergeCell ref="WIK9:WIN9"/>
    <mergeCell ref="WHA9:WHD9"/>
    <mergeCell ref="WHE9:WHH9"/>
    <mergeCell ref="WHI9:WHL9"/>
    <mergeCell ref="WHM9:WHP9"/>
    <mergeCell ref="WHQ9:WHT9"/>
    <mergeCell ref="WGG9:WGJ9"/>
    <mergeCell ref="WGK9:WGN9"/>
    <mergeCell ref="WGO9:WGR9"/>
    <mergeCell ref="WGS9:WGV9"/>
    <mergeCell ref="WGW9:WGZ9"/>
    <mergeCell ref="WFM9:WFP9"/>
    <mergeCell ref="WFQ9:WFT9"/>
    <mergeCell ref="WFU9:WFX9"/>
    <mergeCell ref="WFY9:WGB9"/>
    <mergeCell ref="WGC9:WGF9"/>
    <mergeCell ref="WES9:WEV9"/>
    <mergeCell ref="WEW9:WEZ9"/>
    <mergeCell ref="WFA9:WFD9"/>
    <mergeCell ref="WFE9:WFH9"/>
    <mergeCell ref="WFI9:WFL9"/>
    <mergeCell ref="WOS9:WOV9"/>
    <mergeCell ref="WOW9:WOZ9"/>
    <mergeCell ref="WPA9:WPD9"/>
    <mergeCell ref="WPE9:WPH9"/>
    <mergeCell ref="WPI9:WPL9"/>
    <mergeCell ref="WNY9:WOB9"/>
    <mergeCell ref="WOC9:WOF9"/>
    <mergeCell ref="WOG9:WOJ9"/>
    <mergeCell ref="WOK9:WON9"/>
    <mergeCell ref="WOO9:WOR9"/>
    <mergeCell ref="WNE9:WNH9"/>
    <mergeCell ref="WNI9:WNL9"/>
    <mergeCell ref="WNM9:WNP9"/>
    <mergeCell ref="WNQ9:WNT9"/>
    <mergeCell ref="WNU9:WNX9"/>
    <mergeCell ref="WMK9:WMN9"/>
    <mergeCell ref="WMO9:WMR9"/>
    <mergeCell ref="WMS9:WMV9"/>
    <mergeCell ref="WMW9:WMZ9"/>
    <mergeCell ref="WNA9:WND9"/>
    <mergeCell ref="WLQ9:WLT9"/>
    <mergeCell ref="WLU9:WLX9"/>
    <mergeCell ref="WLY9:WMB9"/>
    <mergeCell ref="WMC9:WMF9"/>
    <mergeCell ref="WMG9:WMJ9"/>
    <mergeCell ref="WKW9:WKZ9"/>
    <mergeCell ref="WLA9:WLD9"/>
    <mergeCell ref="WLE9:WLH9"/>
    <mergeCell ref="WLI9:WLL9"/>
    <mergeCell ref="WLM9:WLP9"/>
    <mergeCell ref="WKC9:WKF9"/>
    <mergeCell ref="WKG9:WKJ9"/>
    <mergeCell ref="WKK9:WKN9"/>
    <mergeCell ref="WKO9:WKR9"/>
    <mergeCell ref="WKS9:WKV9"/>
    <mergeCell ref="WUC9:WUF9"/>
    <mergeCell ref="WUG9:WUJ9"/>
    <mergeCell ref="WUK9:WUN9"/>
    <mergeCell ref="WUO9:WUR9"/>
    <mergeCell ref="WUS9:WUV9"/>
    <mergeCell ref="WTI9:WTL9"/>
    <mergeCell ref="WTM9:WTP9"/>
    <mergeCell ref="WTQ9:WTT9"/>
    <mergeCell ref="WTU9:WTX9"/>
    <mergeCell ref="WTY9:WUB9"/>
    <mergeCell ref="WSO9:WSR9"/>
    <mergeCell ref="WSS9:WSV9"/>
    <mergeCell ref="WSW9:WSZ9"/>
    <mergeCell ref="WTA9:WTD9"/>
    <mergeCell ref="WTE9:WTH9"/>
    <mergeCell ref="WRU9:WRX9"/>
    <mergeCell ref="WRY9:WSB9"/>
    <mergeCell ref="WSC9:WSF9"/>
    <mergeCell ref="WSG9:WSJ9"/>
    <mergeCell ref="WSK9:WSN9"/>
    <mergeCell ref="WRA9:WRD9"/>
    <mergeCell ref="WRE9:WRH9"/>
    <mergeCell ref="WRI9:WRL9"/>
    <mergeCell ref="WRM9:WRP9"/>
    <mergeCell ref="WRQ9:WRT9"/>
    <mergeCell ref="WQG9:WQJ9"/>
    <mergeCell ref="WQK9:WQN9"/>
    <mergeCell ref="WQO9:WQR9"/>
    <mergeCell ref="WQS9:WQV9"/>
    <mergeCell ref="WQW9:WQZ9"/>
    <mergeCell ref="WPM9:WPP9"/>
    <mergeCell ref="WPQ9:WPT9"/>
    <mergeCell ref="WPU9:WPX9"/>
    <mergeCell ref="WPY9:WQB9"/>
    <mergeCell ref="WQC9:WQF9"/>
    <mergeCell ref="XAS9:XAV9"/>
    <mergeCell ref="XAW9:XAZ9"/>
    <mergeCell ref="WZM9:WZP9"/>
    <mergeCell ref="WZQ9:WZT9"/>
    <mergeCell ref="WZU9:WZX9"/>
    <mergeCell ref="WZY9:XAB9"/>
    <mergeCell ref="XAC9:XAF9"/>
    <mergeCell ref="WYS9:WYV9"/>
    <mergeCell ref="WYW9:WYZ9"/>
    <mergeCell ref="WZA9:WZD9"/>
    <mergeCell ref="WZE9:WZH9"/>
    <mergeCell ref="WZI9:WZL9"/>
    <mergeCell ref="WXY9:WYB9"/>
    <mergeCell ref="WYC9:WYF9"/>
    <mergeCell ref="WYG9:WYJ9"/>
    <mergeCell ref="WYK9:WYN9"/>
    <mergeCell ref="WYO9:WYR9"/>
    <mergeCell ref="WXE9:WXH9"/>
    <mergeCell ref="WXI9:WXL9"/>
    <mergeCell ref="WXM9:WXP9"/>
    <mergeCell ref="WXQ9:WXT9"/>
    <mergeCell ref="WXU9:WXX9"/>
    <mergeCell ref="WWK9:WWN9"/>
    <mergeCell ref="WWO9:WWR9"/>
    <mergeCell ref="WWS9:WWV9"/>
    <mergeCell ref="WWW9:WWZ9"/>
    <mergeCell ref="WXA9:WXD9"/>
    <mergeCell ref="WVQ9:WVT9"/>
    <mergeCell ref="WVU9:WVX9"/>
    <mergeCell ref="WVY9:WWB9"/>
    <mergeCell ref="WWC9:WWF9"/>
    <mergeCell ref="WWG9:WWJ9"/>
    <mergeCell ref="WUW9:WUZ9"/>
    <mergeCell ref="WVA9:WVD9"/>
    <mergeCell ref="WVE9:WVH9"/>
    <mergeCell ref="WVI9:WVL9"/>
    <mergeCell ref="WVM9:WVP9"/>
    <mergeCell ref="DY11:EB11"/>
    <mergeCell ref="EC11:EF11"/>
    <mergeCell ref="CS11:CV11"/>
    <mergeCell ref="CW11:CZ11"/>
    <mergeCell ref="DA11:DD11"/>
    <mergeCell ref="DE11:DH11"/>
    <mergeCell ref="DI11:DL11"/>
    <mergeCell ref="BY11:CB11"/>
    <mergeCell ref="CC11:CF11"/>
    <mergeCell ref="CG11:CJ11"/>
    <mergeCell ref="CK11:CN11"/>
    <mergeCell ref="CO11:CR11"/>
    <mergeCell ref="BE11:BH11"/>
    <mergeCell ref="BI11:BL11"/>
    <mergeCell ref="BM11:BP11"/>
    <mergeCell ref="BQ11:BT11"/>
    <mergeCell ref="BU11:BX11"/>
    <mergeCell ref="XEW9:XEZ9"/>
    <mergeCell ref="XFA9:XFD9"/>
    <mergeCell ref="B11:E11"/>
    <mergeCell ref="F11:I11"/>
    <mergeCell ref="J11:M11"/>
    <mergeCell ref="N11:P11"/>
    <mergeCell ref="Q11:T11"/>
    <mergeCell ref="U11:X11"/>
    <mergeCell ref="Y11:AB11"/>
    <mergeCell ref="AC11:AF11"/>
    <mergeCell ref="AG11:AJ11"/>
    <mergeCell ref="AK11:AN11"/>
    <mergeCell ref="AO11:AR11"/>
    <mergeCell ref="AS11:AV11"/>
    <mergeCell ref="AW11:AZ11"/>
    <mergeCell ref="BA11:BD11"/>
    <mergeCell ref="XEC9:XEF9"/>
    <mergeCell ref="XEG9:XEJ9"/>
    <mergeCell ref="XEK9:XEN9"/>
    <mergeCell ref="XEO9:XER9"/>
    <mergeCell ref="XES9:XEV9"/>
    <mergeCell ref="XDI9:XDL9"/>
    <mergeCell ref="XDM9:XDP9"/>
    <mergeCell ref="XDQ9:XDT9"/>
    <mergeCell ref="XDU9:XDX9"/>
    <mergeCell ref="XDY9:XEB9"/>
    <mergeCell ref="XCO9:XCR9"/>
    <mergeCell ref="XCS9:XCV9"/>
    <mergeCell ref="XCW9:XCZ9"/>
    <mergeCell ref="XDA9:XDD9"/>
    <mergeCell ref="XDE9:XDH9"/>
    <mergeCell ref="XBU9:XBX9"/>
    <mergeCell ref="XBY9:XCB9"/>
    <mergeCell ref="XCC9:XCF9"/>
    <mergeCell ref="XCG9:XCJ9"/>
    <mergeCell ref="XCK9:XCN9"/>
    <mergeCell ref="XBA9:XBD9"/>
    <mergeCell ref="XBE9:XBH9"/>
    <mergeCell ref="XBI9:XBL9"/>
    <mergeCell ref="XBM9:XBP9"/>
    <mergeCell ref="XBQ9:XBT9"/>
    <mergeCell ref="XAG9:XAJ9"/>
    <mergeCell ref="XAK9:XAN9"/>
    <mergeCell ref="XAO9:XAR9"/>
    <mergeCell ref="IW11:IZ11"/>
    <mergeCell ref="JA11:JD11"/>
    <mergeCell ref="JE11:JH11"/>
    <mergeCell ref="JI11:JL11"/>
    <mergeCell ref="JM11:JP11"/>
    <mergeCell ref="IC11:IF11"/>
    <mergeCell ref="IG11:IJ11"/>
    <mergeCell ref="IK11:IN11"/>
    <mergeCell ref="IO11:IR11"/>
    <mergeCell ref="IS11:IV11"/>
    <mergeCell ref="HI11:HL11"/>
    <mergeCell ref="HM11:HP11"/>
    <mergeCell ref="HQ11:HT11"/>
    <mergeCell ref="HU11:HX11"/>
    <mergeCell ref="HY11:IB11"/>
    <mergeCell ref="GO11:GR11"/>
    <mergeCell ref="GS11:GV11"/>
    <mergeCell ref="GW11:GZ11"/>
    <mergeCell ref="HA11:HD11"/>
    <mergeCell ref="HE11:HH11"/>
    <mergeCell ref="FU11:FX11"/>
    <mergeCell ref="FY11:GB11"/>
    <mergeCell ref="GC11:GF11"/>
    <mergeCell ref="GG11:GJ11"/>
    <mergeCell ref="GK11:GN11"/>
    <mergeCell ref="FA11:FD11"/>
    <mergeCell ref="FE11:FH11"/>
    <mergeCell ref="FI11:FL11"/>
    <mergeCell ref="FM11:FP11"/>
    <mergeCell ref="FQ11:FT11"/>
    <mergeCell ref="EG11:EJ11"/>
    <mergeCell ref="EK11:EN11"/>
    <mergeCell ref="EO11:ER11"/>
    <mergeCell ref="ES11:EV11"/>
    <mergeCell ref="EW11:EZ11"/>
    <mergeCell ref="OG11:OJ11"/>
    <mergeCell ref="OK11:ON11"/>
    <mergeCell ref="OO11:OR11"/>
    <mergeCell ref="OS11:OV11"/>
    <mergeCell ref="OW11:OZ11"/>
    <mergeCell ref="NM11:NP11"/>
    <mergeCell ref="NQ11:NT11"/>
    <mergeCell ref="NU11:NX11"/>
    <mergeCell ref="NY11:OB11"/>
    <mergeCell ref="OC11:OF11"/>
    <mergeCell ref="MS11:MV11"/>
    <mergeCell ref="MW11:MZ11"/>
    <mergeCell ref="NA11:ND11"/>
    <mergeCell ref="NE11:NH11"/>
    <mergeCell ref="NI11:NL11"/>
    <mergeCell ref="LY11:MB11"/>
    <mergeCell ref="MC11:MF11"/>
    <mergeCell ref="MG11:MJ11"/>
    <mergeCell ref="MK11:MN11"/>
    <mergeCell ref="MO11:MR11"/>
    <mergeCell ref="LE11:LH11"/>
    <mergeCell ref="LI11:LL11"/>
    <mergeCell ref="LM11:LP11"/>
    <mergeCell ref="LQ11:LT11"/>
    <mergeCell ref="LU11:LX11"/>
    <mergeCell ref="KK11:KN11"/>
    <mergeCell ref="KO11:KR11"/>
    <mergeCell ref="KS11:KV11"/>
    <mergeCell ref="KW11:KZ11"/>
    <mergeCell ref="LA11:LD11"/>
    <mergeCell ref="JQ11:JT11"/>
    <mergeCell ref="JU11:JX11"/>
    <mergeCell ref="JY11:KB11"/>
    <mergeCell ref="KC11:KF11"/>
    <mergeCell ref="KG11:KJ11"/>
    <mergeCell ref="TQ11:TT11"/>
    <mergeCell ref="TU11:TX11"/>
    <mergeCell ref="TY11:UB11"/>
    <mergeCell ref="UC11:UF11"/>
    <mergeCell ref="UG11:UJ11"/>
    <mergeCell ref="SW11:SZ11"/>
    <mergeCell ref="TA11:TD11"/>
    <mergeCell ref="TE11:TH11"/>
    <mergeCell ref="TI11:TL11"/>
    <mergeCell ref="TM11:TP11"/>
    <mergeCell ref="SC11:SF11"/>
    <mergeCell ref="SG11:SJ11"/>
    <mergeCell ref="SK11:SN11"/>
    <mergeCell ref="SO11:SR11"/>
    <mergeCell ref="SS11:SV11"/>
    <mergeCell ref="RI11:RL11"/>
    <mergeCell ref="RM11:RP11"/>
    <mergeCell ref="RQ11:RT11"/>
    <mergeCell ref="RU11:RX11"/>
    <mergeCell ref="RY11:SB11"/>
    <mergeCell ref="QO11:QR11"/>
    <mergeCell ref="QS11:QV11"/>
    <mergeCell ref="QW11:QZ11"/>
    <mergeCell ref="RA11:RD11"/>
    <mergeCell ref="RE11:RH11"/>
    <mergeCell ref="PU11:PX11"/>
    <mergeCell ref="PY11:QB11"/>
    <mergeCell ref="QC11:QF11"/>
    <mergeCell ref="QG11:QJ11"/>
    <mergeCell ref="QK11:QN11"/>
    <mergeCell ref="PA11:PD11"/>
    <mergeCell ref="PE11:PH11"/>
    <mergeCell ref="PI11:PL11"/>
    <mergeCell ref="PM11:PP11"/>
    <mergeCell ref="PQ11:PT11"/>
    <mergeCell ref="ZA11:ZD11"/>
    <mergeCell ref="ZE11:ZH11"/>
    <mergeCell ref="ZI11:ZL11"/>
    <mergeCell ref="ZM11:ZP11"/>
    <mergeCell ref="ZQ11:ZT11"/>
    <mergeCell ref="YG11:YJ11"/>
    <mergeCell ref="YK11:YN11"/>
    <mergeCell ref="YO11:YR11"/>
    <mergeCell ref="YS11:YV11"/>
    <mergeCell ref="YW11:YZ11"/>
    <mergeCell ref="XM11:XP11"/>
    <mergeCell ref="XQ11:XT11"/>
    <mergeCell ref="XU11:XX11"/>
    <mergeCell ref="XY11:YB11"/>
    <mergeCell ref="YC11:YF11"/>
    <mergeCell ref="WS11:WV11"/>
    <mergeCell ref="WW11:WZ11"/>
    <mergeCell ref="XA11:XD11"/>
    <mergeCell ref="XE11:XH11"/>
    <mergeCell ref="XI11:XL11"/>
    <mergeCell ref="VY11:WB11"/>
    <mergeCell ref="WC11:WF11"/>
    <mergeCell ref="WG11:WJ11"/>
    <mergeCell ref="WK11:WN11"/>
    <mergeCell ref="WO11:WR11"/>
    <mergeCell ref="VE11:VH11"/>
    <mergeCell ref="VI11:VL11"/>
    <mergeCell ref="VM11:VP11"/>
    <mergeCell ref="VQ11:VT11"/>
    <mergeCell ref="VU11:VX11"/>
    <mergeCell ref="UK11:UN11"/>
    <mergeCell ref="UO11:UR11"/>
    <mergeCell ref="US11:UV11"/>
    <mergeCell ref="UW11:UZ11"/>
    <mergeCell ref="VA11:VD11"/>
    <mergeCell ref="AEK11:AEN11"/>
    <mergeCell ref="AEO11:AER11"/>
    <mergeCell ref="AES11:AEV11"/>
    <mergeCell ref="AEW11:AEZ11"/>
    <mergeCell ref="AFA11:AFD11"/>
    <mergeCell ref="ADQ11:ADT11"/>
    <mergeCell ref="ADU11:ADX11"/>
    <mergeCell ref="ADY11:AEB11"/>
    <mergeCell ref="AEC11:AEF11"/>
    <mergeCell ref="AEG11:AEJ11"/>
    <mergeCell ref="ACW11:ACZ11"/>
    <mergeCell ref="ADA11:ADD11"/>
    <mergeCell ref="ADE11:ADH11"/>
    <mergeCell ref="ADI11:ADL11"/>
    <mergeCell ref="ADM11:ADP11"/>
    <mergeCell ref="ACC11:ACF11"/>
    <mergeCell ref="ACG11:ACJ11"/>
    <mergeCell ref="ACK11:ACN11"/>
    <mergeCell ref="ACO11:ACR11"/>
    <mergeCell ref="ACS11:ACV11"/>
    <mergeCell ref="ABI11:ABL11"/>
    <mergeCell ref="ABM11:ABP11"/>
    <mergeCell ref="ABQ11:ABT11"/>
    <mergeCell ref="ABU11:ABX11"/>
    <mergeCell ref="ABY11:ACB11"/>
    <mergeCell ref="AAO11:AAR11"/>
    <mergeCell ref="AAS11:AAV11"/>
    <mergeCell ref="AAW11:AAZ11"/>
    <mergeCell ref="ABA11:ABD11"/>
    <mergeCell ref="ABE11:ABH11"/>
    <mergeCell ref="ZU11:ZX11"/>
    <mergeCell ref="ZY11:AAB11"/>
    <mergeCell ref="AAC11:AAF11"/>
    <mergeCell ref="AAG11:AAJ11"/>
    <mergeCell ref="AAK11:AAN11"/>
    <mergeCell ref="AJU11:AJX11"/>
    <mergeCell ref="AJY11:AKB11"/>
    <mergeCell ref="AKC11:AKF11"/>
    <mergeCell ref="AKG11:AKJ11"/>
    <mergeCell ref="AKK11:AKN11"/>
    <mergeCell ref="AJA11:AJD11"/>
    <mergeCell ref="AJE11:AJH11"/>
    <mergeCell ref="AJI11:AJL11"/>
    <mergeCell ref="AJM11:AJP11"/>
    <mergeCell ref="AJQ11:AJT11"/>
    <mergeCell ref="AIG11:AIJ11"/>
    <mergeCell ref="AIK11:AIN11"/>
    <mergeCell ref="AIO11:AIR11"/>
    <mergeCell ref="AIS11:AIV11"/>
    <mergeCell ref="AIW11:AIZ11"/>
    <mergeCell ref="AHM11:AHP11"/>
    <mergeCell ref="AHQ11:AHT11"/>
    <mergeCell ref="AHU11:AHX11"/>
    <mergeCell ref="AHY11:AIB11"/>
    <mergeCell ref="AIC11:AIF11"/>
    <mergeCell ref="AGS11:AGV11"/>
    <mergeCell ref="AGW11:AGZ11"/>
    <mergeCell ref="AHA11:AHD11"/>
    <mergeCell ref="AHE11:AHH11"/>
    <mergeCell ref="AHI11:AHL11"/>
    <mergeCell ref="AFY11:AGB11"/>
    <mergeCell ref="AGC11:AGF11"/>
    <mergeCell ref="AGG11:AGJ11"/>
    <mergeCell ref="AGK11:AGN11"/>
    <mergeCell ref="AGO11:AGR11"/>
    <mergeCell ref="AFE11:AFH11"/>
    <mergeCell ref="AFI11:AFL11"/>
    <mergeCell ref="AFM11:AFP11"/>
    <mergeCell ref="AFQ11:AFT11"/>
    <mergeCell ref="AFU11:AFX11"/>
    <mergeCell ref="APE11:APH11"/>
    <mergeCell ref="API11:APL11"/>
    <mergeCell ref="APM11:APP11"/>
    <mergeCell ref="APQ11:APT11"/>
    <mergeCell ref="APU11:APX11"/>
    <mergeCell ref="AOK11:AON11"/>
    <mergeCell ref="AOO11:AOR11"/>
    <mergeCell ref="AOS11:AOV11"/>
    <mergeCell ref="AOW11:AOZ11"/>
    <mergeCell ref="APA11:APD11"/>
    <mergeCell ref="ANQ11:ANT11"/>
    <mergeCell ref="ANU11:ANX11"/>
    <mergeCell ref="ANY11:AOB11"/>
    <mergeCell ref="AOC11:AOF11"/>
    <mergeCell ref="AOG11:AOJ11"/>
    <mergeCell ref="AMW11:AMZ11"/>
    <mergeCell ref="ANA11:AND11"/>
    <mergeCell ref="ANE11:ANH11"/>
    <mergeCell ref="ANI11:ANL11"/>
    <mergeCell ref="ANM11:ANP11"/>
    <mergeCell ref="AMC11:AMF11"/>
    <mergeCell ref="AMG11:AMJ11"/>
    <mergeCell ref="AMK11:AMN11"/>
    <mergeCell ref="AMO11:AMR11"/>
    <mergeCell ref="AMS11:AMV11"/>
    <mergeCell ref="ALI11:ALL11"/>
    <mergeCell ref="ALM11:ALP11"/>
    <mergeCell ref="ALQ11:ALT11"/>
    <mergeCell ref="ALU11:ALX11"/>
    <mergeCell ref="ALY11:AMB11"/>
    <mergeCell ref="AKO11:AKR11"/>
    <mergeCell ref="AKS11:AKV11"/>
    <mergeCell ref="AKW11:AKZ11"/>
    <mergeCell ref="ALA11:ALD11"/>
    <mergeCell ref="ALE11:ALH11"/>
    <mergeCell ref="AUO11:AUR11"/>
    <mergeCell ref="AUS11:AUV11"/>
    <mergeCell ref="AUW11:AUZ11"/>
    <mergeCell ref="AVA11:AVD11"/>
    <mergeCell ref="AVE11:AVH11"/>
    <mergeCell ref="ATU11:ATX11"/>
    <mergeCell ref="ATY11:AUB11"/>
    <mergeCell ref="AUC11:AUF11"/>
    <mergeCell ref="AUG11:AUJ11"/>
    <mergeCell ref="AUK11:AUN11"/>
    <mergeCell ref="ATA11:ATD11"/>
    <mergeCell ref="ATE11:ATH11"/>
    <mergeCell ref="ATI11:ATL11"/>
    <mergeCell ref="ATM11:ATP11"/>
    <mergeCell ref="ATQ11:ATT11"/>
    <mergeCell ref="ASG11:ASJ11"/>
    <mergeCell ref="ASK11:ASN11"/>
    <mergeCell ref="ASO11:ASR11"/>
    <mergeCell ref="ASS11:ASV11"/>
    <mergeCell ref="ASW11:ASZ11"/>
    <mergeCell ref="ARM11:ARP11"/>
    <mergeCell ref="ARQ11:ART11"/>
    <mergeCell ref="ARU11:ARX11"/>
    <mergeCell ref="ARY11:ASB11"/>
    <mergeCell ref="ASC11:ASF11"/>
    <mergeCell ref="AQS11:AQV11"/>
    <mergeCell ref="AQW11:AQZ11"/>
    <mergeCell ref="ARA11:ARD11"/>
    <mergeCell ref="ARE11:ARH11"/>
    <mergeCell ref="ARI11:ARL11"/>
    <mergeCell ref="APY11:AQB11"/>
    <mergeCell ref="AQC11:AQF11"/>
    <mergeCell ref="AQG11:AQJ11"/>
    <mergeCell ref="AQK11:AQN11"/>
    <mergeCell ref="AQO11:AQR11"/>
    <mergeCell ref="AZY11:BAB11"/>
    <mergeCell ref="BAC11:BAF11"/>
    <mergeCell ref="BAG11:BAJ11"/>
    <mergeCell ref="BAK11:BAN11"/>
    <mergeCell ref="BAO11:BAR11"/>
    <mergeCell ref="AZE11:AZH11"/>
    <mergeCell ref="AZI11:AZL11"/>
    <mergeCell ref="AZM11:AZP11"/>
    <mergeCell ref="AZQ11:AZT11"/>
    <mergeCell ref="AZU11:AZX11"/>
    <mergeCell ref="AYK11:AYN11"/>
    <mergeCell ref="AYO11:AYR11"/>
    <mergeCell ref="AYS11:AYV11"/>
    <mergeCell ref="AYW11:AYZ11"/>
    <mergeCell ref="AZA11:AZD11"/>
    <mergeCell ref="AXQ11:AXT11"/>
    <mergeCell ref="AXU11:AXX11"/>
    <mergeCell ref="AXY11:AYB11"/>
    <mergeCell ref="AYC11:AYF11"/>
    <mergeCell ref="AYG11:AYJ11"/>
    <mergeCell ref="AWW11:AWZ11"/>
    <mergeCell ref="AXA11:AXD11"/>
    <mergeCell ref="AXE11:AXH11"/>
    <mergeCell ref="AXI11:AXL11"/>
    <mergeCell ref="AXM11:AXP11"/>
    <mergeCell ref="AWC11:AWF11"/>
    <mergeCell ref="AWG11:AWJ11"/>
    <mergeCell ref="AWK11:AWN11"/>
    <mergeCell ref="AWO11:AWR11"/>
    <mergeCell ref="AWS11:AWV11"/>
    <mergeCell ref="AVI11:AVL11"/>
    <mergeCell ref="AVM11:AVP11"/>
    <mergeCell ref="AVQ11:AVT11"/>
    <mergeCell ref="AVU11:AVX11"/>
    <mergeCell ref="AVY11:AWB11"/>
    <mergeCell ref="BFI11:BFL11"/>
    <mergeCell ref="BFM11:BFP11"/>
    <mergeCell ref="BFQ11:BFT11"/>
    <mergeCell ref="BFU11:BFX11"/>
    <mergeCell ref="BFY11:BGB11"/>
    <mergeCell ref="BEO11:BER11"/>
    <mergeCell ref="BES11:BEV11"/>
    <mergeCell ref="BEW11:BEZ11"/>
    <mergeCell ref="BFA11:BFD11"/>
    <mergeCell ref="BFE11:BFH11"/>
    <mergeCell ref="BDU11:BDX11"/>
    <mergeCell ref="BDY11:BEB11"/>
    <mergeCell ref="BEC11:BEF11"/>
    <mergeCell ref="BEG11:BEJ11"/>
    <mergeCell ref="BEK11:BEN11"/>
    <mergeCell ref="BDA11:BDD11"/>
    <mergeCell ref="BDE11:BDH11"/>
    <mergeCell ref="BDI11:BDL11"/>
    <mergeCell ref="BDM11:BDP11"/>
    <mergeCell ref="BDQ11:BDT11"/>
    <mergeCell ref="BCG11:BCJ11"/>
    <mergeCell ref="BCK11:BCN11"/>
    <mergeCell ref="BCO11:BCR11"/>
    <mergeCell ref="BCS11:BCV11"/>
    <mergeCell ref="BCW11:BCZ11"/>
    <mergeCell ref="BBM11:BBP11"/>
    <mergeCell ref="BBQ11:BBT11"/>
    <mergeCell ref="BBU11:BBX11"/>
    <mergeCell ref="BBY11:BCB11"/>
    <mergeCell ref="BCC11:BCF11"/>
    <mergeCell ref="BAS11:BAV11"/>
    <mergeCell ref="BAW11:BAZ11"/>
    <mergeCell ref="BBA11:BBD11"/>
    <mergeCell ref="BBE11:BBH11"/>
    <mergeCell ref="BBI11:BBL11"/>
    <mergeCell ref="BKS11:BKV11"/>
    <mergeCell ref="BKW11:BKZ11"/>
    <mergeCell ref="BLA11:BLD11"/>
    <mergeCell ref="BLE11:BLH11"/>
    <mergeCell ref="BLI11:BLL11"/>
    <mergeCell ref="BJY11:BKB11"/>
    <mergeCell ref="BKC11:BKF11"/>
    <mergeCell ref="BKG11:BKJ11"/>
    <mergeCell ref="BKK11:BKN11"/>
    <mergeCell ref="BKO11:BKR11"/>
    <mergeCell ref="BJE11:BJH11"/>
    <mergeCell ref="BJI11:BJL11"/>
    <mergeCell ref="BJM11:BJP11"/>
    <mergeCell ref="BJQ11:BJT11"/>
    <mergeCell ref="BJU11:BJX11"/>
    <mergeCell ref="BIK11:BIN11"/>
    <mergeCell ref="BIO11:BIR11"/>
    <mergeCell ref="BIS11:BIV11"/>
    <mergeCell ref="BIW11:BIZ11"/>
    <mergeCell ref="BJA11:BJD11"/>
    <mergeCell ref="BHQ11:BHT11"/>
    <mergeCell ref="BHU11:BHX11"/>
    <mergeCell ref="BHY11:BIB11"/>
    <mergeCell ref="BIC11:BIF11"/>
    <mergeCell ref="BIG11:BIJ11"/>
    <mergeCell ref="BGW11:BGZ11"/>
    <mergeCell ref="BHA11:BHD11"/>
    <mergeCell ref="BHE11:BHH11"/>
    <mergeCell ref="BHI11:BHL11"/>
    <mergeCell ref="BHM11:BHP11"/>
    <mergeCell ref="BGC11:BGF11"/>
    <mergeCell ref="BGG11:BGJ11"/>
    <mergeCell ref="BGK11:BGN11"/>
    <mergeCell ref="BGO11:BGR11"/>
    <mergeCell ref="BGS11:BGV11"/>
    <mergeCell ref="BQC11:BQF11"/>
    <mergeCell ref="BQG11:BQJ11"/>
    <mergeCell ref="BQK11:BQN11"/>
    <mergeCell ref="BQO11:BQR11"/>
    <mergeCell ref="BQS11:BQV11"/>
    <mergeCell ref="BPI11:BPL11"/>
    <mergeCell ref="BPM11:BPP11"/>
    <mergeCell ref="BPQ11:BPT11"/>
    <mergeCell ref="BPU11:BPX11"/>
    <mergeCell ref="BPY11:BQB11"/>
    <mergeCell ref="BOO11:BOR11"/>
    <mergeCell ref="BOS11:BOV11"/>
    <mergeCell ref="BOW11:BOZ11"/>
    <mergeCell ref="BPA11:BPD11"/>
    <mergeCell ref="BPE11:BPH11"/>
    <mergeCell ref="BNU11:BNX11"/>
    <mergeCell ref="BNY11:BOB11"/>
    <mergeCell ref="BOC11:BOF11"/>
    <mergeCell ref="BOG11:BOJ11"/>
    <mergeCell ref="BOK11:BON11"/>
    <mergeCell ref="BNA11:BND11"/>
    <mergeCell ref="BNE11:BNH11"/>
    <mergeCell ref="BNI11:BNL11"/>
    <mergeCell ref="BNM11:BNP11"/>
    <mergeCell ref="BNQ11:BNT11"/>
    <mergeCell ref="BMG11:BMJ11"/>
    <mergeCell ref="BMK11:BMN11"/>
    <mergeCell ref="BMO11:BMR11"/>
    <mergeCell ref="BMS11:BMV11"/>
    <mergeCell ref="BMW11:BMZ11"/>
    <mergeCell ref="BLM11:BLP11"/>
    <mergeCell ref="BLQ11:BLT11"/>
    <mergeCell ref="BLU11:BLX11"/>
    <mergeCell ref="BLY11:BMB11"/>
    <mergeCell ref="BMC11:BMF11"/>
    <mergeCell ref="BVM11:BVP11"/>
    <mergeCell ref="BVQ11:BVT11"/>
    <mergeCell ref="BVU11:BVX11"/>
    <mergeCell ref="BVY11:BWB11"/>
    <mergeCell ref="BWC11:BWF11"/>
    <mergeCell ref="BUS11:BUV11"/>
    <mergeCell ref="BUW11:BUZ11"/>
    <mergeCell ref="BVA11:BVD11"/>
    <mergeCell ref="BVE11:BVH11"/>
    <mergeCell ref="BVI11:BVL11"/>
    <mergeCell ref="BTY11:BUB11"/>
    <mergeCell ref="BUC11:BUF11"/>
    <mergeCell ref="BUG11:BUJ11"/>
    <mergeCell ref="BUK11:BUN11"/>
    <mergeCell ref="BUO11:BUR11"/>
    <mergeCell ref="BTE11:BTH11"/>
    <mergeCell ref="BTI11:BTL11"/>
    <mergeCell ref="BTM11:BTP11"/>
    <mergeCell ref="BTQ11:BTT11"/>
    <mergeCell ref="BTU11:BTX11"/>
    <mergeCell ref="BSK11:BSN11"/>
    <mergeCell ref="BSO11:BSR11"/>
    <mergeCell ref="BSS11:BSV11"/>
    <mergeCell ref="BSW11:BSZ11"/>
    <mergeCell ref="BTA11:BTD11"/>
    <mergeCell ref="BRQ11:BRT11"/>
    <mergeCell ref="BRU11:BRX11"/>
    <mergeCell ref="BRY11:BSB11"/>
    <mergeCell ref="BSC11:BSF11"/>
    <mergeCell ref="BSG11:BSJ11"/>
    <mergeCell ref="BQW11:BQZ11"/>
    <mergeCell ref="BRA11:BRD11"/>
    <mergeCell ref="BRE11:BRH11"/>
    <mergeCell ref="BRI11:BRL11"/>
    <mergeCell ref="BRM11:BRP11"/>
    <mergeCell ref="CAW11:CAZ11"/>
    <mergeCell ref="CBA11:CBD11"/>
    <mergeCell ref="CBE11:CBH11"/>
    <mergeCell ref="CBI11:CBL11"/>
    <mergeCell ref="CBM11:CBP11"/>
    <mergeCell ref="CAC11:CAF11"/>
    <mergeCell ref="CAG11:CAJ11"/>
    <mergeCell ref="CAK11:CAN11"/>
    <mergeCell ref="CAO11:CAR11"/>
    <mergeCell ref="CAS11:CAV11"/>
    <mergeCell ref="BZI11:BZL11"/>
    <mergeCell ref="BZM11:BZP11"/>
    <mergeCell ref="BZQ11:BZT11"/>
    <mergeCell ref="BZU11:BZX11"/>
    <mergeCell ref="BZY11:CAB11"/>
    <mergeCell ref="BYO11:BYR11"/>
    <mergeCell ref="BYS11:BYV11"/>
    <mergeCell ref="BYW11:BYZ11"/>
    <mergeCell ref="BZA11:BZD11"/>
    <mergeCell ref="BZE11:BZH11"/>
    <mergeCell ref="BXU11:BXX11"/>
    <mergeCell ref="BXY11:BYB11"/>
    <mergeCell ref="BYC11:BYF11"/>
    <mergeCell ref="BYG11:BYJ11"/>
    <mergeCell ref="BYK11:BYN11"/>
    <mergeCell ref="BXA11:BXD11"/>
    <mergeCell ref="BXE11:BXH11"/>
    <mergeCell ref="BXI11:BXL11"/>
    <mergeCell ref="BXM11:BXP11"/>
    <mergeCell ref="BXQ11:BXT11"/>
    <mergeCell ref="BWG11:BWJ11"/>
    <mergeCell ref="BWK11:BWN11"/>
    <mergeCell ref="BWO11:BWR11"/>
    <mergeCell ref="BWS11:BWV11"/>
    <mergeCell ref="BWW11:BWZ11"/>
    <mergeCell ref="CGG11:CGJ11"/>
    <mergeCell ref="CGK11:CGN11"/>
    <mergeCell ref="CGO11:CGR11"/>
    <mergeCell ref="CGS11:CGV11"/>
    <mergeCell ref="CGW11:CGZ11"/>
    <mergeCell ref="CFM11:CFP11"/>
    <mergeCell ref="CFQ11:CFT11"/>
    <mergeCell ref="CFU11:CFX11"/>
    <mergeCell ref="CFY11:CGB11"/>
    <mergeCell ref="CGC11:CGF11"/>
    <mergeCell ref="CES11:CEV11"/>
    <mergeCell ref="CEW11:CEZ11"/>
    <mergeCell ref="CFA11:CFD11"/>
    <mergeCell ref="CFE11:CFH11"/>
    <mergeCell ref="CFI11:CFL11"/>
    <mergeCell ref="CDY11:CEB11"/>
    <mergeCell ref="CEC11:CEF11"/>
    <mergeCell ref="CEG11:CEJ11"/>
    <mergeCell ref="CEK11:CEN11"/>
    <mergeCell ref="CEO11:CER11"/>
    <mergeCell ref="CDE11:CDH11"/>
    <mergeCell ref="CDI11:CDL11"/>
    <mergeCell ref="CDM11:CDP11"/>
    <mergeCell ref="CDQ11:CDT11"/>
    <mergeCell ref="CDU11:CDX11"/>
    <mergeCell ref="CCK11:CCN11"/>
    <mergeCell ref="CCO11:CCR11"/>
    <mergeCell ref="CCS11:CCV11"/>
    <mergeCell ref="CCW11:CCZ11"/>
    <mergeCell ref="CDA11:CDD11"/>
    <mergeCell ref="CBQ11:CBT11"/>
    <mergeCell ref="CBU11:CBX11"/>
    <mergeCell ref="CBY11:CCB11"/>
    <mergeCell ref="CCC11:CCF11"/>
    <mergeCell ref="CCG11:CCJ11"/>
    <mergeCell ref="CLQ11:CLT11"/>
    <mergeCell ref="CLU11:CLX11"/>
    <mergeCell ref="CLY11:CMB11"/>
    <mergeCell ref="CMC11:CMF11"/>
    <mergeCell ref="CMG11:CMJ11"/>
    <mergeCell ref="CKW11:CKZ11"/>
    <mergeCell ref="CLA11:CLD11"/>
    <mergeCell ref="CLE11:CLH11"/>
    <mergeCell ref="CLI11:CLL11"/>
    <mergeCell ref="CLM11:CLP11"/>
    <mergeCell ref="CKC11:CKF11"/>
    <mergeCell ref="CKG11:CKJ11"/>
    <mergeCell ref="CKK11:CKN11"/>
    <mergeCell ref="CKO11:CKR11"/>
    <mergeCell ref="CKS11:CKV11"/>
    <mergeCell ref="CJI11:CJL11"/>
    <mergeCell ref="CJM11:CJP11"/>
    <mergeCell ref="CJQ11:CJT11"/>
    <mergeCell ref="CJU11:CJX11"/>
    <mergeCell ref="CJY11:CKB11"/>
    <mergeCell ref="CIO11:CIR11"/>
    <mergeCell ref="CIS11:CIV11"/>
    <mergeCell ref="CIW11:CIZ11"/>
    <mergeCell ref="CJA11:CJD11"/>
    <mergeCell ref="CJE11:CJH11"/>
    <mergeCell ref="CHU11:CHX11"/>
    <mergeCell ref="CHY11:CIB11"/>
    <mergeCell ref="CIC11:CIF11"/>
    <mergeCell ref="CIG11:CIJ11"/>
    <mergeCell ref="CIK11:CIN11"/>
    <mergeCell ref="CHA11:CHD11"/>
    <mergeCell ref="CHE11:CHH11"/>
    <mergeCell ref="CHI11:CHL11"/>
    <mergeCell ref="CHM11:CHP11"/>
    <mergeCell ref="CHQ11:CHT11"/>
    <mergeCell ref="CRA11:CRD11"/>
    <mergeCell ref="CRE11:CRH11"/>
    <mergeCell ref="CRI11:CRL11"/>
    <mergeCell ref="CRM11:CRP11"/>
    <mergeCell ref="CRQ11:CRT11"/>
    <mergeCell ref="CQG11:CQJ11"/>
    <mergeCell ref="CQK11:CQN11"/>
    <mergeCell ref="CQO11:CQR11"/>
    <mergeCell ref="CQS11:CQV11"/>
    <mergeCell ref="CQW11:CQZ11"/>
    <mergeCell ref="CPM11:CPP11"/>
    <mergeCell ref="CPQ11:CPT11"/>
    <mergeCell ref="CPU11:CPX11"/>
    <mergeCell ref="CPY11:CQB11"/>
    <mergeCell ref="CQC11:CQF11"/>
    <mergeCell ref="COS11:COV11"/>
    <mergeCell ref="COW11:COZ11"/>
    <mergeCell ref="CPA11:CPD11"/>
    <mergeCell ref="CPE11:CPH11"/>
    <mergeCell ref="CPI11:CPL11"/>
    <mergeCell ref="CNY11:COB11"/>
    <mergeCell ref="COC11:COF11"/>
    <mergeCell ref="COG11:COJ11"/>
    <mergeCell ref="COK11:CON11"/>
    <mergeCell ref="COO11:COR11"/>
    <mergeCell ref="CNE11:CNH11"/>
    <mergeCell ref="CNI11:CNL11"/>
    <mergeCell ref="CNM11:CNP11"/>
    <mergeCell ref="CNQ11:CNT11"/>
    <mergeCell ref="CNU11:CNX11"/>
    <mergeCell ref="CMK11:CMN11"/>
    <mergeCell ref="CMO11:CMR11"/>
    <mergeCell ref="CMS11:CMV11"/>
    <mergeCell ref="CMW11:CMZ11"/>
    <mergeCell ref="CNA11:CND11"/>
    <mergeCell ref="CWK11:CWN11"/>
    <mergeCell ref="CWO11:CWR11"/>
    <mergeCell ref="CWS11:CWV11"/>
    <mergeCell ref="CWW11:CWZ11"/>
    <mergeCell ref="CXA11:CXD11"/>
    <mergeCell ref="CVQ11:CVT11"/>
    <mergeCell ref="CVU11:CVX11"/>
    <mergeCell ref="CVY11:CWB11"/>
    <mergeCell ref="CWC11:CWF11"/>
    <mergeCell ref="CWG11:CWJ11"/>
    <mergeCell ref="CUW11:CUZ11"/>
    <mergeCell ref="CVA11:CVD11"/>
    <mergeCell ref="CVE11:CVH11"/>
    <mergeCell ref="CVI11:CVL11"/>
    <mergeCell ref="CVM11:CVP11"/>
    <mergeCell ref="CUC11:CUF11"/>
    <mergeCell ref="CUG11:CUJ11"/>
    <mergeCell ref="CUK11:CUN11"/>
    <mergeCell ref="CUO11:CUR11"/>
    <mergeCell ref="CUS11:CUV11"/>
    <mergeCell ref="CTI11:CTL11"/>
    <mergeCell ref="CTM11:CTP11"/>
    <mergeCell ref="CTQ11:CTT11"/>
    <mergeCell ref="CTU11:CTX11"/>
    <mergeCell ref="CTY11:CUB11"/>
    <mergeCell ref="CSO11:CSR11"/>
    <mergeCell ref="CSS11:CSV11"/>
    <mergeCell ref="CSW11:CSZ11"/>
    <mergeCell ref="CTA11:CTD11"/>
    <mergeCell ref="CTE11:CTH11"/>
    <mergeCell ref="CRU11:CRX11"/>
    <mergeCell ref="CRY11:CSB11"/>
    <mergeCell ref="CSC11:CSF11"/>
    <mergeCell ref="CSG11:CSJ11"/>
    <mergeCell ref="CSK11:CSN11"/>
    <mergeCell ref="DBU11:DBX11"/>
    <mergeCell ref="DBY11:DCB11"/>
    <mergeCell ref="DCC11:DCF11"/>
    <mergeCell ref="DCG11:DCJ11"/>
    <mergeCell ref="DCK11:DCN11"/>
    <mergeCell ref="DBA11:DBD11"/>
    <mergeCell ref="DBE11:DBH11"/>
    <mergeCell ref="DBI11:DBL11"/>
    <mergeCell ref="DBM11:DBP11"/>
    <mergeCell ref="DBQ11:DBT11"/>
    <mergeCell ref="DAG11:DAJ11"/>
    <mergeCell ref="DAK11:DAN11"/>
    <mergeCell ref="DAO11:DAR11"/>
    <mergeCell ref="DAS11:DAV11"/>
    <mergeCell ref="DAW11:DAZ11"/>
    <mergeCell ref="CZM11:CZP11"/>
    <mergeCell ref="CZQ11:CZT11"/>
    <mergeCell ref="CZU11:CZX11"/>
    <mergeCell ref="CZY11:DAB11"/>
    <mergeCell ref="DAC11:DAF11"/>
    <mergeCell ref="CYS11:CYV11"/>
    <mergeCell ref="CYW11:CYZ11"/>
    <mergeCell ref="CZA11:CZD11"/>
    <mergeCell ref="CZE11:CZH11"/>
    <mergeCell ref="CZI11:CZL11"/>
    <mergeCell ref="CXY11:CYB11"/>
    <mergeCell ref="CYC11:CYF11"/>
    <mergeCell ref="CYG11:CYJ11"/>
    <mergeCell ref="CYK11:CYN11"/>
    <mergeCell ref="CYO11:CYR11"/>
    <mergeCell ref="CXE11:CXH11"/>
    <mergeCell ref="CXI11:CXL11"/>
    <mergeCell ref="CXM11:CXP11"/>
    <mergeCell ref="CXQ11:CXT11"/>
    <mergeCell ref="CXU11:CXX11"/>
    <mergeCell ref="DHE11:DHH11"/>
    <mergeCell ref="DHI11:DHL11"/>
    <mergeCell ref="DHM11:DHP11"/>
    <mergeCell ref="DHQ11:DHT11"/>
    <mergeCell ref="DHU11:DHX11"/>
    <mergeCell ref="DGK11:DGN11"/>
    <mergeCell ref="DGO11:DGR11"/>
    <mergeCell ref="DGS11:DGV11"/>
    <mergeCell ref="DGW11:DGZ11"/>
    <mergeCell ref="DHA11:DHD11"/>
    <mergeCell ref="DFQ11:DFT11"/>
    <mergeCell ref="DFU11:DFX11"/>
    <mergeCell ref="DFY11:DGB11"/>
    <mergeCell ref="DGC11:DGF11"/>
    <mergeCell ref="DGG11:DGJ11"/>
    <mergeCell ref="DEW11:DEZ11"/>
    <mergeCell ref="DFA11:DFD11"/>
    <mergeCell ref="DFE11:DFH11"/>
    <mergeCell ref="DFI11:DFL11"/>
    <mergeCell ref="DFM11:DFP11"/>
    <mergeCell ref="DEC11:DEF11"/>
    <mergeCell ref="DEG11:DEJ11"/>
    <mergeCell ref="DEK11:DEN11"/>
    <mergeCell ref="DEO11:DER11"/>
    <mergeCell ref="DES11:DEV11"/>
    <mergeCell ref="DDI11:DDL11"/>
    <mergeCell ref="DDM11:DDP11"/>
    <mergeCell ref="DDQ11:DDT11"/>
    <mergeCell ref="DDU11:DDX11"/>
    <mergeCell ref="DDY11:DEB11"/>
    <mergeCell ref="DCO11:DCR11"/>
    <mergeCell ref="DCS11:DCV11"/>
    <mergeCell ref="DCW11:DCZ11"/>
    <mergeCell ref="DDA11:DDD11"/>
    <mergeCell ref="DDE11:DDH11"/>
    <mergeCell ref="DMO11:DMR11"/>
    <mergeCell ref="DMS11:DMV11"/>
    <mergeCell ref="DMW11:DMZ11"/>
    <mergeCell ref="DNA11:DND11"/>
    <mergeCell ref="DNE11:DNH11"/>
    <mergeCell ref="DLU11:DLX11"/>
    <mergeCell ref="DLY11:DMB11"/>
    <mergeCell ref="DMC11:DMF11"/>
    <mergeCell ref="DMG11:DMJ11"/>
    <mergeCell ref="DMK11:DMN11"/>
    <mergeCell ref="DLA11:DLD11"/>
    <mergeCell ref="DLE11:DLH11"/>
    <mergeCell ref="DLI11:DLL11"/>
    <mergeCell ref="DLM11:DLP11"/>
    <mergeCell ref="DLQ11:DLT11"/>
    <mergeCell ref="DKG11:DKJ11"/>
    <mergeCell ref="DKK11:DKN11"/>
    <mergeCell ref="DKO11:DKR11"/>
    <mergeCell ref="DKS11:DKV11"/>
    <mergeCell ref="DKW11:DKZ11"/>
    <mergeCell ref="DJM11:DJP11"/>
    <mergeCell ref="DJQ11:DJT11"/>
    <mergeCell ref="DJU11:DJX11"/>
    <mergeCell ref="DJY11:DKB11"/>
    <mergeCell ref="DKC11:DKF11"/>
    <mergeCell ref="DIS11:DIV11"/>
    <mergeCell ref="DIW11:DIZ11"/>
    <mergeCell ref="DJA11:DJD11"/>
    <mergeCell ref="DJE11:DJH11"/>
    <mergeCell ref="DJI11:DJL11"/>
    <mergeCell ref="DHY11:DIB11"/>
    <mergeCell ref="DIC11:DIF11"/>
    <mergeCell ref="DIG11:DIJ11"/>
    <mergeCell ref="DIK11:DIN11"/>
    <mergeCell ref="DIO11:DIR11"/>
    <mergeCell ref="DRY11:DSB11"/>
    <mergeCell ref="DSC11:DSF11"/>
    <mergeCell ref="DSG11:DSJ11"/>
    <mergeCell ref="DSK11:DSN11"/>
    <mergeCell ref="DSO11:DSR11"/>
    <mergeCell ref="DRE11:DRH11"/>
    <mergeCell ref="DRI11:DRL11"/>
    <mergeCell ref="DRM11:DRP11"/>
    <mergeCell ref="DRQ11:DRT11"/>
    <mergeCell ref="DRU11:DRX11"/>
    <mergeCell ref="DQK11:DQN11"/>
    <mergeCell ref="DQO11:DQR11"/>
    <mergeCell ref="DQS11:DQV11"/>
    <mergeCell ref="DQW11:DQZ11"/>
    <mergeCell ref="DRA11:DRD11"/>
    <mergeCell ref="DPQ11:DPT11"/>
    <mergeCell ref="DPU11:DPX11"/>
    <mergeCell ref="DPY11:DQB11"/>
    <mergeCell ref="DQC11:DQF11"/>
    <mergeCell ref="DQG11:DQJ11"/>
    <mergeCell ref="DOW11:DOZ11"/>
    <mergeCell ref="DPA11:DPD11"/>
    <mergeCell ref="DPE11:DPH11"/>
    <mergeCell ref="DPI11:DPL11"/>
    <mergeCell ref="DPM11:DPP11"/>
    <mergeCell ref="DOC11:DOF11"/>
    <mergeCell ref="DOG11:DOJ11"/>
    <mergeCell ref="DOK11:DON11"/>
    <mergeCell ref="DOO11:DOR11"/>
    <mergeCell ref="DOS11:DOV11"/>
    <mergeCell ref="DNI11:DNL11"/>
    <mergeCell ref="DNM11:DNP11"/>
    <mergeCell ref="DNQ11:DNT11"/>
    <mergeCell ref="DNU11:DNX11"/>
    <mergeCell ref="DNY11:DOB11"/>
    <mergeCell ref="DXI11:DXL11"/>
    <mergeCell ref="DXM11:DXP11"/>
    <mergeCell ref="DXQ11:DXT11"/>
    <mergeCell ref="DXU11:DXX11"/>
    <mergeCell ref="DXY11:DYB11"/>
    <mergeCell ref="DWO11:DWR11"/>
    <mergeCell ref="DWS11:DWV11"/>
    <mergeCell ref="DWW11:DWZ11"/>
    <mergeCell ref="DXA11:DXD11"/>
    <mergeCell ref="DXE11:DXH11"/>
    <mergeCell ref="DVU11:DVX11"/>
    <mergeCell ref="DVY11:DWB11"/>
    <mergeCell ref="DWC11:DWF11"/>
    <mergeCell ref="DWG11:DWJ11"/>
    <mergeCell ref="DWK11:DWN11"/>
    <mergeCell ref="DVA11:DVD11"/>
    <mergeCell ref="DVE11:DVH11"/>
    <mergeCell ref="DVI11:DVL11"/>
    <mergeCell ref="DVM11:DVP11"/>
    <mergeCell ref="DVQ11:DVT11"/>
    <mergeCell ref="DUG11:DUJ11"/>
    <mergeCell ref="DUK11:DUN11"/>
    <mergeCell ref="DUO11:DUR11"/>
    <mergeCell ref="DUS11:DUV11"/>
    <mergeCell ref="DUW11:DUZ11"/>
    <mergeCell ref="DTM11:DTP11"/>
    <mergeCell ref="DTQ11:DTT11"/>
    <mergeCell ref="DTU11:DTX11"/>
    <mergeCell ref="DTY11:DUB11"/>
    <mergeCell ref="DUC11:DUF11"/>
    <mergeCell ref="DSS11:DSV11"/>
    <mergeCell ref="DSW11:DSZ11"/>
    <mergeCell ref="DTA11:DTD11"/>
    <mergeCell ref="DTE11:DTH11"/>
    <mergeCell ref="DTI11:DTL11"/>
    <mergeCell ref="ECS11:ECV11"/>
    <mergeCell ref="ECW11:ECZ11"/>
    <mergeCell ref="EDA11:EDD11"/>
    <mergeCell ref="EDE11:EDH11"/>
    <mergeCell ref="EDI11:EDL11"/>
    <mergeCell ref="EBY11:ECB11"/>
    <mergeCell ref="ECC11:ECF11"/>
    <mergeCell ref="ECG11:ECJ11"/>
    <mergeCell ref="ECK11:ECN11"/>
    <mergeCell ref="ECO11:ECR11"/>
    <mergeCell ref="EBE11:EBH11"/>
    <mergeCell ref="EBI11:EBL11"/>
    <mergeCell ref="EBM11:EBP11"/>
    <mergeCell ref="EBQ11:EBT11"/>
    <mergeCell ref="EBU11:EBX11"/>
    <mergeCell ref="EAK11:EAN11"/>
    <mergeCell ref="EAO11:EAR11"/>
    <mergeCell ref="EAS11:EAV11"/>
    <mergeCell ref="EAW11:EAZ11"/>
    <mergeCell ref="EBA11:EBD11"/>
    <mergeCell ref="DZQ11:DZT11"/>
    <mergeCell ref="DZU11:DZX11"/>
    <mergeCell ref="DZY11:EAB11"/>
    <mergeCell ref="EAC11:EAF11"/>
    <mergeCell ref="EAG11:EAJ11"/>
    <mergeCell ref="DYW11:DYZ11"/>
    <mergeCell ref="DZA11:DZD11"/>
    <mergeCell ref="DZE11:DZH11"/>
    <mergeCell ref="DZI11:DZL11"/>
    <mergeCell ref="DZM11:DZP11"/>
    <mergeCell ref="DYC11:DYF11"/>
    <mergeCell ref="DYG11:DYJ11"/>
    <mergeCell ref="DYK11:DYN11"/>
    <mergeCell ref="DYO11:DYR11"/>
    <mergeCell ref="DYS11:DYV11"/>
    <mergeCell ref="EIC11:EIF11"/>
    <mergeCell ref="EIG11:EIJ11"/>
    <mergeCell ref="EIK11:EIN11"/>
    <mergeCell ref="EIO11:EIR11"/>
    <mergeCell ref="EIS11:EIV11"/>
    <mergeCell ref="EHI11:EHL11"/>
    <mergeCell ref="EHM11:EHP11"/>
    <mergeCell ref="EHQ11:EHT11"/>
    <mergeCell ref="EHU11:EHX11"/>
    <mergeCell ref="EHY11:EIB11"/>
    <mergeCell ref="EGO11:EGR11"/>
    <mergeCell ref="EGS11:EGV11"/>
    <mergeCell ref="EGW11:EGZ11"/>
    <mergeCell ref="EHA11:EHD11"/>
    <mergeCell ref="EHE11:EHH11"/>
    <mergeCell ref="EFU11:EFX11"/>
    <mergeCell ref="EFY11:EGB11"/>
    <mergeCell ref="EGC11:EGF11"/>
    <mergeCell ref="EGG11:EGJ11"/>
    <mergeCell ref="EGK11:EGN11"/>
    <mergeCell ref="EFA11:EFD11"/>
    <mergeCell ref="EFE11:EFH11"/>
    <mergeCell ref="EFI11:EFL11"/>
    <mergeCell ref="EFM11:EFP11"/>
    <mergeCell ref="EFQ11:EFT11"/>
    <mergeCell ref="EEG11:EEJ11"/>
    <mergeCell ref="EEK11:EEN11"/>
    <mergeCell ref="EEO11:EER11"/>
    <mergeCell ref="EES11:EEV11"/>
    <mergeCell ref="EEW11:EEZ11"/>
    <mergeCell ref="EDM11:EDP11"/>
    <mergeCell ref="EDQ11:EDT11"/>
    <mergeCell ref="EDU11:EDX11"/>
    <mergeCell ref="EDY11:EEB11"/>
    <mergeCell ref="EEC11:EEF11"/>
    <mergeCell ref="ENM11:ENP11"/>
    <mergeCell ref="ENQ11:ENT11"/>
    <mergeCell ref="ENU11:ENX11"/>
    <mergeCell ref="ENY11:EOB11"/>
    <mergeCell ref="EOC11:EOF11"/>
    <mergeCell ref="EMS11:EMV11"/>
    <mergeCell ref="EMW11:EMZ11"/>
    <mergeCell ref="ENA11:END11"/>
    <mergeCell ref="ENE11:ENH11"/>
    <mergeCell ref="ENI11:ENL11"/>
    <mergeCell ref="ELY11:EMB11"/>
    <mergeCell ref="EMC11:EMF11"/>
    <mergeCell ref="EMG11:EMJ11"/>
    <mergeCell ref="EMK11:EMN11"/>
    <mergeCell ref="EMO11:EMR11"/>
    <mergeCell ref="ELE11:ELH11"/>
    <mergeCell ref="ELI11:ELL11"/>
    <mergeCell ref="ELM11:ELP11"/>
    <mergeCell ref="ELQ11:ELT11"/>
    <mergeCell ref="ELU11:ELX11"/>
    <mergeCell ref="EKK11:EKN11"/>
    <mergeCell ref="EKO11:EKR11"/>
    <mergeCell ref="EKS11:EKV11"/>
    <mergeCell ref="EKW11:EKZ11"/>
    <mergeCell ref="ELA11:ELD11"/>
    <mergeCell ref="EJQ11:EJT11"/>
    <mergeCell ref="EJU11:EJX11"/>
    <mergeCell ref="EJY11:EKB11"/>
    <mergeCell ref="EKC11:EKF11"/>
    <mergeCell ref="EKG11:EKJ11"/>
    <mergeCell ref="EIW11:EIZ11"/>
    <mergeCell ref="EJA11:EJD11"/>
    <mergeCell ref="EJE11:EJH11"/>
    <mergeCell ref="EJI11:EJL11"/>
    <mergeCell ref="EJM11:EJP11"/>
    <mergeCell ref="ESW11:ESZ11"/>
    <mergeCell ref="ETA11:ETD11"/>
    <mergeCell ref="ETE11:ETH11"/>
    <mergeCell ref="ETI11:ETL11"/>
    <mergeCell ref="ETM11:ETP11"/>
    <mergeCell ref="ESC11:ESF11"/>
    <mergeCell ref="ESG11:ESJ11"/>
    <mergeCell ref="ESK11:ESN11"/>
    <mergeCell ref="ESO11:ESR11"/>
    <mergeCell ref="ESS11:ESV11"/>
    <mergeCell ref="ERI11:ERL11"/>
    <mergeCell ref="ERM11:ERP11"/>
    <mergeCell ref="ERQ11:ERT11"/>
    <mergeCell ref="ERU11:ERX11"/>
    <mergeCell ref="ERY11:ESB11"/>
    <mergeCell ref="EQO11:EQR11"/>
    <mergeCell ref="EQS11:EQV11"/>
    <mergeCell ref="EQW11:EQZ11"/>
    <mergeCell ref="ERA11:ERD11"/>
    <mergeCell ref="ERE11:ERH11"/>
    <mergeCell ref="EPU11:EPX11"/>
    <mergeCell ref="EPY11:EQB11"/>
    <mergeCell ref="EQC11:EQF11"/>
    <mergeCell ref="EQG11:EQJ11"/>
    <mergeCell ref="EQK11:EQN11"/>
    <mergeCell ref="EPA11:EPD11"/>
    <mergeCell ref="EPE11:EPH11"/>
    <mergeCell ref="EPI11:EPL11"/>
    <mergeCell ref="EPM11:EPP11"/>
    <mergeCell ref="EPQ11:EPT11"/>
    <mergeCell ref="EOG11:EOJ11"/>
    <mergeCell ref="EOK11:EON11"/>
    <mergeCell ref="EOO11:EOR11"/>
    <mergeCell ref="EOS11:EOV11"/>
    <mergeCell ref="EOW11:EOZ11"/>
    <mergeCell ref="EYG11:EYJ11"/>
    <mergeCell ref="EYK11:EYN11"/>
    <mergeCell ref="EYO11:EYR11"/>
    <mergeCell ref="EYS11:EYV11"/>
    <mergeCell ref="EYW11:EYZ11"/>
    <mergeCell ref="EXM11:EXP11"/>
    <mergeCell ref="EXQ11:EXT11"/>
    <mergeCell ref="EXU11:EXX11"/>
    <mergeCell ref="EXY11:EYB11"/>
    <mergeCell ref="EYC11:EYF11"/>
    <mergeCell ref="EWS11:EWV11"/>
    <mergeCell ref="EWW11:EWZ11"/>
    <mergeCell ref="EXA11:EXD11"/>
    <mergeCell ref="EXE11:EXH11"/>
    <mergeCell ref="EXI11:EXL11"/>
    <mergeCell ref="EVY11:EWB11"/>
    <mergeCell ref="EWC11:EWF11"/>
    <mergeCell ref="EWG11:EWJ11"/>
    <mergeCell ref="EWK11:EWN11"/>
    <mergeCell ref="EWO11:EWR11"/>
    <mergeCell ref="EVE11:EVH11"/>
    <mergeCell ref="EVI11:EVL11"/>
    <mergeCell ref="EVM11:EVP11"/>
    <mergeCell ref="EVQ11:EVT11"/>
    <mergeCell ref="EVU11:EVX11"/>
    <mergeCell ref="EUK11:EUN11"/>
    <mergeCell ref="EUO11:EUR11"/>
    <mergeCell ref="EUS11:EUV11"/>
    <mergeCell ref="EUW11:EUZ11"/>
    <mergeCell ref="EVA11:EVD11"/>
    <mergeCell ref="ETQ11:ETT11"/>
    <mergeCell ref="ETU11:ETX11"/>
    <mergeCell ref="ETY11:EUB11"/>
    <mergeCell ref="EUC11:EUF11"/>
    <mergeCell ref="EUG11:EUJ11"/>
    <mergeCell ref="FDQ11:FDT11"/>
    <mergeCell ref="FDU11:FDX11"/>
    <mergeCell ref="FDY11:FEB11"/>
    <mergeCell ref="FEC11:FEF11"/>
    <mergeCell ref="FEG11:FEJ11"/>
    <mergeCell ref="FCW11:FCZ11"/>
    <mergeCell ref="FDA11:FDD11"/>
    <mergeCell ref="FDE11:FDH11"/>
    <mergeCell ref="FDI11:FDL11"/>
    <mergeCell ref="FDM11:FDP11"/>
    <mergeCell ref="FCC11:FCF11"/>
    <mergeCell ref="FCG11:FCJ11"/>
    <mergeCell ref="FCK11:FCN11"/>
    <mergeCell ref="FCO11:FCR11"/>
    <mergeCell ref="FCS11:FCV11"/>
    <mergeCell ref="FBI11:FBL11"/>
    <mergeCell ref="FBM11:FBP11"/>
    <mergeCell ref="FBQ11:FBT11"/>
    <mergeCell ref="FBU11:FBX11"/>
    <mergeCell ref="FBY11:FCB11"/>
    <mergeCell ref="FAO11:FAR11"/>
    <mergeCell ref="FAS11:FAV11"/>
    <mergeCell ref="FAW11:FAZ11"/>
    <mergeCell ref="FBA11:FBD11"/>
    <mergeCell ref="FBE11:FBH11"/>
    <mergeCell ref="EZU11:EZX11"/>
    <mergeCell ref="EZY11:FAB11"/>
    <mergeCell ref="FAC11:FAF11"/>
    <mergeCell ref="FAG11:FAJ11"/>
    <mergeCell ref="FAK11:FAN11"/>
    <mergeCell ref="EZA11:EZD11"/>
    <mergeCell ref="EZE11:EZH11"/>
    <mergeCell ref="EZI11:EZL11"/>
    <mergeCell ref="EZM11:EZP11"/>
    <mergeCell ref="EZQ11:EZT11"/>
    <mergeCell ref="FJA11:FJD11"/>
    <mergeCell ref="FJE11:FJH11"/>
    <mergeCell ref="FJI11:FJL11"/>
    <mergeCell ref="FJM11:FJP11"/>
    <mergeCell ref="FJQ11:FJT11"/>
    <mergeCell ref="FIG11:FIJ11"/>
    <mergeCell ref="FIK11:FIN11"/>
    <mergeCell ref="FIO11:FIR11"/>
    <mergeCell ref="FIS11:FIV11"/>
    <mergeCell ref="FIW11:FIZ11"/>
    <mergeCell ref="FHM11:FHP11"/>
    <mergeCell ref="FHQ11:FHT11"/>
    <mergeCell ref="FHU11:FHX11"/>
    <mergeCell ref="FHY11:FIB11"/>
    <mergeCell ref="FIC11:FIF11"/>
    <mergeCell ref="FGS11:FGV11"/>
    <mergeCell ref="FGW11:FGZ11"/>
    <mergeCell ref="FHA11:FHD11"/>
    <mergeCell ref="FHE11:FHH11"/>
    <mergeCell ref="FHI11:FHL11"/>
    <mergeCell ref="FFY11:FGB11"/>
    <mergeCell ref="FGC11:FGF11"/>
    <mergeCell ref="FGG11:FGJ11"/>
    <mergeCell ref="FGK11:FGN11"/>
    <mergeCell ref="FGO11:FGR11"/>
    <mergeCell ref="FFE11:FFH11"/>
    <mergeCell ref="FFI11:FFL11"/>
    <mergeCell ref="FFM11:FFP11"/>
    <mergeCell ref="FFQ11:FFT11"/>
    <mergeCell ref="FFU11:FFX11"/>
    <mergeCell ref="FEK11:FEN11"/>
    <mergeCell ref="FEO11:FER11"/>
    <mergeCell ref="FES11:FEV11"/>
    <mergeCell ref="FEW11:FEZ11"/>
    <mergeCell ref="FFA11:FFD11"/>
    <mergeCell ref="FOK11:FON11"/>
    <mergeCell ref="FOO11:FOR11"/>
    <mergeCell ref="FOS11:FOV11"/>
    <mergeCell ref="FOW11:FOZ11"/>
    <mergeCell ref="FPA11:FPD11"/>
    <mergeCell ref="FNQ11:FNT11"/>
    <mergeCell ref="FNU11:FNX11"/>
    <mergeCell ref="FNY11:FOB11"/>
    <mergeCell ref="FOC11:FOF11"/>
    <mergeCell ref="FOG11:FOJ11"/>
    <mergeCell ref="FMW11:FMZ11"/>
    <mergeCell ref="FNA11:FND11"/>
    <mergeCell ref="FNE11:FNH11"/>
    <mergeCell ref="FNI11:FNL11"/>
    <mergeCell ref="FNM11:FNP11"/>
    <mergeCell ref="FMC11:FMF11"/>
    <mergeCell ref="FMG11:FMJ11"/>
    <mergeCell ref="FMK11:FMN11"/>
    <mergeCell ref="FMO11:FMR11"/>
    <mergeCell ref="FMS11:FMV11"/>
    <mergeCell ref="FLI11:FLL11"/>
    <mergeCell ref="FLM11:FLP11"/>
    <mergeCell ref="FLQ11:FLT11"/>
    <mergeCell ref="FLU11:FLX11"/>
    <mergeCell ref="FLY11:FMB11"/>
    <mergeCell ref="FKO11:FKR11"/>
    <mergeCell ref="FKS11:FKV11"/>
    <mergeCell ref="FKW11:FKZ11"/>
    <mergeCell ref="FLA11:FLD11"/>
    <mergeCell ref="FLE11:FLH11"/>
    <mergeCell ref="FJU11:FJX11"/>
    <mergeCell ref="FJY11:FKB11"/>
    <mergeCell ref="FKC11:FKF11"/>
    <mergeCell ref="FKG11:FKJ11"/>
    <mergeCell ref="FKK11:FKN11"/>
    <mergeCell ref="FTU11:FTX11"/>
    <mergeCell ref="FTY11:FUB11"/>
    <mergeCell ref="FUC11:FUF11"/>
    <mergeCell ref="FUG11:FUJ11"/>
    <mergeCell ref="FUK11:FUN11"/>
    <mergeCell ref="FTA11:FTD11"/>
    <mergeCell ref="FTE11:FTH11"/>
    <mergeCell ref="FTI11:FTL11"/>
    <mergeCell ref="FTM11:FTP11"/>
    <mergeCell ref="FTQ11:FTT11"/>
    <mergeCell ref="FSG11:FSJ11"/>
    <mergeCell ref="FSK11:FSN11"/>
    <mergeCell ref="FSO11:FSR11"/>
    <mergeCell ref="FSS11:FSV11"/>
    <mergeCell ref="FSW11:FSZ11"/>
    <mergeCell ref="FRM11:FRP11"/>
    <mergeCell ref="FRQ11:FRT11"/>
    <mergeCell ref="FRU11:FRX11"/>
    <mergeCell ref="FRY11:FSB11"/>
    <mergeCell ref="FSC11:FSF11"/>
    <mergeCell ref="FQS11:FQV11"/>
    <mergeCell ref="FQW11:FQZ11"/>
    <mergeCell ref="FRA11:FRD11"/>
    <mergeCell ref="FRE11:FRH11"/>
    <mergeCell ref="FRI11:FRL11"/>
    <mergeCell ref="FPY11:FQB11"/>
    <mergeCell ref="FQC11:FQF11"/>
    <mergeCell ref="FQG11:FQJ11"/>
    <mergeCell ref="FQK11:FQN11"/>
    <mergeCell ref="FQO11:FQR11"/>
    <mergeCell ref="FPE11:FPH11"/>
    <mergeCell ref="FPI11:FPL11"/>
    <mergeCell ref="FPM11:FPP11"/>
    <mergeCell ref="FPQ11:FPT11"/>
    <mergeCell ref="FPU11:FPX11"/>
    <mergeCell ref="FZE11:FZH11"/>
    <mergeCell ref="FZI11:FZL11"/>
    <mergeCell ref="FZM11:FZP11"/>
    <mergeCell ref="FZQ11:FZT11"/>
    <mergeCell ref="FZU11:FZX11"/>
    <mergeCell ref="FYK11:FYN11"/>
    <mergeCell ref="FYO11:FYR11"/>
    <mergeCell ref="FYS11:FYV11"/>
    <mergeCell ref="FYW11:FYZ11"/>
    <mergeCell ref="FZA11:FZD11"/>
    <mergeCell ref="FXQ11:FXT11"/>
    <mergeCell ref="FXU11:FXX11"/>
    <mergeCell ref="FXY11:FYB11"/>
    <mergeCell ref="FYC11:FYF11"/>
    <mergeCell ref="FYG11:FYJ11"/>
    <mergeCell ref="FWW11:FWZ11"/>
    <mergeCell ref="FXA11:FXD11"/>
    <mergeCell ref="FXE11:FXH11"/>
    <mergeCell ref="FXI11:FXL11"/>
    <mergeCell ref="FXM11:FXP11"/>
    <mergeCell ref="FWC11:FWF11"/>
    <mergeCell ref="FWG11:FWJ11"/>
    <mergeCell ref="FWK11:FWN11"/>
    <mergeCell ref="FWO11:FWR11"/>
    <mergeCell ref="FWS11:FWV11"/>
    <mergeCell ref="FVI11:FVL11"/>
    <mergeCell ref="FVM11:FVP11"/>
    <mergeCell ref="FVQ11:FVT11"/>
    <mergeCell ref="FVU11:FVX11"/>
    <mergeCell ref="FVY11:FWB11"/>
    <mergeCell ref="FUO11:FUR11"/>
    <mergeCell ref="FUS11:FUV11"/>
    <mergeCell ref="FUW11:FUZ11"/>
    <mergeCell ref="FVA11:FVD11"/>
    <mergeCell ref="FVE11:FVH11"/>
    <mergeCell ref="GEO11:GER11"/>
    <mergeCell ref="GES11:GEV11"/>
    <mergeCell ref="GEW11:GEZ11"/>
    <mergeCell ref="GFA11:GFD11"/>
    <mergeCell ref="GFE11:GFH11"/>
    <mergeCell ref="GDU11:GDX11"/>
    <mergeCell ref="GDY11:GEB11"/>
    <mergeCell ref="GEC11:GEF11"/>
    <mergeCell ref="GEG11:GEJ11"/>
    <mergeCell ref="GEK11:GEN11"/>
    <mergeCell ref="GDA11:GDD11"/>
    <mergeCell ref="GDE11:GDH11"/>
    <mergeCell ref="GDI11:GDL11"/>
    <mergeCell ref="GDM11:GDP11"/>
    <mergeCell ref="GDQ11:GDT11"/>
    <mergeCell ref="GCG11:GCJ11"/>
    <mergeCell ref="GCK11:GCN11"/>
    <mergeCell ref="GCO11:GCR11"/>
    <mergeCell ref="GCS11:GCV11"/>
    <mergeCell ref="GCW11:GCZ11"/>
    <mergeCell ref="GBM11:GBP11"/>
    <mergeCell ref="GBQ11:GBT11"/>
    <mergeCell ref="GBU11:GBX11"/>
    <mergeCell ref="GBY11:GCB11"/>
    <mergeCell ref="GCC11:GCF11"/>
    <mergeCell ref="GAS11:GAV11"/>
    <mergeCell ref="GAW11:GAZ11"/>
    <mergeCell ref="GBA11:GBD11"/>
    <mergeCell ref="GBE11:GBH11"/>
    <mergeCell ref="GBI11:GBL11"/>
    <mergeCell ref="FZY11:GAB11"/>
    <mergeCell ref="GAC11:GAF11"/>
    <mergeCell ref="GAG11:GAJ11"/>
    <mergeCell ref="GAK11:GAN11"/>
    <mergeCell ref="GAO11:GAR11"/>
    <mergeCell ref="GJY11:GKB11"/>
    <mergeCell ref="GKC11:GKF11"/>
    <mergeCell ref="GKG11:GKJ11"/>
    <mergeCell ref="GKK11:GKN11"/>
    <mergeCell ref="GKO11:GKR11"/>
    <mergeCell ref="GJE11:GJH11"/>
    <mergeCell ref="GJI11:GJL11"/>
    <mergeCell ref="GJM11:GJP11"/>
    <mergeCell ref="GJQ11:GJT11"/>
    <mergeCell ref="GJU11:GJX11"/>
    <mergeCell ref="GIK11:GIN11"/>
    <mergeCell ref="GIO11:GIR11"/>
    <mergeCell ref="GIS11:GIV11"/>
    <mergeCell ref="GIW11:GIZ11"/>
    <mergeCell ref="GJA11:GJD11"/>
    <mergeCell ref="GHQ11:GHT11"/>
    <mergeCell ref="GHU11:GHX11"/>
    <mergeCell ref="GHY11:GIB11"/>
    <mergeCell ref="GIC11:GIF11"/>
    <mergeCell ref="GIG11:GIJ11"/>
    <mergeCell ref="GGW11:GGZ11"/>
    <mergeCell ref="GHA11:GHD11"/>
    <mergeCell ref="GHE11:GHH11"/>
    <mergeCell ref="GHI11:GHL11"/>
    <mergeCell ref="GHM11:GHP11"/>
    <mergeCell ref="GGC11:GGF11"/>
    <mergeCell ref="GGG11:GGJ11"/>
    <mergeCell ref="GGK11:GGN11"/>
    <mergeCell ref="GGO11:GGR11"/>
    <mergeCell ref="GGS11:GGV11"/>
    <mergeCell ref="GFI11:GFL11"/>
    <mergeCell ref="GFM11:GFP11"/>
    <mergeCell ref="GFQ11:GFT11"/>
    <mergeCell ref="GFU11:GFX11"/>
    <mergeCell ref="GFY11:GGB11"/>
    <mergeCell ref="GPI11:GPL11"/>
    <mergeCell ref="GPM11:GPP11"/>
    <mergeCell ref="GPQ11:GPT11"/>
    <mergeCell ref="GPU11:GPX11"/>
    <mergeCell ref="GPY11:GQB11"/>
    <mergeCell ref="GOO11:GOR11"/>
    <mergeCell ref="GOS11:GOV11"/>
    <mergeCell ref="GOW11:GOZ11"/>
    <mergeCell ref="GPA11:GPD11"/>
    <mergeCell ref="GPE11:GPH11"/>
    <mergeCell ref="GNU11:GNX11"/>
    <mergeCell ref="GNY11:GOB11"/>
    <mergeCell ref="GOC11:GOF11"/>
    <mergeCell ref="GOG11:GOJ11"/>
    <mergeCell ref="GOK11:GON11"/>
    <mergeCell ref="GNA11:GND11"/>
    <mergeCell ref="GNE11:GNH11"/>
    <mergeCell ref="GNI11:GNL11"/>
    <mergeCell ref="GNM11:GNP11"/>
    <mergeCell ref="GNQ11:GNT11"/>
    <mergeCell ref="GMG11:GMJ11"/>
    <mergeCell ref="GMK11:GMN11"/>
    <mergeCell ref="GMO11:GMR11"/>
    <mergeCell ref="GMS11:GMV11"/>
    <mergeCell ref="GMW11:GMZ11"/>
    <mergeCell ref="GLM11:GLP11"/>
    <mergeCell ref="GLQ11:GLT11"/>
    <mergeCell ref="GLU11:GLX11"/>
    <mergeCell ref="GLY11:GMB11"/>
    <mergeCell ref="GMC11:GMF11"/>
    <mergeCell ref="GKS11:GKV11"/>
    <mergeCell ref="GKW11:GKZ11"/>
    <mergeCell ref="GLA11:GLD11"/>
    <mergeCell ref="GLE11:GLH11"/>
    <mergeCell ref="GLI11:GLL11"/>
    <mergeCell ref="GUS11:GUV11"/>
    <mergeCell ref="GUW11:GUZ11"/>
    <mergeCell ref="GVA11:GVD11"/>
    <mergeCell ref="GVE11:GVH11"/>
    <mergeCell ref="GVI11:GVL11"/>
    <mergeCell ref="GTY11:GUB11"/>
    <mergeCell ref="GUC11:GUF11"/>
    <mergeCell ref="GUG11:GUJ11"/>
    <mergeCell ref="GUK11:GUN11"/>
    <mergeCell ref="GUO11:GUR11"/>
    <mergeCell ref="GTE11:GTH11"/>
    <mergeCell ref="GTI11:GTL11"/>
    <mergeCell ref="GTM11:GTP11"/>
    <mergeCell ref="GTQ11:GTT11"/>
    <mergeCell ref="GTU11:GTX11"/>
    <mergeCell ref="GSK11:GSN11"/>
    <mergeCell ref="GSO11:GSR11"/>
    <mergeCell ref="GSS11:GSV11"/>
    <mergeCell ref="GSW11:GSZ11"/>
    <mergeCell ref="GTA11:GTD11"/>
    <mergeCell ref="GRQ11:GRT11"/>
    <mergeCell ref="GRU11:GRX11"/>
    <mergeCell ref="GRY11:GSB11"/>
    <mergeCell ref="GSC11:GSF11"/>
    <mergeCell ref="GSG11:GSJ11"/>
    <mergeCell ref="GQW11:GQZ11"/>
    <mergeCell ref="GRA11:GRD11"/>
    <mergeCell ref="GRE11:GRH11"/>
    <mergeCell ref="GRI11:GRL11"/>
    <mergeCell ref="GRM11:GRP11"/>
    <mergeCell ref="GQC11:GQF11"/>
    <mergeCell ref="GQG11:GQJ11"/>
    <mergeCell ref="GQK11:GQN11"/>
    <mergeCell ref="GQO11:GQR11"/>
    <mergeCell ref="GQS11:GQV11"/>
    <mergeCell ref="HAC11:HAF11"/>
    <mergeCell ref="HAG11:HAJ11"/>
    <mergeCell ref="HAK11:HAN11"/>
    <mergeCell ref="HAO11:HAR11"/>
    <mergeCell ref="HAS11:HAV11"/>
    <mergeCell ref="GZI11:GZL11"/>
    <mergeCell ref="GZM11:GZP11"/>
    <mergeCell ref="GZQ11:GZT11"/>
    <mergeCell ref="GZU11:GZX11"/>
    <mergeCell ref="GZY11:HAB11"/>
    <mergeCell ref="GYO11:GYR11"/>
    <mergeCell ref="GYS11:GYV11"/>
    <mergeCell ref="GYW11:GYZ11"/>
    <mergeCell ref="GZA11:GZD11"/>
    <mergeCell ref="GZE11:GZH11"/>
    <mergeCell ref="GXU11:GXX11"/>
    <mergeCell ref="GXY11:GYB11"/>
    <mergeCell ref="GYC11:GYF11"/>
    <mergeCell ref="GYG11:GYJ11"/>
    <mergeCell ref="GYK11:GYN11"/>
    <mergeCell ref="GXA11:GXD11"/>
    <mergeCell ref="GXE11:GXH11"/>
    <mergeCell ref="GXI11:GXL11"/>
    <mergeCell ref="GXM11:GXP11"/>
    <mergeCell ref="GXQ11:GXT11"/>
    <mergeCell ref="GWG11:GWJ11"/>
    <mergeCell ref="GWK11:GWN11"/>
    <mergeCell ref="GWO11:GWR11"/>
    <mergeCell ref="GWS11:GWV11"/>
    <mergeCell ref="GWW11:GWZ11"/>
    <mergeCell ref="GVM11:GVP11"/>
    <mergeCell ref="GVQ11:GVT11"/>
    <mergeCell ref="GVU11:GVX11"/>
    <mergeCell ref="GVY11:GWB11"/>
    <mergeCell ref="GWC11:GWF11"/>
    <mergeCell ref="HFM11:HFP11"/>
    <mergeCell ref="HFQ11:HFT11"/>
    <mergeCell ref="HFU11:HFX11"/>
    <mergeCell ref="HFY11:HGB11"/>
    <mergeCell ref="HGC11:HGF11"/>
    <mergeCell ref="HES11:HEV11"/>
    <mergeCell ref="HEW11:HEZ11"/>
    <mergeCell ref="HFA11:HFD11"/>
    <mergeCell ref="HFE11:HFH11"/>
    <mergeCell ref="HFI11:HFL11"/>
    <mergeCell ref="HDY11:HEB11"/>
    <mergeCell ref="HEC11:HEF11"/>
    <mergeCell ref="HEG11:HEJ11"/>
    <mergeCell ref="HEK11:HEN11"/>
    <mergeCell ref="HEO11:HER11"/>
    <mergeCell ref="HDE11:HDH11"/>
    <mergeCell ref="HDI11:HDL11"/>
    <mergeCell ref="HDM11:HDP11"/>
    <mergeCell ref="HDQ11:HDT11"/>
    <mergeCell ref="HDU11:HDX11"/>
    <mergeCell ref="HCK11:HCN11"/>
    <mergeCell ref="HCO11:HCR11"/>
    <mergeCell ref="HCS11:HCV11"/>
    <mergeCell ref="HCW11:HCZ11"/>
    <mergeCell ref="HDA11:HDD11"/>
    <mergeCell ref="HBQ11:HBT11"/>
    <mergeCell ref="HBU11:HBX11"/>
    <mergeCell ref="HBY11:HCB11"/>
    <mergeCell ref="HCC11:HCF11"/>
    <mergeCell ref="HCG11:HCJ11"/>
    <mergeCell ref="HAW11:HAZ11"/>
    <mergeCell ref="HBA11:HBD11"/>
    <mergeCell ref="HBE11:HBH11"/>
    <mergeCell ref="HBI11:HBL11"/>
    <mergeCell ref="HBM11:HBP11"/>
    <mergeCell ref="HKW11:HKZ11"/>
    <mergeCell ref="HLA11:HLD11"/>
    <mergeCell ref="HLE11:HLH11"/>
    <mergeCell ref="HLI11:HLL11"/>
    <mergeCell ref="HLM11:HLP11"/>
    <mergeCell ref="HKC11:HKF11"/>
    <mergeCell ref="HKG11:HKJ11"/>
    <mergeCell ref="HKK11:HKN11"/>
    <mergeCell ref="HKO11:HKR11"/>
    <mergeCell ref="HKS11:HKV11"/>
    <mergeCell ref="HJI11:HJL11"/>
    <mergeCell ref="HJM11:HJP11"/>
    <mergeCell ref="HJQ11:HJT11"/>
    <mergeCell ref="HJU11:HJX11"/>
    <mergeCell ref="HJY11:HKB11"/>
    <mergeCell ref="HIO11:HIR11"/>
    <mergeCell ref="HIS11:HIV11"/>
    <mergeCell ref="HIW11:HIZ11"/>
    <mergeCell ref="HJA11:HJD11"/>
    <mergeCell ref="HJE11:HJH11"/>
    <mergeCell ref="HHU11:HHX11"/>
    <mergeCell ref="HHY11:HIB11"/>
    <mergeCell ref="HIC11:HIF11"/>
    <mergeCell ref="HIG11:HIJ11"/>
    <mergeCell ref="HIK11:HIN11"/>
    <mergeCell ref="HHA11:HHD11"/>
    <mergeCell ref="HHE11:HHH11"/>
    <mergeCell ref="HHI11:HHL11"/>
    <mergeCell ref="HHM11:HHP11"/>
    <mergeCell ref="HHQ11:HHT11"/>
    <mergeCell ref="HGG11:HGJ11"/>
    <mergeCell ref="HGK11:HGN11"/>
    <mergeCell ref="HGO11:HGR11"/>
    <mergeCell ref="HGS11:HGV11"/>
    <mergeCell ref="HGW11:HGZ11"/>
    <mergeCell ref="HQG11:HQJ11"/>
    <mergeCell ref="HQK11:HQN11"/>
    <mergeCell ref="HQO11:HQR11"/>
    <mergeCell ref="HQS11:HQV11"/>
    <mergeCell ref="HQW11:HQZ11"/>
    <mergeCell ref="HPM11:HPP11"/>
    <mergeCell ref="HPQ11:HPT11"/>
    <mergeCell ref="HPU11:HPX11"/>
    <mergeCell ref="HPY11:HQB11"/>
    <mergeCell ref="HQC11:HQF11"/>
    <mergeCell ref="HOS11:HOV11"/>
    <mergeCell ref="HOW11:HOZ11"/>
    <mergeCell ref="HPA11:HPD11"/>
    <mergeCell ref="HPE11:HPH11"/>
    <mergeCell ref="HPI11:HPL11"/>
    <mergeCell ref="HNY11:HOB11"/>
    <mergeCell ref="HOC11:HOF11"/>
    <mergeCell ref="HOG11:HOJ11"/>
    <mergeCell ref="HOK11:HON11"/>
    <mergeCell ref="HOO11:HOR11"/>
    <mergeCell ref="HNE11:HNH11"/>
    <mergeCell ref="HNI11:HNL11"/>
    <mergeCell ref="HNM11:HNP11"/>
    <mergeCell ref="HNQ11:HNT11"/>
    <mergeCell ref="HNU11:HNX11"/>
    <mergeCell ref="HMK11:HMN11"/>
    <mergeCell ref="HMO11:HMR11"/>
    <mergeCell ref="HMS11:HMV11"/>
    <mergeCell ref="HMW11:HMZ11"/>
    <mergeCell ref="HNA11:HND11"/>
    <mergeCell ref="HLQ11:HLT11"/>
    <mergeCell ref="HLU11:HLX11"/>
    <mergeCell ref="HLY11:HMB11"/>
    <mergeCell ref="HMC11:HMF11"/>
    <mergeCell ref="HMG11:HMJ11"/>
    <mergeCell ref="HVQ11:HVT11"/>
    <mergeCell ref="HVU11:HVX11"/>
    <mergeCell ref="HVY11:HWB11"/>
    <mergeCell ref="HWC11:HWF11"/>
    <mergeCell ref="HWG11:HWJ11"/>
    <mergeCell ref="HUW11:HUZ11"/>
    <mergeCell ref="HVA11:HVD11"/>
    <mergeCell ref="HVE11:HVH11"/>
    <mergeCell ref="HVI11:HVL11"/>
    <mergeCell ref="HVM11:HVP11"/>
    <mergeCell ref="HUC11:HUF11"/>
    <mergeCell ref="HUG11:HUJ11"/>
    <mergeCell ref="HUK11:HUN11"/>
    <mergeCell ref="HUO11:HUR11"/>
    <mergeCell ref="HUS11:HUV11"/>
    <mergeCell ref="HTI11:HTL11"/>
    <mergeCell ref="HTM11:HTP11"/>
    <mergeCell ref="HTQ11:HTT11"/>
    <mergeCell ref="HTU11:HTX11"/>
    <mergeCell ref="HTY11:HUB11"/>
    <mergeCell ref="HSO11:HSR11"/>
    <mergeCell ref="HSS11:HSV11"/>
    <mergeCell ref="HSW11:HSZ11"/>
    <mergeCell ref="HTA11:HTD11"/>
    <mergeCell ref="HTE11:HTH11"/>
    <mergeCell ref="HRU11:HRX11"/>
    <mergeCell ref="HRY11:HSB11"/>
    <mergeCell ref="HSC11:HSF11"/>
    <mergeCell ref="HSG11:HSJ11"/>
    <mergeCell ref="HSK11:HSN11"/>
    <mergeCell ref="HRA11:HRD11"/>
    <mergeCell ref="HRE11:HRH11"/>
    <mergeCell ref="HRI11:HRL11"/>
    <mergeCell ref="HRM11:HRP11"/>
    <mergeCell ref="HRQ11:HRT11"/>
    <mergeCell ref="IBA11:IBD11"/>
    <mergeCell ref="IBE11:IBH11"/>
    <mergeCell ref="IBI11:IBL11"/>
    <mergeCell ref="IBM11:IBP11"/>
    <mergeCell ref="IBQ11:IBT11"/>
    <mergeCell ref="IAG11:IAJ11"/>
    <mergeCell ref="IAK11:IAN11"/>
    <mergeCell ref="IAO11:IAR11"/>
    <mergeCell ref="IAS11:IAV11"/>
    <mergeCell ref="IAW11:IAZ11"/>
    <mergeCell ref="HZM11:HZP11"/>
    <mergeCell ref="HZQ11:HZT11"/>
    <mergeCell ref="HZU11:HZX11"/>
    <mergeCell ref="HZY11:IAB11"/>
    <mergeCell ref="IAC11:IAF11"/>
    <mergeCell ref="HYS11:HYV11"/>
    <mergeCell ref="HYW11:HYZ11"/>
    <mergeCell ref="HZA11:HZD11"/>
    <mergeCell ref="HZE11:HZH11"/>
    <mergeCell ref="HZI11:HZL11"/>
    <mergeCell ref="HXY11:HYB11"/>
    <mergeCell ref="HYC11:HYF11"/>
    <mergeCell ref="HYG11:HYJ11"/>
    <mergeCell ref="HYK11:HYN11"/>
    <mergeCell ref="HYO11:HYR11"/>
    <mergeCell ref="HXE11:HXH11"/>
    <mergeCell ref="HXI11:HXL11"/>
    <mergeCell ref="HXM11:HXP11"/>
    <mergeCell ref="HXQ11:HXT11"/>
    <mergeCell ref="HXU11:HXX11"/>
    <mergeCell ref="HWK11:HWN11"/>
    <mergeCell ref="HWO11:HWR11"/>
    <mergeCell ref="HWS11:HWV11"/>
    <mergeCell ref="HWW11:HWZ11"/>
    <mergeCell ref="HXA11:HXD11"/>
    <mergeCell ref="IGK11:IGN11"/>
    <mergeCell ref="IGO11:IGR11"/>
    <mergeCell ref="IGS11:IGV11"/>
    <mergeCell ref="IGW11:IGZ11"/>
    <mergeCell ref="IHA11:IHD11"/>
    <mergeCell ref="IFQ11:IFT11"/>
    <mergeCell ref="IFU11:IFX11"/>
    <mergeCell ref="IFY11:IGB11"/>
    <mergeCell ref="IGC11:IGF11"/>
    <mergeCell ref="IGG11:IGJ11"/>
    <mergeCell ref="IEW11:IEZ11"/>
    <mergeCell ref="IFA11:IFD11"/>
    <mergeCell ref="IFE11:IFH11"/>
    <mergeCell ref="IFI11:IFL11"/>
    <mergeCell ref="IFM11:IFP11"/>
    <mergeCell ref="IEC11:IEF11"/>
    <mergeCell ref="IEG11:IEJ11"/>
    <mergeCell ref="IEK11:IEN11"/>
    <mergeCell ref="IEO11:IER11"/>
    <mergeCell ref="IES11:IEV11"/>
    <mergeCell ref="IDI11:IDL11"/>
    <mergeCell ref="IDM11:IDP11"/>
    <mergeCell ref="IDQ11:IDT11"/>
    <mergeCell ref="IDU11:IDX11"/>
    <mergeCell ref="IDY11:IEB11"/>
    <mergeCell ref="ICO11:ICR11"/>
    <mergeCell ref="ICS11:ICV11"/>
    <mergeCell ref="ICW11:ICZ11"/>
    <mergeCell ref="IDA11:IDD11"/>
    <mergeCell ref="IDE11:IDH11"/>
    <mergeCell ref="IBU11:IBX11"/>
    <mergeCell ref="IBY11:ICB11"/>
    <mergeCell ref="ICC11:ICF11"/>
    <mergeCell ref="ICG11:ICJ11"/>
    <mergeCell ref="ICK11:ICN11"/>
    <mergeCell ref="ILU11:ILX11"/>
    <mergeCell ref="ILY11:IMB11"/>
    <mergeCell ref="IMC11:IMF11"/>
    <mergeCell ref="IMG11:IMJ11"/>
    <mergeCell ref="IMK11:IMN11"/>
    <mergeCell ref="ILA11:ILD11"/>
    <mergeCell ref="ILE11:ILH11"/>
    <mergeCell ref="ILI11:ILL11"/>
    <mergeCell ref="ILM11:ILP11"/>
    <mergeCell ref="ILQ11:ILT11"/>
    <mergeCell ref="IKG11:IKJ11"/>
    <mergeCell ref="IKK11:IKN11"/>
    <mergeCell ref="IKO11:IKR11"/>
    <mergeCell ref="IKS11:IKV11"/>
    <mergeCell ref="IKW11:IKZ11"/>
    <mergeCell ref="IJM11:IJP11"/>
    <mergeCell ref="IJQ11:IJT11"/>
    <mergeCell ref="IJU11:IJX11"/>
    <mergeCell ref="IJY11:IKB11"/>
    <mergeCell ref="IKC11:IKF11"/>
    <mergeCell ref="IIS11:IIV11"/>
    <mergeCell ref="IIW11:IIZ11"/>
    <mergeCell ref="IJA11:IJD11"/>
    <mergeCell ref="IJE11:IJH11"/>
    <mergeCell ref="IJI11:IJL11"/>
    <mergeCell ref="IHY11:IIB11"/>
    <mergeCell ref="IIC11:IIF11"/>
    <mergeCell ref="IIG11:IIJ11"/>
    <mergeCell ref="IIK11:IIN11"/>
    <mergeCell ref="IIO11:IIR11"/>
    <mergeCell ref="IHE11:IHH11"/>
    <mergeCell ref="IHI11:IHL11"/>
    <mergeCell ref="IHM11:IHP11"/>
    <mergeCell ref="IHQ11:IHT11"/>
    <mergeCell ref="IHU11:IHX11"/>
    <mergeCell ref="IRE11:IRH11"/>
    <mergeCell ref="IRI11:IRL11"/>
    <mergeCell ref="IRM11:IRP11"/>
    <mergeCell ref="IRQ11:IRT11"/>
    <mergeCell ref="IRU11:IRX11"/>
    <mergeCell ref="IQK11:IQN11"/>
    <mergeCell ref="IQO11:IQR11"/>
    <mergeCell ref="IQS11:IQV11"/>
    <mergeCell ref="IQW11:IQZ11"/>
    <mergeCell ref="IRA11:IRD11"/>
    <mergeCell ref="IPQ11:IPT11"/>
    <mergeCell ref="IPU11:IPX11"/>
    <mergeCell ref="IPY11:IQB11"/>
    <mergeCell ref="IQC11:IQF11"/>
    <mergeCell ref="IQG11:IQJ11"/>
    <mergeCell ref="IOW11:IOZ11"/>
    <mergeCell ref="IPA11:IPD11"/>
    <mergeCell ref="IPE11:IPH11"/>
    <mergeCell ref="IPI11:IPL11"/>
    <mergeCell ref="IPM11:IPP11"/>
    <mergeCell ref="IOC11:IOF11"/>
    <mergeCell ref="IOG11:IOJ11"/>
    <mergeCell ref="IOK11:ION11"/>
    <mergeCell ref="IOO11:IOR11"/>
    <mergeCell ref="IOS11:IOV11"/>
    <mergeCell ref="INI11:INL11"/>
    <mergeCell ref="INM11:INP11"/>
    <mergeCell ref="INQ11:INT11"/>
    <mergeCell ref="INU11:INX11"/>
    <mergeCell ref="INY11:IOB11"/>
    <mergeCell ref="IMO11:IMR11"/>
    <mergeCell ref="IMS11:IMV11"/>
    <mergeCell ref="IMW11:IMZ11"/>
    <mergeCell ref="INA11:IND11"/>
    <mergeCell ref="INE11:INH11"/>
    <mergeCell ref="IWO11:IWR11"/>
    <mergeCell ref="IWS11:IWV11"/>
    <mergeCell ref="IWW11:IWZ11"/>
    <mergeCell ref="IXA11:IXD11"/>
    <mergeCell ref="IXE11:IXH11"/>
    <mergeCell ref="IVU11:IVX11"/>
    <mergeCell ref="IVY11:IWB11"/>
    <mergeCell ref="IWC11:IWF11"/>
    <mergeCell ref="IWG11:IWJ11"/>
    <mergeCell ref="IWK11:IWN11"/>
    <mergeCell ref="IVA11:IVD11"/>
    <mergeCell ref="IVE11:IVH11"/>
    <mergeCell ref="IVI11:IVL11"/>
    <mergeCell ref="IVM11:IVP11"/>
    <mergeCell ref="IVQ11:IVT11"/>
    <mergeCell ref="IUG11:IUJ11"/>
    <mergeCell ref="IUK11:IUN11"/>
    <mergeCell ref="IUO11:IUR11"/>
    <mergeCell ref="IUS11:IUV11"/>
    <mergeCell ref="IUW11:IUZ11"/>
    <mergeCell ref="ITM11:ITP11"/>
    <mergeCell ref="ITQ11:ITT11"/>
    <mergeCell ref="ITU11:ITX11"/>
    <mergeCell ref="ITY11:IUB11"/>
    <mergeCell ref="IUC11:IUF11"/>
    <mergeCell ref="ISS11:ISV11"/>
    <mergeCell ref="ISW11:ISZ11"/>
    <mergeCell ref="ITA11:ITD11"/>
    <mergeCell ref="ITE11:ITH11"/>
    <mergeCell ref="ITI11:ITL11"/>
    <mergeCell ref="IRY11:ISB11"/>
    <mergeCell ref="ISC11:ISF11"/>
    <mergeCell ref="ISG11:ISJ11"/>
    <mergeCell ref="ISK11:ISN11"/>
    <mergeCell ref="ISO11:ISR11"/>
    <mergeCell ref="JBY11:JCB11"/>
    <mergeCell ref="JCC11:JCF11"/>
    <mergeCell ref="JCG11:JCJ11"/>
    <mergeCell ref="JCK11:JCN11"/>
    <mergeCell ref="JCO11:JCR11"/>
    <mergeCell ref="JBE11:JBH11"/>
    <mergeCell ref="JBI11:JBL11"/>
    <mergeCell ref="JBM11:JBP11"/>
    <mergeCell ref="JBQ11:JBT11"/>
    <mergeCell ref="JBU11:JBX11"/>
    <mergeCell ref="JAK11:JAN11"/>
    <mergeCell ref="JAO11:JAR11"/>
    <mergeCell ref="JAS11:JAV11"/>
    <mergeCell ref="JAW11:JAZ11"/>
    <mergeCell ref="JBA11:JBD11"/>
    <mergeCell ref="IZQ11:IZT11"/>
    <mergeCell ref="IZU11:IZX11"/>
    <mergeCell ref="IZY11:JAB11"/>
    <mergeCell ref="JAC11:JAF11"/>
    <mergeCell ref="JAG11:JAJ11"/>
    <mergeCell ref="IYW11:IYZ11"/>
    <mergeCell ref="IZA11:IZD11"/>
    <mergeCell ref="IZE11:IZH11"/>
    <mergeCell ref="IZI11:IZL11"/>
    <mergeCell ref="IZM11:IZP11"/>
    <mergeCell ref="IYC11:IYF11"/>
    <mergeCell ref="IYG11:IYJ11"/>
    <mergeCell ref="IYK11:IYN11"/>
    <mergeCell ref="IYO11:IYR11"/>
    <mergeCell ref="IYS11:IYV11"/>
    <mergeCell ref="IXI11:IXL11"/>
    <mergeCell ref="IXM11:IXP11"/>
    <mergeCell ref="IXQ11:IXT11"/>
    <mergeCell ref="IXU11:IXX11"/>
    <mergeCell ref="IXY11:IYB11"/>
    <mergeCell ref="JHI11:JHL11"/>
    <mergeCell ref="JHM11:JHP11"/>
    <mergeCell ref="JHQ11:JHT11"/>
    <mergeCell ref="JHU11:JHX11"/>
    <mergeCell ref="JHY11:JIB11"/>
    <mergeCell ref="JGO11:JGR11"/>
    <mergeCell ref="JGS11:JGV11"/>
    <mergeCell ref="JGW11:JGZ11"/>
    <mergeCell ref="JHA11:JHD11"/>
    <mergeCell ref="JHE11:JHH11"/>
    <mergeCell ref="JFU11:JFX11"/>
    <mergeCell ref="JFY11:JGB11"/>
    <mergeCell ref="JGC11:JGF11"/>
    <mergeCell ref="JGG11:JGJ11"/>
    <mergeCell ref="JGK11:JGN11"/>
    <mergeCell ref="JFA11:JFD11"/>
    <mergeCell ref="JFE11:JFH11"/>
    <mergeCell ref="JFI11:JFL11"/>
    <mergeCell ref="JFM11:JFP11"/>
    <mergeCell ref="JFQ11:JFT11"/>
    <mergeCell ref="JEG11:JEJ11"/>
    <mergeCell ref="JEK11:JEN11"/>
    <mergeCell ref="JEO11:JER11"/>
    <mergeCell ref="JES11:JEV11"/>
    <mergeCell ref="JEW11:JEZ11"/>
    <mergeCell ref="JDM11:JDP11"/>
    <mergeCell ref="JDQ11:JDT11"/>
    <mergeCell ref="JDU11:JDX11"/>
    <mergeCell ref="JDY11:JEB11"/>
    <mergeCell ref="JEC11:JEF11"/>
    <mergeCell ref="JCS11:JCV11"/>
    <mergeCell ref="JCW11:JCZ11"/>
    <mergeCell ref="JDA11:JDD11"/>
    <mergeCell ref="JDE11:JDH11"/>
    <mergeCell ref="JDI11:JDL11"/>
    <mergeCell ref="JMS11:JMV11"/>
    <mergeCell ref="JMW11:JMZ11"/>
    <mergeCell ref="JNA11:JND11"/>
    <mergeCell ref="JNE11:JNH11"/>
    <mergeCell ref="JNI11:JNL11"/>
    <mergeCell ref="JLY11:JMB11"/>
    <mergeCell ref="JMC11:JMF11"/>
    <mergeCell ref="JMG11:JMJ11"/>
    <mergeCell ref="JMK11:JMN11"/>
    <mergeCell ref="JMO11:JMR11"/>
    <mergeCell ref="JLE11:JLH11"/>
    <mergeCell ref="JLI11:JLL11"/>
    <mergeCell ref="JLM11:JLP11"/>
    <mergeCell ref="JLQ11:JLT11"/>
    <mergeCell ref="JLU11:JLX11"/>
    <mergeCell ref="JKK11:JKN11"/>
    <mergeCell ref="JKO11:JKR11"/>
    <mergeCell ref="JKS11:JKV11"/>
    <mergeCell ref="JKW11:JKZ11"/>
    <mergeCell ref="JLA11:JLD11"/>
    <mergeCell ref="JJQ11:JJT11"/>
    <mergeCell ref="JJU11:JJX11"/>
    <mergeCell ref="JJY11:JKB11"/>
    <mergeCell ref="JKC11:JKF11"/>
    <mergeCell ref="JKG11:JKJ11"/>
    <mergeCell ref="JIW11:JIZ11"/>
    <mergeCell ref="JJA11:JJD11"/>
    <mergeCell ref="JJE11:JJH11"/>
    <mergeCell ref="JJI11:JJL11"/>
    <mergeCell ref="JJM11:JJP11"/>
    <mergeCell ref="JIC11:JIF11"/>
    <mergeCell ref="JIG11:JIJ11"/>
    <mergeCell ref="JIK11:JIN11"/>
    <mergeCell ref="JIO11:JIR11"/>
    <mergeCell ref="JIS11:JIV11"/>
    <mergeCell ref="JSC11:JSF11"/>
    <mergeCell ref="JSG11:JSJ11"/>
    <mergeCell ref="JSK11:JSN11"/>
    <mergeCell ref="JSO11:JSR11"/>
    <mergeCell ref="JSS11:JSV11"/>
    <mergeCell ref="JRI11:JRL11"/>
    <mergeCell ref="JRM11:JRP11"/>
    <mergeCell ref="JRQ11:JRT11"/>
    <mergeCell ref="JRU11:JRX11"/>
    <mergeCell ref="JRY11:JSB11"/>
    <mergeCell ref="JQO11:JQR11"/>
    <mergeCell ref="JQS11:JQV11"/>
    <mergeCell ref="JQW11:JQZ11"/>
    <mergeCell ref="JRA11:JRD11"/>
    <mergeCell ref="JRE11:JRH11"/>
    <mergeCell ref="JPU11:JPX11"/>
    <mergeCell ref="JPY11:JQB11"/>
    <mergeCell ref="JQC11:JQF11"/>
    <mergeCell ref="JQG11:JQJ11"/>
    <mergeCell ref="JQK11:JQN11"/>
    <mergeCell ref="JPA11:JPD11"/>
    <mergeCell ref="JPE11:JPH11"/>
    <mergeCell ref="JPI11:JPL11"/>
    <mergeCell ref="JPM11:JPP11"/>
    <mergeCell ref="JPQ11:JPT11"/>
    <mergeCell ref="JOG11:JOJ11"/>
    <mergeCell ref="JOK11:JON11"/>
    <mergeCell ref="JOO11:JOR11"/>
    <mergeCell ref="JOS11:JOV11"/>
    <mergeCell ref="JOW11:JOZ11"/>
    <mergeCell ref="JNM11:JNP11"/>
    <mergeCell ref="JNQ11:JNT11"/>
    <mergeCell ref="JNU11:JNX11"/>
    <mergeCell ref="JNY11:JOB11"/>
    <mergeCell ref="JOC11:JOF11"/>
    <mergeCell ref="JXM11:JXP11"/>
    <mergeCell ref="JXQ11:JXT11"/>
    <mergeCell ref="JXU11:JXX11"/>
    <mergeCell ref="JXY11:JYB11"/>
    <mergeCell ref="JYC11:JYF11"/>
    <mergeCell ref="JWS11:JWV11"/>
    <mergeCell ref="JWW11:JWZ11"/>
    <mergeCell ref="JXA11:JXD11"/>
    <mergeCell ref="JXE11:JXH11"/>
    <mergeCell ref="JXI11:JXL11"/>
    <mergeCell ref="JVY11:JWB11"/>
    <mergeCell ref="JWC11:JWF11"/>
    <mergeCell ref="JWG11:JWJ11"/>
    <mergeCell ref="JWK11:JWN11"/>
    <mergeCell ref="JWO11:JWR11"/>
    <mergeCell ref="JVE11:JVH11"/>
    <mergeCell ref="JVI11:JVL11"/>
    <mergeCell ref="JVM11:JVP11"/>
    <mergeCell ref="JVQ11:JVT11"/>
    <mergeCell ref="JVU11:JVX11"/>
    <mergeCell ref="JUK11:JUN11"/>
    <mergeCell ref="JUO11:JUR11"/>
    <mergeCell ref="JUS11:JUV11"/>
    <mergeCell ref="JUW11:JUZ11"/>
    <mergeCell ref="JVA11:JVD11"/>
    <mergeCell ref="JTQ11:JTT11"/>
    <mergeCell ref="JTU11:JTX11"/>
    <mergeCell ref="JTY11:JUB11"/>
    <mergeCell ref="JUC11:JUF11"/>
    <mergeCell ref="JUG11:JUJ11"/>
    <mergeCell ref="JSW11:JSZ11"/>
    <mergeCell ref="JTA11:JTD11"/>
    <mergeCell ref="JTE11:JTH11"/>
    <mergeCell ref="JTI11:JTL11"/>
    <mergeCell ref="JTM11:JTP11"/>
    <mergeCell ref="KCW11:KCZ11"/>
    <mergeCell ref="KDA11:KDD11"/>
    <mergeCell ref="KDE11:KDH11"/>
    <mergeCell ref="KDI11:KDL11"/>
    <mergeCell ref="KDM11:KDP11"/>
    <mergeCell ref="KCC11:KCF11"/>
    <mergeCell ref="KCG11:KCJ11"/>
    <mergeCell ref="KCK11:KCN11"/>
    <mergeCell ref="KCO11:KCR11"/>
    <mergeCell ref="KCS11:KCV11"/>
    <mergeCell ref="KBI11:KBL11"/>
    <mergeCell ref="KBM11:KBP11"/>
    <mergeCell ref="KBQ11:KBT11"/>
    <mergeCell ref="KBU11:KBX11"/>
    <mergeCell ref="KBY11:KCB11"/>
    <mergeCell ref="KAO11:KAR11"/>
    <mergeCell ref="KAS11:KAV11"/>
    <mergeCell ref="KAW11:KAZ11"/>
    <mergeCell ref="KBA11:KBD11"/>
    <mergeCell ref="KBE11:KBH11"/>
    <mergeCell ref="JZU11:JZX11"/>
    <mergeCell ref="JZY11:KAB11"/>
    <mergeCell ref="KAC11:KAF11"/>
    <mergeCell ref="KAG11:KAJ11"/>
    <mergeCell ref="KAK11:KAN11"/>
    <mergeCell ref="JZA11:JZD11"/>
    <mergeCell ref="JZE11:JZH11"/>
    <mergeCell ref="JZI11:JZL11"/>
    <mergeCell ref="JZM11:JZP11"/>
    <mergeCell ref="JZQ11:JZT11"/>
    <mergeCell ref="JYG11:JYJ11"/>
    <mergeCell ref="JYK11:JYN11"/>
    <mergeCell ref="JYO11:JYR11"/>
    <mergeCell ref="JYS11:JYV11"/>
    <mergeCell ref="JYW11:JYZ11"/>
    <mergeCell ref="KIG11:KIJ11"/>
    <mergeCell ref="KIK11:KIN11"/>
    <mergeCell ref="KIO11:KIR11"/>
    <mergeCell ref="KIS11:KIV11"/>
    <mergeCell ref="KIW11:KIZ11"/>
    <mergeCell ref="KHM11:KHP11"/>
    <mergeCell ref="KHQ11:KHT11"/>
    <mergeCell ref="KHU11:KHX11"/>
    <mergeCell ref="KHY11:KIB11"/>
    <mergeCell ref="KIC11:KIF11"/>
    <mergeCell ref="KGS11:KGV11"/>
    <mergeCell ref="KGW11:KGZ11"/>
    <mergeCell ref="KHA11:KHD11"/>
    <mergeCell ref="KHE11:KHH11"/>
    <mergeCell ref="KHI11:KHL11"/>
    <mergeCell ref="KFY11:KGB11"/>
    <mergeCell ref="KGC11:KGF11"/>
    <mergeCell ref="KGG11:KGJ11"/>
    <mergeCell ref="KGK11:KGN11"/>
    <mergeCell ref="KGO11:KGR11"/>
    <mergeCell ref="KFE11:KFH11"/>
    <mergeCell ref="KFI11:KFL11"/>
    <mergeCell ref="KFM11:KFP11"/>
    <mergeCell ref="KFQ11:KFT11"/>
    <mergeCell ref="KFU11:KFX11"/>
    <mergeCell ref="KEK11:KEN11"/>
    <mergeCell ref="KEO11:KER11"/>
    <mergeCell ref="KES11:KEV11"/>
    <mergeCell ref="KEW11:KEZ11"/>
    <mergeCell ref="KFA11:KFD11"/>
    <mergeCell ref="KDQ11:KDT11"/>
    <mergeCell ref="KDU11:KDX11"/>
    <mergeCell ref="KDY11:KEB11"/>
    <mergeCell ref="KEC11:KEF11"/>
    <mergeCell ref="KEG11:KEJ11"/>
    <mergeCell ref="KNQ11:KNT11"/>
    <mergeCell ref="KNU11:KNX11"/>
    <mergeCell ref="KNY11:KOB11"/>
    <mergeCell ref="KOC11:KOF11"/>
    <mergeCell ref="KOG11:KOJ11"/>
    <mergeCell ref="KMW11:KMZ11"/>
    <mergeCell ref="KNA11:KND11"/>
    <mergeCell ref="KNE11:KNH11"/>
    <mergeCell ref="KNI11:KNL11"/>
    <mergeCell ref="KNM11:KNP11"/>
    <mergeCell ref="KMC11:KMF11"/>
    <mergeCell ref="KMG11:KMJ11"/>
    <mergeCell ref="KMK11:KMN11"/>
    <mergeCell ref="KMO11:KMR11"/>
    <mergeCell ref="KMS11:KMV11"/>
    <mergeCell ref="KLI11:KLL11"/>
    <mergeCell ref="KLM11:KLP11"/>
    <mergeCell ref="KLQ11:KLT11"/>
    <mergeCell ref="KLU11:KLX11"/>
    <mergeCell ref="KLY11:KMB11"/>
    <mergeCell ref="KKO11:KKR11"/>
    <mergeCell ref="KKS11:KKV11"/>
    <mergeCell ref="KKW11:KKZ11"/>
    <mergeCell ref="KLA11:KLD11"/>
    <mergeCell ref="KLE11:KLH11"/>
    <mergeCell ref="KJU11:KJX11"/>
    <mergeCell ref="KJY11:KKB11"/>
    <mergeCell ref="KKC11:KKF11"/>
    <mergeCell ref="KKG11:KKJ11"/>
    <mergeCell ref="KKK11:KKN11"/>
    <mergeCell ref="KJA11:KJD11"/>
    <mergeCell ref="KJE11:KJH11"/>
    <mergeCell ref="KJI11:KJL11"/>
    <mergeCell ref="KJM11:KJP11"/>
    <mergeCell ref="KJQ11:KJT11"/>
    <mergeCell ref="KTA11:KTD11"/>
    <mergeCell ref="KTE11:KTH11"/>
    <mergeCell ref="KTI11:KTL11"/>
    <mergeCell ref="KTM11:KTP11"/>
    <mergeCell ref="KTQ11:KTT11"/>
    <mergeCell ref="KSG11:KSJ11"/>
    <mergeCell ref="KSK11:KSN11"/>
    <mergeCell ref="KSO11:KSR11"/>
    <mergeCell ref="KSS11:KSV11"/>
    <mergeCell ref="KSW11:KSZ11"/>
    <mergeCell ref="KRM11:KRP11"/>
    <mergeCell ref="KRQ11:KRT11"/>
    <mergeCell ref="KRU11:KRX11"/>
    <mergeCell ref="KRY11:KSB11"/>
    <mergeCell ref="KSC11:KSF11"/>
    <mergeCell ref="KQS11:KQV11"/>
    <mergeCell ref="KQW11:KQZ11"/>
    <mergeCell ref="KRA11:KRD11"/>
    <mergeCell ref="KRE11:KRH11"/>
    <mergeCell ref="KRI11:KRL11"/>
    <mergeCell ref="KPY11:KQB11"/>
    <mergeCell ref="KQC11:KQF11"/>
    <mergeCell ref="KQG11:KQJ11"/>
    <mergeCell ref="KQK11:KQN11"/>
    <mergeCell ref="KQO11:KQR11"/>
    <mergeCell ref="KPE11:KPH11"/>
    <mergeCell ref="KPI11:KPL11"/>
    <mergeCell ref="KPM11:KPP11"/>
    <mergeCell ref="KPQ11:KPT11"/>
    <mergeCell ref="KPU11:KPX11"/>
    <mergeCell ref="KOK11:KON11"/>
    <mergeCell ref="KOO11:KOR11"/>
    <mergeCell ref="KOS11:KOV11"/>
    <mergeCell ref="KOW11:KOZ11"/>
    <mergeCell ref="KPA11:KPD11"/>
    <mergeCell ref="KYK11:KYN11"/>
    <mergeCell ref="KYO11:KYR11"/>
    <mergeCell ref="KYS11:KYV11"/>
    <mergeCell ref="KYW11:KYZ11"/>
    <mergeCell ref="KZA11:KZD11"/>
    <mergeCell ref="KXQ11:KXT11"/>
    <mergeCell ref="KXU11:KXX11"/>
    <mergeCell ref="KXY11:KYB11"/>
    <mergeCell ref="KYC11:KYF11"/>
    <mergeCell ref="KYG11:KYJ11"/>
    <mergeCell ref="KWW11:KWZ11"/>
    <mergeCell ref="KXA11:KXD11"/>
    <mergeCell ref="KXE11:KXH11"/>
    <mergeCell ref="KXI11:KXL11"/>
    <mergeCell ref="KXM11:KXP11"/>
    <mergeCell ref="KWC11:KWF11"/>
    <mergeCell ref="KWG11:KWJ11"/>
    <mergeCell ref="KWK11:KWN11"/>
    <mergeCell ref="KWO11:KWR11"/>
    <mergeCell ref="KWS11:KWV11"/>
    <mergeCell ref="KVI11:KVL11"/>
    <mergeCell ref="KVM11:KVP11"/>
    <mergeCell ref="KVQ11:KVT11"/>
    <mergeCell ref="KVU11:KVX11"/>
    <mergeCell ref="KVY11:KWB11"/>
    <mergeCell ref="KUO11:KUR11"/>
    <mergeCell ref="KUS11:KUV11"/>
    <mergeCell ref="KUW11:KUZ11"/>
    <mergeCell ref="KVA11:KVD11"/>
    <mergeCell ref="KVE11:KVH11"/>
    <mergeCell ref="KTU11:KTX11"/>
    <mergeCell ref="KTY11:KUB11"/>
    <mergeCell ref="KUC11:KUF11"/>
    <mergeCell ref="KUG11:KUJ11"/>
    <mergeCell ref="KUK11:KUN11"/>
    <mergeCell ref="LDU11:LDX11"/>
    <mergeCell ref="LDY11:LEB11"/>
    <mergeCell ref="LEC11:LEF11"/>
    <mergeCell ref="LEG11:LEJ11"/>
    <mergeCell ref="LEK11:LEN11"/>
    <mergeCell ref="LDA11:LDD11"/>
    <mergeCell ref="LDE11:LDH11"/>
    <mergeCell ref="LDI11:LDL11"/>
    <mergeCell ref="LDM11:LDP11"/>
    <mergeCell ref="LDQ11:LDT11"/>
    <mergeCell ref="LCG11:LCJ11"/>
    <mergeCell ref="LCK11:LCN11"/>
    <mergeCell ref="LCO11:LCR11"/>
    <mergeCell ref="LCS11:LCV11"/>
    <mergeCell ref="LCW11:LCZ11"/>
    <mergeCell ref="LBM11:LBP11"/>
    <mergeCell ref="LBQ11:LBT11"/>
    <mergeCell ref="LBU11:LBX11"/>
    <mergeCell ref="LBY11:LCB11"/>
    <mergeCell ref="LCC11:LCF11"/>
    <mergeCell ref="LAS11:LAV11"/>
    <mergeCell ref="LAW11:LAZ11"/>
    <mergeCell ref="LBA11:LBD11"/>
    <mergeCell ref="LBE11:LBH11"/>
    <mergeCell ref="LBI11:LBL11"/>
    <mergeCell ref="KZY11:LAB11"/>
    <mergeCell ref="LAC11:LAF11"/>
    <mergeCell ref="LAG11:LAJ11"/>
    <mergeCell ref="LAK11:LAN11"/>
    <mergeCell ref="LAO11:LAR11"/>
    <mergeCell ref="KZE11:KZH11"/>
    <mergeCell ref="KZI11:KZL11"/>
    <mergeCell ref="KZM11:KZP11"/>
    <mergeCell ref="KZQ11:KZT11"/>
    <mergeCell ref="KZU11:KZX11"/>
    <mergeCell ref="LJE11:LJH11"/>
    <mergeCell ref="LJI11:LJL11"/>
    <mergeCell ref="LJM11:LJP11"/>
    <mergeCell ref="LJQ11:LJT11"/>
    <mergeCell ref="LJU11:LJX11"/>
    <mergeCell ref="LIK11:LIN11"/>
    <mergeCell ref="LIO11:LIR11"/>
    <mergeCell ref="LIS11:LIV11"/>
    <mergeCell ref="LIW11:LIZ11"/>
    <mergeCell ref="LJA11:LJD11"/>
    <mergeCell ref="LHQ11:LHT11"/>
    <mergeCell ref="LHU11:LHX11"/>
    <mergeCell ref="LHY11:LIB11"/>
    <mergeCell ref="LIC11:LIF11"/>
    <mergeCell ref="LIG11:LIJ11"/>
    <mergeCell ref="LGW11:LGZ11"/>
    <mergeCell ref="LHA11:LHD11"/>
    <mergeCell ref="LHE11:LHH11"/>
    <mergeCell ref="LHI11:LHL11"/>
    <mergeCell ref="LHM11:LHP11"/>
    <mergeCell ref="LGC11:LGF11"/>
    <mergeCell ref="LGG11:LGJ11"/>
    <mergeCell ref="LGK11:LGN11"/>
    <mergeCell ref="LGO11:LGR11"/>
    <mergeCell ref="LGS11:LGV11"/>
    <mergeCell ref="LFI11:LFL11"/>
    <mergeCell ref="LFM11:LFP11"/>
    <mergeCell ref="LFQ11:LFT11"/>
    <mergeCell ref="LFU11:LFX11"/>
    <mergeCell ref="LFY11:LGB11"/>
    <mergeCell ref="LEO11:LER11"/>
    <mergeCell ref="LES11:LEV11"/>
    <mergeCell ref="LEW11:LEZ11"/>
    <mergeCell ref="LFA11:LFD11"/>
    <mergeCell ref="LFE11:LFH11"/>
    <mergeCell ref="LOO11:LOR11"/>
    <mergeCell ref="LOS11:LOV11"/>
    <mergeCell ref="LOW11:LOZ11"/>
    <mergeCell ref="LPA11:LPD11"/>
    <mergeCell ref="LPE11:LPH11"/>
    <mergeCell ref="LNU11:LNX11"/>
    <mergeCell ref="LNY11:LOB11"/>
    <mergeCell ref="LOC11:LOF11"/>
    <mergeCell ref="LOG11:LOJ11"/>
    <mergeCell ref="LOK11:LON11"/>
    <mergeCell ref="LNA11:LND11"/>
    <mergeCell ref="LNE11:LNH11"/>
    <mergeCell ref="LNI11:LNL11"/>
    <mergeCell ref="LNM11:LNP11"/>
    <mergeCell ref="LNQ11:LNT11"/>
    <mergeCell ref="LMG11:LMJ11"/>
    <mergeCell ref="LMK11:LMN11"/>
    <mergeCell ref="LMO11:LMR11"/>
    <mergeCell ref="LMS11:LMV11"/>
    <mergeCell ref="LMW11:LMZ11"/>
    <mergeCell ref="LLM11:LLP11"/>
    <mergeCell ref="LLQ11:LLT11"/>
    <mergeCell ref="LLU11:LLX11"/>
    <mergeCell ref="LLY11:LMB11"/>
    <mergeCell ref="LMC11:LMF11"/>
    <mergeCell ref="LKS11:LKV11"/>
    <mergeCell ref="LKW11:LKZ11"/>
    <mergeCell ref="LLA11:LLD11"/>
    <mergeCell ref="LLE11:LLH11"/>
    <mergeCell ref="LLI11:LLL11"/>
    <mergeCell ref="LJY11:LKB11"/>
    <mergeCell ref="LKC11:LKF11"/>
    <mergeCell ref="LKG11:LKJ11"/>
    <mergeCell ref="LKK11:LKN11"/>
    <mergeCell ref="LKO11:LKR11"/>
    <mergeCell ref="LTY11:LUB11"/>
    <mergeCell ref="LUC11:LUF11"/>
    <mergeCell ref="LUG11:LUJ11"/>
    <mergeCell ref="LUK11:LUN11"/>
    <mergeCell ref="LUO11:LUR11"/>
    <mergeCell ref="LTE11:LTH11"/>
    <mergeCell ref="LTI11:LTL11"/>
    <mergeCell ref="LTM11:LTP11"/>
    <mergeCell ref="LTQ11:LTT11"/>
    <mergeCell ref="LTU11:LTX11"/>
    <mergeCell ref="LSK11:LSN11"/>
    <mergeCell ref="LSO11:LSR11"/>
    <mergeCell ref="LSS11:LSV11"/>
    <mergeCell ref="LSW11:LSZ11"/>
    <mergeCell ref="LTA11:LTD11"/>
    <mergeCell ref="LRQ11:LRT11"/>
    <mergeCell ref="LRU11:LRX11"/>
    <mergeCell ref="LRY11:LSB11"/>
    <mergeCell ref="LSC11:LSF11"/>
    <mergeCell ref="LSG11:LSJ11"/>
    <mergeCell ref="LQW11:LQZ11"/>
    <mergeCell ref="LRA11:LRD11"/>
    <mergeCell ref="LRE11:LRH11"/>
    <mergeCell ref="LRI11:LRL11"/>
    <mergeCell ref="LRM11:LRP11"/>
    <mergeCell ref="LQC11:LQF11"/>
    <mergeCell ref="LQG11:LQJ11"/>
    <mergeCell ref="LQK11:LQN11"/>
    <mergeCell ref="LQO11:LQR11"/>
    <mergeCell ref="LQS11:LQV11"/>
    <mergeCell ref="LPI11:LPL11"/>
    <mergeCell ref="LPM11:LPP11"/>
    <mergeCell ref="LPQ11:LPT11"/>
    <mergeCell ref="LPU11:LPX11"/>
    <mergeCell ref="LPY11:LQB11"/>
    <mergeCell ref="LZI11:LZL11"/>
    <mergeCell ref="LZM11:LZP11"/>
    <mergeCell ref="LZQ11:LZT11"/>
    <mergeCell ref="LZU11:LZX11"/>
    <mergeCell ref="LZY11:MAB11"/>
    <mergeCell ref="LYO11:LYR11"/>
    <mergeCell ref="LYS11:LYV11"/>
    <mergeCell ref="LYW11:LYZ11"/>
    <mergeCell ref="LZA11:LZD11"/>
    <mergeCell ref="LZE11:LZH11"/>
    <mergeCell ref="LXU11:LXX11"/>
    <mergeCell ref="LXY11:LYB11"/>
    <mergeCell ref="LYC11:LYF11"/>
    <mergeCell ref="LYG11:LYJ11"/>
    <mergeCell ref="LYK11:LYN11"/>
    <mergeCell ref="LXA11:LXD11"/>
    <mergeCell ref="LXE11:LXH11"/>
    <mergeCell ref="LXI11:LXL11"/>
    <mergeCell ref="LXM11:LXP11"/>
    <mergeCell ref="LXQ11:LXT11"/>
    <mergeCell ref="LWG11:LWJ11"/>
    <mergeCell ref="LWK11:LWN11"/>
    <mergeCell ref="LWO11:LWR11"/>
    <mergeCell ref="LWS11:LWV11"/>
    <mergeCell ref="LWW11:LWZ11"/>
    <mergeCell ref="LVM11:LVP11"/>
    <mergeCell ref="LVQ11:LVT11"/>
    <mergeCell ref="LVU11:LVX11"/>
    <mergeCell ref="LVY11:LWB11"/>
    <mergeCell ref="LWC11:LWF11"/>
    <mergeCell ref="LUS11:LUV11"/>
    <mergeCell ref="LUW11:LUZ11"/>
    <mergeCell ref="LVA11:LVD11"/>
    <mergeCell ref="LVE11:LVH11"/>
    <mergeCell ref="LVI11:LVL11"/>
    <mergeCell ref="MES11:MEV11"/>
    <mergeCell ref="MEW11:MEZ11"/>
    <mergeCell ref="MFA11:MFD11"/>
    <mergeCell ref="MFE11:MFH11"/>
    <mergeCell ref="MFI11:MFL11"/>
    <mergeCell ref="MDY11:MEB11"/>
    <mergeCell ref="MEC11:MEF11"/>
    <mergeCell ref="MEG11:MEJ11"/>
    <mergeCell ref="MEK11:MEN11"/>
    <mergeCell ref="MEO11:MER11"/>
    <mergeCell ref="MDE11:MDH11"/>
    <mergeCell ref="MDI11:MDL11"/>
    <mergeCell ref="MDM11:MDP11"/>
    <mergeCell ref="MDQ11:MDT11"/>
    <mergeCell ref="MDU11:MDX11"/>
    <mergeCell ref="MCK11:MCN11"/>
    <mergeCell ref="MCO11:MCR11"/>
    <mergeCell ref="MCS11:MCV11"/>
    <mergeCell ref="MCW11:MCZ11"/>
    <mergeCell ref="MDA11:MDD11"/>
    <mergeCell ref="MBQ11:MBT11"/>
    <mergeCell ref="MBU11:MBX11"/>
    <mergeCell ref="MBY11:MCB11"/>
    <mergeCell ref="MCC11:MCF11"/>
    <mergeCell ref="MCG11:MCJ11"/>
    <mergeCell ref="MAW11:MAZ11"/>
    <mergeCell ref="MBA11:MBD11"/>
    <mergeCell ref="MBE11:MBH11"/>
    <mergeCell ref="MBI11:MBL11"/>
    <mergeCell ref="MBM11:MBP11"/>
    <mergeCell ref="MAC11:MAF11"/>
    <mergeCell ref="MAG11:MAJ11"/>
    <mergeCell ref="MAK11:MAN11"/>
    <mergeCell ref="MAO11:MAR11"/>
    <mergeCell ref="MAS11:MAV11"/>
    <mergeCell ref="MKC11:MKF11"/>
    <mergeCell ref="MKG11:MKJ11"/>
    <mergeCell ref="MKK11:MKN11"/>
    <mergeCell ref="MKO11:MKR11"/>
    <mergeCell ref="MKS11:MKV11"/>
    <mergeCell ref="MJI11:MJL11"/>
    <mergeCell ref="MJM11:MJP11"/>
    <mergeCell ref="MJQ11:MJT11"/>
    <mergeCell ref="MJU11:MJX11"/>
    <mergeCell ref="MJY11:MKB11"/>
    <mergeCell ref="MIO11:MIR11"/>
    <mergeCell ref="MIS11:MIV11"/>
    <mergeCell ref="MIW11:MIZ11"/>
    <mergeCell ref="MJA11:MJD11"/>
    <mergeCell ref="MJE11:MJH11"/>
    <mergeCell ref="MHU11:MHX11"/>
    <mergeCell ref="MHY11:MIB11"/>
    <mergeCell ref="MIC11:MIF11"/>
    <mergeCell ref="MIG11:MIJ11"/>
    <mergeCell ref="MIK11:MIN11"/>
    <mergeCell ref="MHA11:MHD11"/>
    <mergeCell ref="MHE11:MHH11"/>
    <mergeCell ref="MHI11:MHL11"/>
    <mergeCell ref="MHM11:MHP11"/>
    <mergeCell ref="MHQ11:MHT11"/>
    <mergeCell ref="MGG11:MGJ11"/>
    <mergeCell ref="MGK11:MGN11"/>
    <mergeCell ref="MGO11:MGR11"/>
    <mergeCell ref="MGS11:MGV11"/>
    <mergeCell ref="MGW11:MGZ11"/>
    <mergeCell ref="MFM11:MFP11"/>
    <mergeCell ref="MFQ11:MFT11"/>
    <mergeCell ref="MFU11:MFX11"/>
    <mergeCell ref="MFY11:MGB11"/>
    <mergeCell ref="MGC11:MGF11"/>
    <mergeCell ref="MPM11:MPP11"/>
    <mergeCell ref="MPQ11:MPT11"/>
    <mergeCell ref="MPU11:MPX11"/>
    <mergeCell ref="MPY11:MQB11"/>
    <mergeCell ref="MQC11:MQF11"/>
    <mergeCell ref="MOS11:MOV11"/>
    <mergeCell ref="MOW11:MOZ11"/>
    <mergeCell ref="MPA11:MPD11"/>
    <mergeCell ref="MPE11:MPH11"/>
    <mergeCell ref="MPI11:MPL11"/>
    <mergeCell ref="MNY11:MOB11"/>
    <mergeCell ref="MOC11:MOF11"/>
    <mergeCell ref="MOG11:MOJ11"/>
    <mergeCell ref="MOK11:MON11"/>
    <mergeCell ref="MOO11:MOR11"/>
    <mergeCell ref="MNE11:MNH11"/>
    <mergeCell ref="MNI11:MNL11"/>
    <mergeCell ref="MNM11:MNP11"/>
    <mergeCell ref="MNQ11:MNT11"/>
    <mergeCell ref="MNU11:MNX11"/>
    <mergeCell ref="MMK11:MMN11"/>
    <mergeCell ref="MMO11:MMR11"/>
    <mergeCell ref="MMS11:MMV11"/>
    <mergeCell ref="MMW11:MMZ11"/>
    <mergeCell ref="MNA11:MND11"/>
    <mergeCell ref="MLQ11:MLT11"/>
    <mergeCell ref="MLU11:MLX11"/>
    <mergeCell ref="MLY11:MMB11"/>
    <mergeCell ref="MMC11:MMF11"/>
    <mergeCell ref="MMG11:MMJ11"/>
    <mergeCell ref="MKW11:MKZ11"/>
    <mergeCell ref="MLA11:MLD11"/>
    <mergeCell ref="MLE11:MLH11"/>
    <mergeCell ref="MLI11:MLL11"/>
    <mergeCell ref="MLM11:MLP11"/>
    <mergeCell ref="MUW11:MUZ11"/>
    <mergeCell ref="MVA11:MVD11"/>
    <mergeCell ref="MVE11:MVH11"/>
    <mergeCell ref="MVI11:MVL11"/>
    <mergeCell ref="MVM11:MVP11"/>
    <mergeCell ref="MUC11:MUF11"/>
    <mergeCell ref="MUG11:MUJ11"/>
    <mergeCell ref="MUK11:MUN11"/>
    <mergeCell ref="MUO11:MUR11"/>
    <mergeCell ref="MUS11:MUV11"/>
    <mergeCell ref="MTI11:MTL11"/>
    <mergeCell ref="MTM11:MTP11"/>
    <mergeCell ref="MTQ11:MTT11"/>
    <mergeCell ref="MTU11:MTX11"/>
    <mergeCell ref="MTY11:MUB11"/>
    <mergeCell ref="MSO11:MSR11"/>
    <mergeCell ref="MSS11:MSV11"/>
    <mergeCell ref="MSW11:MSZ11"/>
    <mergeCell ref="MTA11:MTD11"/>
    <mergeCell ref="MTE11:MTH11"/>
    <mergeCell ref="MRU11:MRX11"/>
    <mergeCell ref="MRY11:MSB11"/>
    <mergeCell ref="MSC11:MSF11"/>
    <mergeCell ref="MSG11:MSJ11"/>
    <mergeCell ref="MSK11:MSN11"/>
    <mergeCell ref="MRA11:MRD11"/>
    <mergeCell ref="MRE11:MRH11"/>
    <mergeCell ref="MRI11:MRL11"/>
    <mergeCell ref="MRM11:MRP11"/>
    <mergeCell ref="MRQ11:MRT11"/>
    <mergeCell ref="MQG11:MQJ11"/>
    <mergeCell ref="MQK11:MQN11"/>
    <mergeCell ref="MQO11:MQR11"/>
    <mergeCell ref="MQS11:MQV11"/>
    <mergeCell ref="MQW11:MQZ11"/>
    <mergeCell ref="NAG11:NAJ11"/>
    <mergeCell ref="NAK11:NAN11"/>
    <mergeCell ref="NAO11:NAR11"/>
    <mergeCell ref="NAS11:NAV11"/>
    <mergeCell ref="NAW11:NAZ11"/>
    <mergeCell ref="MZM11:MZP11"/>
    <mergeCell ref="MZQ11:MZT11"/>
    <mergeCell ref="MZU11:MZX11"/>
    <mergeCell ref="MZY11:NAB11"/>
    <mergeCell ref="NAC11:NAF11"/>
    <mergeCell ref="MYS11:MYV11"/>
    <mergeCell ref="MYW11:MYZ11"/>
    <mergeCell ref="MZA11:MZD11"/>
    <mergeCell ref="MZE11:MZH11"/>
    <mergeCell ref="MZI11:MZL11"/>
    <mergeCell ref="MXY11:MYB11"/>
    <mergeCell ref="MYC11:MYF11"/>
    <mergeCell ref="MYG11:MYJ11"/>
    <mergeCell ref="MYK11:MYN11"/>
    <mergeCell ref="MYO11:MYR11"/>
    <mergeCell ref="MXE11:MXH11"/>
    <mergeCell ref="MXI11:MXL11"/>
    <mergeCell ref="MXM11:MXP11"/>
    <mergeCell ref="MXQ11:MXT11"/>
    <mergeCell ref="MXU11:MXX11"/>
    <mergeCell ref="MWK11:MWN11"/>
    <mergeCell ref="MWO11:MWR11"/>
    <mergeCell ref="MWS11:MWV11"/>
    <mergeCell ref="MWW11:MWZ11"/>
    <mergeCell ref="MXA11:MXD11"/>
    <mergeCell ref="MVQ11:MVT11"/>
    <mergeCell ref="MVU11:MVX11"/>
    <mergeCell ref="MVY11:MWB11"/>
    <mergeCell ref="MWC11:MWF11"/>
    <mergeCell ref="MWG11:MWJ11"/>
    <mergeCell ref="NFQ11:NFT11"/>
    <mergeCell ref="NFU11:NFX11"/>
    <mergeCell ref="NFY11:NGB11"/>
    <mergeCell ref="NGC11:NGF11"/>
    <mergeCell ref="NGG11:NGJ11"/>
    <mergeCell ref="NEW11:NEZ11"/>
    <mergeCell ref="NFA11:NFD11"/>
    <mergeCell ref="NFE11:NFH11"/>
    <mergeCell ref="NFI11:NFL11"/>
    <mergeCell ref="NFM11:NFP11"/>
    <mergeCell ref="NEC11:NEF11"/>
    <mergeCell ref="NEG11:NEJ11"/>
    <mergeCell ref="NEK11:NEN11"/>
    <mergeCell ref="NEO11:NER11"/>
    <mergeCell ref="NES11:NEV11"/>
    <mergeCell ref="NDI11:NDL11"/>
    <mergeCell ref="NDM11:NDP11"/>
    <mergeCell ref="NDQ11:NDT11"/>
    <mergeCell ref="NDU11:NDX11"/>
    <mergeCell ref="NDY11:NEB11"/>
    <mergeCell ref="NCO11:NCR11"/>
    <mergeCell ref="NCS11:NCV11"/>
    <mergeCell ref="NCW11:NCZ11"/>
    <mergeCell ref="NDA11:NDD11"/>
    <mergeCell ref="NDE11:NDH11"/>
    <mergeCell ref="NBU11:NBX11"/>
    <mergeCell ref="NBY11:NCB11"/>
    <mergeCell ref="NCC11:NCF11"/>
    <mergeCell ref="NCG11:NCJ11"/>
    <mergeCell ref="NCK11:NCN11"/>
    <mergeCell ref="NBA11:NBD11"/>
    <mergeCell ref="NBE11:NBH11"/>
    <mergeCell ref="NBI11:NBL11"/>
    <mergeCell ref="NBM11:NBP11"/>
    <mergeCell ref="NBQ11:NBT11"/>
    <mergeCell ref="NLA11:NLD11"/>
    <mergeCell ref="NLE11:NLH11"/>
    <mergeCell ref="NLI11:NLL11"/>
    <mergeCell ref="NLM11:NLP11"/>
    <mergeCell ref="NLQ11:NLT11"/>
    <mergeCell ref="NKG11:NKJ11"/>
    <mergeCell ref="NKK11:NKN11"/>
    <mergeCell ref="NKO11:NKR11"/>
    <mergeCell ref="NKS11:NKV11"/>
    <mergeCell ref="NKW11:NKZ11"/>
    <mergeCell ref="NJM11:NJP11"/>
    <mergeCell ref="NJQ11:NJT11"/>
    <mergeCell ref="NJU11:NJX11"/>
    <mergeCell ref="NJY11:NKB11"/>
    <mergeCell ref="NKC11:NKF11"/>
    <mergeCell ref="NIS11:NIV11"/>
    <mergeCell ref="NIW11:NIZ11"/>
    <mergeCell ref="NJA11:NJD11"/>
    <mergeCell ref="NJE11:NJH11"/>
    <mergeCell ref="NJI11:NJL11"/>
    <mergeCell ref="NHY11:NIB11"/>
    <mergeCell ref="NIC11:NIF11"/>
    <mergeCell ref="NIG11:NIJ11"/>
    <mergeCell ref="NIK11:NIN11"/>
    <mergeCell ref="NIO11:NIR11"/>
    <mergeCell ref="NHE11:NHH11"/>
    <mergeCell ref="NHI11:NHL11"/>
    <mergeCell ref="NHM11:NHP11"/>
    <mergeCell ref="NHQ11:NHT11"/>
    <mergeCell ref="NHU11:NHX11"/>
    <mergeCell ref="NGK11:NGN11"/>
    <mergeCell ref="NGO11:NGR11"/>
    <mergeCell ref="NGS11:NGV11"/>
    <mergeCell ref="NGW11:NGZ11"/>
    <mergeCell ref="NHA11:NHD11"/>
    <mergeCell ref="NQK11:NQN11"/>
    <mergeCell ref="NQO11:NQR11"/>
    <mergeCell ref="NQS11:NQV11"/>
    <mergeCell ref="NQW11:NQZ11"/>
    <mergeCell ref="NRA11:NRD11"/>
    <mergeCell ref="NPQ11:NPT11"/>
    <mergeCell ref="NPU11:NPX11"/>
    <mergeCell ref="NPY11:NQB11"/>
    <mergeCell ref="NQC11:NQF11"/>
    <mergeCell ref="NQG11:NQJ11"/>
    <mergeCell ref="NOW11:NOZ11"/>
    <mergeCell ref="NPA11:NPD11"/>
    <mergeCell ref="NPE11:NPH11"/>
    <mergeCell ref="NPI11:NPL11"/>
    <mergeCell ref="NPM11:NPP11"/>
    <mergeCell ref="NOC11:NOF11"/>
    <mergeCell ref="NOG11:NOJ11"/>
    <mergeCell ref="NOK11:NON11"/>
    <mergeCell ref="NOO11:NOR11"/>
    <mergeCell ref="NOS11:NOV11"/>
    <mergeCell ref="NNI11:NNL11"/>
    <mergeCell ref="NNM11:NNP11"/>
    <mergeCell ref="NNQ11:NNT11"/>
    <mergeCell ref="NNU11:NNX11"/>
    <mergeCell ref="NNY11:NOB11"/>
    <mergeCell ref="NMO11:NMR11"/>
    <mergeCell ref="NMS11:NMV11"/>
    <mergeCell ref="NMW11:NMZ11"/>
    <mergeCell ref="NNA11:NND11"/>
    <mergeCell ref="NNE11:NNH11"/>
    <mergeCell ref="NLU11:NLX11"/>
    <mergeCell ref="NLY11:NMB11"/>
    <mergeCell ref="NMC11:NMF11"/>
    <mergeCell ref="NMG11:NMJ11"/>
    <mergeCell ref="NMK11:NMN11"/>
    <mergeCell ref="NVU11:NVX11"/>
    <mergeCell ref="NVY11:NWB11"/>
    <mergeCell ref="NWC11:NWF11"/>
    <mergeCell ref="NWG11:NWJ11"/>
    <mergeCell ref="NWK11:NWN11"/>
    <mergeCell ref="NVA11:NVD11"/>
    <mergeCell ref="NVE11:NVH11"/>
    <mergeCell ref="NVI11:NVL11"/>
    <mergeCell ref="NVM11:NVP11"/>
    <mergeCell ref="NVQ11:NVT11"/>
    <mergeCell ref="NUG11:NUJ11"/>
    <mergeCell ref="NUK11:NUN11"/>
    <mergeCell ref="NUO11:NUR11"/>
    <mergeCell ref="NUS11:NUV11"/>
    <mergeCell ref="NUW11:NUZ11"/>
    <mergeCell ref="NTM11:NTP11"/>
    <mergeCell ref="NTQ11:NTT11"/>
    <mergeCell ref="NTU11:NTX11"/>
    <mergeCell ref="NTY11:NUB11"/>
    <mergeCell ref="NUC11:NUF11"/>
    <mergeCell ref="NSS11:NSV11"/>
    <mergeCell ref="NSW11:NSZ11"/>
    <mergeCell ref="NTA11:NTD11"/>
    <mergeCell ref="NTE11:NTH11"/>
    <mergeCell ref="NTI11:NTL11"/>
    <mergeCell ref="NRY11:NSB11"/>
    <mergeCell ref="NSC11:NSF11"/>
    <mergeCell ref="NSG11:NSJ11"/>
    <mergeCell ref="NSK11:NSN11"/>
    <mergeCell ref="NSO11:NSR11"/>
    <mergeCell ref="NRE11:NRH11"/>
    <mergeCell ref="NRI11:NRL11"/>
    <mergeCell ref="NRM11:NRP11"/>
    <mergeCell ref="NRQ11:NRT11"/>
    <mergeCell ref="NRU11:NRX11"/>
    <mergeCell ref="OBE11:OBH11"/>
    <mergeCell ref="OBI11:OBL11"/>
    <mergeCell ref="OBM11:OBP11"/>
    <mergeCell ref="OBQ11:OBT11"/>
    <mergeCell ref="OBU11:OBX11"/>
    <mergeCell ref="OAK11:OAN11"/>
    <mergeCell ref="OAO11:OAR11"/>
    <mergeCell ref="OAS11:OAV11"/>
    <mergeCell ref="OAW11:OAZ11"/>
    <mergeCell ref="OBA11:OBD11"/>
    <mergeCell ref="NZQ11:NZT11"/>
    <mergeCell ref="NZU11:NZX11"/>
    <mergeCell ref="NZY11:OAB11"/>
    <mergeCell ref="OAC11:OAF11"/>
    <mergeCell ref="OAG11:OAJ11"/>
    <mergeCell ref="NYW11:NYZ11"/>
    <mergeCell ref="NZA11:NZD11"/>
    <mergeCell ref="NZE11:NZH11"/>
    <mergeCell ref="NZI11:NZL11"/>
    <mergeCell ref="NZM11:NZP11"/>
    <mergeCell ref="NYC11:NYF11"/>
    <mergeCell ref="NYG11:NYJ11"/>
    <mergeCell ref="NYK11:NYN11"/>
    <mergeCell ref="NYO11:NYR11"/>
    <mergeCell ref="NYS11:NYV11"/>
    <mergeCell ref="NXI11:NXL11"/>
    <mergeCell ref="NXM11:NXP11"/>
    <mergeCell ref="NXQ11:NXT11"/>
    <mergeCell ref="NXU11:NXX11"/>
    <mergeCell ref="NXY11:NYB11"/>
    <mergeCell ref="NWO11:NWR11"/>
    <mergeCell ref="NWS11:NWV11"/>
    <mergeCell ref="NWW11:NWZ11"/>
    <mergeCell ref="NXA11:NXD11"/>
    <mergeCell ref="NXE11:NXH11"/>
    <mergeCell ref="OGO11:OGR11"/>
    <mergeCell ref="OGS11:OGV11"/>
    <mergeCell ref="OGW11:OGZ11"/>
    <mergeCell ref="OHA11:OHD11"/>
    <mergeCell ref="OHE11:OHH11"/>
    <mergeCell ref="OFU11:OFX11"/>
    <mergeCell ref="OFY11:OGB11"/>
    <mergeCell ref="OGC11:OGF11"/>
    <mergeCell ref="OGG11:OGJ11"/>
    <mergeCell ref="OGK11:OGN11"/>
    <mergeCell ref="OFA11:OFD11"/>
    <mergeCell ref="OFE11:OFH11"/>
    <mergeCell ref="OFI11:OFL11"/>
    <mergeCell ref="OFM11:OFP11"/>
    <mergeCell ref="OFQ11:OFT11"/>
    <mergeCell ref="OEG11:OEJ11"/>
    <mergeCell ref="OEK11:OEN11"/>
    <mergeCell ref="OEO11:OER11"/>
    <mergeCell ref="OES11:OEV11"/>
    <mergeCell ref="OEW11:OEZ11"/>
    <mergeCell ref="ODM11:ODP11"/>
    <mergeCell ref="ODQ11:ODT11"/>
    <mergeCell ref="ODU11:ODX11"/>
    <mergeCell ref="ODY11:OEB11"/>
    <mergeCell ref="OEC11:OEF11"/>
    <mergeCell ref="OCS11:OCV11"/>
    <mergeCell ref="OCW11:OCZ11"/>
    <mergeCell ref="ODA11:ODD11"/>
    <mergeCell ref="ODE11:ODH11"/>
    <mergeCell ref="ODI11:ODL11"/>
    <mergeCell ref="OBY11:OCB11"/>
    <mergeCell ref="OCC11:OCF11"/>
    <mergeCell ref="OCG11:OCJ11"/>
    <mergeCell ref="OCK11:OCN11"/>
    <mergeCell ref="OCO11:OCR11"/>
    <mergeCell ref="OLY11:OMB11"/>
    <mergeCell ref="OMC11:OMF11"/>
    <mergeCell ref="OMG11:OMJ11"/>
    <mergeCell ref="OMK11:OMN11"/>
    <mergeCell ref="OMO11:OMR11"/>
    <mergeCell ref="OLE11:OLH11"/>
    <mergeCell ref="OLI11:OLL11"/>
    <mergeCell ref="OLM11:OLP11"/>
    <mergeCell ref="OLQ11:OLT11"/>
    <mergeCell ref="OLU11:OLX11"/>
    <mergeCell ref="OKK11:OKN11"/>
    <mergeCell ref="OKO11:OKR11"/>
    <mergeCell ref="OKS11:OKV11"/>
    <mergeCell ref="OKW11:OKZ11"/>
    <mergeCell ref="OLA11:OLD11"/>
    <mergeCell ref="OJQ11:OJT11"/>
    <mergeCell ref="OJU11:OJX11"/>
    <mergeCell ref="OJY11:OKB11"/>
    <mergeCell ref="OKC11:OKF11"/>
    <mergeCell ref="OKG11:OKJ11"/>
    <mergeCell ref="OIW11:OIZ11"/>
    <mergeCell ref="OJA11:OJD11"/>
    <mergeCell ref="OJE11:OJH11"/>
    <mergeCell ref="OJI11:OJL11"/>
    <mergeCell ref="OJM11:OJP11"/>
    <mergeCell ref="OIC11:OIF11"/>
    <mergeCell ref="OIG11:OIJ11"/>
    <mergeCell ref="OIK11:OIN11"/>
    <mergeCell ref="OIO11:OIR11"/>
    <mergeCell ref="OIS11:OIV11"/>
    <mergeCell ref="OHI11:OHL11"/>
    <mergeCell ref="OHM11:OHP11"/>
    <mergeCell ref="OHQ11:OHT11"/>
    <mergeCell ref="OHU11:OHX11"/>
    <mergeCell ref="OHY11:OIB11"/>
    <mergeCell ref="ORI11:ORL11"/>
    <mergeCell ref="ORM11:ORP11"/>
    <mergeCell ref="ORQ11:ORT11"/>
    <mergeCell ref="ORU11:ORX11"/>
    <mergeCell ref="ORY11:OSB11"/>
    <mergeCell ref="OQO11:OQR11"/>
    <mergeCell ref="OQS11:OQV11"/>
    <mergeCell ref="OQW11:OQZ11"/>
    <mergeCell ref="ORA11:ORD11"/>
    <mergeCell ref="ORE11:ORH11"/>
    <mergeCell ref="OPU11:OPX11"/>
    <mergeCell ref="OPY11:OQB11"/>
    <mergeCell ref="OQC11:OQF11"/>
    <mergeCell ref="OQG11:OQJ11"/>
    <mergeCell ref="OQK11:OQN11"/>
    <mergeCell ref="OPA11:OPD11"/>
    <mergeCell ref="OPE11:OPH11"/>
    <mergeCell ref="OPI11:OPL11"/>
    <mergeCell ref="OPM11:OPP11"/>
    <mergeCell ref="OPQ11:OPT11"/>
    <mergeCell ref="OOG11:OOJ11"/>
    <mergeCell ref="OOK11:OON11"/>
    <mergeCell ref="OOO11:OOR11"/>
    <mergeCell ref="OOS11:OOV11"/>
    <mergeCell ref="OOW11:OOZ11"/>
    <mergeCell ref="ONM11:ONP11"/>
    <mergeCell ref="ONQ11:ONT11"/>
    <mergeCell ref="ONU11:ONX11"/>
    <mergeCell ref="ONY11:OOB11"/>
    <mergeCell ref="OOC11:OOF11"/>
    <mergeCell ref="OMS11:OMV11"/>
    <mergeCell ref="OMW11:OMZ11"/>
    <mergeCell ref="ONA11:OND11"/>
    <mergeCell ref="ONE11:ONH11"/>
    <mergeCell ref="ONI11:ONL11"/>
    <mergeCell ref="OWS11:OWV11"/>
    <mergeCell ref="OWW11:OWZ11"/>
    <mergeCell ref="OXA11:OXD11"/>
    <mergeCell ref="OXE11:OXH11"/>
    <mergeCell ref="OXI11:OXL11"/>
    <mergeCell ref="OVY11:OWB11"/>
    <mergeCell ref="OWC11:OWF11"/>
    <mergeCell ref="OWG11:OWJ11"/>
    <mergeCell ref="OWK11:OWN11"/>
    <mergeCell ref="OWO11:OWR11"/>
    <mergeCell ref="OVE11:OVH11"/>
    <mergeCell ref="OVI11:OVL11"/>
    <mergeCell ref="OVM11:OVP11"/>
    <mergeCell ref="OVQ11:OVT11"/>
    <mergeCell ref="OVU11:OVX11"/>
    <mergeCell ref="OUK11:OUN11"/>
    <mergeCell ref="OUO11:OUR11"/>
    <mergeCell ref="OUS11:OUV11"/>
    <mergeCell ref="OUW11:OUZ11"/>
    <mergeCell ref="OVA11:OVD11"/>
    <mergeCell ref="OTQ11:OTT11"/>
    <mergeCell ref="OTU11:OTX11"/>
    <mergeCell ref="OTY11:OUB11"/>
    <mergeCell ref="OUC11:OUF11"/>
    <mergeCell ref="OUG11:OUJ11"/>
    <mergeCell ref="OSW11:OSZ11"/>
    <mergeCell ref="OTA11:OTD11"/>
    <mergeCell ref="OTE11:OTH11"/>
    <mergeCell ref="OTI11:OTL11"/>
    <mergeCell ref="OTM11:OTP11"/>
    <mergeCell ref="OSC11:OSF11"/>
    <mergeCell ref="OSG11:OSJ11"/>
    <mergeCell ref="OSK11:OSN11"/>
    <mergeCell ref="OSO11:OSR11"/>
    <mergeCell ref="OSS11:OSV11"/>
    <mergeCell ref="PCC11:PCF11"/>
    <mergeCell ref="PCG11:PCJ11"/>
    <mergeCell ref="PCK11:PCN11"/>
    <mergeCell ref="PCO11:PCR11"/>
    <mergeCell ref="PCS11:PCV11"/>
    <mergeCell ref="PBI11:PBL11"/>
    <mergeCell ref="PBM11:PBP11"/>
    <mergeCell ref="PBQ11:PBT11"/>
    <mergeCell ref="PBU11:PBX11"/>
    <mergeCell ref="PBY11:PCB11"/>
    <mergeCell ref="PAO11:PAR11"/>
    <mergeCell ref="PAS11:PAV11"/>
    <mergeCell ref="PAW11:PAZ11"/>
    <mergeCell ref="PBA11:PBD11"/>
    <mergeCell ref="PBE11:PBH11"/>
    <mergeCell ref="OZU11:OZX11"/>
    <mergeCell ref="OZY11:PAB11"/>
    <mergeCell ref="PAC11:PAF11"/>
    <mergeCell ref="PAG11:PAJ11"/>
    <mergeCell ref="PAK11:PAN11"/>
    <mergeCell ref="OZA11:OZD11"/>
    <mergeCell ref="OZE11:OZH11"/>
    <mergeCell ref="OZI11:OZL11"/>
    <mergeCell ref="OZM11:OZP11"/>
    <mergeCell ref="OZQ11:OZT11"/>
    <mergeCell ref="OYG11:OYJ11"/>
    <mergeCell ref="OYK11:OYN11"/>
    <mergeCell ref="OYO11:OYR11"/>
    <mergeCell ref="OYS11:OYV11"/>
    <mergeCell ref="OYW11:OYZ11"/>
    <mergeCell ref="OXM11:OXP11"/>
    <mergeCell ref="OXQ11:OXT11"/>
    <mergeCell ref="OXU11:OXX11"/>
    <mergeCell ref="OXY11:OYB11"/>
    <mergeCell ref="OYC11:OYF11"/>
    <mergeCell ref="PHM11:PHP11"/>
    <mergeCell ref="PHQ11:PHT11"/>
    <mergeCell ref="PHU11:PHX11"/>
    <mergeCell ref="PHY11:PIB11"/>
    <mergeCell ref="PIC11:PIF11"/>
    <mergeCell ref="PGS11:PGV11"/>
    <mergeCell ref="PGW11:PGZ11"/>
    <mergeCell ref="PHA11:PHD11"/>
    <mergeCell ref="PHE11:PHH11"/>
    <mergeCell ref="PHI11:PHL11"/>
    <mergeCell ref="PFY11:PGB11"/>
    <mergeCell ref="PGC11:PGF11"/>
    <mergeCell ref="PGG11:PGJ11"/>
    <mergeCell ref="PGK11:PGN11"/>
    <mergeCell ref="PGO11:PGR11"/>
    <mergeCell ref="PFE11:PFH11"/>
    <mergeCell ref="PFI11:PFL11"/>
    <mergeCell ref="PFM11:PFP11"/>
    <mergeCell ref="PFQ11:PFT11"/>
    <mergeCell ref="PFU11:PFX11"/>
    <mergeCell ref="PEK11:PEN11"/>
    <mergeCell ref="PEO11:PER11"/>
    <mergeCell ref="PES11:PEV11"/>
    <mergeCell ref="PEW11:PEZ11"/>
    <mergeCell ref="PFA11:PFD11"/>
    <mergeCell ref="PDQ11:PDT11"/>
    <mergeCell ref="PDU11:PDX11"/>
    <mergeCell ref="PDY11:PEB11"/>
    <mergeCell ref="PEC11:PEF11"/>
    <mergeCell ref="PEG11:PEJ11"/>
    <mergeCell ref="PCW11:PCZ11"/>
    <mergeCell ref="PDA11:PDD11"/>
    <mergeCell ref="PDE11:PDH11"/>
    <mergeCell ref="PDI11:PDL11"/>
    <mergeCell ref="PDM11:PDP11"/>
    <mergeCell ref="PMW11:PMZ11"/>
    <mergeCell ref="PNA11:PND11"/>
    <mergeCell ref="PNE11:PNH11"/>
    <mergeCell ref="PNI11:PNL11"/>
    <mergeCell ref="PNM11:PNP11"/>
    <mergeCell ref="PMC11:PMF11"/>
    <mergeCell ref="PMG11:PMJ11"/>
    <mergeCell ref="PMK11:PMN11"/>
    <mergeCell ref="PMO11:PMR11"/>
    <mergeCell ref="PMS11:PMV11"/>
    <mergeCell ref="PLI11:PLL11"/>
    <mergeCell ref="PLM11:PLP11"/>
    <mergeCell ref="PLQ11:PLT11"/>
    <mergeCell ref="PLU11:PLX11"/>
    <mergeCell ref="PLY11:PMB11"/>
    <mergeCell ref="PKO11:PKR11"/>
    <mergeCell ref="PKS11:PKV11"/>
    <mergeCell ref="PKW11:PKZ11"/>
    <mergeCell ref="PLA11:PLD11"/>
    <mergeCell ref="PLE11:PLH11"/>
    <mergeCell ref="PJU11:PJX11"/>
    <mergeCell ref="PJY11:PKB11"/>
    <mergeCell ref="PKC11:PKF11"/>
    <mergeCell ref="PKG11:PKJ11"/>
    <mergeCell ref="PKK11:PKN11"/>
    <mergeCell ref="PJA11:PJD11"/>
    <mergeCell ref="PJE11:PJH11"/>
    <mergeCell ref="PJI11:PJL11"/>
    <mergeCell ref="PJM11:PJP11"/>
    <mergeCell ref="PJQ11:PJT11"/>
    <mergeCell ref="PIG11:PIJ11"/>
    <mergeCell ref="PIK11:PIN11"/>
    <mergeCell ref="PIO11:PIR11"/>
    <mergeCell ref="PIS11:PIV11"/>
    <mergeCell ref="PIW11:PIZ11"/>
    <mergeCell ref="PSG11:PSJ11"/>
    <mergeCell ref="PSK11:PSN11"/>
    <mergeCell ref="PSO11:PSR11"/>
    <mergeCell ref="PSS11:PSV11"/>
    <mergeCell ref="PSW11:PSZ11"/>
    <mergeCell ref="PRM11:PRP11"/>
    <mergeCell ref="PRQ11:PRT11"/>
    <mergeCell ref="PRU11:PRX11"/>
    <mergeCell ref="PRY11:PSB11"/>
    <mergeCell ref="PSC11:PSF11"/>
    <mergeCell ref="PQS11:PQV11"/>
    <mergeCell ref="PQW11:PQZ11"/>
    <mergeCell ref="PRA11:PRD11"/>
    <mergeCell ref="PRE11:PRH11"/>
    <mergeCell ref="PRI11:PRL11"/>
    <mergeCell ref="PPY11:PQB11"/>
    <mergeCell ref="PQC11:PQF11"/>
    <mergeCell ref="PQG11:PQJ11"/>
    <mergeCell ref="PQK11:PQN11"/>
    <mergeCell ref="PQO11:PQR11"/>
    <mergeCell ref="PPE11:PPH11"/>
    <mergeCell ref="PPI11:PPL11"/>
    <mergeCell ref="PPM11:PPP11"/>
    <mergeCell ref="PPQ11:PPT11"/>
    <mergeCell ref="PPU11:PPX11"/>
    <mergeCell ref="POK11:PON11"/>
    <mergeCell ref="POO11:POR11"/>
    <mergeCell ref="POS11:POV11"/>
    <mergeCell ref="POW11:POZ11"/>
    <mergeCell ref="PPA11:PPD11"/>
    <mergeCell ref="PNQ11:PNT11"/>
    <mergeCell ref="PNU11:PNX11"/>
    <mergeCell ref="PNY11:POB11"/>
    <mergeCell ref="POC11:POF11"/>
    <mergeCell ref="POG11:POJ11"/>
    <mergeCell ref="PXQ11:PXT11"/>
    <mergeCell ref="PXU11:PXX11"/>
    <mergeCell ref="PXY11:PYB11"/>
    <mergeCell ref="PYC11:PYF11"/>
    <mergeCell ref="PYG11:PYJ11"/>
    <mergeCell ref="PWW11:PWZ11"/>
    <mergeCell ref="PXA11:PXD11"/>
    <mergeCell ref="PXE11:PXH11"/>
    <mergeCell ref="PXI11:PXL11"/>
    <mergeCell ref="PXM11:PXP11"/>
    <mergeCell ref="PWC11:PWF11"/>
    <mergeCell ref="PWG11:PWJ11"/>
    <mergeCell ref="PWK11:PWN11"/>
    <mergeCell ref="PWO11:PWR11"/>
    <mergeCell ref="PWS11:PWV11"/>
    <mergeCell ref="PVI11:PVL11"/>
    <mergeCell ref="PVM11:PVP11"/>
    <mergeCell ref="PVQ11:PVT11"/>
    <mergeCell ref="PVU11:PVX11"/>
    <mergeCell ref="PVY11:PWB11"/>
    <mergeCell ref="PUO11:PUR11"/>
    <mergeCell ref="PUS11:PUV11"/>
    <mergeCell ref="PUW11:PUZ11"/>
    <mergeCell ref="PVA11:PVD11"/>
    <mergeCell ref="PVE11:PVH11"/>
    <mergeCell ref="PTU11:PTX11"/>
    <mergeCell ref="PTY11:PUB11"/>
    <mergeCell ref="PUC11:PUF11"/>
    <mergeCell ref="PUG11:PUJ11"/>
    <mergeCell ref="PUK11:PUN11"/>
    <mergeCell ref="PTA11:PTD11"/>
    <mergeCell ref="PTE11:PTH11"/>
    <mergeCell ref="PTI11:PTL11"/>
    <mergeCell ref="PTM11:PTP11"/>
    <mergeCell ref="PTQ11:PTT11"/>
    <mergeCell ref="QDA11:QDD11"/>
    <mergeCell ref="QDE11:QDH11"/>
    <mergeCell ref="QDI11:QDL11"/>
    <mergeCell ref="QDM11:QDP11"/>
    <mergeCell ref="QDQ11:QDT11"/>
    <mergeCell ref="QCG11:QCJ11"/>
    <mergeCell ref="QCK11:QCN11"/>
    <mergeCell ref="QCO11:QCR11"/>
    <mergeCell ref="QCS11:QCV11"/>
    <mergeCell ref="QCW11:QCZ11"/>
    <mergeCell ref="QBM11:QBP11"/>
    <mergeCell ref="QBQ11:QBT11"/>
    <mergeCell ref="QBU11:QBX11"/>
    <mergeCell ref="QBY11:QCB11"/>
    <mergeCell ref="QCC11:QCF11"/>
    <mergeCell ref="QAS11:QAV11"/>
    <mergeCell ref="QAW11:QAZ11"/>
    <mergeCell ref="QBA11:QBD11"/>
    <mergeCell ref="QBE11:QBH11"/>
    <mergeCell ref="QBI11:QBL11"/>
    <mergeCell ref="PZY11:QAB11"/>
    <mergeCell ref="QAC11:QAF11"/>
    <mergeCell ref="QAG11:QAJ11"/>
    <mergeCell ref="QAK11:QAN11"/>
    <mergeCell ref="QAO11:QAR11"/>
    <mergeCell ref="PZE11:PZH11"/>
    <mergeCell ref="PZI11:PZL11"/>
    <mergeCell ref="PZM11:PZP11"/>
    <mergeCell ref="PZQ11:PZT11"/>
    <mergeCell ref="PZU11:PZX11"/>
    <mergeCell ref="PYK11:PYN11"/>
    <mergeCell ref="PYO11:PYR11"/>
    <mergeCell ref="PYS11:PYV11"/>
    <mergeCell ref="PYW11:PYZ11"/>
    <mergeCell ref="PZA11:PZD11"/>
    <mergeCell ref="QIK11:QIN11"/>
    <mergeCell ref="QIO11:QIR11"/>
    <mergeCell ref="QIS11:QIV11"/>
    <mergeCell ref="QIW11:QIZ11"/>
    <mergeCell ref="QJA11:QJD11"/>
    <mergeCell ref="QHQ11:QHT11"/>
    <mergeCell ref="QHU11:QHX11"/>
    <mergeCell ref="QHY11:QIB11"/>
    <mergeCell ref="QIC11:QIF11"/>
    <mergeCell ref="QIG11:QIJ11"/>
    <mergeCell ref="QGW11:QGZ11"/>
    <mergeCell ref="QHA11:QHD11"/>
    <mergeCell ref="QHE11:QHH11"/>
    <mergeCell ref="QHI11:QHL11"/>
    <mergeCell ref="QHM11:QHP11"/>
    <mergeCell ref="QGC11:QGF11"/>
    <mergeCell ref="QGG11:QGJ11"/>
    <mergeCell ref="QGK11:QGN11"/>
    <mergeCell ref="QGO11:QGR11"/>
    <mergeCell ref="QGS11:QGV11"/>
    <mergeCell ref="QFI11:QFL11"/>
    <mergeCell ref="QFM11:QFP11"/>
    <mergeCell ref="QFQ11:QFT11"/>
    <mergeCell ref="QFU11:QFX11"/>
    <mergeCell ref="QFY11:QGB11"/>
    <mergeCell ref="QEO11:QER11"/>
    <mergeCell ref="QES11:QEV11"/>
    <mergeCell ref="QEW11:QEZ11"/>
    <mergeCell ref="QFA11:QFD11"/>
    <mergeCell ref="QFE11:QFH11"/>
    <mergeCell ref="QDU11:QDX11"/>
    <mergeCell ref="QDY11:QEB11"/>
    <mergeCell ref="QEC11:QEF11"/>
    <mergeCell ref="QEG11:QEJ11"/>
    <mergeCell ref="QEK11:QEN11"/>
    <mergeCell ref="QNU11:QNX11"/>
    <mergeCell ref="QNY11:QOB11"/>
    <mergeCell ref="QOC11:QOF11"/>
    <mergeCell ref="QOG11:QOJ11"/>
    <mergeCell ref="QOK11:QON11"/>
    <mergeCell ref="QNA11:QND11"/>
    <mergeCell ref="QNE11:QNH11"/>
    <mergeCell ref="QNI11:QNL11"/>
    <mergeCell ref="QNM11:QNP11"/>
    <mergeCell ref="QNQ11:QNT11"/>
    <mergeCell ref="QMG11:QMJ11"/>
    <mergeCell ref="QMK11:QMN11"/>
    <mergeCell ref="QMO11:QMR11"/>
    <mergeCell ref="QMS11:QMV11"/>
    <mergeCell ref="QMW11:QMZ11"/>
    <mergeCell ref="QLM11:QLP11"/>
    <mergeCell ref="QLQ11:QLT11"/>
    <mergeCell ref="QLU11:QLX11"/>
    <mergeCell ref="QLY11:QMB11"/>
    <mergeCell ref="QMC11:QMF11"/>
    <mergeCell ref="QKS11:QKV11"/>
    <mergeCell ref="QKW11:QKZ11"/>
    <mergeCell ref="QLA11:QLD11"/>
    <mergeCell ref="QLE11:QLH11"/>
    <mergeCell ref="QLI11:QLL11"/>
    <mergeCell ref="QJY11:QKB11"/>
    <mergeCell ref="QKC11:QKF11"/>
    <mergeCell ref="QKG11:QKJ11"/>
    <mergeCell ref="QKK11:QKN11"/>
    <mergeCell ref="QKO11:QKR11"/>
    <mergeCell ref="QJE11:QJH11"/>
    <mergeCell ref="QJI11:QJL11"/>
    <mergeCell ref="QJM11:QJP11"/>
    <mergeCell ref="QJQ11:QJT11"/>
    <mergeCell ref="QJU11:QJX11"/>
    <mergeCell ref="QTE11:QTH11"/>
    <mergeCell ref="QTI11:QTL11"/>
    <mergeCell ref="QTM11:QTP11"/>
    <mergeCell ref="QTQ11:QTT11"/>
    <mergeCell ref="QTU11:QTX11"/>
    <mergeCell ref="QSK11:QSN11"/>
    <mergeCell ref="QSO11:QSR11"/>
    <mergeCell ref="QSS11:QSV11"/>
    <mergeCell ref="QSW11:QSZ11"/>
    <mergeCell ref="QTA11:QTD11"/>
    <mergeCell ref="QRQ11:QRT11"/>
    <mergeCell ref="QRU11:QRX11"/>
    <mergeCell ref="QRY11:QSB11"/>
    <mergeCell ref="QSC11:QSF11"/>
    <mergeCell ref="QSG11:QSJ11"/>
    <mergeCell ref="QQW11:QQZ11"/>
    <mergeCell ref="QRA11:QRD11"/>
    <mergeCell ref="QRE11:QRH11"/>
    <mergeCell ref="QRI11:QRL11"/>
    <mergeCell ref="QRM11:QRP11"/>
    <mergeCell ref="QQC11:QQF11"/>
    <mergeCell ref="QQG11:QQJ11"/>
    <mergeCell ref="QQK11:QQN11"/>
    <mergeCell ref="QQO11:QQR11"/>
    <mergeCell ref="QQS11:QQV11"/>
    <mergeCell ref="QPI11:QPL11"/>
    <mergeCell ref="QPM11:QPP11"/>
    <mergeCell ref="QPQ11:QPT11"/>
    <mergeCell ref="QPU11:QPX11"/>
    <mergeCell ref="QPY11:QQB11"/>
    <mergeCell ref="QOO11:QOR11"/>
    <mergeCell ref="QOS11:QOV11"/>
    <mergeCell ref="QOW11:QOZ11"/>
    <mergeCell ref="QPA11:QPD11"/>
    <mergeCell ref="QPE11:QPH11"/>
    <mergeCell ref="QYO11:QYR11"/>
    <mergeCell ref="QYS11:QYV11"/>
    <mergeCell ref="QYW11:QYZ11"/>
    <mergeCell ref="QZA11:QZD11"/>
    <mergeCell ref="QZE11:QZH11"/>
    <mergeCell ref="QXU11:QXX11"/>
    <mergeCell ref="QXY11:QYB11"/>
    <mergeCell ref="QYC11:QYF11"/>
    <mergeCell ref="QYG11:QYJ11"/>
    <mergeCell ref="QYK11:QYN11"/>
    <mergeCell ref="QXA11:QXD11"/>
    <mergeCell ref="QXE11:QXH11"/>
    <mergeCell ref="QXI11:QXL11"/>
    <mergeCell ref="QXM11:QXP11"/>
    <mergeCell ref="QXQ11:QXT11"/>
    <mergeCell ref="QWG11:QWJ11"/>
    <mergeCell ref="QWK11:QWN11"/>
    <mergeCell ref="QWO11:QWR11"/>
    <mergeCell ref="QWS11:QWV11"/>
    <mergeCell ref="QWW11:QWZ11"/>
    <mergeCell ref="QVM11:QVP11"/>
    <mergeCell ref="QVQ11:QVT11"/>
    <mergeCell ref="QVU11:QVX11"/>
    <mergeCell ref="QVY11:QWB11"/>
    <mergeCell ref="QWC11:QWF11"/>
    <mergeCell ref="QUS11:QUV11"/>
    <mergeCell ref="QUW11:QUZ11"/>
    <mergeCell ref="QVA11:QVD11"/>
    <mergeCell ref="QVE11:QVH11"/>
    <mergeCell ref="QVI11:QVL11"/>
    <mergeCell ref="QTY11:QUB11"/>
    <mergeCell ref="QUC11:QUF11"/>
    <mergeCell ref="QUG11:QUJ11"/>
    <mergeCell ref="QUK11:QUN11"/>
    <mergeCell ref="QUO11:QUR11"/>
    <mergeCell ref="RDY11:REB11"/>
    <mergeCell ref="REC11:REF11"/>
    <mergeCell ref="REG11:REJ11"/>
    <mergeCell ref="REK11:REN11"/>
    <mergeCell ref="REO11:RER11"/>
    <mergeCell ref="RDE11:RDH11"/>
    <mergeCell ref="RDI11:RDL11"/>
    <mergeCell ref="RDM11:RDP11"/>
    <mergeCell ref="RDQ11:RDT11"/>
    <mergeCell ref="RDU11:RDX11"/>
    <mergeCell ref="RCK11:RCN11"/>
    <mergeCell ref="RCO11:RCR11"/>
    <mergeCell ref="RCS11:RCV11"/>
    <mergeCell ref="RCW11:RCZ11"/>
    <mergeCell ref="RDA11:RDD11"/>
    <mergeCell ref="RBQ11:RBT11"/>
    <mergeCell ref="RBU11:RBX11"/>
    <mergeCell ref="RBY11:RCB11"/>
    <mergeCell ref="RCC11:RCF11"/>
    <mergeCell ref="RCG11:RCJ11"/>
    <mergeCell ref="RAW11:RAZ11"/>
    <mergeCell ref="RBA11:RBD11"/>
    <mergeCell ref="RBE11:RBH11"/>
    <mergeCell ref="RBI11:RBL11"/>
    <mergeCell ref="RBM11:RBP11"/>
    <mergeCell ref="RAC11:RAF11"/>
    <mergeCell ref="RAG11:RAJ11"/>
    <mergeCell ref="RAK11:RAN11"/>
    <mergeCell ref="RAO11:RAR11"/>
    <mergeCell ref="RAS11:RAV11"/>
    <mergeCell ref="QZI11:QZL11"/>
    <mergeCell ref="QZM11:QZP11"/>
    <mergeCell ref="QZQ11:QZT11"/>
    <mergeCell ref="QZU11:QZX11"/>
    <mergeCell ref="QZY11:RAB11"/>
    <mergeCell ref="RJI11:RJL11"/>
    <mergeCell ref="RJM11:RJP11"/>
    <mergeCell ref="RJQ11:RJT11"/>
    <mergeCell ref="RJU11:RJX11"/>
    <mergeCell ref="RJY11:RKB11"/>
    <mergeCell ref="RIO11:RIR11"/>
    <mergeCell ref="RIS11:RIV11"/>
    <mergeCell ref="RIW11:RIZ11"/>
    <mergeCell ref="RJA11:RJD11"/>
    <mergeCell ref="RJE11:RJH11"/>
    <mergeCell ref="RHU11:RHX11"/>
    <mergeCell ref="RHY11:RIB11"/>
    <mergeCell ref="RIC11:RIF11"/>
    <mergeCell ref="RIG11:RIJ11"/>
    <mergeCell ref="RIK11:RIN11"/>
    <mergeCell ref="RHA11:RHD11"/>
    <mergeCell ref="RHE11:RHH11"/>
    <mergeCell ref="RHI11:RHL11"/>
    <mergeCell ref="RHM11:RHP11"/>
    <mergeCell ref="RHQ11:RHT11"/>
    <mergeCell ref="RGG11:RGJ11"/>
    <mergeCell ref="RGK11:RGN11"/>
    <mergeCell ref="RGO11:RGR11"/>
    <mergeCell ref="RGS11:RGV11"/>
    <mergeCell ref="RGW11:RGZ11"/>
    <mergeCell ref="RFM11:RFP11"/>
    <mergeCell ref="RFQ11:RFT11"/>
    <mergeCell ref="RFU11:RFX11"/>
    <mergeCell ref="RFY11:RGB11"/>
    <mergeCell ref="RGC11:RGF11"/>
    <mergeCell ref="RES11:REV11"/>
    <mergeCell ref="REW11:REZ11"/>
    <mergeCell ref="RFA11:RFD11"/>
    <mergeCell ref="RFE11:RFH11"/>
    <mergeCell ref="RFI11:RFL11"/>
    <mergeCell ref="ROS11:ROV11"/>
    <mergeCell ref="ROW11:ROZ11"/>
    <mergeCell ref="RPA11:RPD11"/>
    <mergeCell ref="RPE11:RPH11"/>
    <mergeCell ref="RPI11:RPL11"/>
    <mergeCell ref="RNY11:ROB11"/>
    <mergeCell ref="ROC11:ROF11"/>
    <mergeCell ref="ROG11:ROJ11"/>
    <mergeCell ref="ROK11:RON11"/>
    <mergeCell ref="ROO11:ROR11"/>
    <mergeCell ref="RNE11:RNH11"/>
    <mergeCell ref="RNI11:RNL11"/>
    <mergeCell ref="RNM11:RNP11"/>
    <mergeCell ref="RNQ11:RNT11"/>
    <mergeCell ref="RNU11:RNX11"/>
    <mergeCell ref="RMK11:RMN11"/>
    <mergeCell ref="RMO11:RMR11"/>
    <mergeCell ref="RMS11:RMV11"/>
    <mergeCell ref="RMW11:RMZ11"/>
    <mergeCell ref="RNA11:RND11"/>
    <mergeCell ref="RLQ11:RLT11"/>
    <mergeCell ref="RLU11:RLX11"/>
    <mergeCell ref="RLY11:RMB11"/>
    <mergeCell ref="RMC11:RMF11"/>
    <mergeCell ref="RMG11:RMJ11"/>
    <mergeCell ref="RKW11:RKZ11"/>
    <mergeCell ref="RLA11:RLD11"/>
    <mergeCell ref="RLE11:RLH11"/>
    <mergeCell ref="RLI11:RLL11"/>
    <mergeCell ref="RLM11:RLP11"/>
    <mergeCell ref="RKC11:RKF11"/>
    <mergeCell ref="RKG11:RKJ11"/>
    <mergeCell ref="RKK11:RKN11"/>
    <mergeCell ref="RKO11:RKR11"/>
    <mergeCell ref="RKS11:RKV11"/>
    <mergeCell ref="RUC11:RUF11"/>
    <mergeCell ref="RUG11:RUJ11"/>
    <mergeCell ref="RUK11:RUN11"/>
    <mergeCell ref="RUO11:RUR11"/>
    <mergeCell ref="RUS11:RUV11"/>
    <mergeCell ref="RTI11:RTL11"/>
    <mergeCell ref="RTM11:RTP11"/>
    <mergeCell ref="RTQ11:RTT11"/>
    <mergeCell ref="RTU11:RTX11"/>
    <mergeCell ref="RTY11:RUB11"/>
    <mergeCell ref="RSO11:RSR11"/>
    <mergeCell ref="RSS11:RSV11"/>
    <mergeCell ref="RSW11:RSZ11"/>
    <mergeCell ref="RTA11:RTD11"/>
    <mergeCell ref="RTE11:RTH11"/>
    <mergeCell ref="RRU11:RRX11"/>
    <mergeCell ref="RRY11:RSB11"/>
    <mergeCell ref="RSC11:RSF11"/>
    <mergeCell ref="RSG11:RSJ11"/>
    <mergeCell ref="RSK11:RSN11"/>
    <mergeCell ref="RRA11:RRD11"/>
    <mergeCell ref="RRE11:RRH11"/>
    <mergeCell ref="RRI11:RRL11"/>
    <mergeCell ref="RRM11:RRP11"/>
    <mergeCell ref="RRQ11:RRT11"/>
    <mergeCell ref="RQG11:RQJ11"/>
    <mergeCell ref="RQK11:RQN11"/>
    <mergeCell ref="RQO11:RQR11"/>
    <mergeCell ref="RQS11:RQV11"/>
    <mergeCell ref="RQW11:RQZ11"/>
    <mergeCell ref="RPM11:RPP11"/>
    <mergeCell ref="RPQ11:RPT11"/>
    <mergeCell ref="RPU11:RPX11"/>
    <mergeCell ref="RPY11:RQB11"/>
    <mergeCell ref="RQC11:RQF11"/>
    <mergeCell ref="RZM11:RZP11"/>
    <mergeCell ref="RZQ11:RZT11"/>
    <mergeCell ref="RZU11:RZX11"/>
    <mergeCell ref="RZY11:SAB11"/>
    <mergeCell ref="SAC11:SAF11"/>
    <mergeCell ref="RYS11:RYV11"/>
    <mergeCell ref="RYW11:RYZ11"/>
    <mergeCell ref="RZA11:RZD11"/>
    <mergeCell ref="RZE11:RZH11"/>
    <mergeCell ref="RZI11:RZL11"/>
    <mergeCell ref="RXY11:RYB11"/>
    <mergeCell ref="RYC11:RYF11"/>
    <mergeCell ref="RYG11:RYJ11"/>
    <mergeCell ref="RYK11:RYN11"/>
    <mergeCell ref="RYO11:RYR11"/>
    <mergeCell ref="RXE11:RXH11"/>
    <mergeCell ref="RXI11:RXL11"/>
    <mergeCell ref="RXM11:RXP11"/>
    <mergeCell ref="RXQ11:RXT11"/>
    <mergeCell ref="RXU11:RXX11"/>
    <mergeCell ref="RWK11:RWN11"/>
    <mergeCell ref="RWO11:RWR11"/>
    <mergeCell ref="RWS11:RWV11"/>
    <mergeCell ref="RWW11:RWZ11"/>
    <mergeCell ref="RXA11:RXD11"/>
    <mergeCell ref="RVQ11:RVT11"/>
    <mergeCell ref="RVU11:RVX11"/>
    <mergeCell ref="RVY11:RWB11"/>
    <mergeCell ref="RWC11:RWF11"/>
    <mergeCell ref="RWG11:RWJ11"/>
    <mergeCell ref="RUW11:RUZ11"/>
    <mergeCell ref="RVA11:RVD11"/>
    <mergeCell ref="RVE11:RVH11"/>
    <mergeCell ref="RVI11:RVL11"/>
    <mergeCell ref="RVM11:RVP11"/>
    <mergeCell ref="SEW11:SEZ11"/>
    <mergeCell ref="SFA11:SFD11"/>
    <mergeCell ref="SFE11:SFH11"/>
    <mergeCell ref="SFI11:SFL11"/>
    <mergeCell ref="SFM11:SFP11"/>
    <mergeCell ref="SEC11:SEF11"/>
    <mergeCell ref="SEG11:SEJ11"/>
    <mergeCell ref="SEK11:SEN11"/>
    <mergeCell ref="SEO11:SER11"/>
    <mergeCell ref="SES11:SEV11"/>
    <mergeCell ref="SDI11:SDL11"/>
    <mergeCell ref="SDM11:SDP11"/>
    <mergeCell ref="SDQ11:SDT11"/>
    <mergeCell ref="SDU11:SDX11"/>
    <mergeCell ref="SDY11:SEB11"/>
    <mergeCell ref="SCO11:SCR11"/>
    <mergeCell ref="SCS11:SCV11"/>
    <mergeCell ref="SCW11:SCZ11"/>
    <mergeCell ref="SDA11:SDD11"/>
    <mergeCell ref="SDE11:SDH11"/>
    <mergeCell ref="SBU11:SBX11"/>
    <mergeCell ref="SBY11:SCB11"/>
    <mergeCell ref="SCC11:SCF11"/>
    <mergeCell ref="SCG11:SCJ11"/>
    <mergeCell ref="SCK11:SCN11"/>
    <mergeCell ref="SBA11:SBD11"/>
    <mergeCell ref="SBE11:SBH11"/>
    <mergeCell ref="SBI11:SBL11"/>
    <mergeCell ref="SBM11:SBP11"/>
    <mergeCell ref="SBQ11:SBT11"/>
    <mergeCell ref="SAG11:SAJ11"/>
    <mergeCell ref="SAK11:SAN11"/>
    <mergeCell ref="SAO11:SAR11"/>
    <mergeCell ref="SAS11:SAV11"/>
    <mergeCell ref="SAW11:SAZ11"/>
    <mergeCell ref="SKG11:SKJ11"/>
    <mergeCell ref="SKK11:SKN11"/>
    <mergeCell ref="SKO11:SKR11"/>
    <mergeCell ref="SKS11:SKV11"/>
    <mergeCell ref="SKW11:SKZ11"/>
    <mergeCell ref="SJM11:SJP11"/>
    <mergeCell ref="SJQ11:SJT11"/>
    <mergeCell ref="SJU11:SJX11"/>
    <mergeCell ref="SJY11:SKB11"/>
    <mergeCell ref="SKC11:SKF11"/>
    <mergeCell ref="SIS11:SIV11"/>
    <mergeCell ref="SIW11:SIZ11"/>
    <mergeCell ref="SJA11:SJD11"/>
    <mergeCell ref="SJE11:SJH11"/>
    <mergeCell ref="SJI11:SJL11"/>
    <mergeCell ref="SHY11:SIB11"/>
    <mergeCell ref="SIC11:SIF11"/>
    <mergeCell ref="SIG11:SIJ11"/>
    <mergeCell ref="SIK11:SIN11"/>
    <mergeCell ref="SIO11:SIR11"/>
    <mergeCell ref="SHE11:SHH11"/>
    <mergeCell ref="SHI11:SHL11"/>
    <mergeCell ref="SHM11:SHP11"/>
    <mergeCell ref="SHQ11:SHT11"/>
    <mergeCell ref="SHU11:SHX11"/>
    <mergeCell ref="SGK11:SGN11"/>
    <mergeCell ref="SGO11:SGR11"/>
    <mergeCell ref="SGS11:SGV11"/>
    <mergeCell ref="SGW11:SGZ11"/>
    <mergeCell ref="SHA11:SHD11"/>
    <mergeCell ref="SFQ11:SFT11"/>
    <mergeCell ref="SFU11:SFX11"/>
    <mergeCell ref="SFY11:SGB11"/>
    <mergeCell ref="SGC11:SGF11"/>
    <mergeCell ref="SGG11:SGJ11"/>
    <mergeCell ref="SPQ11:SPT11"/>
    <mergeCell ref="SPU11:SPX11"/>
    <mergeCell ref="SPY11:SQB11"/>
    <mergeCell ref="SQC11:SQF11"/>
    <mergeCell ref="SQG11:SQJ11"/>
    <mergeCell ref="SOW11:SOZ11"/>
    <mergeCell ref="SPA11:SPD11"/>
    <mergeCell ref="SPE11:SPH11"/>
    <mergeCell ref="SPI11:SPL11"/>
    <mergeCell ref="SPM11:SPP11"/>
    <mergeCell ref="SOC11:SOF11"/>
    <mergeCell ref="SOG11:SOJ11"/>
    <mergeCell ref="SOK11:SON11"/>
    <mergeCell ref="SOO11:SOR11"/>
    <mergeCell ref="SOS11:SOV11"/>
    <mergeCell ref="SNI11:SNL11"/>
    <mergeCell ref="SNM11:SNP11"/>
    <mergeCell ref="SNQ11:SNT11"/>
    <mergeCell ref="SNU11:SNX11"/>
    <mergeCell ref="SNY11:SOB11"/>
    <mergeCell ref="SMO11:SMR11"/>
    <mergeCell ref="SMS11:SMV11"/>
    <mergeCell ref="SMW11:SMZ11"/>
    <mergeCell ref="SNA11:SND11"/>
    <mergeCell ref="SNE11:SNH11"/>
    <mergeCell ref="SLU11:SLX11"/>
    <mergeCell ref="SLY11:SMB11"/>
    <mergeCell ref="SMC11:SMF11"/>
    <mergeCell ref="SMG11:SMJ11"/>
    <mergeCell ref="SMK11:SMN11"/>
    <mergeCell ref="SLA11:SLD11"/>
    <mergeCell ref="SLE11:SLH11"/>
    <mergeCell ref="SLI11:SLL11"/>
    <mergeCell ref="SLM11:SLP11"/>
    <mergeCell ref="SLQ11:SLT11"/>
    <mergeCell ref="SVA11:SVD11"/>
    <mergeCell ref="SVE11:SVH11"/>
    <mergeCell ref="SVI11:SVL11"/>
    <mergeCell ref="SVM11:SVP11"/>
    <mergeCell ref="SVQ11:SVT11"/>
    <mergeCell ref="SUG11:SUJ11"/>
    <mergeCell ref="SUK11:SUN11"/>
    <mergeCell ref="SUO11:SUR11"/>
    <mergeCell ref="SUS11:SUV11"/>
    <mergeCell ref="SUW11:SUZ11"/>
    <mergeCell ref="STM11:STP11"/>
    <mergeCell ref="STQ11:STT11"/>
    <mergeCell ref="STU11:STX11"/>
    <mergeCell ref="STY11:SUB11"/>
    <mergeCell ref="SUC11:SUF11"/>
    <mergeCell ref="SSS11:SSV11"/>
    <mergeCell ref="SSW11:SSZ11"/>
    <mergeCell ref="STA11:STD11"/>
    <mergeCell ref="STE11:STH11"/>
    <mergeCell ref="STI11:STL11"/>
    <mergeCell ref="SRY11:SSB11"/>
    <mergeCell ref="SSC11:SSF11"/>
    <mergeCell ref="SSG11:SSJ11"/>
    <mergeCell ref="SSK11:SSN11"/>
    <mergeCell ref="SSO11:SSR11"/>
    <mergeCell ref="SRE11:SRH11"/>
    <mergeCell ref="SRI11:SRL11"/>
    <mergeCell ref="SRM11:SRP11"/>
    <mergeCell ref="SRQ11:SRT11"/>
    <mergeCell ref="SRU11:SRX11"/>
    <mergeCell ref="SQK11:SQN11"/>
    <mergeCell ref="SQO11:SQR11"/>
    <mergeCell ref="SQS11:SQV11"/>
    <mergeCell ref="SQW11:SQZ11"/>
    <mergeCell ref="SRA11:SRD11"/>
    <mergeCell ref="TAK11:TAN11"/>
    <mergeCell ref="TAO11:TAR11"/>
    <mergeCell ref="TAS11:TAV11"/>
    <mergeCell ref="TAW11:TAZ11"/>
    <mergeCell ref="TBA11:TBD11"/>
    <mergeCell ref="SZQ11:SZT11"/>
    <mergeCell ref="SZU11:SZX11"/>
    <mergeCell ref="SZY11:TAB11"/>
    <mergeCell ref="TAC11:TAF11"/>
    <mergeCell ref="TAG11:TAJ11"/>
    <mergeCell ref="SYW11:SYZ11"/>
    <mergeCell ref="SZA11:SZD11"/>
    <mergeCell ref="SZE11:SZH11"/>
    <mergeCell ref="SZI11:SZL11"/>
    <mergeCell ref="SZM11:SZP11"/>
    <mergeCell ref="SYC11:SYF11"/>
    <mergeCell ref="SYG11:SYJ11"/>
    <mergeCell ref="SYK11:SYN11"/>
    <mergeCell ref="SYO11:SYR11"/>
    <mergeCell ref="SYS11:SYV11"/>
    <mergeCell ref="SXI11:SXL11"/>
    <mergeCell ref="SXM11:SXP11"/>
    <mergeCell ref="SXQ11:SXT11"/>
    <mergeCell ref="SXU11:SXX11"/>
    <mergeCell ref="SXY11:SYB11"/>
    <mergeCell ref="SWO11:SWR11"/>
    <mergeCell ref="SWS11:SWV11"/>
    <mergeCell ref="SWW11:SWZ11"/>
    <mergeCell ref="SXA11:SXD11"/>
    <mergeCell ref="SXE11:SXH11"/>
    <mergeCell ref="SVU11:SVX11"/>
    <mergeCell ref="SVY11:SWB11"/>
    <mergeCell ref="SWC11:SWF11"/>
    <mergeCell ref="SWG11:SWJ11"/>
    <mergeCell ref="SWK11:SWN11"/>
    <mergeCell ref="TFU11:TFX11"/>
    <mergeCell ref="TFY11:TGB11"/>
    <mergeCell ref="TGC11:TGF11"/>
    <mergeCell ref="TGG11:TGJ11"/>
    <mergeCell ref="TGK11:TGN11"/>
    <mergeCell ref="TFA11:TFD11"/>
    <mergeCell ref="TFE11:TFH11"/>
    <mergeCell ref="TFI11:TFL11"/>
    <mergeCell ref="TFM11:TFP11"/>
    <mergeCell ref="TFQ11:TFT11"/>
    <mergeCell ref="TEG11:TEJ11"/>
    <mergeCell ref="TEK11:TEN11"/>
    <mergeCell ref="TEO11:TER11"/>
    <mergeCell ref="TES11:TEV11"/>
    <mergeCell ref="TEW11:TEZ11"/>
    <mergeCell ref="TDM11:TDP11"/>
    <mergeCell ref="TDQ11:TDT11"/>
    <mergeCell ref="TDU11:TDX11"/>
    <mergeCell ref="TDY11:TEB11"/>
    <mergeCell ref="TEC11:TEF11"/>
    <mergeCell ref="TCS11:TCV11"/>
    <mergeCell ref="TCW11:TCZ11"/>
    <mergeCell ref="TDA11:TDD11"/>
    <mergeCell ref="TDE11:TDH11"/>
    <mergeCell ref="TDI11:TDL11"/>
    <mergeCell ref="TBY11:TCB11"/>
    <mergeCell ref="TCC11:TCF11"/>
    <mergeCell ref="TCG11:TCJ11"/>
    <mergeCell ref="TCK11:TCN11"/>
    <mergeCell ref="TCO11:TCR11"/>
    <mergeCell ref="TBE11:TBH11"/>
    <mergeCell ref="TBI11:TBL11"/>
    <mergeCell ref="TBM11:TBP11"/>
    <mergeCell ref="TBQ11:TBT11"/>
    <mergeCell ref="TBU11:TBX11"/>
    <mergeCell ref="TLE11:TLH11"/>
    <mergeCell ref="TLI11:TLL11"/>
    <mergeCell ref="TLM11:TLP11"/>
    <mergeCell ref="TLQ11:TLT11"/>
    <mergeCell ref="TLU11:TLX11"/>
    <mergeCell ref="TKK11:TKN11"/>
    <mergeCell ref="TKO11:TKR11"/>
    <mergeCell ref="TKS11:TKV11"/>
    <mergeCell ref="TKW11:TKZ11"/>
    <mergeCell ref="TLA11:TLD11"/>
    <mergeCell ref="TJQ11:TJT11"/>
    <mergeCell ref="TJU11:TJX11"/>
    <mergeCell ref="TJY11:TKB11"/>
    <mergeCell ref="TKC11:TKF11"/>
    <mergeCell ref="TKG11:TKJ11"/>
    <mergeCell ref="TIW11:TIZ11"/>
    <mergeCell ref="TJA11:TJD11"/>
    <mergeCell ref="TJE11:TJH11"/>
    <mergeCell ref="TJI11:TJL11"/>
    <mergeCell ref="TJM11:TJP11"/>
    <mergeCell ref="TIC11:TIF11"/>
    <mergeCell ref="TIG11:TIJ11"/>
    <mergeCell ref="TIK11:TIN11"/>
    <mergeCell ref="TIO11:TIR11"/>
    <mergeCell ref="TIS11:TIV11"/>
    <mergeCell ref="THI11:THL11"/>
    <mergeCell ref="THM11:THP11"/>
    <mergeCell ref="THQ11:THT11"/>
    <mergeCell ref="THU11:THX11"/>
    <mergeCell ref="THY11:TIB11"/>
    <mergeCell ref="TGO11:TGR11"/>
    <mergeCell ref="TGS11:TGV11"/>
    <mergeCell ref="TGW11:TGZ11"/>
    <mergeCell ref="THA11:THD11"/>
    <mergeCell ref="THE11:THH11"/>
    <mergeCell ref="TQO11:TQR11"/>
    <mergeCell ref="TQS11:TQV11"/>
    <mergeCell ref="TQW11:TQZ11"/>
    <mergeCell ref="TRA11:TRD11"/>
    <mergeCell ref="TRE11:TRH11"/>
    <mergeCell ref="TPU11:TPX11"/>
    <mergeCell ref="TPY11:TQB11"/>
    <mergeCell ref="TQC11:TQF11"/>
    <mergeCell ref="TQG11:TQJ11"/>
    <mergeCell ref="TQK11:TQN11"/>
    <mergeCell ref="TPA11:TPD11"/>
    <mergeCell ref="TPE11:TPH11"/>
    <mergeCell ref="TPI11:TPL11"/>
    <mergeCell ref="TPM11:TPP11"/>
    <mergeCell ref="TPQ11:TPT11"/>
    <mergeCell ref="TOG11:TOJ11"/>
    <mergeCell ref="TOK11:TON11"/>
    <mergeCell ref="TOO11:TOR11"/>
    <mergeCell ref="TOS11:TOV11"/>
    <mergeCell ref="TOW11:TOZ11"/>
    <mergeCell ref="TNM11:TNP11"/>
    <mergeCell ref="TNQ11:TNT11"/>
    <mergeCell ref="TNU11:TNX11"/>
    <mergeCell ref="TNY11:TOB11"/>
    <mergeCell ref="TOC11:TOF11"/>
    <mergeCell ref="TMS11:TMV11"/>
    <mergeCell ref="TMW11:TMZ11"/>
    <mergeCell ref="TNA11:TND11"/>
    <mergeCell ref="TNE11:TNH11"/>
    <mergeCell ref="TNI11:TNL11"/>
    <mergeCell ref="TLY11:TMB11"/>
    <mergeCell ref="TMC11:TMF11"/>
    <mergeCell ref="TMG11:TMJ11"/>
    <mergeCell ref="TMK11:TMN11"/>
    <mergeCell ref="TMO11:TMR11"/>
    <mergeCell ref="TVY11:TWB11"/>
    <mergeCell ref="TWC11:TWF11"/>
    <mergeCell ref="TWG11:TWJ11"/>
    <mergeCell ref="TWK11:TWN11"/>
    <mergeCell ref="TWO11:TWR11"/>
    <mergeCell ref="TVE11:TVH11"/>
    <mergeCell ref="TVI11:TVL11"/>
    <mergeCell ref="TVM11:TVP11"/>
    <mergeCell ref="TVQ11:TVT11"/>
    <mergeCell ref="TVU11:TVX11"/>
    <mergeCell ref="TUK11:TUN11"/>
    <mergeCell ref="TUO11:TUR11"/>
    <mergeCell ref="TUS11:TUV11"/>
    <mergeCell ref="TUW11:TUZ11"/>
    <mergeCell ref="TVA11:TVD11"/>
    <mergeCell ref="TTQ11:TTT11"/>
    <mergeCell ref="TTU11:TTX11"/>
    <mergeCell ref="TTY11:TUB11"/>
    <mergeCell ref="TUC11:TUF11"/>
    <mergeCell ref="TUG11:TUJ11"/>
    <mergeCell ref="TSW11:TSZ11"/>
    <mergeCell ref="TTA11:TTD11"/>
    <mergeCell ref="TTE11:TTH11"/>
    <mergeCell ref="TTI11:TTL11"/>
    <mergeCell ref="TTM11:TTP11"/>
    <mergeCell ref="TSC11:TSF11"/>
    <mergeCell ref="TSG11:TSJ11"/>
    <mergeCell ref="TSK11:TSN11"/>
    <mergeCell ref="TSO11:TSR11"/>
    <mergeCell ref="TSS11:TSV11"/>
    <mergeCell ref="TRI11:TRL11"/>
    <mergeCell ref="TRM11:TRP11"/>
    <mergeCell ref="TRQ11:TRT11"/>
    <mergeCell ref="TRU11:TRX11"/>
    <mergeCell ref="TRY11:TSB11"/>
    <mergeCell ref="UBI11:UBL11"/>
    <mergeCell ref="UBM11:UBP11"/>
    <mergeCell ref="UBQ11:UBT11"/>
    <mergeCell ref="UBU11:UBX11"/>
    <mergeCell ref="UBY11:UCB11"/>
    <mergeCell ref="UAO11:UAR11"/>
    <mergeCell ref="UAS11:UAV11"/>
    <mergeCell ref="UAW11:UAZ11"/>
    <mergeCell ref="UBA11:UBD11"/>
    <mergeCell ref="UBE11:UBH11"/>
    <mergeCell ref="TZU11:TZX11"/>
    <mergeCell ref="TZY11:UAB11"/>
    <mergeCell ref="UAC11:UAF11"/>
    <mergeCell ref="UAG11:UAJ11"/>
    <mergeCell ref="UAK11:UAN11"/>
    <mergeCell ref="TZA11:TZD11"/>
    <mergeCell ref="TZE11:TZH11"/>
    <mergeCell ref="TZI11:TZL11"/>
    <mergeCell ref="TZM11:TZP11"/>
    <mergeCell ref="TZQ11:TZT11"/>
    <mergeCell ref="TYG11:TYJ11"/>
    <mergeCell ref="TYK11:TYN11"/>
    <mergeCell ref="TYO11:TYR11"/>
    <mergeCell ref="TYS11:TYV11"/>
    <mergeCell ref="TYW11:TYZ11"/>
    <mergeCell ref="TXM11:TXP11"/>
    <mergeCell ref="TXQ11:TXT11"/>
    <mergeCell ref="TXU11:TXX11"/>
    <mergeCell ref="TXY11:TYB11"/>
    <mergeCell ref="TYC11:TYF11"/>
    <mergeCell ref="TWS11:TWV11"/>
    <mergeCell ref="TWW11:TWZ11"/>
    <mergeCell ref="TXA11:TXD11"/>
    <mergeCell ref="TXE11:TXH11"/>
    <mergeCell ref="TXI11:TXL11"/>
    <mergeCell ref="UGS11:UGV11"/>
    <mergeCell ref="UGW11:UGZ11"/>
    <mergeCell ref="UHA11:UHD11"/>
    <mergeCell ref="UHE11:UHH11"/>
    <mergeCell ref="UHI11:UHL11"/>
    <mergeCell ref="UFY11:UGB11"/>
    <mergeCell ref="UGC11:UGF11"/>
    <mergeCell ref="UGG11:UGJ11"/>
    <mergeCell ref="UGK11:UGN11"/>
    <mergeCell ref="UGO11:UGR11"/>
    <mergeCell ref="UFE11:UFH11"/>
    <mergeCell ref="UFI11:UFL11"/>
    <mergeCell ref="UFM11:UFP11"/>
    <mergeCell ref="UFQ11:UFT11"/>
    <mergeCell ref="UFU11:UFX11"/>
    <mergeCell ref="UEK11:UEN11"/>
    <mergeCell ref="UEO11:UER11"/>
    <mergeCell ref="UES11:UEV11"/>
    <mergeCell ref="UEW11:UEZ11"/>
    <mergeCell ref="UFA11:UFD11"/>
    <mergeCell ref="UDQ11:UDT11"/>
    <mergeCell ref="UDU11:UDX11"/>
    <mergeCell ref="UDY11:UEB11"/>
    <mergeCell ref="UEC11:UEF11"/>
    <mergeCell ref="UEG11:UEJ11"/>
    <mergeCell ref="UCW11:UCZ11"/>
    <mergeCell ref="UDA11:UDD11"/>
    <mergeCell ref="UDE11:UDH11"/>
    <mergeCell ref="UDI11:UDL11"/>
    <mergeCell ref="UDM11:UDP11"/>
    <mergeCell ref="UCC11:UCF11"/>
    <mergeCell ref="UCG11:UCJ11"/>
    <mergeCell ref="UCK11:UCN11"/>
    <mergeCell ref="UCO11:UCR11"/>
    <mergeCell ref="UCS11:UCV11"/>
    <mergeCell ref="UMC11:UMF11"/>
    <mergeCell ref="UMG11:UMJ11"/>
    <mergeCell ref="UMK11:UMN11"/>
    <mergeCell ref="UMO11:UMR11"/>
    <mergeCell ref="UMS11:UMV11"/>
    <mergeCell ref="ULI11:ULL11"/>
    <mergeCell ref="ULM11:ULP11"/>
    <mergeCell ref="ULQ11:ULT11"/>
    <mergeCell ref="ULU11:ULX11"/>
    <mergeCell ref="ULY11:UMB11"/>
    <mergeCell ref="UKO11:UKR11"/>
    <mergeCell ref="UKS11:UKV11"/>
    <mergeCell ref="UKW11:UKZ11"/>
    <mergeCell ref="ULA11:ULD11"/>
    <mergeCell ref="ULE11:ULH11"/>
    <mergeCell ref="UJU11:UJX11"/>
    <mergeCell ref="UJY11:UKB11"/>
    <mergeCell ref="UKC11:UKF11"/>
    <mergeCell ref="UKG11:UKJ11"/>
    <mergeCell ref="UKK11:UKN11"/>
    <mergeCell ref="UJA11:UJD11"/>
    <mergeCell ref="UJE11:UJH11"/>
    <mergeCell ref="UJI11:UJL11"/>
    <mergeCell ref="UJM11:UJP11"/>
    <mergeCell ref="UJQ11:UJT11"/>
    <mergeCell ref="UIG11:UIJ11"/>
    <mergeCell ref="UIK11:UIN11"/>
    <mergeCell ref="UIO11:UIR11"/>
    <mergeCell ref="UIS11:UIV11"/>
    <mergeCell ref="UIW11:UIZ11"/>
    <mergeCell ref="UHM11:UHP11"/>
    <mergeCell ref="UHQ11:UHT11"/>
    <mergeCell ref="UHU11:UHX11"/>
    <mergeCell ref="UHY11:UIB11"/>
    <mergeCell ref="UIC11:UIF11"/>
    <mergeCell ref="URM11:URP11"/>
    <mergeCell ref="URQ11:URT11"/>
    <mergeCell ref="URU11:URX11"/>
    <mergeCell ref="URY11:USB11"/>
    <mergeCell ref="USC11:USF11"/>
    <mergeCell ref="UQS11:UQV11"/>
    <mergeCell ref="UQW11:UQZ11"/>
    <mergeCell ref="URA11:URD11"/>
    <mergeCell ref="URE11:URH11"/>
    <mergeCell ref="URI11:URL11"/>
    <mergeCell ref="UPY11:UQB11"/>
    <mergeCell ref="UQC11:UQF11"/>
    <mergeCell ref="UQG11:UQJ11"/>
    <mergeCell ref="UQK11:UQN11"/>
    <mergeCell ref="UQO11:UQR11"/>
    <mergeCell ref="UPE11:UPH11"/>
    <mergeCell ref="UPI11:UPL11"/>
    <mergeCell ref="UPM11:UPP11"/>
    <mergeCell ref="UPQ11:UPT11"/>
    <mergeCell ref="UPU11:UPX11"/>
    <mergeCell ref="UOK11:UON11"/>
    <mergeCell ref="UOO11:UOR11"/>
    <mergeCell ref="UOS11:UOV11"/>
    <mergeCell ref="UOW11:UOZ11"/>
    <mergeCell ref="UPA11:UPD11"/>
    <mergeCell ref="UNQ11:UNT11"/>
    <mergeCell ref="UNU11:UNX11"/>
    <mergeCell ref="UNY11:UOB11"/>
    <mergeCell ref="UOC11:UOF11"/>
    <mergeCell ref="UOG11:UOJ11"/>
    <mergeCell ref="UMW11:UMZ11"/>
    <mergeCell ref="UNA11:UND11"/>
    <mergeCell ref="UNE11:UNH11"/>
    <mergeCell ref="UNI11:UNL11"/>
    <mergeCell ref="UNM11:UNP11"/>
    <mergeCell ref="UWW11:UWZ11"/>
    <mergeCell ref="UXA11:UXD11"/>
    <mergeCell ref="UXE11:UXH11"/>
    <mergeCell ref="UXI11:UXL11"/>
    <mergeCell ref="UXM11:UXP11"/>
    <mergeCell ref="UWC11:UWF11"/>
    <mergeCell ref="UWG11:UWJ11"/>
    <mergeCell ref="UWK11:UWN11"/>
    <mergeCell ref="UWO11:UWR11"/>
    <mergeCell ref="UWS11:UWV11"/>
    <mergeCell ref="UVI11:UVL11"/>
    <mergeCell ref="UVM11:UVP11"/>
    <mergeCell ref="UVQ11:UVT11"/>
    <mergeCell ref="UVU11:UVX11"/>
    <mergeCell ref="UVY11:UWB11"/>
    <mergeCell ref="UUO11:UUR11"/>
    <mergeCell ref="UUS11:UUV11"/>
    <mergeCell ref="UUW11:UUZ11"/>
    <mergeCell ref="UVA11:UVD11"/>
    <mergeCell ref="UVE11:UVH11"/>
    <mergeCell ref="UTU11:UTX11"/>
    <mergeCell ref="UTY11:UUB11"/>
    <mergeCell ref="UUC11:UUF11"/>
    <mergeCell ref="UUG11:UUJ11"/>
    <mergeCell ref="UUK11:UUN11"/>
    <mergeCell ref="UTA11:UTD11"/>
    <mergeCell ref="UTE11:UTH11"/>
    <mergeCell ref="UTI11:UTL11"/>
    <mergeCell ref="UTM11:UTP11"/>
    <mergeCell ref="UTQ11:UTT11"/>
    <mergeCell ref="USG11:USJ11"/>
    <mergeCell ref="USK11:USN11"/>
    <mergeCell ref="USO11:USR11"/>
    <mergeCell ref="USS11:USV11"/>
    <mergeCell ref="USW11:USZ11"/>
    <mergeCell ref="VCG11:VCJ11"/>
    <mergeCell ref="VCK11:VCN11"/>
    <mergeCell ref="VCO11:VCR11"/>
    <mergeCell ref="VCS11:VCV11"/>
    <mergeCell ref="VCW11:VCZ11"/>
    <mergeCell ref="VBM11:VBP11"/>
    <mergeCell ref="VBQ11:VBT11"/>
    <mergeCell ref="VBU11:VBX11"/>
    <mergeCell ref="VBY11:VCB11"/>
    <mergeCell ref="VCC11:VCF11"/>
    <mergeCell ref="VAS11:VAV11"/>
    <mergeCell ref="VAW11:VAZ11"/>
    <mergeCell ref="VBA11:VBD11"/>
    <mergeCell ref="VBE11:VBH11"/>
    <mergeCell ref="VBI11:VBL11"/>
    <mergeCell ref="UZY11:VAB11"/>
    <mergeCell ref="VAC11:VAF11"/>
    <mergeCell ref="VAG11:VAJ11"/>
    <mergeCell ref="VAK11:VAN11"/>
    <mergeCell ref="VAO11:VAR11"/>
    <mergeCell ref="UZE11:UZH11"/>
    <mergeCell ref="UZI11:UZL11"/>
    <mergeCell ref="UZM11:UZP11"/>
    <mergeCell ref="UZQ11:UZT11"/>
    <mergeCell ref="UZU11:UZX11"/>
    <mergeCell ref="UYK11:UYN11"/>
    <mergeCell ref="UYO11:UYR11"/>
    <mergeCell ref="UYS11:UYV11"/>
    <mergeCell ref="UYW11:UYZ11"/>
    <mergeCell ref="UZA11:UZD11"/>
    <mergeCell ref="UXQ11:UXT11"/>
    <mergeCell ref="UXU11:UXX11"/>
    <mergeCell ref="UXY11:UYB11"/>
    <mergeCell ref="UYC11:UYF11"/>
    <mergeCell ref="UYG11:UYJ11"/>
    <mergeCell ref="VHQ11:VHT11"/>
    <mergeCell ref="VHU11:VHX11"/>
    <mergeCell ref="VHY11:VIB11"/>
    <mergeCell ref="VIC11:VIF11"/>
    <mergeCell ref="VIG11:VIJ11"/>
    <mergeCell ref="VGW11:VGZ11"/>
    <mergeCell ref="VHA11:VHD11"/>
    <mergeCell ref="VHE11:VHH11"/>
    <mergeCell ref="VHI11:VHL11"/>
    <mergeCell ref="VHM11:VHP11"/>
    <mergeCell ref="VGC11:VGF11"/>
    <mergeCell ref="VGG11:VGJ11"/>
    <mergeCell ref="VGK11:VGN11"/>
    <mergeCell ref="VGO11:VGR11"/>
    <mergeCell ref="VGS11:VGV11"/>
    <mergeCell ref="VFI11:VFL11"/>
    <mergeCell ref="VFM11:VFP11"/>
    <mergeCell ref="VFQ11:VFT11"/>
    <mergeCell ref="VFU11:VFX11"/>
    <mergeCell ref="VFY11:VGB11"/>
    <mergeCell ref="VEO11:VER11"/>
    <mergeCell ref="VES11:VEV11"/>
    <mergeCell ref="VEW11:VEZ11"/>
    <mergeCell ref="VFA11:VFD11"/>
    <mergeCell ref="VFE11:VFH11"/>
    <mergeCell ref="VDU11:VDX11"/>
    <mergeCell ref="VDY11:VEB11"/>
    <mergeCell ref="VEC11:VEF11"/>
    <mergeCell ref="VEG11:VEJ11"/>
    <mergeCell ref="VEK11:VEN11"/>
    <mergeCell ref="VDA11:VDD11"/>
    <mergeCell ref="VDE11:VDH11"/>
    <mergeCell ref="VDI11:VDL11"/>
    <mergeCell ref="VDM11:VDP11"/>
    <mergeCell ref="VDQ11:VDT11"/>
    <mergeCell ref="VNA11:VND11"/>
    <mergeCell ref="VNE11:VNH11"/>
    <mergeCell ref="VNI11:VNL11"/>
    <mergeCell ref="VNM11:VNP11"/>
    <mergeCell ref="VNQ11:VNT11"/>
    <mergeCell ref="VMG11:VMJ11"/>
    <mergeCell ref="VMK11:VMN11"/>
    <mergeCell ref="VMO11:VMR11"/>
    <mergeCell ref="VMS11:VMV11"/>
    <mergeCell ref="VMW11:VMZ11"/>
    <mergeCell ref="VLM11:VLP11"/>
    <mergeCell ref="VLQ11:VLT11"/>
    <mergeCell ref="VLU11:VLX11"/>
    <mergeCell ref="VLY11:VMB11"/>
    <mergeCell ref="VMC11:VMF11"/>
    <mergeCell ref="VKS11:VKV11"/>
    <mergeCell ref="VKW11:VKZ11"/>
    <mergeCell ref="VLA11:VLD11"/>
    <mergeCell ref="VLE11:VLH11"/>
    <mergeCell ref="VLI11:VLL11"/>
    <mergeCell ref="VJY11:VKB11"/>
    <mergeCell ref="VKC11:VKF11"/>
    <mergeCell ref="VKG11:VKJ11"/>
    <mergeCell ref="VKK11:VKN11"/>
    <mergeCell ref="VKO11:VKR11"/>
    <mergeCell ref="VJE11:VJH11"/>
    <mergeCell ref="VJI11:VJL11"/>
    <mergeCell ref="VJM11:VJP11"/>
    <mergeCell ref="VJQ11:VJT11"/>
    <mergeCell ref="VJU11:VJX11"/>
    <mergeCell ref="VIK11:VIN11"/>
    <mergeCell ref="VIO11:VIR11"/>
    <mergeCell ref="VIS11:VIV11"/>
    <mergeCell ref="VIW11:VIZ11"/>
    <mergeCell ref="VJA11:VJD11"/>
    <mergeCell ref="VSK11:VSN11"/>
    <mergeCell ref="VSO11:VSR11"/>
    <mergeCell ref="VSS11:VSV11"/>
    <mergeCell ref="VSW11:VSZ11"/>
    <mergeCell ref="VTA11:VTD11"/>
    <mergeCell ref="VRQ11:VRT11"/>
    <mergeCell ref="VRU11:VRX11"/>
    <mergeCell ref="VRY11:VSB11"/>
    <mergeCell ref="VSC11:VSF11"/>
    <mergeCell ref="VSG11:VSJ11"/>
    <mergeCell ref="VQW11:VQZ11"/>
    <mergeCell ref="VRA11:VRD11"/>
    <mergeCell ref="VRE11:VRH11"/>
    <mergeCell ref="VRI11:VRL11"/>
    <mergeCell ref="VRM11:VRP11"/>
    <mergeCell ref="VQC11:VQF11"/>
    <mergeCell ref="VQG11:VQJ11"/>
    <mergeCell ref="VQK11:VQN11"/>
    <mergeCell ref="VQO11:VQR11"/>
    <mergeCell ref="VQS11:VQV11"/>
    <mergeCell ref="VPI11:VPL11"/>
    <mergeCell ref="VPM11:VPP11"/>
    <mergeCell ref="VPQ11:VPT11"/>
    <mergeCell ref="VPU11:VPX11"/>
    <mergeCell ref="VPY11:VQB11"/>
    <mergeCell ref="VOO11:VOR11"/>
    <mergeCell ref="VOS11:VOV11"/>
    <mergeCell ref="VOW11:VOZ11"/>
    <mergeCell ref="VPA11:VPD11"/>
    <mergeCell ref="VPE11:VPH11"/>
    <mergeCell ref="VNU11:VNX11"/>
    <mergeCell ref="VNY11:VOB11"/>
    <mergeCell ref="VOC11:VOF11"/>
    <mergeCell ref="VOG11:VOJ11"/>
    <mergeCell ref="VOK11:VON11"/>
    <mergeCell ref="VXU11:VXX11"/>
    <mergeCell ref="VXY11:VYB11"/>
    <mergeCell ref="VYC11:VYF11"/>
    <mergeCell ref="VYG11:VYJ11"/>
    <mergeCell ref="VYK11:VYN11"/>
    <mergeCell ref="VXA11:VXD11"/>
    <mergeCell ref="VXE11:VXH11"/>
    <mergeCell ref="VXI11:VXL11"/>
    <mergeCell ref="VXM11:VXP11"/>
    <mergeCell ref="VXQ11:VXT11"/>
    <mergeCell ref="VWG11:VWJ11"/>
    <mergeCell ref="VWK11:VWN11"/>
    <mergeCell ref="VWO11:VWR11"/>
    <mergeCell ref="VWS11:VWV11"/>
    <mergeCell ref="VWW11:VWZ11"/>
    <mergeCell ref="VVM11:VVP11"/>
    <mergeCell ref="VVQ11:VVT11"/>
    <mergeCell ref="VVU11:VVX11"/>
    <mergeCell ref="VVY11:VWB11"/>
    <mergeCell ref="VWC11:VWF11"/>
    <mergeCell ref="VUS11:VUV11"/>
    <mergeCell ref="VUW11:VUZ11"/>
    <mergeCell ref="VVA11:VVD11"/>
    <mergeCell ref="VVE11:VVH11"/>
    <mergeCell ref="VVI11:VVL11"/>
    <mergeCell ref="VTY11:VUB11"/>
    <mergeCell ref="VUC11:VUF11"/>
    <mergeCell ref="VUG11:VUJ11"/>
    <mergeCell ref="VUK11:VUN11"/>
    <mergeCell ref="VUO11:VUR11"/>
    <mergeCell ref="VTE11:VTH11"/>
    <mergeCell ref="VTI11:VTL11"/>
    <mergeCell ref="VTM11:VTP11"/>
    <mergeCell ref="VTQ11:VTT11"/>
    <mergeCell ref="VTU11:VTX11"/>
    <mergeCell ref="WDE11:WDH11"/>
    <mergeCell ref="WDI11:WDL11"/>
    <mergeCell ref="WDM11:WDP11"/>
    <mergeCell ref="WDQ11:WDT11"/>
    <mergeCell ref="WDU11:WDX11"/>
    <mergeCell ref="WCK11:WCN11"/>
    <mergeCell ref="WCO11:WCR11"/>
    <mergeCell ref="WCS11:WCV11"/>
    <mergeCell ref="WCW11:WCZ11"/>
    <mergeCell ref="WDA11:WDD11"/>
    <mergeCell ref="WBQ11:WBT11"/>
    <mergeCell ref="WBU11:WBX11"/>
    <mergeCell ref="WBY11:WCB11"/>
    <mergeCell ref="WCC11:WCF11"/>
    <mergeCell ref="WCG11:WCJ11"/>
    <mergeCell ref="WAW11:WAZ11"/>
    <mergeCell ref="WBA11:WBD11"/>
    <mergeCell ref="WBE11:WBH11"/>
    <mergeCell ref="WBI11:WBL11"/>
    <mergeCell ref="WBM11:WBP11"/>
    <mergeCell ref="WAC11:WAF11"/>
    <mergeCell ref="WAG11:WAJ11"/>
    <mergeCell ref="WAK11:WAN11"/>
    <mergeCell ref="WAO11:WAR11"/>
    <mergeCell ref="WAS11:WAV11"/>
    <mergeCell ref="VZI11:VZL11"/>
    <mergeCell ref="VZM11:VZP11"/>
    <mergeCell ref="VZQ11:VZT11"/>
    <mergeCell ref="VZU11:VZX11"/>
    <mergeCell ref="VZY11:WAB11"/>
    <mergeCell ref="VYO11:VYR11"/>
    <mergeCell ref="VYS11:VYV11"/>
    <mergeCell ref="VYW11:VYZ11"/>
    <mergeCell ref="VZA11:VZD11"/>
    <mergeCell ref="VZE11:VZH11"/>
    <mergeCell ref="WIO11:WIR11"/>
    <mergeCell ref="WIS11:WIV11"/>
    <mergeCell ref="WIW11:WIZ11"/>
    <mergeCell ref="WJA11:WJD11"/>
    <mergeCell ref="WJE11:WJH11"/>
    <mergeCell ref="WHU11:WHX11"/>
    <mergeCell ref="WHY11:WIB11"/>
    <mergeCell ref="WIC11:WIF11"/>
    <mergeCell ref="WIG11:WIJ11"/>
    <mergeCell ref="WIK11:WIN11"/>
    <mergeCell ref="WHA11:WHD11"/>
    <mergeCell ref="WHE11:WHH11"/>
    <mergeCell ref="WHI11:WHL11"/>
    <mergeCell ref="WHM11:WHP11"/>
    <mergeCell ref="WHQ11:WHT11"/>
    <mergeCell ref="WGG11:WGJ11"/>
    <mergeCell ref="WGK11:WGN11"/>
    <mergeCell ref="WGO11:WGR11"/>
    <mergeCell ref="WGS11:WGV11"/>
    <mergeCell ref="WGW11:WGZ11"/>
    <mergeCell ref="WFM11:WFP11"/>
    <mergeCell ref="WFQ11:WFT11"/>
    <mergeCell ref="WFU11:WFX11"/>
    <mergeCell ref="WFY11:WGB11"/>
    <mergeCell ref="WGC11:WGF11"/>
    <mergeCell ref="WES11:WEV11"/>
    <mergeCell ref="WEW11:WEZ11"/>
    <mergeCell ref="WFA11:WFD11"/>
    <mergeCell ref="WFE11:WFH11"/>
    <mergeCell ref="WFI11:WFL11"/>
    <mergeCell ref="WDY11:WEB11"/>
    <mergeCell ref="WEC11:WEF11"/>
    <mergeCell ref="WEG11:WEJ11"/>
    <mergeCell ref="WEK11:WEN11"/>
    <mergeCell ref="WEO11:WER11"/>
    <mergeCell ref="WNY11:WOB11"/>
    <mergeCell ref="WOC11:WOF11"/>
    <mergeCell ref="WOG11:WOJ11"/>
    <mergeCell ref="WOK11:WON11"/>
    <mergeCell ref="WOO11:WOR11"/>
    <mergeCell ref="WNE11:WNH11"/>
    <mergeCell ref="WNI11:WNL11"/>
    <mergeCell ref="WNM11:WNP11"/>
    <mergeCell ref="WNQ11:WNT11"/>
    <mergeCell ref="WNU11:WNX11"/>
    <mergeCell ref="WMK11:WMN11"/>
    <mergeCell ref="WMO11:WMR11"/>
    <mergeCell ref="WMS11:WMV11"/>
    <mergeCell ref="WMW11:WMZ11"/>
    <mergeCell ref="WNA11:WND11"/>
    <mergeCell ref="WLQ11:WLT11"/>
    <mergeCell ref="WLU11:WLX11"/>
    <mergeCell ref="WLY11:WMB11"/>
    <mergeCell ref="WMC11:WMF11"/>
    <mergeCell ref="WMG11:WMJ11"/>
    <mergeCell ref="WKW11:WKZ11"/>
    <mergeCell ref="WLA11:WLD11"/>
    <mergeCell ref="WLE11:WLH11"/>
    <mergeCell ref="WLI11:WLL11"/>
    <mergeCell ref="WLM11:WLP11"/>
    <mergeCell ref="WKC11:WKF11"/>
    <mergeCell ref="WKG11:WKJ11"/>
    <mergeCell ref="WKK11:WKN11"/>
    <mergeCell ref="WKO11:WKR11"/>
    <mergeCell ref="WKS11:WKV11"/>
    <mergeCell ref="WJI11:WJL11"/>
    <mergeCell ref="WJM11:WJP11"/>
    <mergeCell ref="WJQ11:WJT11"/>
    <mergeCell ref="WJU11:WJX11"/>
    <mergeCell ref="WJY11:WKB11"/>
    <mergeCell ref="WTI11:WTL11"/>
    <mergeCell ref="WTM11:WTP11"/>
    <mergeCell ref="WTQ11:WTT11"/>
    <mergeCell ref="WTU11:WTX11"/>
    <mergeCell ref="WTY11:WUB11"/>
    <mergeCell ref="WSO11:WSR11"/>
    <mergeCell ref="WSS11:WSV11"/>
    <mergeCell ref="WSW11:WSZ11"/>
    <mergeCell ref="WTA11:WTD11"/>
    <mergeCell ref="WTE11:WTH11"/>
    <mergeCell ref="WRU11:WRX11"/>
    <mergeCell ref="WRY11:WSB11"/>
    <mergeCell ref="WSC11:WSF11"/>
    <mergeCell ref="WSG11:WSJ11"/>
    <mergeCell ref="WSK11:WSN11"/>
    <mergeCell ref="WRA11:WRD11"/>
    <mergeCell ref="WRE11:WRH11"/>
    <mergeCell ref="WRI11:WRL11"/>
    <mergeCell ref="WRM11:WRP11"/>
    <mergeCell ref="WRQ11:WRT11"/>
    <mergeCell ref="WQG11:WQJ11"/>
    <mergeCell ref="WQK11:WQN11"/>
    <mergeCell ref="WQO11:WQR11"/>
    <mergeCell ref="WQS11:WQV11"/>
    <mergeCell ref="WQW11:WQZ11"/>
    <mergeCell ref="WPM11:WPP11"/>
    <mergeCell ref="WPQ11:WPT11"/>
    <mergeCell ref="WPU11:WPX11"/>
    <mergeCell ref="WPY11:WQB11"/>
    <mergeCell ref="WQC11:WQF11"/>
    <mergeCell ref="WOS11:WOV11"/>
    <mergeCell ref="WOW11:WOZ11"/>
    <mergeCell ref="WPA11:WPD11"/>
    <mergeCell ref="WPE11:WPH11"/>
    <mergeCell ref="WPI11:WPL11"/>
    <mergeCell ref="WZY11:XAB11"/>
    <mergeCell ref="XAC11:XAF11"/>
    <mergeCell ref="WYS11:WYV11"/>
    <mergeCell ref="WYW11:WYZ11"/>
    <mergeCell ref="WZA11:WZD11"/>
    <mergeCell ref="WZE11:WZH11"/>
    <mergeCell ref="WZI11:WZL11"/>
    <mergeCell ref="WXY11:WYB11"/>
    <mergeCell ref="WYC11:WYF11"/>
    <mergeCell ref="WYG11:WYJ11"/>
    <mergeCell ref="WYK11:WYN11"/>
    <mergeCell ref="WYO11:WYR11"/>
    <mergeCell ref="WXE11:WXH11"/>
    <mergeCell ref="WXI11:WXL11"/>
    <mergeCell ref="WXM11:WXP11"/>
    <mergeCell ref="WXQ11:WXT11"/>
    <mergeCell ref="WXU11:WXX11"/>
    <mergeCell ref="WWK11:WWN11"/>
    <mergeCell ref="WWO11:WWR11"/>
    <mergeCell ref="WWS11:WWV11"/>
    <mergeCell ref="WWW11:WWZ11"/>
    <mergeCell ref="WXA11:WXD11"/>
    <mergeCell ref="WVQ11:WVT11"/>
    <mergeCell ref="WVU11:WVX11"/>
    <mergeCell ref="WVY11:WWB11"/>
    <mergeCell ref="WWC11:WWF11"/>
    <mergeCell ref="WWG11:WWJ11"/>
    <mergeCell ref="WUW11:WUZ11"/>
    <mergeCell ref="WVA11:WVD11"/>
    <mergeCell ref="WVE11:WVH11"/>
    <mergeCell ref="WVI11:WVL11"/>
    <mergeCell ref="WVM11:WVP11"/>
    <mergeCell ref="WUC11:WUF11"/>
    <mergeCell ref="WUG11:WUJ11"/>
    <mergeCell ref="WUK11:WUN11"/>
    <mergeCell ref="WUO11:WUR11"/>
    <mergeCell ref="WUS11:WUV11"/>
    <mergeCell ref="XEW11:XEZ11"/>
    <mergeCell ref="XFA11:XFD11"/>
    <mergeCell ref="B13:E13"/>
    <mergeCell ref="F13:I13"/>
    <mergeCell ref="J13:M13"/>
    <mergeCell ref="N13:P13"/>
    <mergeCell ref="Q13:T13"/>
    <mergeCell ref="U13:X13"/>
    <mergeCell ref="Y13:AB13"/>
    <mergeCell ref="AC13:AF13"/>
    <mergeCell ref="AG13:AJ13"/>
    <mergeCell ref="AK13:AN13"/>
    <mergeCell ref="AO13:AR13"/>
    <mergeCell ref="AS13:AV13"/>
    <mergeCell ref="AW13:AZ13"/>
    <mergeCell ref="BA13:BD13"/>
    <mergeCell ref="XEC11:XEF11"/>
    <mergeCell ref="XEG11:XEJ11"/>
    <mergeCell ref="XEK11:XEN11"/>
    <mergeCell ref="XEO11:XER11"/>
    <mergeCell ref="XES11:XEV11"/>
    <mergeCell ref="XDI11:XDL11"/>
    <mergeCell ref="XDM11:XDP11"/>
    <mergeCell ref="XDQ11:XDT11"/>
    <mergeCell ref="XDU11:XDX11"/>
    <mergeCell ref="XDY11:XEB11"/>
    <mergeCell ref="XCO11:XCR11"/>
    <mergeCell ref="XCS11:XCV11"/>
    <mergeCell ref="XCW11:XCZ11"/>
    <mergeCell ref="XDA11:XDD11"/>
    <mergeCell ref="XDE11:XDH11"/>
    <mergeCell ref="XBU11:XBX11"/>
    <mergeCell ref="XBY11:XCB11"/>
    <mergeCell ref="XCC11:XCF11"/>
    <mergeCell ref="XCG11:XCJ11"/>
    <mergeCell ref="XCK11:XCN11"/>
    <mergeCell ref="XBA11:XBD11"/>
    <mergeCell ref="XBE11:XBH11"/>
    <mergeCell ref="XBI11:XBL11"/>
    <mergeCell ref="XBM11:XBP11"/>
    <mergeCell ref="XBQ11:XBT11"/>
    <mergeCell ref="XAG11:XAJ11"/>
    <mergeCell ref="XAK11:XAN11"/>
    <mergeCell ref="XAO11:XAR11"/>
    <mergeCell ref="XAS11:XAV11"/>
    <mergeCell ref="XAW11:XAZ11"/>
    <mergeCell ref="WZM11:WZP11"/>
    <mergeCell ref="WZQ11:WZT11"/>
    <mergeCell ref="WZU11:WZX11"/>
    <mergeCell ref="IC13:IF13"/>
    <mergeCell ref="IG13:IJ13"/>
    <mergeCell ref="IK13:IN13"/>
    <mergeCell ref="IO13:IR13"/>
    <mergeCell ref="IS13:IV13"/>
    <mergeCell ref="HI13:HL13"/>
    <mergeCell ref="HM13:HP13"/>
    <mergeCell ref="HQ13:HT13"/>
    <mergeCell ref="HU13:HX13"/>
    <mergeCell ref="HY13:IB13"/>
    <mergeCell ref="GO13:GR13"/>
    <mergeCell ref="GS13:GV13"/>
    <mergeCell ref="GW13:GZ13"/>
    <mergeCell ref="HA13:HD13"/>
    <mergeCell ref="HE13:HH13"/>
    <mergeCell ref="FU13:FX13"/>
    <mergeCell ref="FY13:GB13"/>
    <mergeCell ref="GC13:GF13"/>
    <mergeCell ref="GG13:GJ13"/>
    <mergeCell ref="GK13:GN13"/>
    <mergeCell ref="FA13:FD13"/>
    <mergeCell ref="FE13:FH13"/>
    <mergeCell ref="FI13:FL13"/>
    <mergeCell ref="FM13:FP13"/>
    <mergeCell ref="FQ13:FT13"/>
    <mergeCell ref="EG13:EJ13"/>
    <mergeCell ref="EK13:EN13"/>
    <mergeCell ref="EO13:ER13"/>
    <mergeCell ref="ES13:EV13"/>
    <mergeCell ref="EW13:EZ13"/>
    <mergeCell ref="DM13:DP13"/>
    <mergeCell ref="DQ13:DT13"/>
    <mergeCell ref="DU13:DX13"/>
    <mergeCell ref="DY13:EB13"/>
    <mergeCell ref="EC13:EF13"/>
    <mergeCell ref="NM13:NP13"/>
    <mergeCell ref="NQ13:NT13"/>
    <mergeCell ref="NU13:NX13"/>
    <mergeCell ref="NY13:OB13"/>
    <mergeCell ref="OC13:OF13"/>
    <mergeCell ref="MS13:MV13"/>
    <mergeCell ref="MW13:MZ13"/>
    <mergeCell ref="NA13:ND13"/>
    <mergeCell ref="NE13:NH13"/>
    <mergeCell ref="NI13:NL13"/>
    <mergeCell ref="LY13:MB13"/>
    <mergeCell ref="MC13:MF13"/>
    <mergeCell ref="MG13:MJ13"/>
    <mergeCell ref="MK13:MN13"/>
    <mergeCell ref="MO13:MR13"/>
    <mergeCell ref="LE13:LH13"/>
    <mergeCell ref="LI13:LL13"/>
    <mergeCell ref="LM13:LP13"/>
    <mergeCell ref="LQ13:LT13"/>
    <mergeCell ref="LU13:LX13"/>
    <mergeCell ref="KK13:KN13"/>
    <mergeCell ref="KO13:KR13"/>
    <mergeCell ref="KS13:KV13"/>
    <mergeCell ref="KW13:KZ13"/>
    <mergeCell ref="LA13:LD13"/>
    <mergeCell ref="JQ13:JT13"/>
    <mergeCell ref="JU13:JX13"/>
    <mergeCell ref="JY13:KB13"/>
    <mergeCell ref="KC13:KF13"/>
    <mergeCell ref="KG13:KJ13"/>
    <mergeCell ref="IW13:IZ13"/>
    <mergeCell ref="JA13:JD13"/>
    <mergeCell ref="JE13:JH13"/>
    <mergeCell ref="JI13:JL13"/>
    <mergeCell ref="JM13:JP13"/>
    <mergeCell ref="SW13:SZ13"/>
    <mergeCell ref="TA13:TD13"/>
    <mergeCell ref="TE13:TH13"/>
    <mergeCell ref="TI13:TL13"/>
    <mergeCell ref="TM13:TP13"/>
    <mergeCell ref="SC13:SF13"/>
    <mergeCell ref="SG13:SJ13"/>
    <mergeCell ref="SK13:SN13"/>
    <mergeCell ref="SO13:SR13"/>
    <mergeCell ref="SS13:SV13"/>
    <mergeCell ref="RI13:RL13"/>
    <mergeCell ref="RM13:RP13"/>
    <mergeCell ref="RQ13:RT13"/>
    <mergeCell ref="RU13:RX13"/>
    <mergeCell ref="RY13:SB13"/>
    <mergeCell ref="QO13:QR13"/>
    <mergeCell ref="QS13:QV13"/>
    <mergeCell ref="QW13:QZ13"/>
    <mergeCell ref="RA13:RD13"/>
    <mergeCell ref="RE13:RH13"/>
    <mergeCell ref="PU13:PX13"/>
    <mergeCell ref="PY13:QB13"/>
    <mergeCell ref="QC13:QF13"/>
    <mergeCell ref="QG13:QJ13"/>
    <mergeCell ref="QK13:QN13"/>
    <mergeCell ref="PA13:PD13"/>
    <mergeCell ref="PE13:PH13"/>
    <mergeCell ref="PI13:PL13"/>
    <mergeCell ref="PM13:PP13"/>
    <mergeCell ref="PQ13:PT13"/>
    <mergeCell ref="OG13:OJ13"/>
    <mergeCell ref="OK13:ON13"/>
    <mergeCell ref="OO13:OR13"/>
    <mergeCell ref="OS13:OV13"/>
    <mergeCell ref="OW13:OZ13"/>
    <mergeCell ref="YG13:YJ13"/>
    <mergeCell ref="YK13:YN13"/>
    <mergeCell ref="YO13:YR13"/>
    <mergeCell ref="YS13:YV13"/>
    <mergeCell ref="YW13:YZ13"/>
    <mergeCell ref="XM13:XP13"/>
    <mergeCell ref="XQ13:XT13"/>
    <mergeCell ref="XU13:XX13"/>
    <mergeCell ref="XY13:YB13"/>
    <mergeCell ref="YC13:YF13"/>
    <mergeCell ref="WS13:WV13"/>
    <mergeCell ref="WW13:WZ13"/>
    <mergeCell ref="XA13:XD13"/>
    <mergeCell ref="XE13:XH13"/>
    <mergeCell ref="XI13:XL13"/>
    <mergeCell ref="VY13:WB13"/>
    <mergeCell ref="WC13:WF13"/>
    <mergeCell ref="WG13:WJ13"/>
    <mergeCell ref="WK13:WN13"/>
    <mergeCell ref="WO13:WR13"/>
    <mergeCell ref="VE13:VH13"/>
    <mergeCell ref="VI13:VL13"/>
    <mergeCell ref="VM13:VP13"/>
    <mergeCell ref="VQ13:VT13"/>
    <mergeCell ref="VU13:VX13"/>
    <mergeCell ref="UK13:UN13"/>
    <mergeCell ref="UO13:UR13"/>
    <mergeCell ref="US13:UV13"/>
    <mergeCell ref="UW13:UZ13"/>
    <mergeCell ref="VA13:VD13"/>
    <mergeCell ref="TQ13:TT13"/>
    <mergeCell ref="TU13:TX13"/>
    <mergeCell ref="TY13:UB13"/>
    <mergeCell ref="UC13:UF13"/>
    <mergeCell ref="UG13:UJ13"/>
    <mergeCell ref="ADQ13:ADT13"/>
    <mergeCell ref="ADU13:ADX13"/>
    <mergeCell ref="ADY13:AEB13"/>
    <mergeCell ref="AEC13:AEF13"/>
    <mergeCell ref="AEG13:AEJ13"/>
    <mergeCell ref="ACW13:ACZ13"/>
    <mergeCell ref="ADA13:ADD13"/>
    <mergeCell ref="ADE13:ADH13"/>
    <mergeCell ref="ADI13:ADL13"/>
    <mergeCell ref="ADM13:ADP13"/>
    <mergeCell ref="ACC13:ACF13"/>
    <mergeCell ref="ACG13:ACJ13"/>
    <mergeCell ref="ACK13:ACN13"/>
    <mergeCell ref="ACO13:ACR13"/>
    <mergeCell ref="ACS13:ACV13"/>
    <mergeCell ref="ABI13:ABL13"/>
    <mergeCell ref="ABM13:ABP13"/>
    <mergeCell ref="ABQ13:ABT13"/>
    <mergeCell ref="ABU13:ABX13"/>
    <mergeCell ref="ABY13:ACB13"/>
    <mergeCell ref="AAO13:AAR13"/>
    <mergeCell ref="AAS13:AAV13"/>
    <mergeCell ref="AAW13:AAZ13"/>
    <mergeCell ref="ABA13:ABD13"/>
    <mergeCell ref="ABE13:ABH13"/>
    <mergeCell ref="ZU13:ZX13"/>
    <mergeCell ref="ZY13:AAB13"/>
    <mergeCell ref="AAC13:AAF13"/>
    <mergeCell ref="AAG13:AAJ13"/>
    <mergeCell ref="AAK13:AAN13"/>
    <mergeCell ref="ZA13:ZD13"/>
    <mergeCell ref="ZE13:ZH13"/>
    <mergeCell ref="ZI13:ZL13"/>
    <mergeCell ref="ZM13:ZP13"/>
    <mergeCell ref="ZQ13:ZT13"/>
    <mergeCell ref="AJA13:AJD13"/>
    <mergeCell ref="AJE13:AJH13"/>
    <mergeCell ref="AJI13:AJL13"/>
    <mergeCell ref="AJM13:AJP13"/>
    <mergeCell ref="AJQ13:AJT13"/>
    <mergeCell ref="AIG13:AIJ13"/>
    <mergeCell ref="AIK13:AIN13"/>
    <mergeCell ref="AIO13:AIR13"/>
    <mergeCell ref="AIS13:AIV13"/>
    <mergeCell ref="AIW13:AIZ13"/>
    <mergeCell ref="AHM13:AHP13"/>
    <mergeCell ref="AHQ13:AHT13"/>
    <mergeCell ref="AHU13:AHX13"/>
    <mergeCell ref="AHY13:AIB13"/>
    <mergeCell ref="AIC13:AIF13"/>
    <mergeCell ref="AGS13:AGV13"/>
    <mergeCell ref="AGW13:AGZ13"/>
    <mergeCell ref="AHA13:AHD13"/>
    <mergeCell ref="AHE13:AHH13"/>
    <mergeCell ref="AHI13:AHL13"/>
    <mergeCell ref="AFY13:AGB13"/>
    <mergeCell ref="AGC13:AGF13"/>
    <mergeCell ref="AGG13:AGJ13"/>
    <mergeCell ref="AGK13:AGN13"/>
    <mergeCell ref="AGO13:AGR13"/>
    <mergeCell ref="AFE13:AFH13"/>
    <mergeCell ref="AFI13:AFL13"/>
    <mergeCell ref="AFM13:AFP13"/>
    <mergeCell ref="AFQ13:AFT13"/>
    <mergeCell ref="AFU13:AFX13"/>
    <mergeCell ref="AEK13:AEN13"/>
    <mergeCell ref="AEO13:AER13"/>
    <mergeCell ref="AES13:AEV13"/>
    <mergeCell ref="AEW13:AEZ13"/>
    <mergeCell ref="AFA13:AFD13"/>
    <mergeCell ref="AOK13:AON13"/>
    <mergeCell ref="AOO13:AOR13"/>
    <mergeCell ref="AOS13:AOV13"/>
    <mergeCell ref="AOW13:AOZ13"/>
    <mergeCell ref="APA13:APD13"/>
    <mergeCell ref="ANQ13:ANT13"/>
    <mergeCell ref="ANU13:ANX13"/>
    <mergeCell ref="ANY13:AOB13"/>
    <mergeCell ref="AOC13:AOF13"/>
    <mergeCell ref="AOG13:AOJ13"/>
    <mergeCell ref="AMW13:AMZ13"/>
    <mergeCell ref="ANA13:AND13"/>
    <mergeCell ref="ANE13:ANH13"/>
    <mergeCell ref="ANI13:ANL13"/>
    <mergeCell ref="ANM13:ANP13"/>
    <mergeCell ref="AMC13:AMF13"/>
    <mergeCell ref="AMG13:AMJ13"/>
    <mergeCell ref="AMK13:AMN13"/>
    <mergeCell ref="AMO13:AMR13"/>
    <mergeCell ref="AMS13:AMV13"/>
    <mergeCell ref="ALI13:ALL13"/>
    <mergeCell ref="ALM13:ALP13"/>
    <mergeCell ref="ALQ13:ALT13"/>
    <mergeCell ref="ALU13:ALX13"/>
    <mergeCell ref="ALY13:AMB13"/>
    <mergeCell ref="AKO13:AKR13"/>
    <mergeCell ref="AKS13:AKV13"/>
    <mergeCell ref="AKW13:AKZ13"/>
    <mergeCell ref="ALA13:ALD13"/>
    <mergeCell ref="ALE13:ALH13"/>
    <mergeCell ref="AJU13:AJX13"/>
    <mergeCell ref="AJY13:AKB13"/>
    <mergeCell ref="AKC13:AKF13"/>
    <mergeCell ref="AKG13:AKJ13"/>
    <mergeCell ref="AKK13:AKN13"/>
    <mergeCell ref="ATU13:ATX13"/>
    <mergeCell ref="ATY13:AUB13"/>
    <mergeCell ref="AUC13:AUF13"/>
    <mergeCell ref="AUG13:AUJ13"/>
    <mergeCell ref="AUK13:AUN13"/>
    <mergeCell ref="ATA13:ATD13"/>
    <mergeCell ref="ATE13:ATH13"/>
    <mergeCell ref="ATI13:ATL13"/>
    <mergeCell ref="ATM13:ATP13"/>
    <mergeCell ref="ATQ13:ATT13"/>
    <mergeCell ref="ASG13:ASJ13"/>
    <mergeCell ref="ASK13:ASN13"/>
    <mergeCell ref="ASO13:ASR13"/>
    <mergeCell ref="ASS13:ASV13"/>
    <mergeCell ref="ASW13:ASZ13"/>
    <mergeCell ref="ARM13:ARP13"/>
    <mergeCell ref="ARQ13:ART13"/>
    <mergeCell ref="ARU13:ARX13"/>
    <mergeCell ref="ARY13:ASB13"/>
    <mergeCell ref="ASC13:ASF13"/>
    <mergeCell ref="AQS13:AQV13"/>
    <mergeCell ref="AQW13:AQZ13"/>
    <mergeCell ref="ARA13:ARD13"/>
    <mergeCell ref="ARE13:ARH13"/>
    <mergeCell ref="ARI13:ARL13"/>
    <mergeCell ref="APY13:AQB13"/>
    <mergeCell ref="AQC13:AQF13"/>
    <mergeCell ref="AQG13:AQJ13"/>
    <mergeCell ref="AQK13:AQN13"/>
    <mergeCell ref="AQO13:AQR13"/>
    <mergeCell ref="APE13:APH13"/>
    <mergeCell ref="API13:APL13"/>
    <mergeCell ref="APM13:APP13"/>
    <mergeCell ref="APQ13:APT13"/>
    <mergeCell ref="APU13:APX13"/>
    <mergeCell ref="AZE13:AZH13"/>
    <mergeCell ref="AZI13:AZL13"/>
    <mergeCell ref="AZM13:AZP13"/>
    <mergeCell ref="AZQ13:AZT13"/>
    <mergeCell ref="AZU13:AZX13"/>
    <mergeCell ref="AYK13:AYN13"/>
    <mergeCell ref="AYO13:AYR13"/>
    <mergeCell ref="AYS13:AYV13"/>
    <mergeCell ref="AYW13:AYZ13"/>
    <mergeCell ref="AZA13:AZD13"/>
    <mergeCell ref="AXQ13:AXT13"/>
    <mergeCell ref="AXU13:AXX13"/>
    <mergeCell ref="AXY13:AYB13"/>
    <mergeCell ref="AYC13:AYF13"/>
    <mergeCell ref="AYG13:AYJ13"/>
    <mergeCell ref="AWW13:AWZ13"/>
    <mergeCell ref="AXA13:AXD13"/>
    <mergeCell ref="AXE13:AXH13"/>
    <mergeCell ref="AXI13:AXL13"/>
    <mergeCell ref="AXM13:AXP13"/>
    <mergeCell ref="AWC13:AWF13"/>
    <mergeCell ref="AWG13:AWJ13"/>
    <mergeCell ref="AWK13:AWN13"/>
    <mergeCell ref="AWO13:AWR13"/>
    <mergeCell ref="AWS13:AWV13"/>
    <mergeCell ref="AVI13:AVL13"/>
    <mergeCell ref="AVM13:AVP13"/>
    <mergeCell ref="AVQ13:AVT13"/>
    <mergeCell ref="AVU13:AVX13"/>
    <mergeCell ref="AVY13:AWB13"/>
    <mergeCell ref="AUO13:AUR13"/>
    <mergeCell ref="AUS13:AUV13"/>
    <mergeCell ref="AUW13:AUZ13"/>
    <mergeCell ref="AVA13:AVD13"/>
    <mergeCell ref="AVE13:AVH13"/>
    <mergeCell ref="BEO13:BER13"/>
    <mergeCell ref="BES13:BEV13"/>
    <mergeCell ref="BEW13:BEZ13"/>
    <mergeCell ref="BFA13:BFD13"/>
    <mergeCell ref="BFE13:BFH13"/>
    <mergeCell ref="BDU13:BDX13"/>
    <mergeCell ref="BDY13:BEB13"/>
    <mergeCell ref="BEC13:BEF13"/>
    <mergeCell ref="BEG13:BEJ13"/>
    <mergeCell ref="BEK13:BEN13"/>
    <mergeCell ref="BDA13:BDD13"/>
    <mergeCell ref="BDE13:BDH13"/>
    <mergeCell ref="BDI13:BDL13"/>
    <mergeCell ref="BDM13:BDP13"/>
    <mergeCell ref="BDQ13:BDT13"/>
    <mergeCell ref="BCG13:BCJ13"/>
    <mergeCell ref="BCK13:BCN13"/>
    <mergeCell ref="BCO13:BCR13"/>
    <mergeCell ref="BCS13:BCV13"/>
    <mergeCell ref="BCW13:BCZ13"/>
    <mergeCell ref="BBM13:BBP13"/>
    <mergeCell ref="BBQ13:BBT13"/>
    <mergeCell ref="BBU13:BBX13"/>
    <mergeCell ref="BBY13:BCB13"/>
    <mergeCell ref="BCC13:BCF13"/>
    <mergeCell ref="BAS13:BAV13"/>
    <mergeCell ref="BAW13:BAZ13"/>
    <mergeCell ref="BBA13:BBD13"/>
    <mergeCell ref="BBE13:BBH13"/>
    <mergeCell ref="BBI13:BBL13"/>
    <mergeCell ref="AZY13:BAB13"/>
    <mergeCell ref="BAC13:BAF13"/>
    <mergeCell ref="BAG13:BAJ13"/>
    <mergeCell ref="BAK13:BAN13"/>
    <mergeCell ref="BAO13:BAR13"/>
    <mergeCell ref="BJY13:BKB13"/>
    <mergeCell ref="BKC13:BKF13"/>
    <mergeCell ref="BKG13:BKJ13"/>
    <mergeCell ref="BKK13:BKN13"/>
    <mergeCell ref="BKO13:BKR13"/>
    <mergeCell ref="BJE13:BJH13"/>
    <mergeCell ref="BJI13:BJL13"/>
    <mergeCell ref="BJM13:BJP13"/>
    <mergeCell ref="BJQ13:BJT13"/>
    <mergeCell ref="BJU13:BJX13"/>
    <mergeCell ref="BIK13:BIN13"/>
    <mergeCell ref="BIO13:BIR13"/>
    <mergeCell ref="BIS13:BIV13"/>
    <mergeCell ref="BIW13:BIZ13"/>
    <mergeCell ref="BJA13:BJD13"/>
    <mergeCell ref="BHQ13:BHT13"/>
    <mergeCell ref="BHU13:BHX13"/>
    <mergeCell ref="BHY13:BIB13"/>
    <mergeCell ref="BIC13:BIF13"/>
    <mergeCell ref="BIG13:BIJ13"/>
    <mergeCell ref="BGW13:BGZ13"/>
    <mergeCell ref="BHA13:BHD13"/>
    <mergeCell ref="BHE13:BHH13"/>
    <mergeCell ref="BHI13:BHL13"/>
    <mergeCell ref="BHM13:BHP13"/>
    <mergeCell ref="BGC13:BGF13"/>
    <mergeCell ref="BGG13:BGJ13"/>
    <mergeCell ref="BGK13:BGN13"/>
    <mergeCell ref="BGO13:BGR13"/>
    <mergeCell ref="BGS13:BGV13"/>
    <mergeCell ref="BFI13:BFL13"/>
    <mergeCell ref="BFM13:BFP13"/>
    <mergeCell ref="BFQ13:BFT13"/>
    <mergeCell ref="BFU13:BFX13"/>
    <mergeCell ref="BFY13:BGB13"/>
    <mergeCell ref="BPI13:BPL13"/>
    <mergeCell ref="BPM13:BPP13"/>
    <mergeCell ref="BPQ13:BPT13"/>
    <mergeCell ref="BPU13:BPX13"/>
    <mergeCell ref="BPY13:BQB13"/>
    <mergeCell ref="BOO13:BOR13"/>
    <mergeCell ref="BOS13:BOV13"/>
    <mergeCell ref="BOW13:BOZ13"/>
    <mergeCell ref="BPA13:BPD13"/>
    <mergeCell ref="BPE13:BPH13"/>
    <mergeCell ref="BNU13:BNX13"/>
    <mergeCell ref="BNY13:BOB13"/>
    <mergeCell ref="BOC13:BOF13"/>
    <mergeCell ref="BOG13:BOJ13"/>
    <mergeCell ref="BOK13:BON13"/>
    <mergeCell ref="BNA13:BND13"/>
    <mergeCell ref="BNE13:BNH13"/>
    <mergeCell ref="BNI13:BNL13"/>
    <mergeCell ref="BNM13:BNP13"/>
    <mergeCell ref="BNQ13:BNT13"/>
    <mergeCell ref="BMG13:BMJ13"/>
    <mergeCell ref="BMK13:BMN13"/>
    <mergeCell ref="BMO13:BMR13"/>
    <mergeCell ref="BMS13:BMV13"/>
    <mergeCell ref="BMW13:BMZ13"/>
    <mergeCell ref="BLM13:BLP13"/>
    <mergeCell ref="BLQ13:BLT13"/>
    <mergeCell ref="BLU13:BLX13"/>
    <mergeCell ref="BLY13:BMB13"/>
    <mergeCell ref="BMC13:BMF13"/>
    <mergeCell ref="BKS13:BKV13"/>
    <mergeCell ref="BKW13:BKZ13"/>
    <mergeCell ref="BLA13:BLD13"/>
    <mergeCell ref="BLE13:BLH13"/>
    <mergeCell ref="BLI13:BLL13"/>
    <mergeCell ref="BUS13:BUV13"/>
    <mergeCell ref="BUW13:BUZ13"/>
    <mergeCell ref="BVA13:BVD13"/>
    <mergeCell ref="BVE13:BVH13"/>
    <mergeCell ref="BVI13:BVL13"/>
    <mergeCell ref="BTY13:BUB13"/>
    <mergeCell ref="BUC13:BUF13"/>
    <mergeCell ref="BUG13:BUJ13"/>
    <mergeCell ref="BUK13:BUN13"/>
    <mergeCell ref="BUO13:BUR13"/>
    <mergeCell ref="BTE13:BTH13"/>
    <mergeCell ref="BTI13:BTL13"/>
    <mergeCell ref="BTM13:BTP13"/>
    <mergeCell ref="BTQ13:BTT13"/>
    <mergeCell ref="BTU13:BTX13"/>
    <mergeCell ref="BSK13:BSN13"/>
    <mergeCell ref="BSO13:BSR13"/>
    <mergeCell ref="BSS13:BSV13"/>
    <mergeCell ref="BSW13:BSZ13"/>
    <mergeCell ref="BTA13:BTD13"/>
    <mergeCell ref="BRQ13:BRT13"/>
    <mergeCell ref="BRU13:BRX13"/>
    <mergeCell ref="BRY13:BSB13"/>
    <mergeCell ref="BSC13:BSF13"/>
    <mergeCell ref="BSG13:BSJ13"/>
    <mergeCell ref="BQW13:BQZ13"/>
    <mergeCell ref="BRA13:BRD13"/>
    <mergeCell ref="BRE13:BRH13"/>
    <mergeCell ref="BRI13:BRL13"/>
    <mergeCell ref="BRM13:BRP13"/>
    <mergeCell ref="BQC13:BQF13"/>
    <mergeCell ref="BQG13:BQJ13"/>
    <mergeCell ref="BQK13:BQN13"/>
    <mergeCell ref="BQO13:BQR13"/>
    <mergeCell ref="BQS13:BQV13"/>
    <mergeCell ref="CAC13:CAF13"/>
    <mergeCell ref="CAG13:CAJ13"/>
    <mergeCell ref="CAK13:CAN13"/>
    <mergeCell ref="CAO13:CAR13"/>
    <mergeCell ref="CAS13:CAV13"/>
    <mergeCell ref="BZI13:BZL13"/>
    <mergeCell ref="BZM13:BZP13"/>
    <mergeCell ref="BZQ13:BZT13"/>
    <mergeCell ref="BZU13:BZX13"/>
    <mergeCell ref="BZY13:CAB13"/>
    <mergeCell ref="BYO13:BYR13"/>
    <mergeCell ref="BYS13:BYV13"/>
    <mergeCell ref="BYW13:BYZ13"/>
    <mergeCell ref="BZA13:BZD13"/>
    <mergeCell ref="BZE13:BZH13"/>
    <mergeCell ref="BXU13:BXX13"/>
    <mergeCell ref="BXY13:BYB13"/>
    <mergeCell ref="BYC13:BYF13"/>
    <mergeCell ref="BYG13:BYJ13"/>
    <mergeCell ref="BYK13:BYN13"/>
    <mergeCell ref="BXA13:BXD13"/>
    <mergeCell ref="BXE13:BXH13"/>
    <mergeCell ref="BXI13:BXL13"/>
    <mergeCell ref="BXM13:BXP13"/>
    <mergeCell ref="BXQ13:BXT13"/>
    <mergeCell ref="BWG13:BWJ13"/>
    <mergeCell ref="BWK13:BWN13"/>
    <mergeCell ref="BWO13:BWR13"/>
    <mergeCell ref="BWS13:BWV13"/>
    <mergeCell ref="BWW13:BWZ13"/>
    <mergeCell ref="BVM13:BVP13"/>
    <mergeCell ref="BVQ13:BVT13"/>
    <mergeCell ref="BVU13:BVX13"/>
    <mergeCell ref="BVY13:BWB13"/>
    <mergeCell ref="BWC13:BWF13"/>
    <mergeCell ref="CFM13:CFP13"/>
    <mergeCell ref="CFQ13:CFT13"/>
    <mergeCell ref="CFU13:CFX13"/>
    <mergeCell ref="CFY13:CGB13"/>
    <mergeCell ref="CGC13:CGF13"/>
    <mergeCell ref="CES13:CEV13"/>
    <mergeCell ref="CEW13:CEZ13"/>
    <mergeCell ref="CFA13:CFD13"/>
    <mergeCell ref="CFE13:CFH13"/>
    <mergeCell ref="CFI13:CFL13"/>
    <mergeCell ref="CDY13:CEB13"/>
    <mergeCell ref="CEC13:CEF13"/>
    <mergeCell ref="CEG13:CEJ13"/>
    <mergeCell ref="CEK13:CEN13"/>
    <mergeCell ref="CEO13:CER13"/>
    <mergeCell ref="CDE13:CDH13"/>
    <mergeCell ref="CDI13:CDL13"/>
    <mergeCell ref="CDM13:CDP13"/>
    <mergeCell ref="CDQ13:CDT13"/>
    <mergeCell ref="CDU13:CDX13"/>
    <mergeCell ref="CCK13:CCN13"/>
    <mergeCell ref="CCO13:CCR13"/>
    <mergeCell ref="CCS13:CCV13"/>
    <mergeCell ref="CCW13:CCZ13"/>
    <mergeCell ref="CDA13:CDD13"/>
    <mergeCell ref="CBQ13:CBT13"/>
    <mergeCell ref="CBU13:CBX13"/>
    <mergeCell ref="CBY13:CCB13"/>
    <mergeCell ref="CCC13:CCF13"/>
    <mergeCell ref="CCG13:CCJ13"/>
    <mergeCell ref="CAW13:CAZ13"/>
    <mergeCell ref="CBA13:CBD13"/>
    <mergeCell ref="CBE13:CBH13"/>
    <mergeCell ref="CBI13:CBL13"/>
    <mergeCell ref="CBM13:CBP13"/>
    <mergeCell ref="CKW13:CKZ13"/>
    <mergeCell ref="CLA13:CLD13"/>
    <mergeCell ref="CLE13:CLH13"/>
    <mergeCell ref="CLI13:CLL13"/>
    <mergeCell ref="CLM13:CLP13"/>
    <mergeCell ref="CKC13:CKF13"/>
    <mergeCell ref="CKG13:CKJ13"/>
    <mergeCell ref="CKK13:CKN13"/>
    <mergeCell ref="CKO13:CKR13"/>
    <mergeCell ref="CKS13:CKV13"/>
    <mergeCell ref="CJI13:CJL13"/>
    <mergeCell ref="CJM13:CJP13"/>
    <mergeCell ref="CJQ13:CJT13"/>
    <mergeCell ref="CJU13:CJX13"/>
    <mergeCell ref="CJY13:CKB13"/>
    <mergeCell ref="CIO13:CIR13"/>
    <mergeCell ref="CIS13:CIV13"/>
    <mergeCell ref="CIW13:CIZ13"/>
    <mergeCell ref="CJA13:CJD13"/>
    <mergeCell ref="CJE13:CJH13"/>
    <mergeCell ref="CHU13:CHX13"/>
    <mergeCell ref="CHY13:CIB13"/>
    <mergeCell ref="CIC13:CIF13"/>
    <mergeCell ref="CIG13:CIJ13"/>
    <mergeCell ref="CIK13:CIN13"/>
    <mergeCell ref="CHA13:CHD13"/>
    <mergeCell ref="CHE13:CHH13"/>
    <mergeCell ref="CHI13:CHL13"/>
    <mergeCell ref="CHM13:CHP13"/>
    <mergeCell ref="CHQ13:CHT13"/>
    <mergeCell ref="CGG13:CGJ13"/>
    <mergeCell ref="CGK13:CGN13"/>
    <mergeCell ref="CGO13:CGR13"/>
    <mergeCell ref="CGS13:CGV13"/>
    <mergeCell ref="CGW13:CGZ13"/>
    <mergeCell ref="CQG13:CQJ13"/>
    <mergeCell ref="CQK13:CQN13"/>
    <mergeCell ref="CQO13:CQR13"/>
    <mergeCell ref="CQS13:CQV13"/>
    <mergeCell ref="CQW13:CQZ13"/>
    <mergeCell ref="CPM13:CPP13"/>
    <mergeCell ref="CPQ13:CPT13"/>
    <mergeCell ref="CPU13:CPX13"/>
    <mergeCell ref="CPY13:CQB13"/>
    <mergeCell ref="CQC13:CQF13"/>
    <mergeCell ref="COS13:COV13"/>
    <mergeCell ref="COW13:COZ13"/>
    <mergeCell ref="CPA13:CPD13"/>
    <mergeCell ref="CPE13:CPH13"/>
    <mergeCell ref="CPI13:CPL13"/>
    <mergeCell ref="CNY13:COB13"/>
    <mergeCell ref="COC13:COF13"/>
    <mergeCell ref="COG13:COJ13"/>
    <mergeCell ref="COK13:CON13"/>
    <mergeCell ref="COO13:COR13"/>
    <mergeCell ref="CNE13:CNH13"/>
    <mergeCell ref="CNI13:CNL13"/>
    <mergeCell ref="CNM13:CNP13"/>
    <mergeCell ref="CNQ13:CNT13"/>
    <mergeCell ref="CNU13:CNX13"/>
    <mergeCell ref="CMK13:CMN13"/>
    <mergeCell ref="CMO13:CMR13"/>
    <mergeCell ref="CMS13:CMV13"/>
    <mergeCell ref="CMW13:CMZ13"/>
    <mergeCell ref="CNA13:CND13"/>
    <mergeCell ref="CLQ13:CLT13"/>
    <mergeCell ref="CLU13:CLX13"/>
    <mergeCell ref="CLY13:CMB13"/>
    <mergeCell ref="CMC13:CMF13"/>
    <mergeCell ref="CMG13:CMJ13"/>
    <mergeCell ref="CVQ13:CVT13"/>
    <mergeCell ref="CVU13:CVX13"/>
    <mergeCell ref="CVY13:CWB13"/>
    <mergeCell ref="CWC13:CWF13"/>
    <mergeCell ref="CWG13:CWJ13"/>
    <mergeCell ref="CUW13:CUZ13"/>
    <mergeCell ref="CVA13:CVD13"/>
    <mergeCell ref="CVE13:CVH13"/>
    <mergeCell ref="CVI13:CVL13"/>
    <mergeCell ref="CVM13:CVP13"/>
    <mergeCell ref="CUC13:CUF13"/>
    <mergeCell ref="CUG13:CUJ13"/>
    <mergeCell ref="CUK13:CUN13"/>
    <mergeCell ref="CUO13:CUR13"/>
    <mergeCell ref="CUS13:CUV13"/>
    <mergeCell ref="CTI13:CTL13"/>
    <mergeCell ref="CTM13:CTP13"/>
    <mergeCell ref="CTQ13:CTT13"/>
    <mergeCell ref="CTU13:CTX13"/>
    <mergeCell ref="CTY13:CUB13"/>
    <mergeCell ref="CSO13:CSR13"/>
    <mergeCell ref="CSS13:CSV13"/>
    <mergeCell ref="CSW13:CSZ13"/>
    <mergeCell ref="CTA13:CTD13"/>
    <mergeCell ref="CTE13:CTH13"/>
    <mergeCell ref="CRU13:CRX13"/>
    <mergeCell ref="CRY13:CSB13"/>
    <mergeCell ref="CSC13:CSF13"/>
    <mergeCell ref="CSG13:CSJ13"/>
    <mergeCell ref="CSK13:CSN13"/>
    <mergeCell ref="CRA13:CRD13"/>
    <mergeCell ref="CRE13:CRH13"/>
    <mergeCell ref="CRI13:CRL13"/>
    <mergeCell ref="CRM13:CRP13"/>
    <mergeCell ref="CRQ13:CRT13"/>
    <mergeCell ref="DBA13:DBD13"/>
    <mergeCell ref="DBE13:DBH13"/>
    <mergeCell ref="DBI13:DBL13"/>
    <mergeCell ref="DBM13:DBP13"/>
    <mergeCell ref="DBQ13:DBT13"/>
    <mergeCell ref="DAG13:DAJ13"/>
    <mergeCell ref="DAK13:DAN13"/>
    <mergeCell ref="DAO13:DAR13"/>
    <mergeCell ref="DAS13:DAV13"/>
    <mergeCell ref="DAW13:DAZ13"/>
    <mergeCell ref="CZM13:CZP13"/>
    <mergeCell ref="CZQ13:CZT13"/>
    <mergeCell ref="CZU13:CZX13"/>
    <mergeCell ref="CZY13:DAB13"/>
    <mergeCell ref="DAC13:DAF13"/>
    <mergeCell ref="CYS13:CYV13"/>
    <mergeCell ref="CYW13:CYZ13"/>
    <mergeCell ref="CZA13:CZD13"/>
    <mergeCell ref="CZE13:CZH13"/>
    <mergeCell ref="CZI13:CZL13"/>
    <mergeCell ref="CXY13:CYB13"/>
    <mergeCell ref="CYC13:CYF13"/>
    <mergeCell ref="CYG13:CYJ13"/>
    <mergeCell ref="CYK13:CYN13"/>
    <mergeCell ref="CYO13:CYR13"/>
    <mergeCell ref="CXE13:CXH13"/>
    <mergeCell ref="CXI13:CXL13"/>
    <mergeCell ref="CXM13:CXP13"/>
    <mergeCell ref="CXQ13:CXT13"/>
    <mergeCell ref="CXU13:CXX13"/>
    <mergeCell ref="CWK13:CWN13"/>
    <mergeCell ref="CWO13:CWR13"/>
    <mergeCell ref="CWS13:CWV13"/>
    <mergeCell ref="CWW13:CWZ13"/>
    <mergeCell ref="CXA13:CXD13"/>
    <mergeCell ref="DGK13:DGN13"/>
    <mergeCell ref="DGO13:DGR13"/>
    <mergeCell ref="DGS13:DGV13"/>
    <mergeCell ref="DGW13:DGZ13"/>
    <mergeCell ref="DHA13:DHD13"/>
    <mergeCell ref="DFQ13:DFT13"/>
    <mergeCell ref="DFU13:DFX13"/>
    <mergeCell ref="DFY13:DGB13"/>
    <mergeCell ref="DGC13:DGF13"/>
    <mergeCell ref="DGG13:DGJ13"/>
    <mergeCell ref="DEW13:DEZ13"/>
    <mergeCell ref="DFA13:DFD13"/>
    <mergeCell ref="DFE13:DFH13"/>
    <mergeCell ref="DFI13:DFL13"/>
    <mergeCell ref="DFM13:DFP13"/>
    <mergeCell ref="DEC13:DEF13"/>
    <mergeCell ref="DEG13:DEJ13"/>
    <mergeCell ref="DEK13:DEN13"/>
    <mergeCell ref="DEO13:DER13"/>
    <mergeCell ref="DES13:DEV13"/>
    <mergeCell ref="DDI13:DDL13"/>
    <mergeCell ref="DDM13:DDP13"/>
    <mergeCell ref="DDQ13:DDT13"/>
    <mergeCell ref="DDU13:DDX13"/>
    <mergeCell ref="DDY13:DEB13"/>
    <mergeCell ref="DCO13:DCR13"/>
    <mergeCell ref="DCS13:DCV13"/>
    <mergeCell ref="DCW13:DCZ13"/>
    <mergeCell ref="DDA13:DDD13"/>
    <mergeCell ref="DDE13:DDH13"/>
    <mergeCell ref="DBU13:DBX13"/>
    <mergeCell ref="DBY13:DCB13"/>
    <mergeCell ref="DCC13:DCF13"/>
    <mergeCell ref="DCG13:DCJ13"/>
    <mergeCell ref="DCK13:DCN13"/>
    <mergeCell ref="DLU13:DLX13"/>
    <mergeCell ref="DLY13:DMB13"/>
    <mergeCell ref="DMC13:DMF13"/>
    <mergeCell ref="DMG13:DMJ13"/>
    <mergeCell ref="DMK13:DMN13"/>
    <mergeCell ref="DLA13:DLD13"/>
    <mergeCell ref="DLE13:DLH13"/>
    <mergeCell ref="DLI13:DLL13"/>
    <mergeCell ref="DLM13:DLP13"/>
    <mergeCell ref="DLQ13:DLT13"/>
    <mergeCell ref="DKG13:DKJ13"/>
    <mergeCell ref="DKK13:DKN13"/>
    <mergeCell ref="DKO13:DKR13"/>
    <mergeCell ref="DKS13:DKV13"/>
    <mergeCell ref="DKW13:DKZ13"/>
    <mergeCell ref="DJM13:DJP13"/>
    <mergeCell ref="DJQ13:DJT13"/>
    <mergeCell ref="DJU13:DJX13"/>
    <mergeCell ref="DJY13:DKB13"/>
    <mergeCell ref="DKC13:DKF13"/>
    <mergeCell ref="DIS13:DIV13"/>
    <mergeCell ref="DIW13:DIZ13"/>
    <mergeCell ref="DJA13:DJD13"/>
    <mergeCell ref="DJE13:DJH13"/>
    <mergeCell ref="DJI13:DJL13"/>
    <mergeCell ref="DHY13:DIB13"/>
    <mergeCell ref="DIC13:DIF13"/>
    <mergeCell ref="DIG13:DIJ13"/>
    <mergeCell ref="DIK13:DIN13"/>
    <mergeCell ref="DIO13:DIR13"/>
    <mergeCell ref="DHE13:DHH13"/>
    <mergeCell ref="DHI13:DHL13"/>
    <mergeCell ref="DHM13:DHP13"/>
    <mergeCell ref="DHQ13:DHT13"/>
    <mergeCell ref="DHU13:DHX13"/>
    <mergeCell ref="DRE13:DRH13"/>
    <mergeCell ref="DRI13:DRL13"/>
    <mergeCell ref="DRM13:DRP13"/>
    <mergeCell ref="DRQ13:DRT13"/>
    <mergeCell ref="DRU13:DRX13"/>
    <mergeCell ref="DQK13:DQN13"/>
    <mergeCell ref="DQO13:DQR13"/>
    <mergeCell ref="DQS13:DQV13"/>
    <mergeCell ref="DQW13:DQZ13"/>
    <mergeCell ref="DRA13:DRD13"/>
    <mergeCell ref="DPQ13:DPT13"/>
    <mergeCell ref="DPU13:DPX13"/>
    <mergeCell ref="DPY13:DQB13"/>
    <mergeCell ref="DQC13:DQF13"/>
    <mergeCell ref="DQG13:DQJ13"/>
    <mergeCell ref="DOW13:DOZ13"/>
    <mergeCell ref="DPA13:DPD13"/>
    <mergeCell ref="DPE13:DPH13"/>
    <mergeCell ref="DPI13:DPL13"/>
    <mergeCell ref="DPM13:DPP13"/>
    <mergeCell ref="DOC13:DOF13"/>
    <mergeCell ref="DOG13:DOJ13"/>
    <mergeCell ref="DOK13:DON13"/>
    <mergeCell ref="DOO13:DOR13"/>
    <mergeCell ref="DOS13:DOV13"/>
    <mergeCell ref="DNI13:DNL13"/>
    <mergeCell ref="DNM13:DNP13"/>
    <mergeCell ref="DNQ13:DNT13"/>
    <mergeCell ref="DNU13:DNX13"/>
    <mergeCell ref="DNY13:DOB13"/>
    <mergeCell ref="DMO13:DMR13"/>
    <mergeCell ref="DMS13:DMV13"/>
    <mergeCell ref="DMW13:DMZ13"/>
    <mergeCell ref="DNA13:DND13"/>
    <mergeCell ref="DNE13:DNH13"/>
    <mergeCell ref="DWO13:DWR13"/>
    <mergeCell ref="DWS13:DWV13"/>
    <mergeCell ref="DWW13:DWZ13"/>
    <mergeCell ref="DXA13:DXD13"/>
    <mergeCell ref="DXE13:DXH13"/>
    <mergeCell ref="DVU13:DVX13"/>
    <mergeCell ref="DVY13:DWB13"/>
    <mergeCell ref="DWC13:DWF13"/>
    <mergeCell ref="DWG13:DWJ13"/>
    <mergeCell ref="DWK13:DWN13"/>
    <mergeCell ref="DVA13:DVD13"/>
    <mergeCell ref="DVE13:DVH13"/>
    <mergeCell ref="DVI13:DVL13"/>
    <mergeCell ref="DVM13:DVP13"/>
    <mergeCell ref="DVQ13:DVT13"/>
    <mergeCell ref="DUG13:DUJ13"/>
    <mergeCell ref="DUK13:DUN13"/>
    <mergeCell ref="DUO13:DUR13"/>
    <mergeCell ref="DUS13:DUV13"/>
    <mergeCell ref="DUW13:DUZ13"/>
    <mergeCell ref="DTM13:DTP13"/>
    <mergeCell ref="DTQ13:DTT13"/>
    <mergeCell ref="DTU13:DTX13"/>
    <mergeCell ref="DTY13:DUB13"/>
    <mergeCell ref="DUC13:DUF13"/>
    <mergeCell ref="DSS13:DSV13"/>
    <mergeCell ref="DSW13:DSZ13"/>
    <mergeCell ref="DTA13:DTD13"/>
    <mergeCell ref="DTE13:DTH13"/>
    <mergeCell ref="DTI13:DTL13"/>
    <mergeCell ref="DRY13:DSB13"/>
    <mergeCell ref="DSC13:DSF13"/>
    <mergeCell ref="DSG13:DSJ13"/>
    <mergeCell ref="DSK13:DSN13"/>
    <mergeCell ref="DSO13:DSR13"/>
    <mergeCell ref="EBY13:ECB13"/>
    <mergeCell ref="ECC13:ECF13"/>
    <mergeCell ref="ECG13:ECJ13"/>
    <mergeCell ref="ECK13:ECN13"/>
    <mergeCell ref="ECO13:ECR13"/>
    <mergeCell ref="EBE13:EBH13"/>
    <mergeCell ref="EBI13:EBL13"/>
    <mergeCell ref="EBM13:EBP13"/>
    <mergeCell ref="EBQ13:EBT13"/>
    <mergeCell ref="EBU13:EBX13"/>
    <mergeCell ref="EAK13:EAN13"/>
    <mergeCell ref="EAO13:EAR13"/>
    <mergeCell ref="EAS13:EAV13"/>
    <mergeCell ref="EAW13:EAZ13"/>
    <mergeCell ref="EBA13:EBD13"/>
    <mergeCell ref="DZQ13:DZT13"/>
    <mergeCell ref="DZU13:DZX13"/>
    <mergeCell ref="DZY13:EAB13"/>
    <mergeCell ref="EAC13:EAF13"/>
    <mergeCell ref="EAG13:EAJ13"/>
    <mergeCell ref="DYW13:DYZ13"/>
    <mergeCell ref="DZA13:DZD13"/>
    <mergeCell ref="DZE13:DZH13"/>
    <mergeCell ref="DZI13:DZL13"/>
    <mergeCell ref="DZM13:DZP13"/>
    <mergeCell ref="DYC13:DYF13"/>
    <mergeCell ref="DYG13:DYJ13"/>
    <mergeCell ref="DYK13:DYN13"/>
    <mergeCell ref="DYO13:DYR13"/>
    <mergeCell ref="DYS13:DYV13"/>
    <mergeCell ref="DXI13:DXL13"/>
    <mergeCell ref="DXM13:DXP13"/>
    <mergeCell ref="DXQ13:DXT13"/>
    <mergeCell ref="DXU13:DXX13"/>
    <mergeCell ref="DXY13:DYB13"/>
    <mergeCell ref="EHI13:EHL13"/>
    <mergeCell ref="EHM13:EHP13"/>
    <mergeCell ref="EHQ13:EHT13"/>
    <mergeCell ref="EHU13:EHX13"/>
    <mergeCell ref="EHY13:EIB13"/>
    <mergeCell ref="EGO13:EGR13"/>
    <mergeCell ref="EGS13:EGV13"/>
    <mergeCell ref="EGW13:EGZ13"/>
    <mergeCell ref="EHA13:EHD13"/>
    <mergeCell ref="EHE13:EHH13"/>
    <mergeCell ref="EFU13:EFX13"/>
    <mergeCell ref="EFY13:EGB13"/>
    <mergeCell ref="EGC13:EGF13"/>
    <mergeCell ref="EGG13:EGJ13"/>
    <mergeCell ref="EGK13:EGN13"/>
    <mergeCell ref="EFA13:EFD13"/>
    <mergeCell ref="EFE13:EFH13"/>
    <mergeCell ref="EFI13:EFL13"/>
    <mergeCell ref="EFM13:EFP13"/>
    <mergeCell ref="EFQ13:EFT13"/>
    <mergeCell ref="EEG13:EEJ13"/>
    <mergeCell ref="EEK13:EEN13"/>
    <mergeCell ref="EEO13:EER13"/>
    <mergeCell ref="EES13:EEV13"/>
    <mergeCell ref="EEW13:EEZ13"/>
    <mergeCell ref="EDM13:EDP13"/>
    <mergeCell ref="EDQ13:EDT13"/>
    <mergeCell ref="EDU13:EDX13"/>
    <mergeCell ref="EDY13:EEB13"/>
    <mergeCell ref="EEC13:EEF13"/>
    <mergeCell ref="ECS13:ECV13"/>
    <mergeCell ref="ECW13:ECZ13"/>
    <mergeCell ref="EDA13:EDD13"/>
    <mergeCell ref="EDE13:EDH13"/>
    <mergeCell ref="EDI13:EDL13"/>
    <mergeCell ref="EMS13:EMV13"/>
    <mergeCell ref="EMW13:EMZ13"/>
    <mergeCell ref="ENA13:END13"/>
    <mergeCell ref="ENE13:ENH13"/>
    <mergeCell ref="ENI13:ENL13"/>
    <mergeCell ref="ELY13:EMB13"/>
    <mergeCell ref="EMC13:EMF13"/>
    <mergeCell ref="EMG13:EMJ13"/>
    <mergeCell ref="EMK13:EMN13"/>
    <mergeCell ref="EMO13:EMR13"/>
    <mergeCell ref="ELE13:ELH13"/>
    <mergeCell ref="ELI13:ELL13"/>
    <mergeCell ref="ELM13:ELP13"/>
    <mergeCell ref="ELQ13:ELT13"/>
    <mergeCell ref="ELU13:ELX13"/>
    <mergeCell ref="EKK13:EKN13"/>
    <mergeCell ref="EKO13:EKR13"/>
    <mergeCell ref="EKS13:EKV13"/>
    <mergeCell ref="EKW13:EKZ13"/>
    <mergeCell ref="ELA13:ELD13"/>
    <mergeCell ref="EJQ13:EJT13"/>
    <mergeCell ref="EJU13:EJX13"/>
    <mergeCell ref="EJY13:EKB13"/>
    <mergeCell ref="EKC13:EKF13"/>
    <mergeCell ref="EKG13:EKJ13"/>
    <mergeCell ref="EIW13:EIZ13"/>
    <mergeCell ref="EJA13:EJD13"/>
    <mergeCell ref="EJE13:EJH13"/>
    <mergeCell ref="EJI13:EJL13"/>
    <mergeCell ref="EJM13:EJP13"/>
    <mergeCell ref="EIC13:EIF13"/>
    <mergeCell ref="EIG13:EIJ13"/>
    <mergeCell ref="EIK13:EIN13"/>
    <mergeCell ref="EIO13:EIR13"/>
    <mergeCell ref="EIS13:EIV13"/>
    <mergeCell ref="ESC13:ESF13"/>
    <mergeCell ref="ESG13:ESJ13"/>
    <mergeCell ref="ESK13:ESN13"/>
    <mergeCell ref="ESO13:ESR13"/>
    <mergeCell ref="ESS13:ESV13"/>
    <mergeCell ref="ERI13:ERL13"/>
    <mergeCell ref="ERM13:ERP13"/>
    <mergeCell ref="ERQ13:ERT13"/>
    <mergeCell ref="ERU13:ERX13"/>
    <mergeCell ref="ERY13:ESB13"/>
    <mergeCell ref="EQO13:EQR13"/>
    <mergeCell ref="EQS13:EQV13"/>
    <mergeCell ref="EQW13:EQZ13"/>
    <mergeCell ref="ERA13:ERD13"/>
    <mergeCell ref="ERE13:ERH13"/>
    <mergeCell ref="EPU13:EPX13"/>
    <mergeCell ref="EPY13:EQB13"/>
    <mergeCell ref="EQC13:EQF13"/>
    <mergeCell ref="EQG13:EQJ13"/>
    <mergeCell ref="EQK13:EQN13"/>
    <mergeCell ref="EPA13:EPD13"/>
    <mergeCell ref="EPE13:EPH13"/>
    <mergeCell ref="EPI13:EPL13"/>
    <mergeCell ref="EPM13:EPP13"/>
    <mergeCell ref="EPQ13:EPT13"/>
    <mergeCell ref="EOG13:EOJ13"/>
    <mergeCell ref="EOK13:EON13"/>
    <mergeCell ref="EOO13:EOR13"/>
    <mergeCell ref="EOS13:EOV13"/>
    <mergeCell ref="EOW13:EOZ13"/>
    <mergeCell ref="ENM13:ENP13"/>
    <mergeCell ref="ENQ13:ENT13"/>
    <mergeCell ref="ENU13:ENX13"/>
    <mergeCell ref="ENY13:EOB13"/>
    <mergeCell ref="EOC13:EOF13"/>
    <mergeCell ref="EXM13:EXP13"/>
    <mergeCell ref="EXQ13:EXT13"/>
    <mergeCell ref="EXU13:EXX13"/>
    <mergeCell ref="EXY13:EYB13"/>
    <mergeCell ref="EYC13:EYF13"/>
    <mergeCell ref="EWS13:EWV13"/>
    <mergeCell ref="EWW13:EWZ13"/>
    <mergeCell ref="EXA13:EXD13"/>
    <mergeCell ref="EXE13:EXH13"/>
    <mergeCell ref="EXI13:EXL13"/>
    <mergeCell ref="EVY13:EWB13"/>
    <mergeCell ref="EWC13:EWF13"/>
    <mergeCell ref="EWG13:EWJ13"/>
    <mergeCell ref="EWK13:EWN13"/>
    <mergeCell ref="EWO13:EWR13"/>
    <mergeCell ref="EVE13:EVH13"/>
    <mergeCell ref="EVI13:EVL13"/>
    <mergeCell ref="EVM13:EVP13"/>
    <mergeCell ref="EVQ13:EVT13"/>
    <mergeCell ref="EVU13:EVX13"/>
    <mergeCell ref="EUK13:EUN13"/>
    <mergeCell ref="EUO13:EUR13"/>
    <mergeCell ref="EUS13:EUV13"/>
    <mergeCell ref="EUW13:EUZ13"/>
    <mergeCell ref="EVA13:EVD13"/>
    <mergeCell ref="ETQ13:ETT13"/>
    <mergeCell ref="ETU13:ETX13"/>
    <mergeCell ref="ETY13:EUB13"/>
    <mergeCell ref="EUC13:EUF13"/>
    <mergeCell ref="EUG13:EUJ13"/>
    <mergeCell ref="ESW13:ESZ13"/>
    <mergeCell ref="ETA13:ETD13"/>
    <mergeCell ref="ETE13:ETH13"/>
    <mergeCell ref="ETI13:ETL13"/>
    <mergeCell ref="ETM13:ETP13"/>
    <mergeCell ref="FCW13:FCZ13"/>
    <mergeCell ref="FDA13:FDD13"/>
    <mergeCell ref="FDE13:FDH13"/>
    <mergeCell ref="FDI13:FDL13"/>
    <mergeCell ref="FDM13:FDP13"/>
    <mergeCell ref="FCC13:FCF13"/>
    <mergeCell ref="FCG13:FCJ13"/>
    <mergeCell ref="FCK13:FCN13"/>
    <mergeCell ref="FCO13:FCR13"/>
    <mergeCell ref="FCS13:FCV13"/>
    <mergeCell ref="FBI13:FBL13"/>
    <mergeCell ref="FBM13:FBP13"/>
    <mergeCell ref="FBQ13:FBT13"/>
    <mergeCell ref="FBU13:FBX13"/>
    <mergeCell ref="FBY13:FCB13"/>
    <mergeCell ref="FAO13:FAR13"/>
    <mergeCell ref="FAS13:FAV13"/>
    <mergeCell ref="FAW13:FAZ13"/>
    <mergeCell ref="FBA13:FBD13"/>
    <mergeCell ref="FBE13:FBH13"/>
    <mergeCell ref="EZU13:EZX13"/>
    <mergeCell ref="EZY13:FAB13"/>
    <mergeCell ref="FAC13:FAF13"/>
    <mergeCell ref="FAG13:FAJ13"/>
    <mergeCell ref="FAK13:FAN13"/>
    <mergeCell ref="EZA13:EZD13"/>
    <mergeCell ref="EZE13:EZH13"/>
    <mergeCell ref="EZI13:EZL13"/>
    <mergeCell ref="EZM13:EZP13"/>
    <mergeCell ref="EZQ13:EZT13"/>
    <mergeCell ref="EYG13:EYJ13"/>
    <mergeCell ref="EYK13:EYN13"/>
    <mergeCell ref="EYO13:EYR13"/>
    <mergeCell ref="EYS13:EYV13"/>
    <mergeCell ref="EYW13:EYZ13"/>
    <mergeCell ref="FIG13:FIJ13"/>
    <mergeCell ref="FIK13:FIN13"/>
    <mergeCell ref="FIO13:FIR13"/>
    <mergeCell ref="FIS13:FIV13"/>
    <mergeCell ref="FIW13:FIZ13"/>
    <mergeCell ref="FHM13:FHP13"/>
    <mergeCell ref="FHQ13:FHT13"/>
    <mergeCell ref="FHU13:FHX13"/>
    <mergeCell ref="FHY13:FIB13"/>
    <mergeCell ref="FIC13:FIF13"/>
    <mergeCell ref="FGS13:FGV13"/>
    <mergeCell ref="FGW13:FGZ13"/>
    <mergeCell ref="FHA13:FHD13"/>
    <mergeCell ref="FHE13:FHH13"/>
    <mergeCell ref="FHI13:FHL13"/>
    <mergeCell ref="FFY13:FGB13"/>
    <mergeCell ref="FGC13:FGF13"/>
    <mergeCell ref="FGG13:FGJ13"/>
    <mergeCell ref="FGK13:FGN13"/>
    <mergeCell ref="FGO13:FGR13"/>
    <mergeCell ref="FFE13:FFH13"/>
    <mergeCell ref="FFI13:FFL13"/>
    <mergeCell ref="FFM13:FFP13"/>
    <mergeCell ref="FFQ13:FFT13"/>
    <mergeCell ref="FFU13:FFX13"/>
    <mergeCell ref="FEK13:FEN13"/>
    <mergeCell ref="FEO13:FER13"/>
    <mergeCell ref="FES13:FEV13"/>
    <mergeCell ref="FEW13:FEZ13"/>
    <mergeCell ref="FFA13:FFD13"/>
    <mergeCell ref="FDQ13:FDT13"/>
    <mergeCell ref="FDU13:FDX13"/>
    <mergeCell ref="FDY13:FEB13"/>
    <mergeCell ref="FEC13:FEF13"/>
    <mergeCell ref="FEG13:FEJ13"/>
    <mergeCell ref="FNQ13:FNT13"/>
    <mergeCell ref="FNU13:FNX13"/>
    <mergeCell ref="FNY13:FOB13"/>
    <mergeCell ref="FOC13:FOF13"/>
    <mergeCell ref="FOG13:FOJ13"/>
    <mergeCell ref="FMW13:FMZ13"/>
    <mergeCell ref="FNA13:FND13"/>
    <mergeCell ref="FNE13:FNH13"/>
    <mergeCell ref="FNI13:FNL13"/>
    <mergeCell ref="FNM13:FNP13"/>
    <mergeCell ref="FMC13:FMF13"/>
    <mergeCell ref="FMG13:FMJ13"/>
    <mergeCell ref="FMK13:FMN13"/>
    <mergeCell ref="FMO13:FMR13"/>
    <mergeCell ref="FMS13:FMV13"/>
    <mergeCell ref="FLI13:FLL13"/>
    <mergeCell ref="FLM13:FLP13"/>
    <mergeCell ref="FLQ13:FLT13"/>
    <mergeCell ref="FLU13:FLX13"/>
    <mergeCell ref="FLY13:FMB13"/>
    <mergeCell ref="FKO13:FKR13"/>
    <mergeCell ref="FKS13:FKV13"/>
    <mergeCell ref="FKW13:FKZ13"/>
    <mergeCell ref="FLA13:FLD13"/>
    <mergeCell ref="FLE13:FLH13"/>
    <mergeCell ref="FJU13:FJX13"/>
    <mergeCell ref="FJY13:FKB13"/>
    <mergeCell ref="FKC13:FKF13"/>
    <mergeCell ref="FKG13:FKJ13"/>
    <mergeCell ref="FKK13:FKN13"/>
    <mergeCell ref="FJA13:FJD13"/>
    <mergeCell ref="FJE13:FJH13"/>
    <mergeCell ref="FJI13:FJL13"/>
    <mergeCell ref="FJM13:FJP13"/>
    <mergeCell ref="FJQ13:FJT13"/>
    <mergeCell ref="FTA13:FTD13"/>
    <mergeCell ref="FTE13:FTH13"/>
    <mergeCell ref="FTI13:FTL13"/>
    <mergeCell ref="FTM13:FTP13"/>
    <mergeCell ref="FTQ13:FTT13"/>
    <mergeCell ref="FSG13:FSJ13"/>
    <mergeCell ref="FSK13:FSN13"/>
    <mergeCell ref="FSO13:FSR13"/>
    <mergeCell ref="FSS13:FSV13"/>
    <mergeCell ref="FSW13:FSZ13"/>
    <mergeCell ref="FRM13:FRP13"/>
    <mergeCell ref="FRQ13:FRT13"/>
    <mergeCell ref="FRU13:FRX13"/>
    <mergeCell ref="FRY13:FSB13"/>
    <mergeCell ref="FSC13:FSF13"/>
    <mergeCell ref="FQS13:FQV13"/>
    <mergeCell ref="FQW13:FQZ13"/>
    <mergeCell ref="FRA13:FRD13"/>
    <mergeCell ref="FRE13:FRH13"/>
    <mergeCell ref="FRI13:FRL13"/>
    <mergeCell ref="FPY13:FQB13"/>
    <mergeCell ref="FQC13:FQF13"/>
    <mergeCell ref="FQG13:FQJ13"/>
    <mergeCell ref="FQK13:FQN13"/>
    <mergeCell ref="FQO13:FQR13"/>
    <mergeCell ref="FPE13:FPH13"/>
    <mergeCell ref="FPI13:FPL13"/>
    <mergeCell ref="FPM13:FPP13"/>
    <mergeCell ref="FPQ13:FPT13"/>
    <mergeCell ref="FPU13:FPX13"/>
    <mergeCell ref="FOK13:FON13"/>
    <mergeCell ref="FOO13:FOR13"/>
    <mergeCell ref="FOS13:FOV13"/>
    <mergeCell ref="FOW13:FOZ13"/>
    <mergeCell ref="FPA13:FPD13"/>
    <mergeCell ref="FYK13:FYN13"/>
    <mergeCell ref="FYO13:FYR13"/>
    <mergeCell ref="FYS13:FYV13"/>
    <mergeCell ref="FYW13:FYZ13"/>
    <mergeCell ref="FZA13:FZD13"/>
    <mergeCell ref="FXQ13:FXT13"/>
    <mergeCell ref="FXU13:FXX13"/>
    <mergeCell ref="FXY13:FYB13"/>
    <mergeCell ref="FYC13:FYF13"/>
    <mergeCell ref="FYG13:FYJ13"/>
    <mergeCell ref="FWW13:FWZ13"/>
    <mergeCell ref="FXA13:FXD13"/>
    <mergeCell ref="FXE13:FXH13"/>
    <mergeCell ref="FXI13:FXL13"/>
    <mergeCell ref="FXM13:FXP13"/>
    <mergeCell ref="FWC13:FWF13"/>
    <mergeCell ref="FWG13:FWJ13"/>
    <mergeCell ref="FWK13:FWN13"/>
    <mergeCell ref="FWO13:FWR13"/>
    <mergeCell ref="FWS13:FWV13"/>
    <mergeCell ref="FVI13:FVL13"/>
    <mergeCell ref="FVM13:FVP13"/>
    <mergeCell ref="FVQ13:FVT13"/>
    <mergeCell ref="FVU13:FVX13"/>
    <mergeCell ref="FVY13:FWB13"/>
    <mergeCell ref="FUO13:FUR13"/>
    <mergeCell ref="FUS13:FUV13"/>
    <mergeCell ref="FUW13:FUZ13"/>
    <mergeCell ref="FVA13:FVD13"/>
    <mergeCell ref="FVE13:FVH13"/>
    <mergeCell ref="FTU13:FTX13"/>
    <mergeCell ref="FTY13:FUB13"/>
    <mergeCell ref="FUC13:FUF13"/>
    <mergeCell ref="FUG13:FUJ13"/>
    <mergeCell ref="FUK13:FUN13"/>
    <mergeCell ref="GDU13:GDX13"/>
    <mergeCell ref="GDY13:GEB13"/>
    <mergeCell ref="GEC13:GEF13"/>
    <mergeCell ref="GEG13:GEJ13"/>
    <mergeCell ref="GEK13:GEN13"/>
    <mergeCell ref="GDA13:GDD13"/>
    <mergeCell ref="GDE13:GDH13"/>
    <mergeCell ref="GDI13:GDL13"/>
    <mergeCell ref="GDM13:GDP13"/>
    <mergeCell ref="GDQ13:GDT13"/>
    <mergeCell ref="GCG13:GCJ13"/>
    <mergeCell ref="GCK13:GCN13"/>
    <mergeCell ref="GCO13:GCR13"/>
    <mergeCell ref="GCS13:GCV13"/>
    <mergeCell ref="GCW13:GCZ13"/>
    <mergeCell ref="GBM13:GBP13"/>
    <mergeCell ref="GBQ13:GBT13"/>
    <mergeCell ref="GBU13:GBX13"/>
    <mergeCell ref="GBY13:GCB13"/>
    <mergeCell ref="GCC13:GCF13"/>
    <mergeCell ref="GAS13:GAV13"/>
    <mergeCell ref="GAW13:GAZ13"/>
    <mergeCell ref="GBA13:GBD13"/>
    <mergeCell ref="GBE13:GBH13"/>
    <mergeCell ref="GBI13:GBL13"/>
    <mergeCell ref="FZY13:GAB13"/>
    <mergeCell ref="GAC13:GAF13"/>
    <mergeCell ref="GAG13:GAJ13"/>
    <mergeCell ref="GAK13:GAN13"/>
    <mergeCell ref="GAO13:GAR13"/>
    <mergeCell ref="FZE13:FZH13"/>
    <mergeCell ref="FZI13:FZL13"/>
    <mergeCell ref="FZM13:FZP13"/>
    <mergeCell ref="FZQ13:FZT13"/>
    <mergeCell ref="FZU13:FZX13"/>
    <mergeCell ref="GJE13:GJH13"/>
    <mergeCell ref="GJI13:GJL13"/>
    <mergeCell ref="GJM13:GJP13"/>
    <mergeCell ref="GJQ13:GJT13"/>
    <mergeCell ref="GJU13:GJX13"/>
    <mergeCell ref="GIK13:GIN13"/>
    <mergeCell ref="GIO13:GIR13"/>
    <mergeCell ref="GIS13:GIV13"/>
    <mergeCell ref="GIW13:GIZ13"/>
    <mergeCell ref="GJA13:GJD13"/>
    <mergeCell ref="GHQ13:GHT13"/>
    <mergeCell ref="GHU13:GHX13"/>
    <mergeCell ref="GHY13:GIB13"/>
    <mergeCell ref="GIC13:GIF13"/>
    <mergeCell ref="GIG13:GIJ13"/>
    <mergeCell ref="GGW13:GGZ13"/>
    <mergeCell ref="GHA13:GHD13"/>
    <mergeCell ref="GHE13:GHH13"/>
    <mergeCell ref="GHI13:GHL13"/>
    <mergeCell ref="GHM13:GHP13"/>
    <mergeCell ref="GGC13:GGF13"/>
    <mergeCell ref="GGG13:GGJ13"/>
    <mergeCell ref="GGK13:GGN13"/>
    <mergeCell ref="GGO13:GGR13"/>
    <mergeCell ref="GGS13:GGV13"/>
    <mergeCell ref="GFI13:GFL13"/>
    <mergeCell ref="GFM13:GFP13"/>
    <mergeCell ref="GFQ13:GFT13"/>
    <mergeCell ref="GFU13:GFX13"/>
    <mergeCell ref="GFY13:GGB13"/>
    <mergeCell ref="GEO13:GER13"/>
    <mergeCell ref="GES13:GEV13"/>
    <mergeCell ref="GEW13:GEZ13"/>
    <mergeCell ref="GFA13:GFD13"/>
    <mergeCell ref="GFE13:GFH13"/>
    <mergeCell ref="GOO13:GOR13"/>
    <mergeCell ref="GOS13:GOV13"/>
    <mergeCell ref="GOW13:GOZ13"/>
    <mergeCell ref="GPA13:GPD13"/>
    <mergeCell ref="GPE13:GPH13"/>
    <mergeCell ref="GNU13:GNX13"/>
    <mergeCell ref="GNY13:GOB13"/>
    <mergeCell ref="GOC13:GOF13"/>
    <mergeCell ref="GOG13:GOJ13"/>
    <mergeCell ref="GOK13:GON13"/>
    <mergeCell ref="GNA13:GND13"/>
    <mergeCell ref="GNE13:GNH13"/>
    <mergeCell ref="GNI13:GNL13"/>
    <mergeCell ref="GNM13:GNP13"/>
    <mergeCell ref="GNQ13:GNT13"/>
    <mergeCell ref="GMG13:GMJ13"/>
    <mergeCell ref="GMK13:GMN13"/>
    <mergeCell ref="GMO13:GMR13"/>
    <mergeCell ref="GMS13:GMV13"/>
    <mergeCell ref="GMW13:GMZ13"/>
    <mergeCell ref="GLM13:GLP13"/>
    <mergeCell ref="GLQ13:GLT13"/>
    <mergeCell ref="GLU13:GLX13"/>
    <mergeCell ref="GLY13:GMB13"/>
    <mergeCell ref="GMC13:GMF13"/>
    <mergeCell ref="GKS13:GKV13"/>
    <mergeCell ref="GKW13:GKZ13"/>
    <mergeCell ref="GLA13:GLD13"/>
    <mergeCell ref="GLE13:GLH13"/>
    <mergeCell ref="GLI13:GLL13"/>
    <mergeCell ref="GJY13:GKB13"/>
    <mergeCell ref="GKC13:GKF13"/>
    <mergeCell ref="GKG13:GKJ13"/>
    <mergeCell ref="GKK13:GKN13"/>
    <mergeCell ref="GKO13:GKR13"/>
    <mergeCell ref="GTY13:GUB13"/>
    <mergeCell ref="GUC13:GUF13"/>
    <mergeCell ref="GUG13:GUJ13"/>
    <mergeCell ref="GUK13:GUN13"/>
    <mergeCell ref="GUO13:GUR13"/>
    <mergeCell ref="GTE13:GTH13"/>
    <mergeCell ref="GTI13:GTL13"/>
    <mergeCell ref="GTM13:GTP13"/>
    <mergeCell ref="GTQ13:GTT13"/>
    <mergeCell ref="GTU13:GTX13"/>
    <mergeCell ref="GSK13:GSN13"/>
    <mergeCell ref="GSO13:GSR13"/>
    <mergeCell ref="GSS13:GSV13"/>
    <mergeCell ref="GSW13:GSZ13"/>
    <mergeCell ref="GTA13:GTD13"/>
    <mergeCell ref="GRQ13:GRT13"/>
    <mergeCell ref="GRU13:GRX13"/>
    <mergeCell ref="GRY13:GSB13"/>
    <mergeCell ref="GSC13:GSF13"/>
    <mergeCell ref="GSG13:GSJ13"/>
    <mergeCell ref="GQW13:GQZ13"/>
    <mergeCell ref="GRA13:GRD13"/>
    <mergeCell ref="GRE13:GRH13"/>
    <mergeCell ref="GRI13:GRL13"/>
    <mergeCell ref="GRM13:GRP13"/>
    <mergeCell ref="GQC13:GQF13"/>
    <mergeCell ref="GQG13:GQJ13"/>
    <mergeCell ref="GQK13:GQN13"/>
    <mergeCell ref="GQO13:GQR13"/>
    <mergeCell ref="GQS13:GQV13"/>
    <mergeCell ref="GPI13:GPL13"/>
    <mergeCell ref="GPM13:GPP13"/>
    <mergeCell ref="GPQ13:GPT13"/>
    <mergeCell ref="GPU13:GPX13"/>
    <mergeCell ref="GPY13:GQB13"/>
    <mergeCell ref="GZI13:GZL13"/>
    <mergeCell ref="GZM13:GZP13"/>
    <mergeCell ref="GZQ13:GZT13"/>
    <mergeCell ref="GZU13:GZX13"/>
    <mergeCell ref="GZY13:HAB13"/>
    <mergeCell ref="GYO13:GYR13"/>
    <mergeCell ref="GYS13:GYV13"/>
    <mergeCell ref="GYW13:GYZ13"/>
    <mergeCell ref="GZA13:GZD13"/>
    <mergeCell ref="GZE13:GZH13"/>
    <mergeCell ref="GXU13:GXX13"/>
    <mergeCell ref="GXY13:GYB13"/>
    <mergeCell ref="GYC13:GYF13"/>
    <mergeCell ref="GYG13:GYJ13"/>
    <mergeCell ref="GYK13:GYN13"/>
    <mergeCell ref="GXA13:GXD13"/>
    <mergeCell ref="GXE13:GXH13"/>
    <mergeCell ref="GXI13:GXL13"/>
    <mergeCell ref="GXM13:GXP13"/>
    <mergeCell ref="GXQ13:GXT13"/>
    <mergeCell ref="GWG13:GWJ13"/>
    <mergeCell ref="GWK13:GWN13"/>
    <mergeCell ref="GWO13:GWR13"/>
    <mergeCell ref="GWS13:GWV13"/>
    <mergeCell ref="GWW13:GWZ13"/>
    <mergeCell ref="GVM13:GVP13"/>
    <mergeCell ref="GVQ13:GVT13"/>
    <mergeCell ref="GVU13:GVX13"/>
    <mergeCell ref="GVY13:GWB13"/>
    <mergeCell ref="GWC13:GWF13"/>
    <mergeCell ref="GUS13:GUV13"/>
    <mergeCell ref="GUW13:GUZ13"/>
    <mergeCell ref="GVA13:GVD13"/>
    <mergeCell ref="GVE13:GVH13"/>
    <mergeCell ref="GVI13:GVL13"/>
    <mergeCell ref="HES13:HEV13"/>
    <mergeCell ref="HEW13:HEZ13"/>
    <mergeCell ref="HFA13:HFD13"/>
    <mergeCell ref="HFE13:HFH13"/>
    <mergeCell ref="HFI13:HFL13"/>
    <mergeCell ref="HDY13:HEB13"/>
    <mergeCell ref="HEC13:HEF13"/>
    <mergeCell ref="HEG13:HEJ13"/>
    <mergeCell ref="HEK13:HEN13"/>
    <mergeCell ref="HEO13:HER13"/>
    <mergeCell ref="HDE13:HDH13"/>
    <mergeCell ref="HDI13:HDL13"/>
    <mergeCell ref="HDM13:HDP13"/>
    <mergeCell ref="HDQ13:HDT13"/>
    <mergeCell ref="HDU13:HDX13"/>
    <mergeCell ref="HCK13:HCN13"/>
    <mergeCell ref="HCO13:HCR13"/>
    <mergeCell ref="HCS13:HCV13"/>
    <mergeCell ref="HCW13:HCZ13"/>
    <mergeCell ref="HDA13:HDD13"/>
    <mergeCell ref="HBQ13:HBT13"/>
    <mergeCell ref="HBU13:HBX13"/>
    <mergeCell ref="HBY13:HCB13"/>
    <mergeCell ref="HCC13:HCF13"/>
    <mergeCell ref="HCG13:HCJ13"/>
    <mergeCell ref="HAW13:HAZ13"/>
    <mergeCell ref="HBA13:HBD13"/>
    <mergeCell ref="HBE13:HBH13"/>
    <mergeCell ref="HBI13:HBL13"/>
    <mergeCell ref="HBM13:HBP13"/>
    <mergeCell ref="HAC13:HAF13"/>
    <mergeCell ref="HAG13:HAJ13"/>
    <mergeCell ref="HAK13:HAN13"/>
    <mergeCell ref="HAO13:HAR13"/>
    <mergeCell ref="HAS13:HAV13"/>
    <mergeCell ref="HKC13:HKF13"/>
    <mergeCell ref="HKG13:HKJ13"/>
    <mergeCell ref="HKK13:HKN13"/>
    <mergeCell ref="HKO13:HKR13"/>
    <mergeCell ref="HKS13:HKV13"/>
    <mergeCell ref="HJI13:HJL13"/>
    <mergeCell ref="HJM13:HJP13"/>
    <mergeCell ref="HJQ13:HJT13"/>
    <mergeCell ref="HJU13:HJX13"/>
    <mergeCell ref="HJY13:HKB13"/>
    <mergeCell ref="HIO13:HIR13"/>
    <mergeCell ref="HIS13:HIV13"/>
    <mergeCell ref="HIW13:HIZ13"/>
    <mergeCell ref="HJA13:HJD13"/>
    <mergeCell ref="HJE13:HJH13"/>
    <mergeCell ref="HHU13:HHX13"/>
    <mergeCell ref="HHY13:HIB13"/>
    <mergeCell ref="HIC13:HIF13"/>
    <mergeCell ref="HIG13:HIJ13"/>
    <mergeCell ref="HIK13:HIN13"/>
    <mergeCell ref="HHA13:HHD13"/>
    <mergeCell ref="HHE13:HHH13"/>
    <mergeCell ref="HHI13:HHL13"/>
    <mergeCell ref="HHM13:HHP13"/>
    <mergeCell ref="HHQ13:HHT13"/>
    <mergeCell ref="HGG13:HGJ13"/>
    <mergeCell ref="HGK13:HGN13"/>
    <mergeCell ref="HGO13:HGR13"/>
    <mergeCell ref="HGS13:HGV13"/>
    <mergeCell ref="HGW13:HGZ13"/>
    <mergeCell ref="HFM13:HFP13"/>
    <mergeCell ref="HFQ13:HFT13"/>
    <mergeCell ref="HFU13:HFX13"/>
    <mergeCell ref="HFY13:HGB13"/>
    <mergeCell ref="HGC13:HGF13"/>
    <mergeCell ref="HPM13:HPP13"/>
    <mergeCell ref="HPQ13:HPT13"/>
    <mergeCell ref="HPU13:HPX13"/>
    <mergeCell ref="HPY13:HQB13"/>
    <mergeCell ref="HQC13:HQF13"/>
    <mergeCell ref="HOS13:HOV13"/>
    <mergeCell ref="HOW13:HOZ13"/>
    <mergeCell ref="HPA13:HPD13"/>
    <mergeCell ref="HPE13:HPH13"/>
    <mergeCell ref="HPI13:HPL13"/>
    <mergeCell ref="HNY13:HOB13"/>
    <mergeCell ref="HOC13:HOF13"/>
    <mergeCell ref="HOG13:HOJ13"/>
    <mergeCell ref="HOK13:HON13"/>
    <mergeCell ref="HOO13:HOR13"/>
    <mergeCell ref="HNE13:HNH13"/>
    <mergeCell ref="HNI13:HNL13"/>
    <mergeCell ref="HNM13:HNP13"/>
    <mergeCell ref="HNQ13:HNT13"/>
    <mergeCell ref="HNU13:HNX13"/>
    <mergeCell ref="HMK13:HMN13"/>
    <mergeCell ref="HMO13:HMR13"/>
    <mergeCell ref="HMS13:HMV13"/>
    <mergeCell ref="HMW13:HMZ13"/>
    <mergeCell ref="HNA13:HND13"/>
    <mergeCell ref="HLQ13:HLT13"/>
    <mergeCell ref="HLU13:HLX13"/>
    <mergeCell ref="HLY13:HMB13"/>
    <mergeCell ref="HMC13:HMF13"/>
    <mergeCell ref="HMG13:HMJ13"/>
    <mergeCell ref="HKW13:HKZ13"/>
    <mergeCell ref="HLA13:HLD13"/>
    <mergeCell ref="HLE13:HLH13"/>
    <mergeCell ref="HLI13:HLL13"/>
    <mergeCell ref="HLM13:HLP13"/>
    <mergeCell ref="HUW13:HUZ13"/>
    <mergeCell ref="HVA13:HVD13"/>
    <mergeCell ref="HVE13:HVH13"/>
    <mergeCell ref="HVI13:HVL13"/>
    <mergeCell ref="HVM13:HVP13"/>
    <mergeCell ref="HUC13:HUF13"/>
    <mergeCell ref="HUG13:HUJ13"/>
    <mergeCell ref="HUK13:HUN13"/>
    <mergeCell ref="HUO13:HUR13"/>
    <mergeCell ref="HUS13:HUV13"/>
    <mergeCell ref="HTI13:HTL13"/>
    <mergeCell ref="HTM13:HTP13"/>
    <mergeCell ref="HTQ13:HTT13"/>
    <mergeCell ref="HTU13:HTX13"/>
    <mergeCell ref="HTY13:HUB13"/>
    <mergeCell ref="HSO13:HSR13"/>
    <mergeCell ref="HSS13:HSV13"/>
    <mergeCell ref="HSW13:HSZ13"/>
    <mergeCell ref="HTA13:HTD13"/>
    <mergeCell ref="HTE13:HTH13"/>
    <mergeCell ref="HRU13:HRX13"/>
    <mergeCell ref="HRY13:HSB13"/>
    <mergeCell ref="HSC13:HSF13"/>
    <mergeCell ref="HSG13:HSJ13"/>
    <mergeCell ref="HSK13:HSN13"/>
    <mergeCell ref="HRA13:HRD13"/>
    <mergeCell ref="HRE13:HRH13"/>
    <mergeCell ref="HRI13:HRL13"/>
    <mergeCell ref="HRM13:HRP13"/>
    <mergeCell ref="HRQ13:HRT13"/>
    <mergeCell ref="HQG13:HQJ13"/>
    <mergeCell ref="HQK13:HQN13"/>
    <mergeCell ref="HQO13:HQR13"/>
    <mergeCell ref="HQS13:HQV13"/>
    <mergeCell ref="HQW13:HQZ13"/>
    <mergeCell ref="IAG13:IAJ13"/>
    <mergeCell ref="IAK13:IAN13"/>
    <mergeCell ref="IAO13:IAR13"/>
    <mergeCell ref="IAS13:IAV13"/>
    <mergeCell ref="IAW13:IAZ13"/>
    <mergeCell ref="HZM13:HZP13"/>
    <mergeCell ref="HZQ13:HZT13"/>
    <mergeCell ref="HZU13:HZX13"/>
    <mergeCell ref="HZY13:IAB13"/>
    <mergeCell ref="IAC13:IAF13"/>
    <mergeCell ref="HYS13:HYV13"/>
    <mergeCell ref="HYW13:HYZ13"/>
    <mergeCell ref="HZA13:HZD13"/>
    <mergeCell ref="HZE13:HZH13"/>
    <mergeCell ref="HZI13:HZL13"/>
    <mergeCell ref="HXY13:HYB13"/>
    <mergeCell ref="HYC13:HYF13"/>
    <mergeCell ref="HYG13:HYJ13"/>
    <mergeCell ref="HYK13:HYN13"/>
    <mergeCell ref="HYO13:HYR13"/>
    <mergeCell ref="HXE13:HXH13"/>
    <mergeCell ref="HXI13:HXL13"/>
    <mergeCell ref="HXM13:HXP13"/>
    <mergeCell ref="HXQ13:HXT13"/>
    <mergeCell ref="HXU13:HXX13"/>
    <mergeCell ref="HWK13:HWN13"/>
    <mergeCell ref="HWO13:HWR13"/>
    <mergeCell ref="HWS13:HWV13"/>
    <mergeCell ref="HWW13:HWZ13"/>
    <mergeCell ref="HXA13:HXD13"/>
    <mergeCell ref="HVQ13:HVT13"/>
    <mergeCell ref="HVU13:HVX13"/>
    <mergeCell ref="HVY13:HWB13"/>
    <mergeCell ref="HWC13:HWF13"/>
    <mergeCell ref="HWG13:HWJ13"/>
    <mergeCell ref="IFQ13:IFT13"/>
    <mergeCell ref="IFU13:IFX13"/>
    <mergeCell ref="IFY13:IGB13"/>
    <mergeCell ref="IGC13:IGF13"/>
    <mergeCell ref="IGG13:IGJ13"/>
    <mergeCell ref="IEW13:IEZ13"/>
    <mergeCell ref="IFA13:IFD13"/>
    <mergeCell ref="IFE13:IFH13"/>
    <mergeCell ref="IFI13:IFL13"/>
    <mergeCell ref="IFM13:IFP13"/>
    <mergeCell ref="IEC13:IEF13"/>
    <mergeCell ref="IEG13:IEJ13"/>
    <mergeCell ref="IEK13:IEN13"/>
    <mergeCell ref="IEO13:IER13"/>
    <mergeCell ref="IES13:IEV13"/>
    <mergeCell ref="IDI13:IDL13"/>
    <mergeCell ref="IDM13:IDP13"/>
    <mergeCell ref="IDQ13:IDT13"/>
    <mergeCell ref="IDU13:IDX13"/>
    <mergeCell ref="IDY13:IEB13"/>
    <mergeCell ref="ICO13:ICR13"/>
    <mergeCell ref="ICS13:ICV13"/>
    <mergeCell ref="ICW13:ICZ13"/>
    <mergeCell ref="IDA13:IDD13"/>
    <mergeCell ref="IDE13:IDH13"/>
    <mergeCell ref="IBU13:IBX13"/>
    <mergeCell ref="IBY13:ICB13"/>
    <mergeCell ref="ICC13:ICF13"/>
    <mergeCell ref="ICG13:ICJ13"/>
    <mergeCell ref="ICK13:ICN13"/>
    <mergeCell ref="IBA13:IBD13"/>
    <mergeCell ref="IBE13:IBH13"/>
    <mergeCell ref="IBI13:IBL13"/>
    <mergeCell ref="IBM13:IBP13"/>
    <mergeCell ref="IBQ13:IBT13"/>
    <mergeCell ref="ILA13:ILD13"/>
    <mergeCell ref="ILE13:ILH13"/>
    <mergeCell ref="ILI13:ILL13"/>
    <mergeCell ref="ILM13:ILP13"/>
    <mergeCell ref="ILQ13:ILT13"/>
    <mergeCell ref="IKG13:IKJ13"/>
    <mergeCell ref="IKK13:IKN13"/>
    <mergeCell ref="IKO13:IKR13"/>
    <mergeCell ref="IKS13:IKV13"/>
    <mergeCell ref="IKW13:IKZ13"/>
    <mergeCell ref="IJM13:IJP13"/>
    <mergeCell ref="IJQ13:IJT13"/>
    <mergeCell ref="IJU13:IJX13"/>
    <mergeCell ref="IJY13:IKB13"/>
    <mergeCell ref="IKC13:IKF13"/>
    <mergeCell ref="IIS13:IIV13"/>
    <mergeCell ref="IIW13:IIZ13"/>
    <mergeCell ref="IJA13:IJD13"/>
    <mergeCell ref="IJE13:IJH13"/>
    <mergeCell ref="IJI13:IJL13"/>
    <mergeCell ref="IHY13:IIB13"/>
    <mergeCell ref="IIC13:IIF13"/>
    <mergeCell ref="IIG13:IIJ13"/>
    <mergeCell ref="IIK13:IIN13"/>
    <mergeCell ref="IIO13:IIR13"/>
    <mergeCell ref="IHE13:IHH13"/>
    <mergeCell ref="IHI13:IHL13"/>
    <mergeCell ref="IHM13:IHP13"/>
    <mergeCell ref="IHQ13:IHT13"/>
    <mergeCell ref="IHU13:IHX13"/>
    <mergeCell ref="IGK13:IGN13"/>
    <mergeCell ref="IGO13:IGR13"/>
    <mergeCell ref="IGS13:IGV13"/>
    <mergeCell ref="IGW13:IGZ13"/>
    <mergeCell ref="IHA13:IHD13"/>
    <mergeCell ref="IQK13:IQN13"/>
    <mergeCell ref="IQO13:IQR13"/>
    <mergeCell ref="IQS13:IQV13"/>
    <mergeCell ref="IQW13:IQZ13"/>
    <mergeCell ref="IRA13:IRD13"/>
    <mergeCell ref="IPQ13:IPT13"/>
    <mergeCell ref="IPU13:IPX13"/>
    <mergeCell ref="IPY13:IQB13"/>
    <mergeCell ref="IQC13:IQF13"/>
    <mergeCell ref="IQG13:IQJ13"/>
    <mergeCell ref="IOW13:IOZ13"/>
    <mergeCell ref="IPA13:IPD13"/>
    <mergeCell ref="IPE13:IPH13"/>
    <mergeCell ref="IPI13:IPL13"/>
    <mergeCell ref="IPM13:IPP13"/>
    <mergeCell ref="IOC13:IOF13"/>
    <mergeCell ref="IOG13:IOJ13"/>
    <mergeCell ref="IOK13:ION13"/>
    <mergeCell ref="IOO13:IOR13"/>
    <mergeCell ref="IOS13:IOV13"/>
    <mergeCell ref="INI13:INL13"/>
    <mergeCell ref="INM13:INP13"/>
    <mergeCell ref="INQ13:INT13"/>
    <mergeCell ref="INU13:INX13"/>
    <mergeCell ref="INY13:IOB13"/>
    <mergeCell ref="IMO13:IMR13"/>
    <mergeCell ref="IMS13:IMV13"/>
    <mergeCell ref="IMW13:IMZ13"/>
    <mergeCell ref="INA13:IND13"/>
    <mergeCell ref="INE13:INH13"/>
    <mergeCell ref="ILU13:ILX13"/>
    <mergeCell ref="ILY13:IMB13"/>
    <mergeCell ref="IMC13:IMF13"/>
    <mergeCell ref="IMG13:IMJ13"/>
    <mergeCell ref="IMK13:IMN13"/>
    <mergeCell ref="IVU13:IVX13"/>
    <mergeCell ref="IVY13:IWB13"/>
    <mergeCell ref="IWC13:IWF13"/>
    <mergeCell ref="IWG13:IWJ13"/>
    <mergeCell ref="IWK13:IWN13"/>
    <mergeCell ref="IVA13:IVD13"/>
    <mergeCell ref="IVE13:IVH13"/>
    <mergeCell ref="IVI13:IVL13"/>
    <mergeCell ref="IVM13:IVP13"/>
    <mergeCell ref="IVQ13:IVT13"/>
    <mergeCell ref="IUG13:IUJ13"/>
    <mergeCell ref="IUK13:IUN13"/>
    <mergeCell ref="IUO13:IUR13"/>
    <mergeCell ref="IUS13:IUV13"/>
    <mergeCell ref="IUW13:IUZ13"/>
    <mergeCell ref="ITM13:ITP13"/>
    <mergeCell ref="ITQ13:ITT13"/>
    <mergeCell ref="ITU13:ITX13"/>
    <mergeCell ref="ITY13:IUB13"/>
    <mergeCell ref="IUC13:IUF13"/>
    <mergeCell ref="ISS13:ISV13"/>
    <mergeCell ref="ISW13:ISZ13"/>
    <mergeCell ref="ITA13:ITD13"/>
    <mergeCell ref="ITE13:ITH13"/>
    <mergeCell ref="ITI13:ITL13"/>
    <mergeCell ref="IRY13:ISB13"/>
    <mergeCell ref="ISC13:ISF13"/>
    <mergeCell ref="ISG13:ISJ13"/>
    <mergeCell ref="ISK13:ISN13"/>
    <mergeCell ref="ISO13:ISR13"/>
    <mergeCell ref="IRE13:IRH13"/>
    <mergeCell ref="IRI13:IRL13"/>
    <mergeCell ref="IRM13:IRP13"/>
    <mergeCell ref="IRQ13:IRT13"/>
    <mergeCell ref="IRU13:IRX13"/>
    <mergeCell ref="JBE13:JBH13"/>
    <mergeCell ref="JBI13:JBL13"/>
    <mergeCell ref="JBM13:JBP13"/>
    <mergeCell ref="JBQ13:JBT13"/>
    <mergeCell ref="JBU13:JBX13"/>
    <mergeCell ref="JAK13:JAN13"/>
    <mergeCell ref="JAO13:JAR13"/>
    <mergeCell ref="JAS13:JAV13"/>
    <mergeCell ref="JAW13:JAZ13"/>
    <mergeCell ref="JBA13:JBD13"/>
    <mergeCell ref="IZQ13:IZT13"/>
    <mergeCell ref="IZU13:IZX13"/>
    <mergeCell ref="IZY13:JAB13"/>
    <mergeCell ref="JAC13:JAF13"/>
    <mergeCell ref="JAG13:JAJ13"/>
    <mergeCell ref="IYW13:IYZ13"/>
    <mergeCell ref="IZA13:IZD13"/>
    <mergeCell ref="IZE13:IZH13"/>
    <mergeCell ref="IZI13:IZL13"/>
    <mergeCell ref="IZM13:IZP13"/>
    <mergeCell ref="IYC13:IYF13"/>
    <mergeCell ref="IYG13:IYJ13"/>
    <mergeCell ref="IYK13:IYN13"/>
    <mergeCell ref="IYO13:IYR13"/>
    <mergeCell ref="IYS13:IYV13"/>
    <mergeCell ref="IXI13:IXL13"/>
    <mergeCell ref="IXM13:IXP13"/>
    <mergeCell ref="IXQ13:IXT13"/>
    <mergeCell ref="IXU13:IXX13"/>
    <mergeCell ref="IXY13:IYB13"/>
    <mergeCell ref="IWO13:IWR13"/>
    <mergeCell ref="IWS13:IWV13"/>
    <mergeCell ref="IWW13:IWZ13"/>
    <mergeCell ref="IXA13:IXD13"/>
    <mergeCell ref="IXE13:IXH13"/>
    <mergeCell ref="JGO13:JGR13"/>
    <mergeCell ref="JGS13:JGV13"/>
    <mergeCell ref="JGW13:JGZ13"/>
    <mergeCell ref="JHA13:JHD13"/>
    <mergeCell ref="JHE13:JHH13"/>
    <mergeCell ref="JFU13:JFX13"/>
    <mergeCell ref="JFY13:JGB13"/>
    <mergeCell ref="JGC13:JGF13"/>
    <mergeCell ref="JGG13:JGJ13"/>
    <mergeCell ref="JGK13:JGN13"/>
    <mergeCell ref="JFA13:JFD13"/>
    <mergeCell ref="JFE13:JFH13"/>
    <mergeCell ref="JFI13:JFL13"/>
    <mergeCell ref="JFM13:JFP13"/>
    <mergeCell ref="JFQ13:JFT13"/>
    <mergeCell ref="JEG13:JEJ13"/>
    <mergeCell ref="JEK13:JEN13"/>
    <mergeCell ref="JEO13:JER13"/>
    <mergeCell ref="JES13:JEV13"/>
    <mergeCell ref="JEW13:JEZ13"/>
    <mergeCell ref="JDM13:JDP13"/>
    <mergeCell ref="JDQ13:JDT13"/>
    <mergeCell ref="JDU13:JDX13"/>
    <mergeCell ref="JDY13:JEB13"/>
    <mergeCell ref="JEC13:JEF13"/>
    <mergeCell ref="JCS13:JCV13"/>
    <mergeCell ref="JCW13:JCZ13"/>
    <mergeCell ref="JDA13:JDD13"/>
    <mergeCell ref="JDE13:JDH13"/>
    <mergeCell ref="JDI13:JDL13"/>
    <mergeCell ref="JBY13:JCB13"/>
    <mergeCell ref="JCC13:JCF13"/>
    <mergeCell ref="JCG13:JCJ13"/>
    <mergeCell ref="JCK13:JCN13"/>
    <mergeCell ref="JCO13:JCR13"/>
    <mergeCell ref="JLY13:JMB13"/>
    <mergeCell ref="JMC13:JMF13"/>
    <mergeCell ref="JMG13:JMJ13"/>
    <mergeCell ref="JMK13:JMN13"/>
    <mergeCell ref="JMO13:JMR13"/>
    <mergeCell ref="JLE13:JLH13"/>
    <mergeCell ref="JLI13:JLL13"/>
    <mergeCell ref="JLM13:JLP13"/>
    <mergeCell ref="JLQ13:JLT13"/>
    <mergeCell ref="JLU13:JLX13"/>
    <mergeCell ref="JKK13:JKN13"/>
    <mergeCell ref="JKO13:JKR13"/>
    <mergeCell ref="JKS13:JKV13"/>
    <mergeCell ref="JKW13:JKZ13"/>
    <mergeCell ref="JLA13:JLD13"/>
    <mergeCell ref="JJQ13:JJT13"/>
    <mergeCell ref="JJU13:JJX13"/>
    <mergeCell ref="JJY13:JKB13"/>
    <mergeCell ref="JKC13:JKF13"/>
    <mergeCell ref="JKG13:JKJ13"/>
    <mergeCell ref="JIW13:JIZ13"/>
    <mergeCell ref="JJA13:JJD13"/>
    <mergeCell ref="JJE13:JJH13"/>
    <mergeCell ref="JJI13:JJL13"/>
    <mergeCell ref="JJM13:JJP13"/>
    <mergeCell ref="JIC13:JIF13"/>
    <mergeCell ref="JIG13:JIJ13"/>
    <mergeCell ref="JIK13:JIN13"/>
    <mergeCell ref="JIO13:JIR13"/>
    <mergeCell ref="JIS13:JIV13"/>
    <mergeCell ref="JHI13:JHL13"/>
    <mergeCell ref="JHM13:JHP13"/>
    <mergeCell ref="JHQ13:JHT13"/>
    <mergeCell ref="JHU13:JHX13"/>
    <mergeCell ref="JHY13:JIB13"/>
    <mergeCell ref="JRI13:JRL13"/>
    <mergeCell ref="JRM13:JRP13"/>
    <mergeCell ref="JRQ13:JRT13"/>
    <mergeCell ref="JRU13:JRX13"/>
    <mergeCell ref="JRY13:JSB13"/>
    <mergeCell ref="JQO13:JQR13"/>
    <mergeCell ref="JQS13:JQV13"/>
    <mergeCell ref="JQW13:JQZ13"/>
    <mergeCell ref="JRA13:JRD13"/>
    <mergeCell ref="JRE13:JRH13"/>
    <mergeCell ref="JPU13:JPX13"/>
    <mergeCell ref="JPY13:JQB13"/>
    <mergeCell ref="JQC13:JQF13"/>
    <mergeCell ref="JQG13:JQJ13"/>
    <mergeCell ref="JQK13:JQN13"/>
    <mergeCell ref="JPA13:JPD13"/>
    <mergeCell ref="JPE13:JPH13"/>
    <mergeCell ref="JPI13:JPL13"/>
    <mergeCell ref="JPM13:JPP13"/>
    <mergeCell ref="JPQ13:JPT13"/>
    <mergeCell ref="JOG13:JOJ13"/>
    <mergeCell ref="JOK13:JON13"/>
    <mergeCell ref="JOO13:JOR13"/>
    <mergeCell ref="JOS13:JOV13"/>
    <mergeCell ref="JOW13:JOZ13"/>
    <mergeCell ref="JNM13:JNP13"/>
    <mergeCell ref="JNQ13:JNT13"/>
    <mergeCell ref="JNU13:JNX13"/>
    <mergeCell ref="JNY13:JOB13"/>
    <mergeCell ref="JOC13:JOF13"/>
    <mergeCell ref="JMS13:JMV13"/>
    <mergeCell ref="JMW13:JMZ13"/>
    <mergeCell ref="JNA13:JND13"/>
    <mergeCell ref="JNE13:JNH13"/>
    <mergeCell ref="JNI13:JNL13"/>
    <mergeCell ref="JWS13:JWV13"/>
    <mergeCell ref="JWW13:JWZ13"/>
    <mergeCell ref="JXA13:JXD13"/>
    <mergeCell ref="JXE13:JXH13"/>
    <mergeCell ref="JXI13:JXL13"/>
    <mergeCell ref="JVY13:JWB13"/>
    <mergeCell ref="JWC13:JWF13"/>
    <mergeCell ref="JWG13:JWJ13"/>
    <mergeCell ref="JWK13:JWN13"/>
    <mergeCell ref="JWO13:JWR13"/>
    <mergeCell ref="JVE13:JVH13"/>
    <mergeCell ref="JVI13:JVL13"/>
    <mergeCell ref="JVM13:JVP13"/>
    <mergeCell ref="JVQ13:JVT13"/>
    <mergeCell ref="JVU13:JVX13"/>
    <mergeCell ref="JUK13:JUN13"/>
    <mergeCell ref="JUO13:JUR13"/>
    <mergeCell ref="JUS13:JUV13"/>
    <mergeCell ref="JUW13:JUZ13"/>
    <mergeCell ref="JVA13:JVD13"/>
    <mergeCell ref="JTQ13:JTT13"/>
    <mergeCell ref="JTU13:JTX13"/>
    <mergeCell ref="JTY13:JUB13"/>
    <mergeCell ref="JUC13:JUF13"/>
    <mergeCell ref="JUG13:JUJ13"/>
    <mergeCell ref="JSW13:JSZ13"/>
    <mergeCell ref="JTA13:JTD13"/>
    <mergeCell ref="JTE13:JTH13"/>
    <mergeCell ref="JTI13:JTL13"/>
    <mergeCell ref="JTM13:JTP13"/>
    <mergeCell ref="JSC13:JSF13"/>
    <mergeCell ref="JSG13:JSJ13"/>
    <mergeCell ref="JSK13:JSN13"/>
    <mergeCell ref="JSO13:JSR13"/>
    <mergeCell ref="JSS13:JSV13"/>
    <mergeCell ref="KCC13:KCF13"/>
    <mergeCell ref="KCG13:KCJ13"/>
    <mergeCell ref="KCK13:KCN13"/>
    <mergeCell ref="KCO13:KCR13"/>
    <mergeCell ref="KCS13:KCV13"/>
    <mergeCell ref="KBI13:KBL13"/>
    <mergeCell ref="KBM13:KBP13"/>
    <mergeCell ref="KBQ13:KBT13"/>
    <mergeCell ref="KBU13:KBX13"/>
    <mergeCell ref="KBY13:KCB13"/>
    <mergeCell ref="KAO13:KAR13"/>
    <mergeCell ref="KAS13:KAV13"/>
    <mergeCell ref="KAW13:KAZ13"/>
    <mergeCell ref="KBA13:KBD13"/>
    <mergeCell ref="KBE13:KBH13"/>
    <mergeCell ref="JZU13:JZX13"/>
    <mergeCell ref="JZY13:KAB13"/>
    <mergeCell ref="KAC13:KAF13"/>
    <mergeCell ref="KAG13:KAJ13"/>
    <mergeCell ref="KAK13:KAN13"/>
    <mergeCell ref="JZA13:JZD13"/>
    <mergeCell ref="JZE13:JZH13"/>
    <mergeCell ref="JZI13:JZL13"/>
    <mergeCell ref="JZM13:JZP13"/>
    <mergeCell ref="JZQ13:JZT13"/>
    <mergeCell ref="JYG13:JYJ13"/>
    <mergeCell ref="JYK13:JYN13"/>
    <mergeCell ref="JYO13:JYR13"/>
    <mergeCell ref="JYS13:JYV13"/>
    <mergeCell ref="JYW13:JYZ13"/>
    <mergeCell ref="JXM13:JXP13"/>
    <mergeCell ref="JXQ13:JXT13"/>
    <mergeCell ref="JXU13:JXX13"/>
    <mergeCell ref="JXY13:JYB13"/>
    <mergeCell ref="JYC13:JYF13"/>
    <mergeCell ref="KHM13:KHP13"/>
    <mergeCell ref="KHQ13:KHT13"/>
    <mergeCell ref="KHU13:KHX13"/>
    <mergeCell ref="KHY13:KIB13"/>
    <mergeCell ref="KIC13:KIF13"/>
    <mergeCell ref="KGS13:KGV13"/>
    <mergeCell ref="KGW13:KGZ13"/>
    <mergeCell ref="KHA13:KHD13"/>
    <mergeCell ref="KHE13:KHH13"/>
    <mergeCell ref="KHI13:KHL13"/>
    <mergeCell ref="KFY13:KGB13"/>
    <mergeCell ref="KGC13:KGF13"/>
    <mergeCell ref="KGG13:KGJ13"/>
    <mergeCell ref="KGK13:KGN13"/>
    <mergeCell ref="KGO13:KGR13"/>
    <mergeCell ref="KFE13:KFH13"/>
    <mergeCell ref="KFI13:KFL13"/>
    <mergeCell ref="KFM13:KFP13"/>
    <mergeCell ref="KFQ13:KFT13"/>
    <mergeCell ref="KFU13:KFX13"/>
    <mergeCell ref="KEK13:KEN13"/>
    <mergeCell ref="KEO13:KER13"/>
    <mergeCell ref="KES13:KEV13"/>
    <mergeCell ref="KEW13:KEZ13"/>
    <mergeCell ref="KFA13:KFD13"/>
    <mergeCell ref="KDQ13:KDT13"/>
    <mergeCell ref="KDU13:KDX13"/>
    <mergeCell ref="KDY13:KEB13"/>
    <mergeCell ref="KEC13:KEF13"/>
    <mergeCell ref="KEG13:KEJ13"/>
    <mergeCell ref="KCW13:KCZ13"/>
    <mergeCell ref="KDA13:KDD13"/>
    <mergeCell ref="KDE13:KDH13"/>
    <mergeCell ref="KDI13:KDL13"/>
    <mergeCell ref="KDM13:KDP13"/>
    <mergeCell ref="KMW13:KMZ13"/>
    <mergeCell ref="KNA13:KND13"/>
    <mergeCell ref="KNE13:KNH13"/>
    <mergeCell ref="KNI13:KNL13"/>
    <mergeCell ref="KNM13:KNP13"/>
    <mergeCell ref="KMC13:KMF13"/>
    <mergeCell ref="KMG13:KMJ13"/>
    <mergeCell ref="KMK13:KMN13"/>
    <mergeCell ref="KMO13:KMR13"/>
    <mergeCell ref="KMS13:KMV13"/>
    <mergeCell ref="KLI13:KLL13"/>
    <mergeCell ref="KLM13:KLP13"/>
    <mergeCell ref="KLQ13:KLT13"/>
    <mergeCell ref="KLU13:KLX13"/>
    <mergeCell ref="KLY13:KMB13"/>
    <mergeCell ref="KKO13:KKR13"/>
    <mergeCell ref="KKS13:KKV13"/>
    <mergeCell ref="KKW13:KKZ13"/>
    <mergeCell ref="KLA13:KLD13"/>
    <mergeCell ref="KLE13:KLH13"/>
    <mergeCell ref="KJU13:KJX13"/>
    <mergeCell ref="KJY13:KKB13"/>
    <mergeCell ref="KKC13:KKF13"/>
    <mergeCell ref="KKG13:KKJ13"/>
    <mergeCell ref="KKK13:KKN13"/>
    <mergeCell ref="KJA13:KJD13"/>
    <mergeCell ref="KJE13:KJH13"/>
    <mergeCell ref="KJI13:KJL13"/>
    <mergeCell ref="KJM13:KJP13"/>
    <mergeCell ref="KJQ13:KJT13"/>
    <mergeCell ref="KIG13:KIJ13"/>
    <mergeCell ref="KIK13:KIN13"/>
    <mergeCell ref="KIO13:KIR13"/>
    <mergeCell ref="KIS13:KIV13"/>
    <mergeCell ref="KIW13:KIZ13"/>
    <mergeCell ref="KSG13:KSJ13"/>
    <mergeCell ref="KSK13:KSN13"/>
    <mergeCell ref="KSO13:KSR13"/>
    <mergeCell ref="KSS13:KSV13"/>
    <mergeCell ref="KSW13:KSZ13"/>
    <mergeCell ref="KRM13:KRP13"/>
    <mergeCell ref="KRQ13:KRT13"/>
    <mergeCell ref="KRU13:KRX13"/>
    <mergeCell ref="KRY13:KSB13"/>
    <mergeCell ref="KSC13:KSF13"/>
    <mergeCell ref="KQS13:KQV13"/>
    <mergeCell ref="KQW13:KQZ13"/>
    <mergeCell ref="KRA13:KRD13"/>
    <mergeCell ref="KRE13:KRH13"/>
    <mergeCell ref="KRI13:KRL13"/>
    <mergeCell ref="KPY13:KQB13"/>
    <mergeCell ref="KQC13:KQF13"/>
    <mergeCell ref="KQG13:KQJ13"/>
    <mergeCell ref="KQK13:KQN13"/>
    <mergeCell ref="KQO13:KQR13"/>
    <mergeCell ref="KPE13:KPH13"/>
    <mergeCell ref="KPI13:KPL13"/>
    <mergeCell ref="KPM13:KPP13"/>
    <mergeCell ref="KPQ13:KPT13"/>
    <mergeCell ref="KPU13:KPX13"/>
    <mergeCell ref="KOK13:KON13"/>
    <mergeCell ref="KOO13:KOR13"/>
    <mergeCell ref="KOS13:KOV13"/>
    <mergeCell ref="KOW13:KOZ13"/>
    <mergeCell ref="KPA13:KPD13"/>
    <mergeCell ref="KNQ13:KNT13"/>
    <mergeCell ref="KNU13:KNX13"/>
    <mergeCell ref="KNY13:KOB13"/>
    <mergeCell ref="KOC13:KOF13"/>
    <mergeCell ref="KOG13:KOJ13"/>
    <mergeCell ref="KXQ13:KXT13"/>
    <mergeCell ref="KXU13:KXX13"/>
    <mergeCell ref="KXY13:KYB13"/>
    <mergeCell ref="KYC13:KYF13"/>
    <mergeCell ref="KYG13:KYJ13"/>
    <mergeCell ref="KWW13:KWZ13"/>
    <mergeCell ref="KXA13:KXD13"/>
    <mergeCell ref="KXE13:KXH13"/>
    <mergeCell ref="KXI13:KXL13"/>
    <mergeCell ref="KXM13:KXP13"/>
    <mergeCell ref="KWC13:KWF13"/>
    <mergeCell ref="KWG13:KWJ13"/>
    <mergeCell ref="KWK13:KWN13"/>
    <mergeCell ref="KWO13:KWR13"/>
    <mergeCell ref="KWS13:KWV13"/>
    <mergeCell ref="KVI13:KVL13"/>
    <mergeCell ref="KVM13:KVP13"/>
    <mergeCell ref="KVQ13:KVT13"/>
    <mergeCell ref="KVU13:KVX13"/>
    <mergeCell ref="KVY13:KWB13"/>
    <mergeCell ref="KUO13:KUR13"/>
    <mergeCell ref="KUS13:KUV13"/>
    <mergeCell ref="KUW13:KUZ13"/>
    <mergeCell ref="KVA13:KVD13"/>
    <mergeCell ref="KVE13:KVH13"/>
    <mergeCell ref="KTU13:KTX13"/>
    <mergeCell ref="KTY13:KUB13"/>
    <mergeCell ref="KUC13:KUF13"/>
    <mergeCell ref="KUG13:KUJ13"/>
    <mergeCell ref="KUK13:KUN13"/>
    <mergeCell ref="KTA13:KTD13"/>
    <mergeCell ref="KTE13:KTH13"/>
    <mergeCell ref="KTI13:KTL13"/>
    <mergeCell ref="KTM13:KTP13"/>
    <mergeCell ref="KTQ13:KTT13"/>
    <mergeCell ref="LDA13:LDD13"/>
    <mergeCell ref="LDE13:LDH13"/>
    <mergeCell ref="LDI13:LDL13"/>
    <mergeCell ref="LDM13:LDP13"/>
    <mergeCell ref="LDQ13:LDT13"/>
    <mergeCell ref="LCG13:LCJ13"/>
    <mergeCell ref="LCK13:LCN13"/>
    <mergeCell ref="LCO13:LCR13"/>
    <mergeCell ref="LCS13:LCV13"/>
    <mergeCell ref="LCW13:LCZ13"/>
    <mergeCell ref="LBM13:LBP13"/>
    <mergeCell ref="LBQ13:LBT13"/>
    <mergeCell ref="LBU13:LBX13"/>
    <mergeCell ref="LBY13:LCB13"/>
    <mergeCell ref="LCC13:LCF13"/>
    <mergeCell ref="LAS13:LAV13"/>
    <mergeCell ref="LAW13:LAZ13"/>
    <mergeCell ref="LBA13:LBD13"/>
    <mergeCell ref="LBE13:LBH13"/>
    <mergeCell ref="LBI13:LBL13"/>
    <mergeCell ref="KZY13:LAB13"/>
    <mergeCell ref="LAC13:LAF13"/>
    <mergeCell ref="LAG13:LAJ13"/>
    <mergeCell ref="LAK13:LAN13"/>
    <mergeCell ref="LAO13:LAR13"/>
    <mergeCell ref="KZE13:KZH13"/>
    <mergeCell ref="KZI13:KZL13"/>
    <mergeCell ref="KZM13:KZP13"/>
    <mergeCell ref="KZQ13:KZT13"/>
    <mergeCell ref="KZU13:KZX13"/>
    <mergeCell ref="KYK13:KYN13"/>
    <mergeCell ref="KYO13:KYR13"/>
    <mergeCell ref="KYS13:KYV13"/>
    <mergeCell ref="KYW13:KYZ13"/>
    <mergeCell ref="KZA13:KZD13"/>
    <mergeCell ref="LIK13:LIN13"/>
    <mergeCell ref="LIO13:LIR13"/>
    <mergeCell ref="LIS13:LIV13"/>
    <mergeCell ref="LIW13:LIZ13"/>
    <mergeCell ref="LJA13:LJD13"/>
    <mergeCell ref="LHQ13:LHT13"/>
    <mergeCell ref="LHU13:LHX13"/>
    <mergeCell ref="LHY13:LIB13"/>
    <mergeCell ref="LIC13:LIF13"/>
    <mergeCell ref="LIG13:LIJ13"/>
    <mergeCell ref="LGW13:LGZ13"/>
    <mergeCell ref="LHA13:LHD13"/>
    <mergeCell ref="LHE13:LHH13"/>
    <mergeCell ref="LHI13:LHL13"/>
    <mergeCell ref="LHM13:LHP13"/>
    <mergeCell ref="LGC13:LGF13"/>
    <mergeCell ref="LGG13:LGJ13"/>
    <mergeCell ref="LGK13:LGN13"/>
    <mergeCell ref="LGO13:LGR13"/>
    <mergeCell ref="LGS13:LGV13"/>
    <mergeCell ref="LFI13:LFL13"/>
    <mergeCell ref="LFM13:LFP13"/>
    <mergeCell ref="LFQ13:LFT13"/>
    <mergeCell ref="LFU13:LFX13"/>
    <mergeCell ref="LFY13:LGB13"/>
    <mergeCell ref="LEO13:LER13"/>
    <mergeCell ref="LES13:LEV13"/>
    <mergeCell ref="LEW13:LEZ13"/>
    <mergeCell ref="LFA13:LFD13"/>
    <mergeCell ref="LFE13:LFH13"/>
    <mergeCell ref="LDU13:LDX13"/>
    <mergeCell ref="LDY13:LEB13"/>
    <mergeCell ref="LEC13:LEF13"/>
    <mergeCell ref="LEG13:LEJ13"/>
    <mergeCell ref="LEK13:LEN13"/>
    <mergeCell ref="LNU13:LNX13"/>
    <mergeCell ref="LNY13:LOB13"/>
    <mergeCell ref="LOC13:LOF13"/>
    <mergeCell ref="LOG13:LOJ13"/>
    <mergeCell ref="LOK13:LON13"/>
    <mergeCell ref="LNA13:LND13"/>
    <mergeCell ref="LNE13:LNH13"/>
    <mergeCell ref="LNI13:LNL13"/>
    <mergeCell ref="LNM13:LNP13"/>
    <mergeCell ref="LNQ13:LNT13"/>
    <mergeCell ref="LMG13:LMJ13"/>
    <mergeCell ref="LMK13:LMN13"/>
    <mergeCell ref="LMO13:LMR13"/>
    <mergeCell ref="LMS13:LMV13"/>
    <mergeCell ref="LMW13:LMZ13"/>
    <mergeCell ref="LLM13:LLP13"/>
    <mergeCell ref="LLQ13:LLT13"/>
    <mergeCell ref="LLU13:LLX13"/>
    <mergeCell ref="LLY13:LMB13"/>
    <mergeCell ref="LMC13:LMF13"/>
    <mergeCell ref="LKS13:LKV13"/>
    <mergeCell ref="LKW13:LKZ13"/>
    <mergeCell ref="LLA13:LLD13"/>
    <mergeCell ref="LLE13:LLH13"/>
    <mergeCell ref="LLI13:LLL13"/>
    <mergeCell ref="LJY13:LKB13"/>
    <mergeCell ref="LKC13:LKF13"/>
    <mergeCell ref="LKG13:LKJ13"/>
    <mergeCell ref="LKK13:LKN13"/>
    <mergeCell ref="LKO13:LKR13"/>
    <mergeCell ref="LJE13:LJH13"/>
    <mergeCell ref="LJI13:LJL13"/>
    <mergeCell ref="LJM13:LJP13"/>
    <mergeCell ref="LJQ13:LJT13"/>
    <mergeCell ref="LJU13:LJX13"/>
    <mergeCell ref="LTE13:LTH13"/>
    <mergeCell ref="LTI13:LTL13"/>
    <mergeCell ref="LTM13:LTP13"/>
    <mergeCell ref="LTQ13:LTT13"/>
    <mergeCell ref="LTU13:LTX13"/>
    <mergeCell ref="LSK13:LSN13"/>
    <mergeCell ref="LSO13:LSR13"/>
    <mergeCell ref="LSS13:LSV13"/>
    <mergeCell ref="LSW13:LSZ13"/>
    <mergeCell ref="LTA13:LTD13"/>
    <mergeCell ref="LRQ13:LRT13"/>
    <mergeCell ref="LRU13:LRX13"/>
    <mergeCell ref="LRY13:LSB13"/>
    <mergeCell ref="LSC13:LSF13"/>
    <mergeCell ref="LSG13:LSJ13"/>
    <mergeCell ref="LQW13:LQZ13"/>
    <mergeCell ref="LRA13:LRD13"/>
    <mergeCell ref="LRE13:LRH13"/>
    <mergeCell ref="LRI13:LRL13"/>
    <mergeCell ref="LRM13:LRP13"/>
    <mergeCell ref="LQC13:LQF13"/>
    <mergeCell ref="LQG13:LQJ13"/>
    <mergeCell ref="LQK13:LQN13"/>
    <mergeCell ref="LQO13:LQR13"/>
    <mergeCell ref="LQS13:LQV13"/>
    <mergeCell ref="LPI13:LPL13"/>
    <mergeCell ref="LPM13:LPP13"/>
    <mergeCell ref="LPQ13:LPT13"/>
    <mergeCell ref="LPU13:LPX13"/>
    <mergeCell ref="LPY13:LQB13"/>
    <mergeCell ref="LOO13:LOR13"/>
    <mergeCell ref="LOS13:LOV13"/>
    <mergeCell ref="LOW13:LOZ13"/>
    <mergeCell ref="LPA13:LPD13"/>
    <mergeCell ref="LPE13:LPH13"/>
    <mergeCell ref="LYO13:LYR13"/>
    <mergeCell ref="LYS13:LYV13"/>
    <mergeCell ref="LYW13:LYZ13"/>
    <mergeCell ref="LZA13:LZD13"/>
    <mergeCell ref="LZE13:LZH13"/>
    <mergeCell ref="LXU13:LXX13"/>
    <mergeCell ref="LXY13:LYB13"/>
    <mergeCell ref="LYC13:LYF13"/>
    <mergeCell ref="LYG13:LYJ13"/>
    <mergeCell ref="LYK13:LYN13"/>
    <mergeCell ref="LXA13:LXD13"/>
    <mergeCell ref="LXE13:LXH13"/>
    <mergeCell ref="LXI13:LXL13"/>
    <mergeCell ref="LXM13:LXP13"/>
    <mergeCell ref="LXQ13:LXT13"/>
    <mergeCell ref="LWG13:LWJ13"/>
    <mergeCell ref="LWK13:LWN13"/>
    <mergeCell ref="LWO13:LWR13"/>
    <mergeCell ref="LWS13:LWV13"/>
    <mergeCell ref="LWW13:LWZ13"/>
    <mergeCell ref="LVM13:LVP13"/>
    <mergeCell ref="LVQ13:LVT13"/>
    <mergeCell ref="LVU13:LVX13"/>
    <mergeCell ref="LVY13:LWB13"/>
    <mergeCell ref="LWC13:LWF13"/>
    <mergeCell ref="LUS13:LUV13"/>
    <mergeCell ref="LUW13:LUZ13"/>
    <mergeCell ref="LVA13:LVD13"/>
    <mergeCell ref="LVE13:LVH13"/>
    <mergeCell ref="LVI13:LVL13"/>
    <mergeCell ref="LTY13:LUB13"/>
    <mergeCell ref="LUC13:LUF13"/>
    <mergeCell ref="LUG13:LUJ13"/>
    <mergeCell ref="LUK13:LUN13"/>
    <mergeCell ref="LUO13:LUR13"/>
    <mergeCell ref="MDY13:MEB13"/>
    <mergeCell ref="MEC13:MEF13"/>
    <mergeCell ref="MEG13:MEJ13"/>
    <mergeCell ref="MEK13:MEN13"/>
    <mergeCell ref="MEO13:MER13"/>
    <mergeCell ref="MDE13:MDH13"/>
    <mergeCell ref="MDI13:MDL13"/>
    <mergeCell ref="MDM13:MDP13"/>
    <mergeCell ref="MDQ13:MDT13"/>
    <mergeCell ref="MDU13:MDX13"/>
    <mergeCell ref="MCK13:MCN13"/>
    <mergeCell ref="MCO13:MCR13"/>
    <mergeCell ref="MCS13:MCV13"/>
    <mergeCell ref="MCW13:MCZ13"/>
    <mergeCell ref="MDA13:MDD13"/>
    <mergeCell ref="MBQ13:MBT13"/>
    <mergeCell ref="MBU13:MBX13"/>
    <mergeCell ref="MBY13:MCB13"/>
    <mergeCell ref="MCC13:MCF13"/>
    <mergeCell ref="MCG13:MCJ13"/>
    <mergeCell ref="MAW13:MAZ13"/>
    <mergeCell ref="MBA13:MBD13"/>
    <mergeCell ref="MBE13:MBH13"/>
    <mergeCell ref="MBI13:MBL13"/>
    <mergeCell ref="MBM13:MBP13"/>
    <mergeCell ref="MAC13:MAF13"/>
    <mergeCell ref="MAG13:MAJ13"/>
    <mergeCell ref="MAK13:MAN13"/>
    <mergeCell ref="MAO13:MAR13"/>
    <mergeCell ref="MAS13:MAV13"/>
    <mergeCell ref="LZI13:LZL13"/>
    <mergeCell ref="LZM13:LZP13"/>
    <mergeCell ref="LZQ13:LZT13"/>
    <mergeCell ref="LZU13:LZX13"/>
    <mergeCell ref="LZY13:MAB13"/>
    <mergeCell ref="MJI13:MJL13"/>
    <mergeCell ref="MJM13:MJP13"/>
    <mergeCell ref="MJQ13:MJT13"/>
    <mergeCell ref="MJU13:MJX13"/>
    <mergeCell ref="MJY13:MKB13"/>
    <mergeCell ref="MIO13:MIR13"/>
    <mergeCell ref="MIS13:MIV13"/>
    <mergeCell ref="MIW13:MIZ13"/>
    <mergeCell ref="MJA13:MJD13"/>
    <mergeCell ref="MJE13:MJH13"/>
    <mergeCell ref="MHU13:MHX13"/>
    <mergeCell ref="MHY13:MIB13"/>
    <mergeCell ref="MIC13:MIF13"/>
    <mergeCell ref="MIG13:MIJ13"/>
    <mergeCell ref="MIK13:MIN13"/>
    <mergeCell ref="MHA13:MHD13"/>
    <mergeCell ref="MHE13:MHH13"/>
    <mergeCell ref="MHI13:MHL13"/>
    <mergeCell ref="MHM13:MHP13"/>
    <mergeCell ref="MHQ13:MHT13"/>
    <mergeCell ref="MGG13:MGJ13"/>
    <mergeCell ref="MGK13:MGN13"/>
    <mergeCell ref="MGO13:MGR13"/>
    <mergeCell ref="MGS13:MGV13"/>
    <mergeCell ref="MGW13:MGZ13"/>
    <mergeCell ref="MFM13:MFP13"/>
    <mergeCell ref="MFQ13:MFT13"/>
    <mergeCell ref="MFU13:MFX13"/>
    <mergeCell ref="MFY13:MGB13"/>
    <mergeCell ref="MGC13:MGF13"/>
    <mergeCell ref="MES13:MEV13"/>
    <mergeCell ref="MEW13:MEZ13"/>
    <mergeCell ref="MFA13:MFD13"/>
    <mergeCell ref="MFE13:MFH13"/>
    <mergeCell ref="MFI13:MFL13"/>
    <mergeCell ref="MOS13:MOV13"/>
    <mergeCell ref="MOW13:MOZ13"/>
    <mergeCell ref="MPA13:MPD13"/>
    <mergeCell ref="MPE13:MPH13"/>
    <mergeCell ref="MPI13:MPL13"/>
    <mergeCell ref="MNY13:MOB13"/>
    <mergeCell ref="MOC13:MOF13"/>
    <mergeCell ref="MOG13:MOJ13"/>
    <mergeCell ref="MOK13:MON13"/>
    <mergeCell ref="MOO13:MOR13"/>
    <mergeCell ref="MNE13:MNH13"/>
    <mergeCell ref="MNI13:MNL13"/>
    <mergeCell ref="MNM13:MNP13"/>
    <mergeCell ref="MNQ13:MNT13"/>
    <mergeCell ref="MNU13:MNX13"/>
    <mergeCell ref="MMK13:MMN13"/>
    <mergeCell ref="MMO13:MMR13"/>
    <mergeCell ref="MMS13:MMV13"/>
    <mergeCell ref="MMW13:MMZ13"/>
    <mergeCell ref="MNA13:MND13"/>
    <mergeCell ref="MLQ13:MLT13"/>
    <mergeCell ref="MLU13:MLX13"/>
    <mergeCell ref="MLY13:MMB13"/>
    <mergeCell ref="MMC13:MMF13"/>
    <mergeCell ref="MMG13:MMJ13"/>
    <mergeCell ref="MKW13:MKZ13"/>
    <mergeCell ref="MLA13:MLD13"/>
    <mergeCell ref="MLE13:MLH13"/>
    <mergeCell ref="MLI13:MLL13"/>
    <mergeCell ref="MLM13:MLP13"/>
    <mergeCell ref="MKC13:MKF13"/>
    <mergeCell ref="MKG13:MKJ13"/>
    <mergeCell ref="MKK13:MKN13"/>
    <mergeCell ref="MKO13:MKR13"/>
    <mergeCell ref="MKS13:MKV13"/>
    <mergeCell ref="MUC13:MUF13"/>
    <mergeCell ref="MUG13:MUJ13"/>
    <mergeCell ref="MUK13:MUN13"/>
    <mergeCell ref="MUO13:MUR13"/>
    <mergeCell ref="MUS13:MUV13"/>
    <mergeCell ref="MTI13:MTL13"/>
    <mergeCell ref="MTM13:MTP13"/>
    <mergeCell ref="MTQ13:MTT13"/>
    <mergeCell ref="MTU13:MTX13"/>
    <mergeCell ref="MTY13:MUB13"/>
    <mergeCell ref="MSO13:MSR13"/>
    <mergeCell ref="MSS13:MSV13"/>
    <mergeCell ref="MSW13:MSZ13"/>
    <mergeCell ref="MTA13:MTD13"/>
    <mergeCell ref="MTE13:MTH13"/>
    <mergeCell ref="MRU13:MRX13"/>
    <mergeCell ref="MRY13:MSB13"/>
    <mergeCell ref="MSC13:MSF13"/>
    <mergeCell ref="MSG13:MSJ13"/>
    <mergeCell ref="MSK13:MSN13"/>
    <mergeCell ref="MRA13:MRD13"/>
    <mergeCell ref="MRE13:MRH13"/>
    <mergeCell ref="MRI13:MRL13"/>
    <mergeCell ref="MRM13:MRP13"/>
    <mergeCell ref="MRQ13:MRT13"/>
    <mergeCell ref="MQG13:MQJ13"/>
    <mergeCell ref="MQK13:MQN13"/>
    <mergeCell ref="MQO13:MQR13"/>
    <mergeCell ref="MQS13:MQV13"/>
    <mergeCell ref="MQW13:MQZ13"/>
    <mergeCell ref="MPM13:MPP13"/>
    <mergeCell ref="MPQ13:MPT13"/>
    <mergeCell ref="MPU13:MPX13"/>
    <mergeCell ref="MPY13:MQB13"/>
    <mergeCell ref="MQC13:MQF13"/>
    <mergeCell ref="MZM13:MZP13"/>
    <mergeCell ref="MZQ13:MZT13"/>
    <mergeCell ref="MZU13:MZX13"/>
    <mergeCell ref="MZY13:NAB13"/>
    <mergeCell ref="NAC13:NAF13"/>
    <mergeCell ref="MYS13:MYV13"/>
    <mergeCell ref="MYW13:MYZ13"/>
    <mergeCell ref="MZA13:MZD13"/>
    <mergeCell ref="MZE13:MZH13"/>
    <mergeCell ref="MZI13:MZL13"/>
    <mergeCell ref="MXY13:MYB13"/>
    <mergeCell ref="MYC13:MYF13"/>
    <mergeCell ref="MYG13:MYJ13"/>
    <mergeCell ref="MYK13:MYN13"/>
    <mergeCell ref="MYO13:MYR13"/>
    <mergeCell ref="MXE13:MXH13"/>
    <mergeCell ref="MXI13:MXL13"/>
    <mergeCell ref="MXM13:MXP13"/>
    <mergeCell ref="MXQ13:MXT13"/>
    <mergeCell ref="MXU13:MXX13"/>
    <mergeCell ref="MWK13:MWN13"/>
    <mergeCell ref="MWO13:MWR13"/>
    <mergeCell ref="MWS13:MWV13"/>
    <mergeCell ref="MWW13:MWZ13"/>
    <mergeCell ref="MXA13:MXD13"/>
    <mergeCell ref="MVQ13:MVT13"/>
    <mergeCell ref="MVU13:MVX13"/>
    <mergeCell ref="MVY13:MWB13"/>
    <mergeCell ref="MWC13:MWF13"/>
    <mergeCell ref="MWG13:MWJ13"/>
    <mergeCell ref="MUW13:MUZ13"/>
    <mergeCell ref="MVA13:MVD13"/>
    <mergeCell ref="MVE13:MVH13"/>
    <mergeCell ref="MVI13:MVL13"/>
    <mergeCell ref="MVM13:MVP13"/>
    <mergeCell ref="NEW13:NEZ13"/>
    <mergeCell ref="NFA13:NFD13"/>
    <mergeCell ref="NFE13:NFH13"/>
    <mergeCell ref="NFI13:NFL13"/>
    <mergeCell ref="NFM13:NFP13"/>
    <mergeCell ref="NEC13:NEF13"/>
    <mergeCell ref="NEG13:NEJ13"/>
    <mergeCell ref="NEK13:NEN13"/>
    <mergeCell ref="NEO13:NER13"/>
    <mergeCell ref="NES13:NEV13"/>
    <mergeCell ref="NDI13:NDL13"/>
    <mergeCell ref="NDM13:NDP13"/>
    <mergeCell ref="NDQ13:NDT13"/>
    <mergeCell ref="NDU13:NDX13"/>
    <mergeCell ref="NDY13:NEB13"/>
    <mergeCell ref="NCO13:NCR13"/>
    <mergeCell ref="NCS13:NCV13"/>
    <mergeCell ref="NCW13:NCZ13"/>
    <mergeCell ref="NDA13:NDD13"/>
    <mergeCell ref="NDE13:NDH13"/>
    <mergeCell ref="NBU13:NBX13"/>
    <mergeCell ref="NBY13:NCB13"/>
    <mergeCell ref="NCC13:NCF13"/>
    <mergeCell ref="NCG13:NCJ13"/>
    <mergeCell ref="NCK13:NCN13"/>
    <mergeCell ref="NBA13:NBD13"/>
    <mergeCell ref="NBE13:NBH13"/>
    <mergeCell ref="NBI13:NBL13"/>
    <mergeCell ref="NBM13:NBP13"/>
    <mergeCell ref="NBQ13:NBT13"/>
    <mergeCell ref="NAG13:NAJ13"/>
    <mergeCell ref="NAK13:NAN13"/>
    <mergeCell ref="NAO13:NAR13"/>
    <mergeCell ref="NAS13:NAV13"/>
    <mergeCell ref="NAW13:NAZ13"/>
    <mergeCell ref="NKG13:NKJ13"/>
    <mergeCell ref="NKK13:NKN13"/>
    <mergeCell ref="NKO13:NKR13"/>
    <mergeCell ref="NKS13:NKV13"/>
    <mergeCell ref="NKW13:NKZ13"/>
    <mergeCell ref="NJM13:NJP13"/>
    <mergeCell ref="NJQ13:NJT13"/>
    <mergeCell ref="NJU13:NJX13"/>
    <mergeCell ref="NJY13:NKB13"/>
    <mergeCell ref="NKC13:NKF13"/>
    <mergeCell ref="NIS13:NIV13"/>
    <mergeCell ref="NIW13:NIZ13"/>
    <mergeCell ref="NJA13:NJD13"/>
    <mergeCell ref="NJE13:NJH13"/>
    <mergeCell ref="NJI13:NJL13"/>
    <mergeCell ref="NHY13:NIB13"/>
    <mergeCell ref="NIC13:NIF13"/>
    <mergeCell ref="NIG13:NIJ13"/>
    <mergeCell ref="NIK13:NIN13"/>
    <mergeCell ref="NIO13:NIR13"/>
    <mergeCell ref="NHE13:NHH13"/>
    <mergeCell ref="NHI13:NHL13"/>
    <mergeCell ref="NHM13:NHP13"/>
    <mergeCell ref="NHQ13:NHT13"/>
    <mergeCell ref="NHU13:NHX13"/>
    <mergeCell ref="NGK13:NGN13"/>
    <mergeCell ref="NGO13:NGR13"/>
    <mergeCell ref="NGS13:NGV13"/>
    <mergeCell ref="NGW13:NGZ13"/>
    <mergeCell ref="NHA13:NHD13"/>
    <mergeCell ref="NFQ13:NFT13"/>
    <mergeCell ref="NFU13:NFX13"/>
    <mergeCell ref="NFY13:NGB13"/>
    <mergeCell ref="NGC13:NGF13"/>
    <mergeCell ref="NGG13:NGJ13"/>
    <mergeCell ref="NPQ13:NPT13"/>
    <mergeCell ref="NPU13:NPX13"/>
    <mergeCell ref="NPY13:NQB13"/>
    <mergeCell ref="NQC13:NQF13"/>
    <mergeCell ref="NQG13:NQJ13"/>
    <mergeCell ref="NOW13:NOZ13"/>
    <mergeCell ref="NPA13:NPD13"/>
    <mergeCell ref="NPE13:NPH13"/>
    <mergeCell ref="NPI13:NPL13"/>
    <mergeCell ref="NPM13:NPP13"/>
    <mergeCell ref="NOC13:NOF13"/>
    <mergeCell ref="NOG13:NOJ13"/>
    <mergeCell ref="NOK13:NON13"/>
    <mergeCell ref="NOO13:NOR13"/>
    <mergeCell ref="NOS13:NOV13"/>
    <mergeCell ref="NNI13:NNL13"/>
    <mergeCell ref="NNM13:NNP13"/>
    <mergeCell ref="NNQ13:NNT13"/>
    <mergeCell ref="NNU13:NNX13"/>
    <mergeCell ref="NNY13:NOB13"/>
    <mergeCell ref="NMO13:NMR13"/>
    <mergeCell ref="NMS13:NMV13"/>
    <mergeCell ref="NMW13:NMZ13"/>
    <mergeCell ref="NNA13:NND13"/>
    <mergeCell ref="NNE13:NNH13"/>
    <mergeCell ref="NLU13:NLX13"/>
    <mergeCell ref="NLY13:NMB13"/>
    <mergeCell ref="NMC13:NMF13"/>
    <mergeCell ref="NMG13:NMJ13"/>
    <mergeCell ref="NMK13:NMN13"/>
    <mergeCell ref="NLA13:NLD13"/>
    <mergeCell ref="NLE13:NLH13"/>
    <mergeCell ref="NLI13:NLL13"/>
    <mergeCell ref="NLM13:NLP13"/>
    <mergeCell ref="NLQ13:NLT13"/>
    <mergeCell ref="NVA13:NVD13"/>
    <mergeCell ref="NVE13:NVH13"/>
    <mergeCell ref="NVI13:NVL13"/>
    <mergeCell ref="NVM13:NVP13"/>
    <mergeCell ref="NVQ13:NVT13"/>
    <mergeCell ref="NUG13:NUJ13"/>
    <mergeCell ref="NUK13:NUN13"/>
    <mergeCell ref="NUO13:NUR13"/>
    <mergeCell ref="NUS13:NUV13"/>
    <mergeCell ref="NUW13:NUZ13"/>
    <mergeCell ref="NTM13:NTP13"/>
    <mergeCell ref="NTQ13:NTT13"/>
    <mergeCell ref="NTU13:NTX13"/>
    <mergeCell ref="NTY13:NUB13"/>
    <mergeCell ref="NUC13:NUF13"/>
    <mergeCell ref="NSS13:NSV13"/>
    <mergeCell ref="NSW13:NSZ13"/>
    <mergeCell ref="NTA13:NTD13"/>
    <mergeCell ref="NTE13:NTH13"/>
    <mergeCell ref="NTI13:NTL13"/>
    <mergeCell ref="NRY13:NSB13"/>
    <mergeCell ref="NSC13:NSF13"/>
    <mergeCell ref="NSG13:NSJ13"/>
    <mergeCell ref="NSK13:NSN13"/>
    <mergeCell ref="NSO13:NSR13"/>
    <mergeCell ref="NRE13:NRH13"/>
    <mergeCell ref="NRI13:NRL13"/>
    <mergeCell ref="NRM13:NRP13"/>
    <mergeCell ref="NRQ13:NRT13"/>
    <mergeCell ref="NRU13:NRX13"/>
    <mergeCell ref="NQK13:NQN13"/>
    <mergeCell ref="NQO13:NQR13"/>
    <mergeCell ref="NQS13:NQV13"/>
    <mergeCell ref="NQW13:NQZ13"/>
    <mergeCell ref="NRA13:NRD13"/>
    <mergeCell ref="OAK13:OAN13"/>
    <mergeCell ref="OAO13:OAR13"/>
    <mergeCell ref="OAS13:OAV13"/>
    <mergeCell ref="OAW13:OAZ13"/>
    <mergeCell ref="OBA13:OBD13"/>
    <mergeCell ref="NZQ13:NZT13"/>
    <mergeCell ref="NZU13:NZX13"/>
    <mergeCell ref="NZY13:OAB13"/>
    <mergeCell ref="OAC13:OAF13"/>
    <mergeCell ref="OAG13:OAJ13"/>
    <mergeCell ref="NYW13:NYZ13"/>
    <mergeCell ref="NZA13:NZD13"/>
    <mergeCell ref="NZE13:NZH13"/>
    <mergeCell ref="NZI13:NZL13"/>
    <mergeCell ref="NZM13:NZP13"/>
    <mergeCell ref="NYC13:NYF13"/>
    <mergeCell ref="NYG13:NYJ13"/>
    <mergeCell ref="NYK13:NYN13"/>
    <mergeCell ref="NYO13:NYR13"/>
    <mergeCell ref="NYS13:NYV13"/>
    <mergeCell ref="NXI13:NXL13"/>
    <mergeCell ref="NXM13:NXP13"/>
    <mergeCell ref="NXQ13:NXT13"/>
    <mergeCell ref="NXU13:NXX13"/>
    <mergeCell ref="NXY13:NYB13"/>
    <mergeCell ref="NWO13:NWR13"/>
    <mergeCell ref="NWS13:NWV13"/>
    <mergeCell ref="NWW13:NWZ13"/>
    <mergeCell ref="NXA13:NXD13"/>
    <mergeCell ref="NXE13:NXH13"/>
    <mergeCell ref="NVU13:NVX13"/>
    <mergeCell ref="NVY13:NWB13"/>
    <mergeCell ref="NWC13:NWF13"/>
    <mergeCell ref="NWG13:NWJ13"/>
    <mergeCell ref="NWK13:NWN13"/>
    <mergeCell ref="OFU13:OFX13"/>
    <mergeCell ref="OFY13:OGB13"/>
    <mergeCell ref="OGC13:OGF13"/>
    <mergeCell ref="OGG13:OGJ13"/>
    <mergeCell ref="OGK13:OGN13"/>
    <mergeCell ref="OFA13:OFD13"/>
    <mergeCell ref="OFE13:OFH13"/>
    <mergeCell ref="OFI13:OFL13"/>
    <mergeCell ref="OFM13:OFP13"/>
    <mergeCell ref="OFQ13:OFT13"/>
    <mergeCell ref="OEG13:OEJ13"/>
    <mergeCell ref="OEK13:OEN13"/>
    <mergeCell ref="OEO13:OER13"/>
    <mergeCell ref="OES13:OEV13"/>
    <mergeCell ref="OEW13:OEZ13"/>
    <mergeCell ref="ODM13:ODP13"/>
    <mergeCell ref="ODQ13:ODT13"/>
    <mergeCell ref="ODU13:ODX13"/>
    <mergeCell ref="ODY13:OEB13"/>
    <mergeCell ref="OEC13:OEF13"/>
    <mergeCell ref="OCS13:OCV13"/>
    <mergeCell ref="OCW13:OCZ13"/>
    <mergeCell ref="ODA13:ODD13"/>
    <mergeCell ref="ODE13:ODH13"/>
    <mergeCell ref="ODI13:ODL13"/>
    <mergeCell ref="OBY13:OCB13"/>
    <mergeCell ref="OCC13:OCF13"/>
    <mergeCell ref="OCG13:OCJ13"/>
    <mergeCell ref="OCK13:OCN13"/>
    <mergeCell ref="OCO13:OCR13"/>
    <mergeCell ref="OBE13:OBH13"/>
    <mergeCell ref="OBI13:OBL13"/>
    <mergeCell ref="OBM13:OBP13"/>
    <mergeCell ref="OBQ13:OBT13"/>
    <mergeCell ref="OBU13:OBX13"/>
    <mergeCell ref="OLE13:OLH13"/>
    <mergeCell ref="OLI13:OLL13"/>
    <mergeCell ref="OLM13:OLP13"/>
    <mergeCell ref="OLQ13:OLT13"/>
    <mergeCell ref="OLU13:OLX13"/>
    <mergeCell ref="OKK13:OKN13"/>
    <mergeCell ref="OKO13:OKR13"/>
    <mergeCell ref="OKS13:OKV13"/>
    <mergeCell ref="OKW13:OKZ13"/>
    <mergeCell ref="OLA13:OLD13"/>
    <mergeCell ref="OJQ13:OJT13"/>
    <mergeCell ref="OJU13:OJX13"/>
    <mergeCell ref="OJY13:OKB13"/>
    <mergeCell ref="OKC13:OKF13"/>
    <mergeCell ref="OKG13:OKJ13"/>
    <mergeCell ref="OIW13:OIZ13"/>
    <mergeCell ref="OJA13:OJD13"/>
    <mergeCell ref="OJE13:OJH13"/>
    <mergeCell ref="OJI13:OJL13"/>
    <mergeCell ref="OJM13:OJP13"/>
    <mergeCell ref="OIC13:OIF13"/>
    <mergeCell ref="OIG13:OIJ13"/>
    <mergeCell ref="OIK13:OIN13"/>
    <mergeCell ref="OIO13:OIR13"/>
    <mergeCell ref="OIS13:OIV13"/>
    <mergeCell ref="OHI13:OHL13"/>
    <mergeCell ref="OHM13:OHP13"/>
    <mergeCell ref="OHQ13:OHT13"/>
    <mergeCell ref="OHU13:OHX13"/>
    <mergeCell ref="OHY13:OIB13"/>
    <mergeCell ref="OGO13:OGR13"/>
    <mergeCell ref="OGS13:OGV13"/>
    <mergeCell ref="OGW13:OGZ13"/>
    <mergeCell ref="OHA13:OHD13"/>
    <mergeCell ref="OHE13:OHH13"/>
    <mergeCell ref="OQO13:OQR13"/>
    <mergeCell ref="OQS13:OQV13"/>
    <mergeCell ref="OQW13:OQZ13"/>
    <mergeCell ref="ORA13:ORD13"/>
    <mergeCell ref="ORE13:ORH13"/>
    <mergeCell ref="OPU13:OPX13"/>
    <mergeCell ref="OPY13:OQB13"/>
    <mergeCell ref="OQC13:OQF13"/>
    <mergeCell ref="OQG13:OQJ13"/>
    <mergeCell ref="OQK13:OQN13"/>
    <mergeCell ref="OPA13:OPD13"/>
    <mergeCell ref="OPE13:OPH13"/>
    <mergeCell ref="OPI13:OPL13"/>
    <mergeCell ref="OPM13:OPP13"/>
    <mergeCell ref="OPQ13:OPT13"/>
    <mergeCell ref="OOG13:OOJ13"/>
    <mergeCell ref="OOK13:OON13"/>
    <mergeCell ref="OOO13:OOR13"/>
    <mergeCell ref="OOS13:OOV13"/>
    <mergeCell ref="OOW13:OOZ13"/>
    <mergeCell ref="ONM13:ONP13"/>
    <mergeCell ref="ONQ13:ONT13"/>
    <mergeCell ref="ONU13:ONX13"/>
    <mergeCell ref="ONY13:OOB13"/>
    <mergeCell ref="OOC13:OOF13"/>
    <mergeCell ref="OMS13:OMV13"/>
    <mergeCell ref="OMW13:OMZ13"/>
    <mergeCell ref="ONA13:OND13"/>
    <mergeCell ref="ONE13:ONH13"/>
    <mergeCell ref="ONI13:ONL13"/>
    <mergeCell ref="OLY13:OMB13"/>
    <mergeCell ref="OMC13:OMF13"/>
    <mergeCell ref="OMG13:OMJ13"/>
    <mergeCell ref="OMK13:OMN13"/>
    <mergeCell ref="OMO13:OMR13"/>
    <mergeCell ref="OVY13:OWB13"/>
    <mergeCell ref="OWC13:OWF13"/>
    <mergeCell ref="OWG13:OWJ13"/>
    <mergeCell ref="OWK13:OWN13"/>
    <mergeCell ref="OWO13:OWR13"/>
    <mergeCell ref="OVE13:OVH13"/>
    <mergeCell ref="OVI13:OVL13"/>
    <mergeCell ref="OVM13:OVP13"/>
    <mergeCell ref="OVQ13:OVT13"/>
    <mergeCell ref="OVU13:OVX13"/>
    <mergeCell ref="OUK13:OUN13"/>
    <mergeCell ref="OUO13:OUR13"/>
    <mergeCell ref="OUS13:OUV13"/>
    <mergeCell ref="OUW13:OUZ13"/>
    <mergeCell ref="OVA13:OVD13"/>
    <mergeCell ref="OTQ13:OTT13"/>
    <mergeCell ref="OTU13:OTX13"/>
    <mergeCell ref="OTY13:OUB13"/>
    <mergeCell ref="OUC13:OUF13"/>
    <mergeCell ref="OUG13:OUJ13"/>
    <mergeCell ref="OSW13:OSZ13"/>
    <mergeCell ref="OTA13:OTD13"/>
    <mergeCell ref="OTE13:OTH13"/>
    <mergeCell ref="OTI13:OTL13"/>
    <mergeCell ref="OTM13:OTP13"/>
    <mergeCell ref="OSC13:OSF13"/>
    <mergeCell ref="OSG13:OSJ13"/>
    <mergeCell ref="OSK13:OSN13"/>
    <mergeCell ref="OSO13:OSR13"/>
    <mergeCell ref="OSS13:OSV13"/>
    <mergeCell ref="ORI13:ORL13"/>
    <mergeCell ref="ORM13:ORP13"/>
    <mergeCell ref="ORQ13:ORT13"/>
    <mergeCell ref="ORU13:ORX13"/>
    <mergeCell ref="ORY13:OSB13"/>
    <mergeCell ref="PBI13:PBL13"/>
    <mergeCell ref="PBM13:PBP13"/>
    <mergeCell ref="PBQ13:PBT13"/>
    <mergeCell ref="PBU13:PBX13"/>
    <mergeCell ref="PBY13:PCB13"/>
    <mergeCell ref="PAO13:PAR13"/>
    <mergeCell ref="PAS13:PAV13"/>
    <mergeCell ref="PAW13:PAZ13"/>
    <mergeCell ref="PBA13:PBD13"/>
    <mergeCell ref="PBE13:PBH13"/>
    <mergeCell ref="OZU13:OZX13"/>
    <mergeCell ref="OZY13:PAB13"/>
    <mergeCell ref="PAC13:PAF13"/>
    <mergeCell ref="PAG13:PAJ13"/>
    <mergeCell ref="PAK13:PAN13"/>
    <mergeCell ref="OZA13:OZD13"/>
    <mergeCell ref="OZE13:OZH13"/>
    <mergeCell ref="OZI13:OZL13"/>
    <mergeCell ref="OZM13:OZP13"/>
    <mergeCell ref="OZQ13:OZT13"/>
    <mergeCell ref="OYG13:OYJ13"/>
    <mergeCell ref="OYK13:OYN13"/>
    <mergeCell ref="OYO13:OYR13"/>
    <mergeCell ref="OYS13:OYV13"/>
    <mergeCell ref="OYW13:OYZ13"/>
    <mergeCell ref="OXM13:OXP13"/>
    <mergeCell ref="OXQ13:OXT13"/>
    <mergeCell ref="OXU13:OXX13"/>
    <mergeCell ref="OXY13:OYB13"/>
    <mergeCell ref="OYC13:OYF13"/>
    <mergeCell ref="OWS13:OWV13"/>
    <mergeCell ref="OWW13:OWZ13"/>
    <mergeCell ref="OXA13:OXD13"/>
    <mergeCell ref="OXE13:OXH13"/>
    <mergeCell ref="OXI13:OXL13"/>
    <mergeCell ref="PGS13:PGV13"/>
    <mergeCell ref="PGW13:PGZ13"/>
    <mergeCell ref="PHA13:PHD13"/>
    <mergeCell ref="PHE13:PHH13"/>
    <mergeCell ref="PHI13:PHL13"/>
    <mergeCell ref="PFY13:PGB13"/>
    <mergeCell ref="PGC13:PGF13"/>
    <mergeCell ref="PGG13:PGJ13"/>
    <mergeCell ref="PGK13:PGN13"/>
    <mergeCell ref="PGO13:PGR13"/>
    <mergeCell ref="PFE13:PFH13"/>
    <mergeCell ref="PFI13:PFL13"/>
    <mergeCell ref="PFM13:PFP13"/>
    <mergeCell ref="PFQ13:PFT13"/>
    <mergeCell ref="PFU13:PFX13"/>
    <mergeCell ref="PEK13:PEN13"/>
    <mergeCell ref="PEO13:PER13"/>
    <mergeCell ref="PES13:PEV13"/>
    <mergeCell ref="PEW13:PEZ13"/>
    <mergeCell ref="PFA13:PFD13"/>
    <mergeCell ref="PDQ13:PDT13"/>
    <mergeCell ref="PDU13:PDX13"/>
    <mergeCell ref="PDY13:PEB13"/>
    <mergeCell ref="PEC13:PEF13"/>
    <mergeCell ref="PEG13:PEJ13"/>
    <mergeCell ref="PCW13:PCZ13"/>
    <mergeCell ref="PDA13:PDD13"/>
    <mergeCell ref="PDE13:PDH13"/>
    <mergeCell ref="PDI13:PDL13"/>
    <mergeCell ref="PDM13:PDP13"/>
    <mergeCell ref="PCC13:PCF13"/>
    <mergeCell ref="PCG13:PCJ13"/>
    <mergeCell ref="PCK13:PCN13"/>
    <mergeCell ref="PCO13:PCR13"/>
    <mergeCell ref="PCS13:PCV13"/>
    <mergeCell ref="PMC13:PMF13"/>
    <mergeCell ref="PMG13:PMJ13"/>
    <mergeCell ref="PMK13:PMN13"/>
    <mergeCell ref="PMO13:PMR13"/>
    <mergeCell ref="PMS13:PMV13"/>
    <mergeCell ref="PLI13:PLL13"/>
    <mergeCell ref="PLM13:PLP13"/>
    <mergeCell ref="PLQ13:PLT13"/>
    <mergeCell ref="PLU13:PLX13"/>
    <mergeCell ref="PLY13:PMB13"/>
    <mergeCell ref="PKO13:PKR13"/>
    <mergeCell ref="PKS13:PKV13"/>
    <mergeCell ref="PKW13:PKZ13"/>
    <mergeCell ref="PLA13:PLD13"/>
    <mergeCell ref="PLE13:PLH13"/>
    <mergeCell ref="PJU13:PJX13"/>
    <mergeCell ref="PJY13:PKB13"/>
    <mergeCell ref="PKC13:PKF13"/>
    <mergeCell ref="PKG13:PKJ13"/>
    <mergeCell ref="PKK13:PKN13"/>
    <mergeCell ref="PJA13:PJD13"/>
    <mergeCell ref="PJE13:PJH13"/>
    <mergeCell ref="PJI13:PJL13"/>
    <mergeCell ref="PJM13:PJP13"/>
    <mergeCell ref="PJQ13:PJT13"/>
    <mergeCell ref="PIG13:PIJ13"/>
    <mergeCell ref="PIK13:PIN13"/>
    <mergeCell ref="PIO13:PIR13"/>
    <mergeCell ref="PIS13:PIV13"/>
    <mergeCell ref="PIW13:PIZ13"/>
    <mergeCell ref="PHM13:PHP13"/>
    <mergeCell ref="PHQ13:PHT13"/>
    <mergeCell ref="PHU13:PHX13"/>
    <mergeCell ref="PHY13:PIB13"/>
    <mergeCell ref="PIC13:PIF13"/>
    <mergeCell ref="PRM13:PRP13"/>
    <mergeCell ref="PRQ13:PRT13"/>
    <mergeCell ref="PRU13:PRX13"/>
    <mergeCell ref="PRY13:PSB13"/>
    <mergeCell ref="PSC13:PSF13"/>
    <mergeCell ref="PQS13:PQV13"/>
    <mergeCell ref="PQW13:PQZ13"/>
    <mergeCell ref="PRA13:PRD13"/>
    <mergeCell ref="PRE13:PRH13"/>
    <mergeCell ref="PRI13:PRL13"/>
    <mergeCell ref="PPY13:PQB13"/>
    <mergeCell ref="PQC13:PQF13"/>
    <mergeCell ref="PQG13:PQJ13"/>
    <mergeCell ref="PQK13:PQN13"/>
    <mergeCell ref="PQO13:PQR13"/>
    <mergeCell ref="PPE13:PPH13"/>
    <mergeCell ref="PPI13:PPL13"/>
    <mergeCell ref="PPM13:PPP13"/>
    <mergeCell ref="PPQ13:PPT13"/>
    <mergeCell ref="PPU13:PPX13"/>
    <mergeCell ref="POK13:PON13"/>
    <mergeCell ref="POO13:POR13"/>
    <mergeCell ref="POS13:POV13"/>
    <mergeCell ref="POW13:POZ13"/>
    <mergeCell ref="PPA13:PPD13"/>
    <mergeCell ref="PNQ13:PNT13"/>
    <mergeCell ref="PNU13:PNX13"/>
    <mergeCell ref="PNY13:POB13"/>
    <mergeCell ref="POC13:POF13"/>
    <mergeCell ref="POG13:POJ13"/>
    <mergeCell ref="PMW13:PMZ13"/>
    <mergeCell ref="PNA13:PND13"/>
    <mergeCell ref="PNE13:PNH13"/>
    <mergeCell ref="PNI13:PNL13"/>
    <mergeCell ref="PNM13:PNP13"/>
    <mergeCell ref="PWW13:PWZ13"/>
    <mergeCell ref="PXA13:PXD13"/>
    <mergeCell ref="PXE13:PXH13"/>
    <mergeCell ref="PXI13:PXL13"/>
    <mergeCell ref="PXM13:PXP13"/>
    <mergeCell ref="PWC13:PWF13"/>
    <mergeCell ref="PWG13:PWJ13"/>
    <mergeCell ref="PWK13:PWN13"/>
    <mergeCell ref="PWO13:PWR13"/>
    <mergeCell ref="PWS13:PWV13"/>
    <mergeCell ref="PVI13:PVL13"/>
    <mergeCell ref="PVM13:PVP13"/>
    <mergeCell ref="PVQ13:PVT13"/>
    <mergeCell ref="PVU13:PVX13"/>
    <mergeCell ref="PVY13:PWB13"/>
    <mergeCell ref="PUO13:PUR13"/>
    <mergeCell ref="PUS13:PUV13"/>
    <mergeCell ref="PUW13:PUZ13"/>
    <mergeCell ref="PVA13:PVD13"/>
    <mergeCell ref="PVE13:PVH13"/>
    <mergeCell ref="PTU13:PTX13"/>
    <mergeCell ref="PTY13:PUB13"/>
    <mergeCell ref="PUC13:PUF13"/>
    <mergeCell ref="PUG13:PUJ13"/>
    <mergeCell ref="PUK13:PUN13"/>
    <mergeCell ref="PTA13:PTD13"/>
    <mergeCell ref="PTE13:PTH13"/>
    <mergeCell ref="PTI13:PTL13"/>
    <mergeCell ref="PTM13:PTP13"/>
    <mergeCell ref="PTQ13:PTT13"/>
    <mergeCell ref="PSG13:PSJ13"/>
    <mergeCell ref="PSK13:PSN13"/>
    <mergeCell ref="PSO13:PSR13"/>
    <mergeCell ref="PSS13:PSV13"/>
    <mergeCell ref="PSW13:PSZ13"/>
    <mergeCell ref="QCG13:QCJ13"/>
    <mergeCell ref="QCK13:QCN13"/>
    <mergeCell ref="QCO13:QCR13"/>
    <mergeCell ref="QCS13:QCV13"/>
    <mergeCell ref="QCW13:QCZ13"/>
    <mergeCell ref="QBM13:QBP13"/>
    <mergeCell ref="QBQ13:QBT13"/>
    <mergeCell ref="QBU13:QBX13"/>
    <mergeCell ref="QBY13:QCB13"/>
    <mergeCell ref="QCC13:QCF13"/>
    <mergeCell ref="QAS13:QAV13"/>
    <mergeCell ref="QAW13:QAZ13"/>
    <mergeCell ref="QBA13:QBD13"/>
    <mergeCell ref="QBE13:QBH13"/>
    <mergeCell ref="QBI13:QBL13"/>
    <mergeCell ref="PZY13:QAB13"/>
    <mergeCell ref="QAC13:QAF13"/>
    <mergeCell ref="QAG13:QAJ13"/>
    <mergeCell ref="QAK13:QAN13"/>
    <mergeCell ref="QAO13:QAR13"/>
    <mergeCell ref="PZE13:PZH13"/>
    <mergeCell ref="PZI13:PZL13"/>
    <mergeCell ref="PZM13:PZP13"/>
    <mergeCell ref="PZQ13:PZT13"/>
    <mergeCell ref="PZU13:PZX13"/>
    <mergeCell ref="PYK13:PYN13"/>
    <mergeCell ref="PYO13:PYR13"/>
    <mergeCell ref="PYS13:PYV13"/>
    <mergeCell ref="PYW13:PYZ13"/>
    <mergeCell ref="PZA13:PZD13"/>
    <mergeCell ref="PXQ13:PXT13"/>
    <mergeCell ref="PXU13:PXX13"/>
    <mergeCell ref="PXY13:PYB13"/>
    <mergeCell ref="PYC13:PYF13"/>
    <mergeCell ref="PYG13:PYJ13"/>
    <mergeCell ref="QHQ13:QHT13"/>
    <mergeCell ref="QHU13:QHX13"/>
    <mergeCell ref="QHY13:QIB13"/>
    <mergeCell ref="QIC13:QIF13"/>
    <mergeCell ref="QIG13:QIJ13"/>
    <mergeCell ref="QGW13:QGZ13"/>
    <mergeCell ref="QHA13:QHD13"/>
    <mergeCell ref="QHE13:QHH13"/>
    <mergeCell ref="QHI13:QHL13"/>
    <mergeCell ref="QHM13:QHP13"/>
    <mergeCell ref="QGC13:QGF13"/>
    <mergeCell ref="QGG13:QGJ13"/>
    <mergeCell ref="QGK13:QGN13"/>
    <mergeCell ref="QGO13:QGR13"/>
    <mergeCell ref="QGS13:QGV13"/>
    <mergeCell ref="QFI13:QFL13"/>
    <mergeCell ref="QFM13:QFP13"/>
    <mergeCell ref="QFQ13:QFT13"/>
    <mergeCell ref="QFU13:QFX13"/>
    <mergeCell ref="QFY13:QGB13"/>
    <mergeCell ref="QEO13:QER13"/>
    <mergeCell ref="QES13:QEV13"/>
    <mergeCell ref="QEW13:QEZ13"/>
    <mergeCell ref="QFA13:QFD13"/>
    <mergeCell ref="QFE13:QFH13"/>
    <mergeCell ref="QDU13:QDX13"/>
    <mergeCell ref="QDY13:QEB13"/>
    <mergeCell ref="QEC13:QEF13"/>
    <mergeCell ref="QEG13:QEJ13"/>
    <mergeCell ref="QEK13:QEN13"/>
    <mergeCell ref="QDA13:QDD13"/>
    <mergeCell ref="QDE13:QDH13"/>
    <mergeCell ref="QDI13:QDL13"/>
    <mergeCell ref="QDM13:QDP13"/>
    <mergeCell ref="QDQ13:QDT13"/>
    <mergeCell ref="QNA13:QND13"/>
    <mergeCell ref="QNE13:QNH13"/>
    <mergeCell ref="QNI13:QNL13"/>
    <mergeCell ref="QNM13:QNP13"/>
    <mergeCell ref="QNQ13:QNT13"/>
    <mergeCell ref="QMG13:QMJ13"/>
    <mergeCell ref="QMK13:QMN13"/>
    <mergeCell ref="QMO13:QMR13"/>
    <mergeCell ref="QMS13:QMV13"/>
    <mergeCell ref="QMW13:QMZ13"/>
    <mergeCell ref="QLM13:QLP13"/>
    <mergeCell ref="QLQ13:QLT13"/>
    <mergeCell ref="QLU13:QLX13"/>
    <mergeCell ref="QLY13:QMB13"/>
    <mergeCell ref="QMC13:QMF13"/>
    <mergeCell ref="QKS13:QKV13"/>
    <mergeCell ref="QKW13:QKZ13"/>
    <mergeCell ref="QLA13:QLD13"/>
    <mergeCell ref="QLE13:QLH13"/>
    <mergeCell ref="QLI13:QLL13"/>
    <mergeCell ref="QJY13:QKB13"/>
    <mergeCell ref="QKC13:QKF13"/>
    <mergeCell ref="QKG13:QKJ13"/>
    <mergeCell ref="QKK13:QKN13"/>
    <mergeCell ref="QKO13:QKR13"/>
    <mergeCell ref="QJE13:QJH13"/>
    <mergeCell ref="QJI13:QJL13"/>
    <mergeCell ref="QJM13:QJP13"/>
    <mergeCell ref="QJQ13:QJT13"/>
    <mergeCell ref="QJU13:QJX13"/>
    <mergeCell ref="QIK13:QIN13"/>
    <mergeCell ref="QIO13:QIR13"/>
    <mergeCell ref="QIS13:QIV13"/>
    <mergeCell ref="QIW13:QIZ13"/>
    <mergeCell ref="QJA13:QJD13"/>
    <mergeCell ref="QSK13:QSN13"/>
    <mergeCell ref="QSO13:QSR13"/>
    <mergeCell ref="QSS13:QSV13"/>
    <mergeCell ref="QSW13:QSZ13"/>
    <mergeCell ref="QTA13:QTD13"/>
    <mergeCell ref="QRQ13:QRT13"/>
    <mergeCell ref="QRU13:QRX13"/>
    <mergeCell ref="QRY13:QSB13"/>
    <mergeCell ref="QSC13:QSF13"/>
    <mergeCell ref="QSG13:QSJ13"/>
    <mergeCell ref="QQW13:QQZ13"/>
    <mergeCell ref="QRA13:QRD13"/>
    <mergeCell ref="QRE13:QRH13"/>
    <mergeCell ref="QRI13:QRL13"/>
    <mergeCell ref="QRM13:QRP13"/>
    <mergeCell ref="QQC13:QQF13"/>
    <mergeCell ref="QQG13:QQJ13"/>
    <mergeCell ref="QQK13:QQN13"/>
    <mergeCell ref="QQO13:QQR13"/>
    <mergeCell ref="QQS13:QQV13"/>
    <mergeCell ref="QPI13:QPL13"/>
    <mergeCell ref="QPM13:QPP13"/>
    <mergeCell ref="QPQ13:QPT13"/>
    <mergeCell ref="QPU13:QPX13"/>
    <mergeCell ref="QPY13:QQB13"/>
    <mergeCell ref="QOO13:QOR13"/>
    <mergeCell ref="QOS13:QOV13"/>
    <mergeCell ref="QOW13:QOZ13"/>
    <mergeCell ref="QPA13:QPD13"/>
    <mergeCell ref="QPE13:QPH13"/>
    <mergeCell ref="QNU13:QNX13"/>
    <mergeCell ref="QNY13:QOB13"/>
    <mergeCell ref="QOC13:QOF13"/>
    <mergeCell ref="QOG13:QOJ13"/>
    <mergeCell ref="QOK13:QON13"/>
    <mergeCell ref="QXU13:QXX13"/>
    <mergeCell ref="QXY13:QYB13"/>
    <mergeCell ref="QYC13:QYF13"/>
    <mergeCell ref="QYG13:QYJ13"/>
    <mergeCell ref="QYK13:QYN13"/>
    <mergeCell ref="QXA13:QXD13"/>
    <mergeCell ref="QXE13:QXH13"/>
    <mergeCell ref="QXI13:QXL13"/>
    <mergeCell ref="QXM13:QXP13"/>
    <mergeCell ref="QXQ13:QXT13"/>
    <mergeCell ref="QWG13:QWJ13"/>
    <mergeCell ref="QWK13:QWN13"/>
    <mergeCell ref="QWO13:QWR13"/>
    <mergeCell ref="QWS13:QWV13"/>
    <mergeCell ref="QWW13:QWZ13"/>
    <mergeCell ref="QVM13:QVP13"/>
    <mergeCell ref="QVQ13:QVT13"/>
    <mergeCell ref="QVU13:QVX13"/>
    <mergeCell ref="QVY13:QWB13"/>
    <mergeCell ref="QWC13:QWF13"/>
    <mergeCell ref="QUS13:QUV13"/>
    <mergeCell ref="QUW13:QUZ13"/>
    <mergeCell ref="QVA13:QVD13"/>
    <mergeCell ref="QVE13:QVH13"/>
    <mergeCell ref="QVI13:QVL13"/>
    <mergeCell ref="QTY13:QUB13"/>
    <mergeCell ref="QUC13:QUF13"/>
    <mergeCell ref="QUG13:QUJ13"/>
    <mergeCell ref="QUK13:QUN13"/>
    <mergeCell ref="QUO13:QUR13"/>
    <mergeCell ref="QTE13:QTH13"/>
    <mergeCell ref="QTI13:QTL13"/>
    <mergeCell ref="QTM13:QTP13"/>
    <mergeCell ref="QTQ13:QTT13"/>
    <mergeCell ref="QTU13:QTX13"/>
    <mergeCell ref="RDE13:RDH13"/>
    <mergeCell ref="RDI13:RDL13"/>
    <mergeCell ref="RDM13:RDP13"/>
    <mergeCell ref="RDQ13:RDT13"/>
    <mergeCell ref="RDU13:RDX13"/>
    <mergeCell ref="RCK13:RCN13"/>
    <mergeCell ref="RCO13:RCR13"/>
    <mergeCell ref="RCS13:RCV13"/>
    <mergeCell ref="RCW13:RCZ13"/>
    <mergeCell ref="RDA13:RDD13"/>
    <mergeCell ref="RBQ13:RBT13"/>
    <mergeCell ref="RBU13:RBX13"/>
    <mergeCell ref="RBY13:RCB13"/>
    <mergeCell ref="RCC13:RCF13"/>
    <mergeCell ref="RCG13:RCJ13"/>
    <mergeCell ref="RAW13:RAZ13"/>
    <mergeCell ref="RBA13:RBD13"/>
    <mergeCell ref="RBE13:RBH13"/>
    <mergeCell ref="RBI13:RBL13"/>
    <mergeCell ref="RBM13:RBP13"/>
    <mergeCell ref="RAC13:RAF13"/>
    <mergeCell ref="RAG13:RAJ13"/>
    <mergeCell ref="RAK13:RAN13"/>
    <mergeCell ref="RAO13:RAR13"/>
    <mergeCell ref="RAS13:RAV13"/>
    <mergeCell ref="QZI13:QZL13"/>
    <mergeCell ref="QZM13:QZP13"/>
    <mergeCell ref="QZQ13:QZT13"/>
    <mergeCell ref="QZU13:QZX13"/>
    <mergeCell ref="QZY13:RAB13"/>
    <mergeCell ref="QYO13:QYR13"/>
    <mergeCell ref="QYS13:QYV13"/>
    <mergeCell ref="QYW13:QYZ13"/>
    <mergeCell ref="QZA13:QZD13"/>
    <mergeCell ref="QZE13:QZH13"/>
    <mergeCell ref="RIO13:RIR13"/>
    <mergeCell ref="RIS13:RIV13"/>
    <mergeCell ref="RIW13:RIZ13"/>
    <mergeCell ref="RJA13:RJD13"/>
    <mergeCell ref="RJE13:RJH13"/>
    <mergeCell ref="RHU13:RHX13"/>
    <mergeCell ref="RHY13:RIB13"/>
    <mergeCell ref="RIC13:RIF13"/>
    <mergeCell ref="RIG13:RIJ13"/>
    <mergeCell ref="RIK13:RIN13"/>
    <mergeCell ref="RHA13:RHD13"/>
    <mergeCell ref="RHE13:RHH13"/>
    <mergeCell ref="RHI13:RHL13"/>
    <mergeCell ref="RHM13:RHP13"/>
    <mergeCell ref="RHQ13:RHT13"/>
    <mergeCell ref="RGG13:RGJ13"/>
    <mergeCell ref="RGK13:RGN13"/>
    <mergeCell ref="RGO13:RGR13"/>
    <mergeCell ref="RGS13:RGV13"/>
    <mergeCell ref="RGW13:RGZ13"/>
    <mergeCell ref="RFM13:RFP13"/>
    <mergeCell ref="RFQ13:RFT13"/>
    <mergeCell ref="RFU13:RFX13"/>
    <mergeCell ref="RFY13:RGB13"/>
    <mergeCell ref="RGC13:RGF13"/>
    <mergeCell ref="RES13:REV13"/>
    <mergeCell ref="REW13:REZ13"/>
    <mergeCell ref="RFA13:RFD13"/>
    <mergeCell ref="RFE13:RFH13"/>
    <mergeCell ref="RFI13:RFL13"/>
    <mergeCell ref="RDY13:REB13"/>
    <mergeCell ref="REC13:REF13"/>
    <mergeCell ref="REG13:REJ13"/>
    <mergeCell ref="REK13:REN13"/>
    <mergeCell ref="REO13:RER13"/>
    <mergeCell ref="RNY13:ROB13"/>
    <mergeCell ref="ROC13:ROF13"/>
    <mergeCell ref="ROG13:ROJ13"/>
    <mergeCell ref="ROK13:RON13"/>
    <mergeCell ref="ROO13:ROR13"/>
    <mergeCell ref="RNE13:RNH13"/>
    <mergeCell ref="RNI13:RNL13"/>
    <mergeCell ref="RNM13:RNP13"/>
    <mergeCell ref="RNQ13:RNT13"/>
    <mergeCell ref="RNU13:RNX13"/>
    <mergeCell ref="RMK13:RMN13"/>
    <mergeCell ref="RMO13:RMR13"/>
    <mergeCell ref="RMS13:RMV13"/>
    <mergeCell ref="RMW13:RMZ13"/>
    <mergeCell ref="RNA13:RND13"/>
    <mergeCell ref="RLQ13:RLT13"/>
    <mergeCell ref="RLU13:RLX13"/>
    <mergeCell ref="RLY13:RMB13"/>
    <mergeCell ref="RMC13:RMF13"/>
    <mergeCell ref="RMG13:RMJ13"/>
    <mergeCell ref="RKW13:RKZ13"/>
    <mergeCell ref="RLA13:RLD13"/>
    <mergeCell ref="RLE13:RLH13"/>
    <mergeCell ref="RLI13:RLL13"/>
    <mergeCell ref="RLM13:RLP13"/>
    <mergeCell ref="RKC13:RKF13"/>
    <mergeCell ref="RKG13:RKJ13"/>
    <mergeCell ref="RKK13:RKN13"/>
    <mergeCell ref="RKO13:RKR13"/>
    <mergeCell ref="RKS13:RKV13"/>
    <mergeCell ref="RJI13:RJL13"/>
    <mergeCell ref="RJM13:RJP13"/>
    <mergeCell ref="RJQ13:RJT13"/>
    <mergeCell ref="RJU13:RJX13"/>
    <mergeCell ref="RJY13:RKB13"/>
    <mergeCell ref="RTI13:RTL13"/>
    <mergeCell ref="RTM13:RTP13"/>
    <mergeCell ref="RTQ13:RTT13"/>
    <mergeCell ref="RTU13:RTX13"/>
    <mergeCell ref="RTY13:RUB13"/>
    <mergeCell ref="RSO13:RSR13"/>
    <mergeCell ref="RSS13:RSV13"/>
    <mergeCell ref="RSW13:RSZ13"/>
    <mergeCell ref="RTA13:RTD13"/>
    <mergeCell ref="RTE13:RTH13"/>
    <mergeCell ref="RRU13:RRX13"/>
    <mergeCell ref="RRY13:RSB13"/>
    <mergeCell ref="RSC13:RSF13"/>
    <mergeCell ref="RSG13:RSJ13"/>
    <mergeCell ref="RSK13:RSN13"/>
    <mergeCell ref="RRA13:RRD13"/>
    <mergeCell ref="RRE13:RRH13"/>
    <mergeCell ref="RRI13:RRL13"/>
    <mergeCell ref="RRM13:RRP13"/>
    <mergeCell ref="RRQ13:RRT13"/>
    <mergeCell ref="RQG13:RQJ13"/>
    <mergeCell ref="RQK13:RQN13"/>
    <mergeCell ref="RQO13:RQR13"/>
    <mergeCell ref="RQS13:RQV13"/>
    <mergeCell ref="RQW13:RQZ13"/>
    <mergeCell ref="RPM13:RPP13"/>
    <mergeCell ref="RPQ13:RPT13"/>
    <mergeCell ref="RPU13:RPX13"/>
    <mergeCell ref="RPY13:RQB13"/>
    <mergeCell ref="RQC13:RQF13"/>
    <mergeCell ref="ROS13:ROV13"/>
    <mergeCell ref="ROW13:ROZ13"/>
    <mergeCell ref="RPA13:RPD13"/>
    <mergeCell ref="RPE13:RPH13"/>
    <mergeCell ref="RPI13:RPL13"/>
    <mergeCell ref="RYS13:RYV13"/>
    <mergeCell ref="RYW13:RYZ13"/>
    <mergeCell ref="RZA13:RZD13"/>
    <mergeCell ref="RZE13:RZH13"/>
    <mergeCell ref="RZI13:RZL13"/>
    <mergeCell ref="RXY13:RYB13"/>
    <mergeCell ref="RYC13:RYF13"/>
    <mergeCell ref="RYG13:RYJ13"/>
    <mergeCell ref="RYK13:RYN13"/>
    <mergeCell ref="RYO13:RYR13"/>
    <mergeCell ref="RXE13:RXH13"/>
    <mergeCell ref="RXI13:RXL13"/>
    <mergeCell ref="RXM13:RXP13"/>
    <mergeCell ref="RXQ13:RXT13"/>
    <mergeCell ref="RXU13:RXX13"/>
    <mergeCell ref="RWK13:RWN13"/>
    <mergeCell ref="RWO13:RWR13"/>
    <mergeCell ref="RWS13:RWV13"/>
    <mergeCell ref="RWW13:RWZ13"/>
    <mergeCell ref="RXA13:RXD13"/>
    <mergeCell ref="RVQ13:RVT13"/>
    <mergeCell ref="RVU13:RVX13"/>
    <mergeCell ref="RVY13:RWB13"/>
    <mergeCell ref="RWC13:RWF13"/>
    <mergeCell ref="RWG13:RWJ13"/>
    <mergeCell ref="RUW13:RUZ13"/>
    <mergeCell ref="RVA13:RVD13"/>
    <mergeCell ref="RVE13:RVH13"/>
    <mergeCell ref="RVI13:RVL13"/>
    <mergeCell ref="RVM13:RVP13"/>
    <mergeCell ref="RUC13:RUF13"/>
    <mergeCell ref="RUG13:RUJ13"/>
    <mergeCell ref="RUK13:RUN13"/>
    <mergeCell ref="RUO13:RUR13"/>
    <mergeCell ref="RUS13:RUV13"/>
    <mergeCell ref="SEC13:SEF13"/>
    <mergeCell ref="SEG13:SEJ13"/>
    <mergeCell ref="SEK13:SEN13"/>
    <mergeCell ref="SEO13:SER13"/>
    <mergeCell ref="SES13:SEV13"/>
    <mergeCell ref="SDI13:SDL13"/>
    <mergeCell ref="SDM13:SDP13"/>
    <mergeCell ref="SDQ13:SDT13"/>
    <mergeCell ref="SDU13:SDX13"/>
    <mergeCell ref="SDY13:SEB13"/>
    <mergeCell ref="SCO13:SCR13"/>
    <mergeCell ref="SCS13:SCV13"/>
    <mergeCell ref="SCW13:SCZ13"/>
    <mergeCell ref="SDA13:SDD13"/>
    <mergeCell ref="SDE13:SDH13"/>
    <mergeCell ref="SBU13:SBX13"/>
    <mergeCell ref="SBY13:SCB13"/>
    <mergeCell ref="SCC13:SCF13"/>
    <mergeCell ref="SCG13:SCJ13"/>
    <mergeCell ref="SCK13:SCN13"/>
    <mergeCell ref="SBA13:SBD13"/>
    <mergeCell ref="SBE13:SBH13"/>
    <mergeCell ref="SBI13:SBL13"/>
    <mergeCell ref="SBM13:SBP13"/>
    <mergeCell ref="SBQ13:SBT13"/>
    <mergeCell ref="SAG13:SAJ13"/>
    <mergeCell ref="SAK13:SAN13"/>
    <mergeCell ref="SAO13:SAR13"/>
    <mergeCell ref="SAS13:SAV13"/>
    <mergeCell ref="SAW13:SAZ13"/>
    <mergeCell ref="RZM13:RZP13"/>
    <mergeCell ref="RZQ13:RZT13"/>
    <mergeCell ref="RZU13:RZX13"/>
    <mergeCell ref="RZY13:SAB13"/>
    <mergeCell ref="SAC13:SAF13"/>
    <mergeCell ref="SJM13:SJP13"/>
    <mergeCell ref="SJQ13:SJT13"/>
    <mergeCell ref="SJU13:SJX13"/>
    <mergeCell ref="SJY13:SKB13"/>
    <mergeCell ref="SKC13:SKF13"/>
    <mergeCell ref="SIS13:SIV13"/>
    <mergeCell ref="SIW13:SIZ13"/>
    <mergeCell ref="SJA13:SJD13"/>
    <mergeCell ref="SJE13:SJH13"/>
    <mergeCell ref="SJI13:SJL13"/>
    <mergeCell ref="SHY13:SIB13"/>
    <mergeCell ref="SIC13:SIF13"/>
    <mergeCell ref="SIG13:SIJ13"/>
    <mergeCell ref="SIK13:SIN13"/>
    <mergeCell ref="SIO13:SIR13"/>
    <mergeCell ref="SHE13:SHH13"/>
    <mergeCell ref="SHI13:SHL13"/>
    <mergeCell ref="SHM13:SHP13"/>
    <mergeCell ref="SHQ13:SHT13"/>
    <mergeCell ref="SHU13:SHX13"/>
    <mergeCell ref="SGK13:SGN13"/>
    <mergeCell ref="SGO13:SGR13"/>
    <mergeCell ref="SGS13:SGV13"/>
    <mergeCell ref="SGW13:SGZ13"/>
    <mergeCell ref="SHA13:SHD13"/>
    <mergeCell ref="SFQ13:SFT13"/>
    <mergeCell ref="SFU13:SFX13"/>
    <mergeCell ref="SFY13:SGB13"/>
    <mergeCell ref="SGC13:SGF13"/>
    <mergeCell ref="SGG13:SGJ13"/>
    <mergeCell ref="SEW13:SEZ13"/>
    <mergeCell ref="SFA13:SFD13"/>
    <mergeCell ref="SFE13:SFH13"/>
    <mergeCell ref="SFI13:SFL13"/>
    <mergeCell ref="SFM13:SFP13"/>
    <mergeCell ref="SOW13:SOZ13"/>
    <mergeCell ref="SPA13:SPD13"/>
    <mergeCell ref="SPE13:SPH13"/>
    <mergeCell ref="SPI13:SPL13"/>
    <mergeCell ref="SPM13:SPP13"/>
    <mergeCell ref="SOC13:SOF13"/>
    <mergeCell ref="SOG13:SOJ13"/>
    <mergeCell ref="SOK13:SON13"/>
    <mergeCell ref="SOO13:SOR13"/>
    <mergeCell ref="SOS13:SOV13"/>
    <mergeCell ref="SNI13:SNL13"/>
    <mergeCell ref="SNM13:SNP13"/>
    <mergeCell ref="SNQ13:SNT13"/>
    <mergeCell ref="SNU13:SNX13"/>
    <mergeCell ref="SNY13:SOB13"/>
    <mergeCell ref="SMO13:SMR13"/>
    <mergeCell ref="SMS13:SMV13"/>
    <mergeCell ref="SMW13:SMZ13"/>
    <mergeCell ref="SNA13:SND13"/>
    <mergeCell ref="SNE13:SNH13"/>
    <mergeCell ref="SLU13:SLX13"/>
    <mergeCell ref="SLY13:SMB13"/>
    <mergeCell ref="SMC13:SMF13"/>
    <mergeCell ref="SMG13:SMJ13"/>
    <mergeCell ref="SMK13:SMN13"/>
    <mergeCell ref="SLA13:SLD13"/>
    <mergeCell ref="SLE13:SLH13"/>
    <mergeCell ref="SLI13:SLL13"/>
    <mergeCell ref="SLM13:SLP13"/>
    <mergeCell ref="SLQ13:SLT13"/>
    <mergeCell ref="SKG13:SKJ13"/>
    <mergeCell ref="SKK13:SKN13"/>
    <mergeCell ref="SKO13:SKR13"/>
    <mergeCell ref="SKS13:SKV13"/>
    <mergeCell ref="SKW13:SKZ13"/>
    <mergeCell ref="SUG13:SUJ13"/>
    <mergeCell ref="SUK13:SUN13"/>
    <mergeCell ref="SUO13:SUR13"/>
    <mergeCell ref="SUS13:SUV13"/>
    <mergeCell ref="SUW13:SUZ13"/>
    <mergeCell ref="STM13:STP13"/>
    <mergeCell ref="STQ13:STT13"/>
    <mergeCell ref="STU13:STX13"/>
    <mergeCell ref="STY13:SUB13"/>
    <mergeCell ref="SUC13:SUF13"/>
    <mergeCell ref="SSS13:SSV13"/>
    <mergeCell ref="SSW13:SSZ13"/>
    <mergeCell ref="STA13:STD13"/>
    <mergeCell ref="STE13:STH13"/>
    <mergeCell ref="STI13:STL13"/>
    <mergeCell ref="SRY13:SSB13"/>
    <mergeCell ref="SSC13:SSF13"/>
    <mergeCell ref="SSG13:SSJ13"/>
    <mergeCell ref="SSK13:SSN13"/>
    <mergeCell ref="SSO13:SSR13"/>
    <mergeCell ref="SRE13:SRH13"/>
    <mergeCell ref="SRI13:SRL13"/>
    <mergeCell ref="SRM13:SRP13"/>
    <mergeCell ref="SRQ13:SRT13"/>
    <mergeCell ref="SRU13:SRX13"/>
    <mergeCell ref="SQK13:SQN13"/>
    <mergeCell ref="SQO13:SQR13"/>
    <mergeCell ref="SQS13:SQV13"/>
    <mergeCell ref="SQW13:SQZ13"/>
    <mergeCell ref="SRA13:SRD13"/>
    <mergeCell ref="SPQ13:SPT13"/>
    <mergeCell ref="SPU13:SPX13"/>
    <mergeCell ref="SPY13:SQB13"/>
    <mergeCell ref="SQC13:SQF13"/>
    <mergeCell ref="SQG13:SQJ13"/>
    <mergeCell ref="SZQ13:SZT13"/>
    <mergeCell ref="SZU13:SZX13"/>
    <mergeCell ref="SZY13:TAB13"/>
    <mergeCell ref="TAC13:TAF13"/>
    <mergeCell ref="TAG13:TAJ13"/>
    <mergeCell ref="SYW13:SYZ13"/>
    <mergeCell ref="SZA13:SZD13"/>
    <mergeCell ref="SZE13:SZH13"/>
    <mergeCell ref="SZI13:SZL13"/>
    <mergeCell ref="SZM13:SZP13"/>
    <mergeCell ref="SYC13:SYF13"/>
    <mergeCell ref="SYG13:SYJ13"/>
    <mergeCell ref="SYK13:SYN13"/>
    <mergeCell ref="SYO13:SYR13"/>
    <mergeCell ref="SYS13:SYV13"/>
    <mergeCell ref="SXI13:SXL13"/>
    <mergeCell ref="SXM13:SXP13"/>
    <mergeCell ref="SXQ13:SXT13"/>
    <mergeCell ref="SXU13:SXX13"/>
    <mergeCell ref="SXY13:SYB13"/>
    <mergeCell ref="SWO13:SWR13"/>
    <mergeCell ref="SWS13:SWV13"/>
    <mergeCell ref="SWW13:SWZ13"/>
    <mergeCell ref="SXA13:SXD13"/>
    <mergeCell ref="SXE13:SXH13"/>
    <mergeCell ref="SVU13:SVX13"/>
    <mergeCell ref="SVY13:SWB13"/>
    <mergeCell ref="SWC13:SWF13"/>
    <mergeCell ref="SWG13:SWJ13"/>
    <mergeCell ref="SWK13:SWN13"/>
    <mergeCell ref="SVA13:SVD13"/>
    <mergeCell ref="SVE13:SVH13"/>
    <mergeCell ref="SVI13:SVL13"/>
    <mergeCell ref="SVM13:SVP13"/>
    <mergeCell ref="SVQ13:SVT13"/>
    <mergeCell ref="TFA13:TFD13"/>
    <mergeCell ref="TFE13:TFH13"/>
    <mergeCell ref="TFI13:TFL13"/>
    <mergeCell ref="TFM13:TFP13"/>
    <mergeCell ref="TFQ13:TFT13"/>
    <mergeCell ref="TEG13:TEJ13"/>
    <mergeCell ref="TEK13:TEN13"/>
    <mergeCell ref="TEO13:TER13"/>
    <mergeCell ref="TES13:TEV13"/>
    <mergeCell ref="TEW13:TEZ13"/>
    <mergeCell ref="TDM13:TDP13"/>
    <mergeCell ref="TDQ13:TDT13"/>
    <mergeCell ref="TDU13:TDX13"/>
    <mergeCell ref="TDY13:TEB13"/>
    <mergeCell ref="TEC13:TEF13"/>
    <mergeCell ref="TCS13:TCV13"/>
    <mergeCell ref="TCW13:TCZ13"/>
    <mergeCell ref="TDA13:TDD13"/>
    <mergeCell ref="TDE13:TDH13"/>
    <mergeCell ref="TDI13:TDL13"/>
    <mergeCell ref="TBY13:TCB13"/>
    <mergeCell ref="TCC13:TCF13"/>
    <mergeCell ref="TCG13:TCJ13"/>
    <mergeCell ref="TCK13:TCN13"/>
    <mergeCell ref="TCO13:TCR13"/>
    <mergeCell ref="TBE13:TBH13"/>
    <mergeCell ref="TBI13:TBL13"/>
    <mergeCell ref="TBM13:TBP13"/>
    <mergeCell ref="TBQ13:TBT13"/>
    <mergeCell ref="TBU13:TBX13"/>
    <mergeCell ref="TAK13:TAN13"/>
    <mergeCell ref="TAO13:TAR13"/>
    <mergeCell ref="TAS13:TAV13"/>
    <mergeCell ref="TAW13:TAZ13"/>
    <mergeCell ref="TBA13:TBD13"/>
    <mergeCell ref="TKK13:TKN13"/>
    <mergeCell ref="TKO13:TKR13"/>
    <mergeCell ref="TKS13:TKV13"/>
    <mergeCell ref="TKW13:TKZ13"/>
    <mergeCell ref="TLA13:TLD13"/>
    <mergeCell ref="TJQ13:TJT13"/>
    <mergeCell ref="TJU13:TJX13"/>
    <mergeCell ref="TJY13:TKB13"/>
    <mergeCell ref="TKC13:TKF13"/>
    <mergeCell ref="TKG13:TKJ13"/>
    <mergeCell ref="TIW13:TIZ13"/>
    <mergeCell ref="TJA13:TJD13"/>
    <mergeCell ref="TJE13:TJH13"/>
    <mergeCell ref="TJI13:TJL13"/>
    <mergeCell ref="TJM13:TJP13"/>
    <mergeCell ref="TIC13:TIF13"/>
    <mergeCell ref="TIG13:TIJ13"/>
    <mergeCell ref="TIK13:TIN13"/>
    <mergeCell ref="TIO13:TIR13"/>
    <mergeCell ref="TIS13:TIV13"/>
    <mergeCell ref="THI13:THL13"/>
    <mergeCell ref="THM13:THP13"/>
    <mergeCell ref="THQ13:THT13"/>
    <mergeCell ref="THU13:THX13"/>
    <mergeCell ref="THY13:TIB13"/>
    <mergeCell ref="TGO13:TGR13"/>
    <mergeCell ref="TGS13:TGV13"/>
    <mergeCell ref="TGW13:TGZ13"/>
    <mergeCell ref="THA13:THD13"/>
    <mergeCell ref="THE13:THH13"/>
    <mergeCell ref="TFU13:TFX13"/>
    <mergeCell ref="TFY13:TGB13"/>
    <mergeCell ref="TGC13:TGF13"/>
    <mergeCell ref="TGG13:TGJ13"/>
    <mergeCell ref="TGK13:TGN13"/>
    <mergeCell ref="TPU13:TPX13"/>
    <mergeCell ref="TPY13:TQB13"/>
    <mergeCell ref="TQC13:TQF13"/>
    <mergeCell ref="TQG13:TQJ13"/>
    <mergeCell ref="TQK13:TQN13"/>
    <mergeCell ref="TPA13:TPD13"/>
    <mergeCell ref="TPE13:TPH13"/>
    <mergeCell ref="TPI13:TPL13"/>
    <mergeCell ref="TPM13:TPP13"/>
    <mergeCell ref="TPQ13:TPT13"/>
    <mergeCell ref="TOG13:TOJ13"/>
    <mergeCell ref="TOK13:TON13"/>
    <mergeCell ref="TOO13:TOR13"/>
    <mergeCell ref="TOS13:TOV13"/>
    <mergeCell ref="TOW13:TOZ13"/>
    <mergeCell ref="TNM13:TNP13"/>
    <mergeCell ref="TNQ13:TNT13"/>
    <mergeCell ref="TNU13:TNX13"/>
    <mergeCell ref="TNY13:TOB13"/>
    <mergeCell ref="TOC13:TOF13"/>
    <mergeCell ref="TMS13:TMV13"/>
    <mergeCell ref="TMW13:TMZ13"/>
    <mergeCell ref="TNA13:TND13"/>
    <mergeCell ref="TNE13:TNH13"/>
    <mergeCell ref="TNI13:TNL13"/>
    <mergeCell ref="TLY13:TMB13"/>
    <mergeCell ref="TMC13:TMF13"/>
    <mergeCell ref="TMG13:TMJ13"/>
    <mergeCell ref="TMK13:TMN13"/>
    <mergeCell ref="TMO13:TMR13"/>
    <mergeCell ref="TLE13:TLH13"/>
    <mergeCell ref="TLI13:TLL13"/>
    <mergeCell ref="TLM13:TLP13"/>
    <mergeCell ref="TLQ13:TLT13"/>
    <mergeCell ref="TLU13:TLX13"/>
    <mergeCell ref="TVE13:TVH13"/>
    <mergeCell ref="TVI13:TVL13"/>
    <mergeCell ref="TVM13:TVP13"/>
    <mergeCell ref="TVQ13:TVT13"/>
    <mergeCell ref="TVU13:TVX13"/>
    <mergeCell ref="TUK13:TUN13"/>
    <mergeCell ref="TUO13:TUR13"/>
    <mergeCell ref="TUS13:TUV13"/>
    <mergeCell ref="TUW13:TUZ13"/>
    <mergeCell ref="TVA13:TVD13"/>
    <mergeCell ref="TTQ13:TTT13"/>
    <mergeCell ref="TTU13:TTX13"/>
    <mergeCell ref="TTY13:TUB13"/>
    <mergeCell ref="TUC13:TUF13"/>
    <mergeCell ref="TUG13:TUJ13"/>
    <mergeCell ref="TSW13:TSZ13"/>
    <mergeCell ref="TTA13:TTD13"/>
    <mergeCell ref="TTE13:TTH13"/>
    <mergeCell ref="TTI13:TTL13"/>
    <mergeCell ref="TTM13:TTP13"/>
    <mergeCell ref="TSC13:TSF13"/>
    <mergeCell ref="TSG13:TSJ13"/>
    <mergeCell ref="TSK13:TSN13"/>
    <mergeCell ref="TSO13:TSR13"/>
    <mergeCell ref="TSS13:TSV13"/>
    <mergeCell ref="TRI13:TRL13"/>
    <mergeCell ref="TRM13:TRP13"/>
    <mergeCell ref="TRQ13:TRT13"/>
    <mergeCell ref="TRU13:TRX13"/>
    <mergeCell ref="TRY13:TSB13"/>
    <mergeCell ref="TQO13:TQR13"/>
    <mergeCell ref="TQS13:TQV13"/>
    <mergeCell ref="TQW13:TQZ13"/>
    <mergeCell ref="TRA13:TRD13"/>
    <mergeCell ref="TRE13:TRH13"/>
    <mergeCell ref="UAO13:UAR13"/>
    <mergeCell ref="UAS13:UAV13"/>
    <mergeCell ref="UAW13:UAZ13"/>
    <mergeCell ref="UBA13:UBD13"/>
    <mergeCell ref="UBE13:UBH13"/>
    <mergeCell ref="TZU13:TZX13"/>
    <mergeCell ref="TZY13:UAB13"/>
    <mergeCell ref="UAC13:UAF13"/>
    <mergeCell ref="UAG13:UAJ13"/>
    <mergeCell ref="UAK13:UAN13"/>
    <mergeCell ref="TZA13:TZD13"/>
    <mergeCell ref="TZE13:TZH13"/>
    <mergeCell ref="TZI13:TZL13"/>
    <mergeCell ref="TZM13:TZP13"/>
    <mergeCell ref="TZQ13:TZT13"/>
    <mergeCell ref="TYG13:TYJ13"/>
    <mergeCell ref="TYK13:TYN13"/>
    <mergeCell ref="TYO13:TYR13"/>
    <mergeCell ref="TYS13:TYV13"/>
    <mergeCell ref="TYW13:TYZ13"/>
    <mergeCell ref="TXM13:TXP13"/>
    <mergeCell ref="TXQ13:TXT13"/>
    <mergeCell ref="TXU13:TXX13"/>
    <mergeCell ref="TXY13:TYB13"/>
    <mergeCell ref="TYC13:TYF13"/>
    <mergeCell ref="TWS13:TWV13"/>
    <mergeCell ref="TWW13:TWZ13"/>
    <mergeCell ref="TXA13:TXD13"/>
    <mergeCell ref="TXE13:TXH13"/>
    <mergeCell ref="TXI13:TXL13"/>
    <mergeCell ref="TVY13:TWB13"/>
    <mergeCell ref="TWC13:TWF13"/>
    <mergeCell ref="TWG13:TWJ13"/>
    <mergeCell ref="TWK13:TWN13"/>
    <mergeCell ref="TWO13:TWR13"/>
    <mergeCell ref="UFY13:UGB13"/>
    <mergeCell ref="UGC13:UGF13"/>
    <mergeCell ref="UGG13:UGJ13"/>
    <mergeCell ref="UGK13:UGN13"/>
    <mergeCell ref="UGO13:UGR13"/>
    <mergeCell ref="UFE13:UFH13"/>
    <mergeCell ref="UFI13:UFL13"/>
    <mergeCell ref="UFM13:UFP13"/>
    <mergeCell ref="UFQ13:UFT13"/>
    <mergeCell ref="UFU13:UFX13"/>
    <mergeCell ref="UEK13:UEN13"/>
    <mergeCell ref="UEO13:UER13"/>
    <mergeCell ref="UES13:UEV13"/>
    <mergeCell ref="UEW13:UEZ13"/>
    <mergeCell ref="UFA13:UFD13"/>
    <mergeCell ref="UDQ13:UDT13"/>
    <mergeCell ref="UDU13:UDX13"/>
    <mergeCell ref="UDY13:UEB13"/>
    <mergeCell ref="UEC13:UEF13"/>
    <mergeCell ref="UEG13:UEJ13"/>
    <mergeCell ref="UCW13:UCZ13"/>
    <mergeCell ref="UDA13:UDD13"/>
    <mergeCell ref="UDE13:UDH13"/>
    <mergeCell ref="UDI13:UDL13"/>
    <mergeCell ref="UDM13:UDP13"/>
    <mergeCell ref="UCC13:UCF13"/>
    <mergeCell ref="UCG13:UCJ13"/>
    <mergeCell ref="UCK13:UCN13"/>
    <mergeCell ref="UCO13:UCR13"/>
    <mergeCell ref="UCS13:UCV13"/>
    <mergeCell ref="UBI13:UBL13"/>
    <mergeCell ref="UBM13:UBP13"/>
    <mergeCell ref="UBQ13:UBT13"/>
    <mergeCell ref="UBU13:UBX13"/>
    <mergeCell ref="UBY13:UCB13"/>
    <mergeCell ref="ULI13:ULL13"/>
    <mergeCell ref="ULM13:ULP13"/>
    <mergeCell ref="ULQ13:ULT13"/>
    <mergeCell ref="ULU13:ULX13"/>
    <mergeCell ref="ULY13:UMB13"/>
    <mergeCell ref="UKO13:UKR13"/>
    <mergeCell ref="UKS13:UKV13"/>
    <mergeCell ref="UKW13:UKZ13"/>
    <mergeCell ref="ULA13:ULD13"/>
    <mergeCell ref="ULE13:ULH13"/>
    <mergeCell ref="UJU13:UJX13"/>
    <mergeCell ref="UJY13:UKB13"/>
    <mergeCell ref="UKC13:UKF13"/>
    <mergeCell ref="UKG13:UKJ13"/>
    <mergeCell ref="UKK13:UKN13"/>
    <mergeCell ref="UJA13:UJD13"/>
    <mergeCell ref="UJE13:UJH13"/>
    <mergeCell ref="UJI13:UJL13"/>
    <mergeCell ref="UJM13:UJP13"/>
    <mergeCell ref="UJQ13:UJT13"/>
    <mergeCell ref="UIG13:UIJ13"/>
    <mergeCell ref="UIK13:UIN13"/>
    <mergeCell ref="UIO13:UIR13"/>
    <mergeCell ref="UIS13:UIV13"/>
    <mergeCell ref="UIW13:UIZ13"/>
    <mergeCell ref="UHM13:UHP13"/>
    <mergeCell ref="UHQ13:UHT13"/>
    <mergeCell ref="UHU13:UHX13"/>
    <mergeCell ref="UHY13:UIB13"/>
    <mergeCell ref="UIC13:UIF13"/>
    <mergeCell ref="UGS13:UGV13"/>
    <mergeCell ref="UGW13:UGZ13"/>
    <mergeCell ref="UHA13:UHD13"/>
    <mergeCell ref="UHE13:UHH13"/>
    <mergeCell ref="UHI13:UHL13"/>
    <mergeCell ref="UQS13:UQV13"/>
    <mergeCell ref="UQW13:UQZ13"/>
    <mergeCell ref="URA13:URD13"/>
    <mergeCell ref="URE13:URH13"/>
    <mergeCell ref="URI13:URL13"/>
    <mergeCell ref="UPY13:UQB13"/>
    <mergeCell ref="UQC13:UQF13"/>
    <mergeCell ref="UQG13:UQJ13"/>
    <mergeCell ref="UQK13:UQN13"/>
    <mergeCell ref="UQO13:UQR13"/>
    <mergeCell ref="UPE13:UPH13"/>
    <mergeCell ref="UPI13:UPL13"/>
    <mergeCell ref="UPM13:UPP13"/>
    <mergeCell ref="UPQ13:UPT13"/>
    <mergeCell ref="UPU13:UPX13"/>
    <mergeCell ref="UOK13:UON13"/>
    <mergeCell ref="UOO13:UOR13"/>
    <mergeCell ref="UOS13:UOV13"/>
    <mergeCell ref="UOW13:UOZ13"/>
    <mergeCell ref="UPA13:UPD13"/>
    <mergeCell ref="UNQ13:UNT13"/>
    <mergeCell ref="UNU13:UNX13"/>
    <mergeCell ref="UNY13:UOB13"/>
    <mergeCell ref="UOC13:UOF13"/>
    <mergeCell ref="UOG13:UOJ13"/>
    <mergeCell ref="UMW13:UMZ13"/>
    <mergeCell ref="UNA13:UND13"/>
    <mergeCell ref="UNE13:UNH13"/>
    <mergeCell ref="UNI13:UNL13"/>
    <mergeCell ref="UNM13:UNP13"/>
    <mergeCell ref="UMC13:UMF13"/>
    <mergeCell ref="UMG13:UMJ13"/>
    <mergeCell ref="UMK13:UMN13"/>
    <mergeCell ref="UMO13:UMR13"/>
    <mergeCell ref="UMS13:UMV13"/>
    <mergeCell ref="UWC13:UWF13"/>
    <mergeCell ref="UWG13:UWJ13"/>
    <mergeCell ref="UWK13:UWN13"/>
    <mergeCell ref="UWO13:UWR13"/>
    <mergeCell ref="UWS13:UWV13"/>
    <mergeCell ref="UVI13:UVL13"/>
    <mergeCell ref="UVM13:UVP13"/>
    <mergeCell ref="UVQ13:UVT13"/>
    <mergeCell ref="UVU13:UVX13"/>
    <mergeCell ref="UVY13:UWB13"/>
    <mergeCell ref="UUO13:UUR13"/>
    <mergeCell ref="UUS13:UUV13"/>
    <mergeCell ref="UUW13:UUZ13"/>
    <mergeCell ref="UVA13:UVD13"/>
    <mergeCell ref="UVE13:UVH13"/>
    <mergeCell ref="UTU13:UTX13"/>
    <mergeCell ref="UTY13:UUB13"/>
    <mergeCell ref="UUC13:UUF13"/>
    <mergeCell ref="UUG13:UUJ13"/>
    <mergeCell ref="UUK13:UUN13"/>
    <mergeCell ref="UTA13:UTD13"/>
    <mergeCell ref="UTE13:UTH13"/>
    <mergeCell ref="UTI13:UTL13"/>
    <mergeCell ref="UTM13:UTP13"/>
    <mergeCell ref="UTQ13:UTT13"/>
    <mergeCell ref="USG13:USJ13"/>
    <mergeCell ref="USK13:USN13"/>
    <mergeCell ref="USO13:USR13"/>
    <mergeCell ref="USS13:USV13"/>
    <mergeCell ref="USW13:USZ13"/>
    <mergeCell ref="URM13:URP13"/>
    <mergeCell ref="URQ13:URT13"/>
    <mergeCell ref="URU13:URX13"/>
    <mergeCell ref="URY13:USB13"/>
    <mergeCell ref="USC13:USF13"/>
    <mergeCell ref="VBM13:VBP13"/>
    <mergeCell ref="VBQ13:VBT13"/>
    <mergeCell ref="VBU13:VBX13"/>
    <mergeCell ref="VBY13:VCB13"/>
    <mergeCell ref="VCC13:VCF13"/>
    <mergeCell ref="VAS13:VAV13"/>
    <mergeCell ref="VAW13:VAZ13"/>
    <mergeCell ref="VBA13:VBD13"/>
    <mergeCell ref="VBE13:VBH13"/>
    <mergeCell ref="VBI13:VBL13"/>
    <mergeCell ref="UZY13:VAB13"/>
    <mergeCell ref="VAC13:VAF13"/>
    <mergeCell ref="VAG13:VAJ13"/>
    <mergeCell ref="VAK13:VAN13"/>
    <mergeCell ref="VAO13:VAR13"/>
    <mergeCell ref="UZE13:UZH13"/>
    <mergeCell ref="UZI13:UZL13"/>
    <mergeCell ref="UZM13:UZP13"/>
    <mergeCell ref="UZQ13:UZT13"/>
    <mergeCell ref="UZU13:UZX13"/>
    <mergeCell ref="UYK13:UYN13"/>
    <mergeCell ref="UYO13:UYR13"/>
    <mergeCell ref="UYS13:UYV13"/>
    <mergeCell ref="UYW13:UYZ13"/>
    <mergeCell ref="UZA13:UZD13"/>
    <mergeCell ref="UXQ13:UXT13"/>
    <mergeCell ref="UXU13:UXX13"/>
    <mergeCell ref="UXY13:UYB13"/>
    <mergeCell ref="UYC13:UYF13"/>
    <mergeCell ref="UYG13:UYJ13"/>
    <mergeCell ref="UWW13:UWZ13"/>
    <mergeCell ref="UXA13:UXD13"/>
    <mergeCell ref="UXE13:UXH13"/>
    <mergeCell ref="UXI13:UXL13"/>
    <mergeCell ref="UXM13:UXP13"/>
    <mergeCell ref="VGW13:VGZ13"/>
    <mergeCell ref="VHA13:VHD13"/>
    <mergeCell ref="VHE13:VHH13"/>
    <mergeCell ref="VHI13:VHL13"/>
    <mergeCell ref="VHM13:VHP13"/>
    <mergeCell ref="VGC13:VGF13"/>
    <mergeCell ref="VGG13:VGJ13"/>
    <mergeCell ref="VGK13:VGN13"/>
    <mergeCell ref="VGO13:VGR13"/>
    <mergeCell ref="VGS13:VGV13"/>
    <mergeCell ref="VFI13:VFL13"/>
    <mergeCell ref="VFM13:VFP13"/>
    <mergeCell ref="VFQ13:VFT13"/>
    <mergeCell ref="VFU13:VFX13"/>
    <mergeCell ref="VFY13:VGB13"/>
    <mergeCell ref="VEO13:VER13"/>
    <mergeCell ref="VES13:VEV13"/>
    <mergeCell ref="VEW13:VEZ13"/>
    <mergeCell ref="VFA13:VFD13"/>
    <mergeCell ref="VFE13:VFH13"/>
    <mergeCell ref="VDU13:VDX13"/>
    <mergeCell ref="VDY13:VEB13"/>
    <mergeCell ref="VEC13:VEF13"/>
    <mergeCell ref="VEG13:VEJ13"/>
    <mergeCell ref="VEK13:VEN13"/>
    <mergeCell ref="VDA13:VDD13"/>
    <mergeCell ref="VDE13:VDH13"/>
    <mergeCell ref="VDI13:VDL13"/>
    <mergeCell ref="VDM13:VDP13"/>
    <mergeCell ref="VDQ13:VDT13"/>
    <mergeCell ref="VCG13:VCJ13"/>
    <mergeCell ref="VCK13:VCN13"/>
    <mergeCell ref="VCO13:VCR13"/>
    <mergeCell ref="VCS13:VCV13"/>
    <mergeCell ref="VCW13:VCZ13"/>
    <mergeCell ref="VMG13:VMJ13"/>
    <mergeCell ref="VMK13:VMN13"/>
    <mergeCell ref="VMO13:VMR13"/>
    <mergeCell ref="VMS13:VMV13"/>
    <mergeCell ref="VMW13:VMZ13"/>
    <mergeCell ref="VLM13:VLP13"/>
    <mergeCell ref="VLQ13:VLT13"/>
    <mergeCell ref="VLU13:VLX13"/>
    <mergeCell ref="VLY13:VMB13"/>
    <mergeCell ref="VMC13:VMF13"/>
    <mergeCell ref="VKS13:VKV13"/>
    <mergeCell ref="VKW13:VKZ13"/>
    <mergeCell ref="VLA13:VLD13"/>
    <mergeCell ref="VLE13:VLH13"/>
    <mergeCell ref="VLI13:VLL13"/>
    <mergeCell ref="VJY13:VKB13"/>
    <mergeCell ref="VKC13:VKF13"/>
    <mergeCell ref="VKG13:VKJ13"/>
    <mergeCell ref="VKK13:VKN13"/>
    <mergeCell ref="VKO13:VKR13"/>
    <mergeCell ref="VJE13:VJH13"/>
    <mergeCell ref="VJI13:VJL13"/>
    <mergeCell ref="VJM13:VJP13"/>
    <mergeCell ref="VJQ13:VJT13"/>
    <mergeCell ref="VJU13:VJX13"/>
    <mergeCell ref="VIK13:VIN13"/>
    <mergeCell ref="VIO13:VIR13"/>
    <mergeCell ref="VIS13:VIV13"/>
    <mergeCell ref="VIW13:VIZ13"/>
    <mergeCell ref="VJA13:VJD13"/>
    <mergeCell ref="VHQ13:VHT13"/>
    <mergeCell ref="VHU13:VHX13"/>
    <mergeCell ref="VHY13:VIB13"/>
    <mergeCell ref="VIC13:VIF13"/>
    <mergeCell ref="VIG13:VIJ13"/>
    <mergeCell ref="VRQ13:VRT13"/>
    <mergeCell ref="VRU13:VRX13"/>
    <mergeCell ref="VRY13:VSB13"/>
    <mergeCell ref="VSC13:VSF13"/>
    <mergeCell ref="VSG13:VSJ13"/>
    <mergeCell ref="VQW13:VQZ13"/>
    <mergeCell ref="VRA13:VRD13"/>
    <mergeCell ref="VRE13:VRH13"/>
    <mergeCell ref="VRI13:VRL13"/>
    <mergeCell ref="VRM13:VRP13"/>
    <mergeCell ref="VQC13:VQF13"/>
    <mergeCell ref="VQG13:VQJ13"/>
    <mergeCell ref="VQK13:VQN13"/>
    <mergeCell ref="VQO13:VQR13"/>
    <mergeCell ref="VQS13:VQV13"/>
    <mergeCell ref="VPI13:VPL13"/>
    <mergeCell ref="VPM13:VPP13"/>
    <mergeCell ref="VPQ13:VPT13"/>
    <mergeCell ref="VPU13:VPX13"/>
    <mergeCell ref="VPY13:VQB13"/>
    <mergeCell ref="VOO13:VOR13"/>
    <mergeCell ref="VOS13:VOV13"/>
    <mergeCell ref="VOW13:VOZ13"/>
    <mergeCell ref="VPA13:VPD13"/>
    <mergeCell ref="VPE13:VPH13"/>
    <mergeCell ref="VNU13:VNX13"/>
    <mergeCell ref="VNY13:VOB13"/>
    <mergeCell ref="VOC13:VOF13"/>
    <mergeCell ref="VOG13:VOJ13"/>
    <mergeCell ref="VOK13:VON13"/>
    <mergeCell ref="VNA13:VND13"/>
    <mergeCell ref="VNE13:VNH13"/>
    <mergeCell ref="VNI13:VNL13"/>
    <mergeCell ref="VNM13:VNP13"/>
    <mergeCell ref="VNQ13:VNT13"/>
    <mergeCell ref="VXA13:VXD13"/>
    <mergeCell ref="VXE13:VXH13"/>
    <mergeCell ref="VXI13:VXL13"/>
    <mergeCell ref="VXM13:VXP13"/>
    <mergeCell ref="VXQ13:VXT13"/>
    <mergeCell ref="VWG13:VWJ13"/>
    <mergeCell ref="VWK13:VWN13"/>
    <mergeCell ref="VWO13:VWR13"/>
    <mergeCell ref="VWS13:VWV13"/>
    <mergeCell ref="VWW13:VWZ13"/>
    <mergeCell ref="VVM13:VVP13"/>
    <mergeCell ref="VVQ13:VVT13"/>
    <mergeCell ref="VVU13:VVX13"/>
    <mergeCell ref="VVY13:VWB13"/>
    <mergeCell ref="VWC13:VWF13"/>
    <mergeCell ref="VUS13:VUV13"/>
    <mergeCell ref="VUW13:VUZ13"/>
    <mergeCell ref="VVA13:VVD13"/>
    <mergeCell ref="VVE13:VVH13"/>
    <mergeCell ref="VVI13:VVL13"/>
    <mergeCell ref="VTY13:VUB13"/>
    <mergeCell ref="VUC13:VUF13"/>
    <mergeCell ref="VUG13:VUJ13"/>
    <mergeCell ref="VUK13:VUN13"/>
    <mergeCell ref="VUO13:VUR13"/>
    <mergeCell ref="VTE13:VTH13"/>
    <mergeCell ref="VTI13:VTL13"/>
    <mergeCell ref="VTM13:VTP13"/>
    <mergeCell ref="VTQ13:VTT13"/>
    <mergeCell ref="VTU13:VTX13"/>
    <mergeCell ref="VSK13:VSN13"/>
    <mergeCell ref="VSO13:VSR13"/>
    <mergeCell ref="VSS13:VSV13"/>
    <mergeCell ref="VSW13:VSZ13"/>
    <mergeCell ref="VTA13:VTD13"/>
    <mergeCell ref="WCK13:WCN13"/>
    <mergeCell ref="WCO13:WCR13"/>
    <mergeCell ref="WCS13:WCV13"/>
    <mergeCell ref="WCW13:WCZ13"/>
    <mergeCell ref="WDA13:WDD13"/>
    <mergeCell ref="WBQ13:WBT13"/>
    <mergeCell ref="WBU13:WBX13"/>
    <mergeCell ref="WBY13:WCB13"/>
    <mergeCell ref="WCC13:WCF13"/>
    <mergeCell ref="WCG13:WCJ13"/>
    <mergeCell ref="WAW13:WAZ13"/>
    <mergeCell ref="WBA13:WBD13"/>
    <mergeCell ref="WBE13:WBH13"/>
    <mergeCell ref="WBI13:WBL13"/>
    <mergeCell ref="WBM13:WBP13"/>
    <mergeCell ref="WAC13:WAF13"/>
    <mergeCell ref="WAG13:WAJ13"/>
    <mergeCell ref="WAK13:WAN13"/>
    <mergeCell ref="WAO13:WAR13"/>
    <mergeCell ref="WAS13:WAV13"/>
    <mergeCell ref="VZI13:VZL13"/>
    <mergeCell ref="VZM13:VZP13"/>
    <mergeCell ref="VZQ13:VZT13"/>
    <mergeCell ref="VZU13:VZX13"/>
    <mergeCell ref="VZY13:WAB13"/>
    <mergeCell ref="VYO13:VYR13"/>
    <mergeCell ref="VYS13:VYV13"/>
    <mergeCell ref="VYW13:VYZ13"/>
    <mergeCell ref="VZA13:VZD13"/>
    <mergeCell ref="VZE13:VZH13"/>
    <mergeCell ref="VXU13:VXX13"/>
    <mergeCell ref="VXY13:VYB13"/>
    <mergeCell ref="VYC13:VYF13"/>
    <mergeCell ref="VYG13:VYJ13"/>
    <mergeCell ref="VYK13:VYN13"/>
    <mergeCell ref="WHU13:WHX13"/>
    <mergeCell ref="WHY13:WIB13"/>
    <mergeCell ref="WIC13:WIF13"/>
    <mergeCell ref="WIG13:WIJ13"/>
    <mergeCell ref="WIK13:WIN13"/>
    <mergeCell ref="WHA13:WHD13"/>
    <mergeCell ref="WHE13:WHH13"/>
    <mergeCell ref="WHI13:WHL13"/>
    <mergeCell ref="WHM13:WHP13"/>
    <mergeCell ref="WHQ13:WHT13"/>
    <mergeCell ref="WGG13:WGJ13"/>
    <mergeCell ref="WGK13:WGN13"/>
    <mergeCell ref="WGO13:WGR13"/>
    <mergeCell ref="WGS13:WGV13"/>
    <mergeCell ref="WGW13:WGZ13"/>
    <mergeCell ref="WFM13:WFP13"/>
    <mergeCell ref="WFQ13:WFT13"/>
    <mergeCell ref="WFU13:WFX13"/>
    <mergeCell ref="WFY13:WGB13"/>
    <mergeCell ref="WGC13:WGF13"/>
    <mergeCell ref="WES13:WEV13"/>
    <mergeCell ref="WEW13:WEZ13"/>
    <mergeCell ref="WFA13:WFD13"/>
    <mergeCell ref="WFE13:WFH13"/>
    <mergeCell ref="WFI13:WFL13"/>
    <mergeCell ref="WDY13:WEB13"/>
    <mergeCell ref="WEC13:WEF13"/>
    <mergeCell ref="WEG13:WEJ13"/>
    <mergeCell ref="WEK13:WEN13"/>
    <mergeCell ref="WEO13:WER13"/>
    <mergeCell ref="WDE13:WDH13"/>
    <mergeCell ref="WDI13:WDL13"/>
    <mergeCell ref="WDM13:WDP13"/>
    <mergeCell ref="WDQ13:WDT13"/>
    <mergeCell ref="WDU13:WDX13"/>
    <mergeCell ref="WNE13:WNH13"/>
    <mergeCell ref="WNI13:WNL13"/>
    <mergeCell ref="WNM13:WNP13"/>
    <mergeCell ref="WNQ13:WNT13"/>
    <mergeCell ref="WNU13:WNX13"/>
    <mergeCell ref="WMK13:WMN13"/>
    <mergeCell ref="WMO13:WMR13"/>
    <mergeCell ref="WMS13:WMV13"/>
    <mergeCell ref="WMW13:WMZ13"/>
    <mergeCell ref="WNA13:WND13"/>
    <mergeCell ref="WLQ13:WLT13"/>
    <mergeCell ref="WLU13:WLX13"/>
    <mergeCell ref="WLY13:WMB13"/>
    <mergeCell ref="WMC13:WMF13"/>
    <mergeCell ref="WMG13:WMJ13"/>
    <mergeCell ref="WKW13:WKZ13"/>
    <mergeCell ref="WLA13:WLD13"/>
    <mergeCell ref="WLE13:WLH13"/>
    <mergeCell ref="WLI13:WLL13"/>
    <mergeCell ref="WLM13:WLP13"/>
    <mergeCell ref="WKC13:WKF13"/>
    <mergeCell ref="WKG13:WKJ13"/>
    <mergeCell ref="WKK13:WKN13"/>
    <mergeCell ref="WKO13:WKR13"/>
    <mergeCell ref="WKS13:WKV13"/>
    <mergeCell ref="WJI13:WJL13"/>
    <mergeCell ref="WJM13:WJP13"/>
    <mergeCell ref="WJQ13:WJT13"/>
    <mergeCell ref="WJU13:WJX13"/>
    <mergeCell ref="WJY13:WKB13"/>
    <mergeCell ref="WIO13:WIR13"/>
    <mergeCell ref="WIS13:WIV13"/>
    <mergeCell ref="WIW13:WIZ13"/>
    <mergeCell ref="WJA13:WJD13"/>
    <mergeCell ref="WJE13:WJH13"/>
    <mergeCell ref="WSO13:WSR13"/>
    <mergeCell ref="WSS13:WSV13"/>
    <mergeCell ref="WSW13:WSZ13"/>
    <mergeCell ref="WTA13:WTD13"/>
    <mergeCell ref="WTE13:WTH13"/>
    <mergeCell ref="WRU13:WRX13"/>
    <mergeCell ref="WRY13:WSB13"/>
    <mergeCell ref="WSC13:WSF13"/>
    <mergeCell ref="WSG13:WSJ13"/>
    <mergeCell ref="WSK13:WSN13"/>
    <mergeCell ref="WRA13:WRD13"/>
    <mergeCell ref="WRE13:WRH13"/>
    <mergeCell ref="WRI13:WRL13"/>
    <mergeCell ref="WRM13:WRP13"/>
    <mergeCell ref="WRQ13:WRT13"/>
    <mergeCell ref="WQG13:WQJ13"/>
    <mergeCell ref="WQK13:WQN13"/>
    <mergeCell ref="WQO13:WQR13"/>
    <mergeCell ref="WQS13:WQV13"/>
    <mergeCell ref="WQW13:WQZ13"/>
    <mergeCell ref="WPM13:WPP13"/>
    <mergeCell ref="WPQ13:WPT13"/>
    <mergeCell ref="WPU13:WPX13"/>
    <mergeCell ref="WPY13:WQB13"/>
    <mergeCell ref="WQC13:WQF13"/>
    <mergeCell ref="WOS13:WOV13"/>
    <mergeCell ref="WOW13:WOZ13"/>
    <mergeCell ref="WPA13:WPD13"/>
    <mergeCell ref="WPE13:WPH13"/>
    <mergeCell ref="WPI13:WPL13"/>
    <mergeCell ref="WNY13:WOB13"/>
    <mergeCell ref="WOC13:WOF13"/>
    <mergeCell ref="WOG13:WOJ13"/>
    <mergeCell ref="WOK13:WON13"/>
    <mergeCell ref="WOO13:WOR13"/>
    <mergeCell ref="WZE13:WZH13"/>
    <mergeCell ref="WZI13:WZL13"/>
    <mergeCell ref="WXY13:WYB13"/>
    <mergeCell ref="WYC13:WYF13"/>
    <mergeCell ref="WYG13:WYJ13"/>
    <mergeCell ref="WYK13:WYN13"/>
    <mergeCell ref="WYO13:WYR13"/>
    <mergeCell ref="WXE13:WXH13"/>
    <mergeCell ref="WXI13:WXL13"/>
    <mergeCell ref="WXM13:WXP13"/>
    <mergeCell ref="WXQ13:WXT13"/>
    <mergeCell ref="WXU13:WXX13"/>
    <mergeCell ref="WWK13:WWN13"/>
    <mergeCell ref="WWO13:WWR13"/>
    <mergeCell ref="WWS13:WWV13"/>
    <mergeCell ref="WWW13:WWZ13"/>
    <mergeCell ref="WXA13:WXD13"/>
    <mergeCell ref="WVQ13:WVT13"/>
    <mergeCell ref="WVU13:WVX13"/>
    <mergeCell ref="WVY13:WWB13"/>
    <mergeCell ref="WWC13:WWF13"/>
    <mergeCell ref="WWG13:WWJ13"/>
    <mergeCell ref="WUW13:WUZ13"/>
    <mergeCell ref="WVA13:WVD13"/>
    <mergeCell ref="WVE13:WVH13"/>
    <mergeCell ref="WVI13:WVL13"/>
    <mergeCell ref="WVM13:WVP13"/>
    <mergeCell ref="WUC13:WUF13"/>
    <mergeCell ref="WUG13:WUJ13"/>
    <mergeCell ref="WUK13:WUN13"/>
    <mergeCell ref="WUO13:WUR13"/>
    <mergeCell ref="WUS13:WUV13"/>
    <mergeCell ref="WTI13:WTL13"/>
    <mergeCell ref="WTM13:WTP13"/>
    <mergeCell ref="WTQ13:WTT13"/>
    <mergeCell ref="WTU13:WTX13"/>
    <mergeCell ref="WTY13:WUB13"/>
    <mergeCell ref="BY17:CB17"/>
    <mergeCell ref="CC17:CF17"/>
    <mergeCell ref="CG17:CJ17"/>
    <mergeCell ref="CK17:CN17"/>
    <mergeCell ref="CO17:CR17"/>
    <mergeCell ref="BE17:BH17"/>
    <mergeCell ref="BI17:BL17"/>
    <mergeCell ref="BM17:BP17"/>
    <mergeCell ref="BQ17:BT17"/>
    <mergeCell ref="BU17:BX17"/>
    <mergeCell ref="XEW13:XEZ13"/>
    <mergeCell ref="XFA13:XFD13"/>
    <mergeCell ref="B17:E17"/>
    <mergeCell ref="F17:I17"/>
    <mergeCell ref="J17:M17"/>
    <mergeCell ref="N17:P17"/>
    <mergeCell ref="Q17:T17"/>
    <mergeCell ref="U17:X17"/>
    <mergeCell ref="Y17:AB17"/>
    <mergeCell ref="AC17:AF17"/>
    <mergeCell ref="AG17:AJ17"/>
    <mergeCell ref="AK17:AN17"/>
    <mergeCell ref="AO17:AR17"/>
    <mergeCell ref="AS17:AV17"/>
    <mergeCell ref="AW17:AZ17"/>
    <mergeCell ref="BA17:BD17"/>
    <mergeCell ref="XEC13:XEF13"/>
    <mergeCell ref="XEG13:XEJ13"/>
    <mergeCell ref="XEK13:XEN13"/>
    <mergeCell ref="XEO13:XER13"/>
    <mergeCell ref="XES13:XEV13"/>
    <mergeCell ref="XDI13:XDL13"/>
    <mergeCell ref="XDM13:XDP13"/>
    <mergeCell ref="XDQ13:XDT13"/>
    <mergeCell ref="XDU13:XDX13"/>
    <mergeCell ref="XDY13:XEB13"/>
    <mergeCell ref="XCO13:XCR13"/>
    <mergeCell ref="XCS13:XCV13"/>
    <mergeCell ref="XCW13:XCZ13"/>
    <mergeCell ref="XDA13:XDD13"/>
    <mergeCell ref="XDE13:XDH13"/>
    <mergeCell ref="XBU13:XBX13"/>
    <mergeCell ref="XBY13:XCB13"/>
    <mergeCell ref="XCC13:XCF13"/>
    <mergeCell ref="XCG13:XCJ13"/>
    <mergeCell ref="XCK13:XCN13"/>
    <mergeCell ref="XBA13:XBD13"/>
    <mergeCell ref="XBE13:XBH13"/>
    <mergeCell ref="XBI13:XBL13"/>
    <mergeCell ref="XBM13:XBP13"/>
    <mergeCell ref="XBQ13:XBT13"/>
    <mergeCell ref="XAG13:XAJ13"/>
    <mergeCell ref="XAK13:XAN13"/>
    <mergeCell ref="XAO13:XAR13"/>
    <mergeCell ref="XAS13:XAV13"/>
    <mergeCell ref="XAW13:XAZ13"/>
    <mergeCell ref="WZM13:WZP13"/>
    <mergeCell ref="WZQ13:WZT13"/>
    <mergeCell ref="WZU13:WZX13"/>
    <mergeCell ref="WZY13:XAB13"/>
    <mergeCell ref="XAC13:XAF13"/>
    <mergeCell ref="WYS13:WYV13"/>
    <mergeCell ref="WYW13:WYZ13"/>
    <mergeCell ref="WZA13:WZD13"/>
    <mergeCell ref="HI17:HL17"/>
    <mergeCell ref="HM17:HP17"/>
    <mergeCell ref="HQ17:HT17"/>
    <mergeCell ref="HU17:HX17"/>
    <mergeCell ref="HY17:IB17"/>
    <mergeCell ref="GO17:GR17"/>
    <mergeCell ref="GS17:GV17"/>
    <mergeCell ref="GW17:GZ17"/>
    <mergeCell ref="HA17:HD17"/>
    <mergeCell ref="HE17:HH17"/>
    <mergeCell ref="FU17:FX17"/>
    <mergeCell ref="FY17:GB17"/>
    <mergeCell ref="GC17:GF17"/>
    <mergeCell ref="GG17:GJ17"/>
    <mergeCell ref="GK17:GN17"/>
    <mergeCell ref="FA17:FD17"/>
    <mergeCell ref="FE17:FH17"/>
    <mergeCell ref="FI17:FL17"/>
    <mergeCell ref="FM17:FP17"/>
    <mergeCell ref="FQ17:FT17"/>
    <mergeCell ref="EG17:EJ17"/>
    <mergeCell ref="EK17:EN17"/>
    <mergeCell ref="EO17:ER17"/>
    <mergeCell ref="ES17:EV17"/>
    <mergeCell ref="EW17:EZ17"/>
    <mergeCell ref="DM17:DP17"/>
    <mergeCell ref="DQ17:DT17"/>
    <mergeCell ref="DU17:DX17"/>
    <mergeCell ref="DY17:EB17"/>
    <mergeCell ref="EC17:EF17"/>
    <mergeCell ref="CS17:CV17"/>
    <mergeCell ref="CW17:CZ17"/>
    <mergeCell ref="DA17:DD17"/>
    <mergeCell ref="DE17:DH17"/>
    <mergeCell ref="DI17:DL17"/>
    <mergeCell ref="MS17:MV17"/>
    <mergeCell ref="MW17:MZ17"/>
    <mergeCell ref="NA17:ND17"/>
    <mergeCell ref="NE17:NH17"/>
    <mergeCell ref="NI17:NL17"/>
    <mergeCell ref="LY17:MB17"/>
    <mergeCell ref="MC17:MF17"/>
    <mergeCell ref="MG17:MJ17"/>
    <mergeCell ref="MK17:MN17"/>
    <mergeCell ref="MO17:MR17"/>
    <mergeCell ref="LE17:LH17"/>
    <mergeCell ref="LI17:LL17"/>
    <mergeCell ref="LM17:LP17"/>
    <mergeCell ref="LQ17:LT17"/>
    <mergeCell ref="LU17:LX17"/>
    <mergeCell ref="KK17:KN17"/>
    <mergeCell ref="KO17:KR17"/>
    <mergeCell ref="KS17:KV17"/>
    <mergeCell ref="KW17:KZ17"/>
    <mergeCell ref="LA17:LD17"/>
    <mergeCell ref="JQ17:JT17"/>
    <mergeCell ref="JU17:JX17"/>
    <mergeCell ref="JY17:KB17"/>
    <mergeCell ref="KC17:KF17"/>
    <mergeCell ref="KG17:KJ17"/>
    <mergeCell ref="IW17:IZ17"/>
    <mergeCell ref="JA17:JD17"/>
    <mergeCell ref="JE17:JH17"/>
    <mergeCell ref="JI17:JL17"/>
    <mergeCell ref="JM17:JP17"/>
    <mergeCell ref="IC17:IF17"/>
    <mergeCell ref="IG17:IJ17"/>
    <mergeCell ref="IK17:IN17"/>
    <mergeCell ref="IO17:IR17"/>
    <mergeCell ref="IS17:IV17"/>
    <mergeCell ref="SC17:SF17"/>
    <mergeCell ref="SG17:SJ17"/>
    <mergeCell ref="SK17:SN17"/>
    <mergeCell ref="SO17:SR17"/>
    <mergeCell ref="SS17:SV17"/>
    <mergeCell ref="RI17:RL17"/>
    <mergeCell ref="RM17:RP17"/>
    <mergeCell ref="RQ17:RT17"/>
    <mergeCell ref="RU17:RX17"/>
    <mergeCell ref="RY17:SB17"/>
    <mergeCell ref="QO17:QR17"/>
    <mergeCell ref="QS17:QV17"/>
    <mergeCell ref="QW17:QZ17"/>
    <mergeCell ref="RA17:RD17"/>
    <mergeCell ref="RE17:RH17"/>
    <mergeCell ref="PU17:PX17"/>
    <mergeCell ref="PY17:QB17"/>
    <mergeCell ref="QC17:QF17"/>
    <mergeCell ref="QG17:QJ17"/>
    <mergeCell ref="QK17:QN17"/>
    <mergeCell ref="PA17:PD17"/>
    <mergeCell ref="PE17:PH17"/>
    <mergeCell ref="PI17:PL17"/>
    <mergeCell ref="PM17:PP17"/>
    <mergeCell ref="PQ17:PT17"/>
    <mergeCell ref="OG17:OJ17"/>
    <mergeCell ref="OK17:ON17"/>
    <mergeCell ref="OO17:OR17"/>
    <mergeCell ref="OS17:OV17"/>
    <mergeCell ref="OW17:OZ17"/>
    <mergeCell ref="NM17:NP17"/>
    <mergeCell ref="NQ17:NT17"/>
    <mergeCell ref="NU17:NX17"/>
    <mergeCell ref="NY17:OB17"/>
    <mergeCell ref="OC17:OF17"/>
    <mergeCell ref="XM17:XP17"/>
    <mergeCell ref="XQ17:XT17"/>
    <mergeCell ref="XU17:XX17"/>
    <mergeCell ref="XY17:YB17"/>
    <mergeCell ref="YC17:YF17"/>
    <mergeCell ref="WS17:WV17"/>
    <mergeCell ref="WW17:WZ17"/>
    <mergeCell ref="XA17:XD17"/>
    <mergeCell ref="XE17:XH17"/>
    <mergeCell ref="XI17:XL17"/>
    <mergeCell ref="VY17:WB17"/>
    <mergeCell ref="WC17:WF17"/>
    <mergeCell ref="WG17:WJ17"/>
    <mergeCell ref="WK17:WN17"/>
    <mergeCell ref="WO17:WR17"/>
    <mergeCell ref="VE17:VH17"/>
    <mergeCell ref="VI17:VL17"/>
    <mergeCell ref="VM17:VP17"/>
    <mergeCell ref="VQ17:VT17"/>
    <mergeCell ref="VU17:VX17"/>
    <mergeCell ref="UK17:UN17"/>
    <mergeCell ref="UO17:UR17"/>
    <mergeCell ref="US17:UV17"/>
    <mergeCell ref="UW17:UZ17"/>
    <mergeCell ref="VA17:VD17"/>
    <mergeCell ref="TQ17:TT17"/>
    <mergeCell ref="TU17:TX17"/>
    <mergeCell ref="TY17:UB17"/>
    <mergeCell ref="UC17:UF17"/>
    <mergeCell ref="UG17:UJ17"/>
    <mergeCell ref="SW17:SZ17"/>
    <mergeCell ref="TA17:TD17"/>
    <mergeCell ref="TE17:TH17"/>
    <mergeCell ref="TI17:TL17"/>
    <mergeCell ref="TM17:TP17"/>
    <mergeCell ref="ACW17:ACZ17"/>
    <mergeCell ref="ADA17:ADD17"/>
    <mergeCell ref="ADE17:ADH17"/>
    <mergeCell ref="ADI17:ADL17"/>
    <mergeCell ref="ADM17:ADP17"/>
    <mergeCell ref="ACC17:ACF17"/>
    <mergeCell ref="ACG17:ACJ17"/>
    <mergeCell ref="ACK17:ACN17"/>
    <mergeCell ref="ACO17:ACR17"/>
    <mergeCell ref="ACS17:ACV17"/>
    <mergeCell ref="ABI17:ABL17"/>
    <mergeCell ref="ABM17:ABP17"/>
    <mergeCell ref="ABQ17:ABT17"/>
    <mergeCell ref="ABU17:ABX17"/>
    <mergeCell ref="ABY17:ACB17"/>
    <mergeCell ref="AAO17:AAR17"/>
    <mergeCell ref="AAS17:AAV17"/>
    <mergeCell ref="AAW17:AAZ17"/>
    <mergeCell ref="ABA17:ABD17"/>
    <mergeCell ref="ABE17:ABH17"/>
    <mergeCell ref="ZU17:ZX17"/>
    <mergeCell ref="ZY17:AAB17"/>
    <mergeCell ref="AAC17:AAF17"/>
    <mergeCell ref="AAG17:AAJ17"/>
    <mergeCell ref="AAK17:AAN17"/>
    <mergeCell ref="ZA17:ZD17"/>
    <mergeCell ref="ZE17:ZH17"/>
    <mergeCell ref="ZI17:ZL17"/>
    <mergeCell ref="ZM17:ZP17"/>
    <mergeCell ref="ZQ17:ZT17"/>
    <mergeCell ref="YG17:YJ17"/>
    <mergeCell ref="YK17:YN17"/>
    <mergeCell ref="YO17:YR17"/>
    <mergeCell ref="YS17:YV17"/>
    <mergeCell ref="YW17:YZ17"/>
    <mergeCell ref="AIG17:AIJ17"/>
    <mergeCell ref="AIK17:AIN17"/>
    <mergeCell ref="AIO17:AIR17"/>
    <mergeCell ref="AIS17:AIV17"/>
    <mergeCell ref="AIW17:AIZ17"/>
    <mergeCell ref="AHM17:AHP17"/>
    <mergeCell ref="AHQ17:AHT17"/>
    <mergeCell ref="AHU17:AHX17"/>
    <mergeCell ref="AHY17:AIB17"/>
    <mergeCell ref="AIC17:AIF17"/>
    <mergeCell ref="AGS17:AGV17"/>
    <mergeCell ref="AGW17:AGZ17"/>
    <mergeCell ref="AHA17:AHD17"/>
    <mergeCell ref="AHE17:AHH17"/>
    <mergeCell ref="AHI17:AHL17"/>
    <mergeCell ref="AFY17:AGB17"/>
    <mergeCell ref="AGC17:AGF17"/>
    <mergeCell ref="AGG17:AGJ17"/>
    <mergeCell ref="AGK17:AGN17"/>
    <mergeCell ref="AGO17:AGR17"/>
    <mergeCell ref="AFE17:AFH17"/>
    <mergeCell ref="AFI17:AFL17"/>
    <mergeCell ref="AFM17:AFP17"/>
    <mergeCell ref="AFQ17:AFT17"/>
    <mergeCell ref="AFU17:AFX17"/>
    <mergeCell ref="AEK17:AEN17"/>
    <mergeCell ref="AEO17:AER17"/>
    <mergeCell ref="AES17:AEV17"/>
    <mergeCell ref="AEW17:AEZ17"/>
    <mergeCell ref="AFA17:AFD17"/>
    <mergeCell ref="ADQ17:ADT17"/>
    <mergeCell ref="ADU17:ADX17"/>
    <mergeCell ref="ADY17:AEB17"/>
    <mergeCell ref="AEC17:AEF17"/>
    <mergeCell ref="AEG17:AEJ17"/>
    <mergeCell ref="ANQ17:ANT17"/>
    <mergeCell ref="ANU17:ANX17"/>
    <mergeCell ref="ANY17:AOB17"/>
    <mergeCell ref="AOC17:AOF17"/>
    <mergeCell ref="AOG17:AOJ17"/>
    <mergeCell ref="AMW17:AMZ17"/>
    <mergeCell ref="ANA17:AND17"/>
    <mergeCell ref="ANE17:ANH17"/>
    <mergeCell ref="ANI17:ANL17"/>
    <mergeCell ref="ANM17:ANP17"/>
    <mergeCell ref="AMC17:AMF17"/>
    <mergeCell ref="AMG17:AMJ17"/>
    <mergeCell ref="AMK17:AMN17"/>
    <mergeCell ref="AMO17:AMR17"/>
    <mergeCell ref="AMS17:AMV17"/>
    <mergeCell ref="ALI17:ALL17"/>
    <mergeCell ref="ALM17:ALP17"/>
    <mergeCell ref="ALQ17:ALT17"/>
    <mergeCell ref="ALU17:ALX17"/>
    <mergeCell ref="ALY17:AMB17"/>
    <mergeCell ref="AKO17:AKR17"/>
    <mergeCell ref="AKS17:AKV17"/>
    <mergeCell ref="AKW17:AKZ17"/>
    <mergeCell ref="ALA17:ALD17"/>
    <mergeCell ref="ALE17:ALH17"/>
    <mergeCell ref="AJU17:AJX17"/>
    <mergeCell ref="AJY17:AKB17"/>
    <mergeCell ref="AKC17:AKF17"/>
    <mergeCell ref="AKG17:AKJ17"/>
    <mergeCell ref="AKK17:AKN17"/>
    <mergeCell ref="AJA17:AJD17"/>
    <mergeCell ref="AJE17:AJH17"/>
    <mergeCell ref="AJI17:AJL17"/>
    <mergeCell ref="AJM17:AJP17"/>
    <mergeCell ref="AJQ17:AJT17"/>
    <mergeCell ref="ATA17:ATD17"/>
    <mergeCell ref="ATE17:ATH17"/>
    <mergeCell ref="ATI17:ATL17"/>
    <mergeCell ref="ATM17:ATP17"/>
    <mergeCell ref="ATQ17:ATT17"/>
    <mergeCell ref="ASG17:ASJ17"/>
    <mergeCell ref="ASK17:ASN17"/>
    <mergeCell ref="ASO17:ASR17"/>
    <mergeCell ref="ASS17:ASV17"/>
    <mergeCell ref="ASW17:ASZ17"/>
    <mergeCell ref="ARM17:ARP17"/>
    <mergeCell ref="ARQ17:ART17"/>
    <mergeCell ref="ARU17:ARX17"/>
    <mergeCell ref="ARY17:ASB17"/>
    <mergeCell ref="ASC17:ASF17"/>
    <mergeCell ref="AQS17:AQV17"/>
    <mergeCell ref="AQW17:AQZ17"/>
    <mergeCell ref="ARA17:ARD17"/>
    <mergeCell ref="ARE17:ARH17"/>
    <mergeCell ref="ARI17:ARL17"/>
    <mergeCell ref="APY17:AQB17"/>
    <mergeCell ref="AQC17:AQF17"/>
    <mergeCell ref="AQG17:AQJ17"/>
    <mergeCell ref="AQK17:AQN17"/>
    <mergeCell ref="AQO17:AQR17"/>
    <mergeCell ref="APE17:APH17"/>
    <mergeCell ref="API17:APL17"/>
    <mergeCell ref="APM17:APP17"/>
    <mergeCell ref="APQ17:APT17"/>
    <mergeCell ref="APU17:APX17"/>
    <mergeCell ref="AOK17:AON17"/>
    <mergeCell ref="AOO17:AOR17"/>
    <mergeCell ref="AOS17:AOV17"/>
    <mergeCell ref="AOW17:AOZ17"/>
    <mergeCell ref="APA17:APD17"/>
    <mergeCell ref="AYK17:AYN17"/>
    <mergeCell ref="AYO17:AYR17"/>
    <mergeCell ref="AYS17:AYV17"/>
    <mergeCell ref="AYW17:AYZ17"/>
    <mergeCell ref="AZA17:AZD17"/>
    <mergeCell ref="AXQ17:AXT17"/>
    <mergeCell ref="AXU17:AXX17"/>
    <mergeCell ref="AXY17:AYB17"/>
    <mergeCell ref="AYC17:AYF17"/>
    <mergeCell ref="AYG17:AYJ17"/>
    <mergeCell ref="AWW17:AWZ17"/>
    <mergeCell ref="AXA17:AXD17"/>
    <mergeCell ref="AXE17:AXH17"/>
    <mergeCell ref="AXI17:AXL17"/>
    <mergeCell ref="AXM17:AXP17"/>
    <mergeCell ref="AWC17:AWF17"/>
    <mergeCell ref="AWG17:AWJ17"/>
    <mergeCell ref="AWK17:AWN17"/>
    <mergeCell ref="AWO17:AWR17"/>
    <mergeCell ref="AWS17:AWV17"/>
    <mergeCell ref="AVI17:AVL17"/>
    <mergeCell ref="AVM17:AVP17"/>
    <mergeCell ref="AVQ17:AVT17"/>
    <mergeCell ref="AVU17:AVX17"/>
    <mergeCell ref="AVY17:AWB17"/>
    <mergeCell ref="AUO17:AUR17"/>
    <mergeCell ref="AUS17:AUV17"/>
    <mergeCell ref="AUW17:AUZ17"/>
    <mergeCell ref="AVA17:AVD17"/>
    <mergeCell ref="AVE17:AVH17"/>
    <mergeCell ref="ATU17:ATX17"/>
    <mergeCell ref="ATY17:AUB17"/>
    <mergeCell ref="AUC17:AUF17"/>
    <mergeCell ref="AUG17:AUJ17"/>
    <mergeCell ref="AUK17:AUN17"/>
    <mergeCell ref="BDU17:BDX17"/>
    <mergeCell ref="BDY17:BEB17"/>
    <mergeCell ref="BEC17:BEF17"/>
    <mergeCell ref="BEG17:BEJ17"/>
    <mergeCell ref="BEK17:BEN17"/>
    <mergeCell ref="BDA17:BDD17"/>
    <mergeCell ref="BDE17:BDH17"/>
    <mergeCell ref="BDI17:BDL17"/>
    <mergeCell ref="BDM17:BDP17"/>
    <mergeCell ref="BDQ17:BDT17"/>
    <mergeCell ref="BCG17:BCJ17"/>
    <mergeCell ref="BCK17:BCN17"/>
    <mergeCell ref="BCO17:BCR17"/>
    <mergeCell ref="BCS17:BCV17"/>
    <mergeCell ref="BCW17:BCZ17"/>
    <mergeCell ref="BBM17:BBP17"/>
    <mergeCell ref="BBQ17:BBT17"/>
    <mergeCell ref="BBU17:BBX17"/>
    <mergeCell ref="BBY17:BCB17"/>
    <mergeCell ref="BCC17:BCF17"/>
    <mergeCell ref="BAS17:BAV17"/>
    <mergeCell ref="BAW17:BAZ17"/>
    <mergeCell ref="BBA17:BBD17"/>
    <mergeCell ref="BBE17:BBH17"/>
    <mergeCell ref="BBI17:BBL17"/>
    <mergeCell ref="AZY17:BAB17"/>
    <mergeCell ref="BAC17:BAF17"/>
    <mergeCell ref="BAG17:BAJ17"/>
    <mergeCell ref="BAK17:BAN17"/>
    <mergeCell ref="BAO17:BAR17"/>
    <mergeCell ref="AZE17:AZH17"/>
    <mergeCell ref="AZI17:AZL17"/>
    <mergeCell ref="AZM17:AZP17"/>
    <mergeCell ref="AZQ17:AZT17"/>
    <mergeCell ref="AZU17:AZX17"/>
    <mergeCell ref="BJE17:BJH17"/>
    <mergeCell ref="BJI17:BJL17"/>
    <mergeCell ref="BJM17:BJP17"/>
    <mergeCell ref="BJQ17:BJT17"/>
    <mergeCell ref="BJU17:BJX17"/>
    <mergeCell ref="BIK17:BIN17"/>
    <mergeCell ref="BIO17:BIR17"/>
    <mergeCell ref="BIS17:BIV17"/>
    <mergeCell ref="BIW17:BIZ17"/>
    <mergeCell ref="BJA17:BJD17"/>
    <mergeCell ref="BHQ17:BHT17"/>
    <mergeCell ref="BHU17:BHX17"/>
    <mergeCell ref="BHY17:BIB17"/>
    <mergeCell ref="BIC17:BIF17"/>
    <mergeCell ref="BIG17:BIJ17"/>
    <mergeCell ref="BGW17:BGZ17"/>
    <mergeCell ref="BHA17:BHD17"/>
    <mergeCell ref="BHE17:BHH17"/>
    <mergeCell ref="BHI17:BHL17"/>
    <mergeCell ref="BHM17:BHP17"/>
    <mergeCell ref="BGC17:BGF17"/>
    <mergeCell ref="BGG17:BGJ17"/>
    <mergeCell ref="BGK17:BGN17"/>
    <mergeCell ref="BGO17:BGR17"/>
    <mergeCell ref="BGS17:BGV17"/>
    <mergeCell ref="BFI17:BFL17"/>
    <mergeCell ref="BFM17:BFP17"/>
    <mergeCell ref="BFQ17:BFT17"/>
    <mergeCell ref="BFU17:BFX17"/>
    <mergeCell ref="BFY17:BGB17"/>
    <mergeCell ref="BEO17:BER17"/>
    <mergeCell ref="BES17:BEV17"/>
    <mergeCell ref="BEW17:BEZ17"/>
    <mergeCell ref="BFA17:BFD17"/>
    <mergeCell ref="BFE17:BFH17"/>
    <mergeCell ref="BOO17:BOR17"/>
    <mergeCell ref="BOS17:BOV17"/>
    <mergeCell ref="BOW17:BOZ17"/>
    <mergeCell ref="BPA17:BPD17"/>
    <mergeCell ref="BPE17:BPH17"/>
    <mergeCell ref="BNU17:BNX17"/>
    <mergeCell ref="BNY17:BOB17"/>
    <mergeCell ref="BOC17:BOF17"/>
    <mergeCell ref="BOG17:BOJ17"/>
    <mergeCell ref="BOK17:BON17"/>
    <mergeCell ref="BNA17:BND17"/>
    <mergeCell ref="BNE17:BNH17"/>
    <mergeCell ref="BNI17:BNL17"/>
    <mergeCell ref="BNM17:BNP17"/>
    <mergeCell ref="BNQ17:BNT17"/>
    <mergeCell ref="BMG17:BMJ17"/>
    <mergeCell ref="BMK17:BMN17"/>
    <mergeCell ref="BMO17:BMR17"/>
    <mergeCell ref="BMS17:BMV17"/>
    <mergeCell ref="BMW17:BMZ17"/>
    <mergeCell ref="BLM17:BLP17"/>
    <mergeCell ref="BLQ17:BLT17"/>
    <mergeCell ref="BLU17:BLX17"/>
    <mergeCell ref="BLY17:BMB17"/>
    <mergeCell ref="BMC17:BMF17"/>
    <mergeCell ref="BKS17:BKV17"/>
    <mergeCell ref="BKW17:BKZ17"/>
    <mergeCell ref="BLA17:BLD17"/>
    <mergeCell ref="BLE17:BLH17"/>
    <mergeCell ref="BLI17:BLL17"/>
    <mergeCell ref="BJY17:BKB17"/>
    <mergeCell ref="BKC17:BKF17"/>
    <mergeCell ref="BKG17:BKJ17"/>
    <mergeCell ref="BKK17:BKN17"/>
    <mergeCell ref="BKO17:BKR17"/>
    <mergeCell ref="BTY17:BUB17"/>
    <mergeCell ref="BUC17:BUF17"/>
    <mergeCell ref="BUG17:BUJ17"/>
    <mergeCell ref="BUK17:BUN17"/>
    <mergeCell ref="BUO17:BUR17"/>
    <mergeCell ref="BTE17:BTH17"/>
    <mergeCell ref="BTI17:BTL17"/>
    <mergeCell ref="BTM17:BTP17"/>
    <mergeCell ref="BTQ17:BTT17"/>
    <mergeCell ref="BTU17:BTX17"/>
    <mergeCell ref="BSK17:BSN17"/>
    <mergeCell ref="BSO17:BSR17"/>
    <mergeCell ref="BSS17:BSV17"/>
    <mergeCell ref="BSW17:BSZ17"/>
    <mergeCell ref="BTA17:BTD17"/>
    <mergeCell ref="BRQ17:BRT17"/>
    <mergeCell ref="BRU17:BRX17"/>
    <mergeCell ref="BRY17:BSB17"/>
    <mergeCell ref="BSC17:BSF17"/>
    <mergeCell ref="BSG17:BSJ17"/>
    <mergeCell ref="BQW17:BQZ17"/>
    <mergeCell ref="BRA17:BRD17"/>
    <mergeCell ref="BRE17:BRH17"/>
    <mergeCell ref="BRI17:BRL17"/>
    <mergeCell ref="BRM17:BRP17"/>
    <mergeCell ref="BQC17:BQF17"/>
    <mergeCell ref="BQG17:BQJ17"/>
    <mergeCell ref="BQK17:BQN17"/>
    <mergeCell ref="BQO17:BQR17"/>
    <mergeCell ref="BQS17:BQV17"/>
    <mergeCell ref="BPI17:BPL17"/>
    <mergeCell ref="BPM17:BPP17"/>
    <mergeCell ref="BPQ17:BPT17"/>
    <mergeCell ref="BPU17:BPX17"/>
    <mergeCell ref="BPY17:BQB17"/>
    <mergeCell ref="BZI17:BZL17"/>
    <mergeCell ref="BZM17:BZP17"/>
    <mergeCell ref="BZQ17:BZT17"/>
    <mergeCell ref="BZU17:BZX17"/>
    <mergeCell ref="BZY17:CAB17"/>
    <mergeCell ref="BYO17:BYR17"/>
    <mergeCell ref="BYS17:BYV17"/>
    <mergeCell ref="BYW17:BYZ17"/>
    <mergeCell ref="BZA17:BZD17"/>
    <mergeCell ref="BZE17:BZH17"/>
    <mergeCell ref="BXU17:BXX17"/>
    <mergeCell ref="BXY17:BYB17"/>
    <mergeCell ref="BYC17:BYF17"/>
    <mergeCell ref="BYG17:BYJ17"/>
    <mergeCell ref="BYK17:BYN17"/>
    <mergeCell ref="BXA17:BXD17"/>
    <mergeCell ref="BXE17:BXH17"/>
    <mergeCell ref="BXI17:BXL17"/>
    <mergeCell ref="BXM17:BXP17"/>
    <mergeCell ref="BXQ17:BXT17"/>
    <mergeCell ref="BWG17:BWJ17"/>
    <mergeCell ref="BWK17:BWN17"/>
    <mergeCell ref="BWO17:BWR17"/>
    <mergeCell ref="BWS17:BWV17"/>
    <mergeCell ref="BWW17:BWZ17"/>
    <mergeCell ref="BVM17:BVP17"/>
    <mergeCell ref="BVQ17:BVT17"/>
    <mergeCell ref="BVU17:BVX17"/>
    <mergeCell ref="BVY17:BWB17"/>
    <mergeCell ref="BWC17:BWF17"/>
    <mergeCell ref="BUS17:BUV17"/>
    <mergeCell ref="BUW17:BUZ17"/>
    <mergeCell ref="BVA17:BVD17"/>
    <mergeCell ref="BVE17:BVH17"/>
    <mergeCell ref="BVI17:BVL17"/>
    <mergeCell ref="CES17:CEV17"/>
    <mergeCell ref="CEW17:CEZ17"/>
    <mergeCell ref="CFA17:CFD17"/>
    <mergeCell ref="CFE17:CFH17"/>
    <mergeCell ref="CFI17:CFL17"/>
    <mergeCell ref="CDY17:CEB17"/>
    <mergeCell ref="CEC17:CEF17"/>
    <mergeCell ref="CEG17:CEJ17"/>
    <mergeCell ref="CEK17:CEN17"/>
    <mergeCell ref="CEO17:CER17"/>
    <mergeCell ref="CDE17:CDH17"/>
    <mergeCell ref="CDI17:CDL17"/>
    <mergeCell ref="CDM17:CDP17"/>
    <mergeCell ref="CDQ17:CDT17"/>
    <mergeCell ref="CDU17:CDX17"/>
    <mergeCell ref="CCK17:CCN17"/>
    <mergeCell ref="CCO17:CCR17"/>
    <mergeCell ref="CCS17:CCV17"/>
    <mergeCell ref="CCW17:CCZ17"/>
    <mergeCell ref="CDA17:CDD17"/>
    <mergeCell ref="CBQ17:CBT17"/>
    <mergeCell ref="CBU17:CBX17"/>
    <mergeCell ref="CBY17:CCB17"/>
    <mergeCell ref="CCC17:CCF17"/>
    <mergeCell ref="CCG17:CCJ17"/>
    <mergeCell ref="CAW17:CAZ17"/>
    <mergeCell ref="CBA17:CBD17"/>
    <mergeCell ref="CBE17:CBH17"/>
    <mergeCell ref="CBI17:CBL17"/>
    <mergeCell ref="CBM17:CBP17"/>
    <mergeCell ref="CAC17:CAF17"/>
    <mergeCell ref="CAG17:CAJ17"/>
    <mergeCell ref="CAK17:CAN17"/>
    <mergeCell ref="CAO17:CAR17"/>
    <mergeCell ref="CAS17:CAV17"/>
    <mergeCell ref="CKC17:CKF17"/>
    <mergeCell ref="CKG17:CKJ17"/>
    <mergeCell ref="CKK17:CKN17"/>
    <mergeCell ref="CKO17:CKR17"/>
    <mergeCell ref="CKS17:CKV17"/>
    <mergeCell ref="CJI17:CJL17"/>
    <mergeCell ref="CJM17:CJP17"/>
    <mergeCell ref="CJQ17:CJT17"/>
    <mergeCell ref="CJU17:CJX17"/>
    <mergeCell ref="CJY17:CKB17"/>
    <mergeCell ref="CIO17:CIR17"/>
    <mergeCell ref="CIS17:CIV17"/>
    <mergeCell ref="CIW17:CIZ17"/>
    <mergeCell ref="CJA17:CJD17"/>
    <mergeCell ref="CJE17:CJH17"/>
    <mergeCell ref="CHU17:CHX17"/>
    <mergeCell ref="CHY17:CIB17"/>
    <mergeCell ref="CIC17:CIF17"/>
    <mergeCell ref="CIG17:CIJ17"/>
    <mergeCell ref="CIK17:CIN17"/>
    <mergeCell ref="CHA17:CHD17"/>
    <mergeCell ref="CHE17:CHH17"/>
    <mergeCell ref="CHI17:CHL17"/>
    <mergeCell ref="CHM17:CHP17"/>
    <mergeCell ref="CHQ17:CHT17"/>
    <mergeCell ref="CGG17:CGJ17"/>
    <mergeCell ref="CGK17:CGN17"/>
    <mergeCell ref="CGO17:CGR17"/>
    <mergeCell ref="CGS17:CGV17"/>
    <mergeCell ref="CGW17:CGZ17"/>
    <mergeCell ref="CFM17:CFP17"/>
    <mergeCell ref="CFQ17:CFT17"/>
    <mergeCell ref="CFU17:CFX17"/>
    <mergeCell ref="CFY17:CGB17"/>
    <mergeCell ref="CGC17:CGF17"/>
    <mergeCell ref="CPM17:CPP17"/>
    <mergeCell ref="CPQ17:CPT17"/>
    <mergeCell ref="CPU17:CPX17"/>
    <mergeCell ref="CPY17:CQB17"/>
    <mergeCell ref="CQC17:CQF17"/>
    <mergeCell ref="COS17:COV17"/>
    <mergeCell ref="COW17:COZ17"/>
    <mergeCell ref="CPA17:CPD17"/>
    <mergeCell ref="CPE17:CPH17"/>
    <mergeCell ref="CPI17:CPL17"/>
    <mergeCell ref="CNY17:COB17"/>
    <mergeCell ref="COC17:COF17"/>
    <mergeCell ref="COG17:COJ17"/>
    <mergeCell ref="COK17:CON17"/>
    <mergeCell ref="COO17:COR17"/>
    <mergeCell ref="CNE17:CNH17"/>
    <mergeCell ref="CNI17:CNL17"/>
    <mergeCell ref="CNM17:CNP17"/>
    <mergeCell ref="CNQ17:CNT17"/>
    <mergeCell ref="CNU17:CNX17"/>
    <mergeCell ref="CMK17:CMN17"/>
    <mergeCell ref="CMO17:CMR17"/>
    <mergeCell ref="CMS17:CMV17"/>
    <mergeCell ref="CMW17:CMZ17"/>
    <mergeCell ref="CNA17:CND17"/>
    <mergeCell ref="CLQ17:CLT17"/>
    <mergeCell ref="CLU17:CLX17"/>
    <mergeCell ref="CLY17:CMB17"/>
    <mergeCell ref="CMC17:CMF17"/>
    <mergeCell ref="CMG17:CMJ17"/>
    <mergeCell ref="CKW17:CKZ17"/>
    <mergeCell ref="CLA17:CLD17"/>
    <mergeCell ref="CLE17:CLH17"/>
    <mergeCell ref="CLI17:CLL17"/>
    <mergeCell ref="CLM17:CLP17"/>
    <mergeCell ref="CUW17:CUZ17"/>
    <mergeCell ref="CVA17:CVD17"/>
    <mergeCell ref="CVE17:CVH17"/>
    <mergeCell ref="CVI17:CVL17"/>
    <mergeCell ref="CVM17:CVP17"/>
    <mergeCell ref="CUC17:CUF17"/>
    <mergeCell ref="CUG17:CUJ17"/>
    <mergeCell ref="CUK17:CUN17"/>
    <mergeCell ref="CUO17:CUR17"/>
    <mergeCell ref="CUS17:CUV17"/>
    <mergeCell ref="CTI17:CTL17"/>
    <mergeCell ref="CTM17:CTP17"/>
    <mergeCell ref="CTQ17:CTT17"/>
    <mergeCell ref="CTU17:CTX17"/>
    <mergeCell ref="CTY17:CUB17"/>
    <mergeCell ref="CSO17:CSR17"/>
    <mergeCell ref="CSS17:CSV17"/>
    <mergeCell ref="CSW17:CSZ17"/>
    <mergeCell ref="CTA17:CTD17"/>
    <mergeCell ref="CTE17:CTH17"/>
    <mergeCell ref="CRU17:CRX17"/>
    <mergeCell ref="CRY17:CSB17"/>
    <mergeCell ref="CSC17:CSF17"/>
    <mergeCell ref="CSG17:CSJ17"/>
    <mergeCell ref="CSK17:CSN17"/>
    <mergeCell ref="CRA17:CRD17"/>
    <mergeCell ref="CRE17:CRH17"/>
    <mergeCell ref="CRI17:CRL17"/>
    <mergeCell ref="CRM17:CRP17"/>
    <mergeCell ref="CRQ17:CRT17"/>
    <mergeCell ref="CQG17:CQJ17"/>
    <mergeCell ref="CQK17:CQN17"/>
    <mergeCell ref="CQO17:CQR17"/>
    <mergeCell ref="CQS17:CQV17"/>
    <mergeCell ref="CQW17:CQZ17"/>
    <mergeCell ref="DAG17:DAJ17"/>
    <mergeCell ref="DAK17:DAN17"/>
    <mergeCell ref="DAO17:DAR17"/>
    <mergeCell ref="DAS17:DAV17"/>
    <mergeCell ref="DAW17:DAZ17"/>
    <mergeCell ref="CZM17:CZP17"/>
    <mergeCell ref="CZQ17:CZT17"/>
    <mergeCell ref="CZU17:CZX17"/>
    <mergeCell ref="CZY17:DAB17"/>
    <mergeCell ref="DAC17:DAF17"/>
    <mergeCell ref="CYS17:CYV17"/>
    <mergeCell ref="CYW17:CYZ17"/>
    <mergeCell ref="CZA17:CZD17"/>
    <mergeCell ref="CZE17:CZH17"/>
    <mergeCell ref="CZI17:CZL17"/>
    <mergeCell ref="CXY17:CYB17"/>
    <mergeCell ref="CYC17:CYF17"/>
    <mergeCell ref="CYG17:CYJ17"/>
    <mergeCell ref="CYK17:CYN17"/>
    <mergeCell ref="CYO17:CYR17"/>
    <mergeCell ref="CXE17:CXH17"/>
    <mergeCell ref="CXI17:CXL17"/>
    <mergeCell ref="CXM17:CXP17"/>
    <mergeCell ref="CXQ17:CXT17"/>
    <mergeCell ref="CXU17:CXX17"/>
    <mergeCell ref="CWK17:CWN17"/>
    <mergeCell ref="CWO17:CWR17"/>
    <mergeCell ref="CWS17:CWV17"/>
    <mergeCell ref="CWW17:CWZ17"/>
    <mergeCell ref="CXA17:CXD17"/>
    <mergeCell ref="CVQ17:CVT17"/>
    <mergeCell ref="CVU17:CVX17"/>
    <mergeCell ref="CVY17:CWB17"/>
    <mergeCell ref="CWC17:CWF17"/>
    <mergeCell ref="CWG17:CWJ17"/>
    <mergeCell ref="DFQ17:DFT17"/>
    <mergeCell ref="DFU17:DFX17"/>
    <mergeCell ref="DFY17:DGB17"/>
    <mergeCell ref="DGC17:DGF17"/>
    <mergeCell ref="DGG17:DGJ17"/>
    <mergeCell ref="DEW17:DEZ17"/>
    <mergeCell ref="DFA17:DFD17"/>
    <mergeCell ref="DFE17:DFH17"/>
    <mergeCell ref="DFI17:DFL17"/>
    <mergeCell ref="DFM17:DFP17"/>
    <mergeCell ref="DEC17:DEF17"/>
    <mergeCell ref="DEG17:DEJ17"/>
    <mergeCell ref="DEK17:DEN17"/>
    <mergeCell ref="DEO17:DER17"/>
    <mergeCell ref="DES17:DEV17"/>
    <mergeCell ref="DDI17:DDL17"/>
    <mergeCell ref="DDM17:DDP17"/>
    <mergeCell ref="DDQ17:DDT17"/>
    <mergeCell ref="DDU17:DDX17"/>
    <mergeCell ref="DDY17:DEB17"/>
    <mergeCell ref="DCO17:DCR17"/>
    <mergeCell ref="DCS17:DCV17"/>
    <mergeCell ref="DCW17:DCZ17"/>
    <mergeCell ref="DDA17:DDD17"/>
    <mergeCell ref="DDE17:DDH17"/>
    <mergeCell ref="DBU17:DBX17"/>
    <mergeCell ref="DBY17:DCB17"/>
    <mergeCell ref="DCC17:DCF17"/>
    <mergeCell ref="DCG17:DCJ17"/>
    <mergeCell ref="DCK17:DCN17"/>
    <mergeCell ref="DBA17:DBD17"/>
    <mergeCell ref="DBE17:DBH17"/>
    <mergeCell ref="DBI17:DBL17"/>
    <mergeCell ref="DBM17:DBP17"/>
    <mergeCell ref="DBQ17:DBT17"/>
    <mergeCell ref="DLA17:DLD17"/>
    <mergeCell ref="DLE17:DLH17"/>
    <mergeCell ref="DLI17:DLL17"/>
    <mergeCell ref="DLM17:DLP17"/>
    <mergeCell ref="DLQ17:DLT17"/>
    <mergeCell ref="DKG17:DKJ17"/>
    <mergeCell ref="DKK17:DKN17"/>
    <mergeCell ref="DKO17:DKR17"/>
    <mergeCell ref="DKS17:DKV17"/>
    <mergeCell ref="DKW17:DKZ17"/>
    <mergeCell ref="DJM17:DJP17"/>
    <mergeCell ref="DJQ17:DJT17"/>
    <mergeCell ref="DJU17:DJX17"/>
    <mergeCell ref="DJY17:DKB17"/>
    <mergeCell ref="DKC17:DKF17"/>
    <mergeCell ref="DIS17:DIV17"/>
    <mergeCell ref="DIW17:DIZ17"/>
    <mergeCell ref="DJA17:DJD17"/>
    <mergeCell ref="DJE17:DJH17"/>
    <mergeCell ref="DJI17:DJL17"/>
    <mergeCell ref="DHY17:DIB17"/>
    <mergeCell ref="DIC17:DIF17"/>
    <mergeCell ref="DIG17:DIJ17"/>
    <mergeCell ref="DIK17:DIN17"/>
    <mergeCell ref="DIO17:DIR17"/>
    <mergeCell ref="DHE17:DHH17"/>
    <mergeCell ref="DHI17:DHL17"/>
    <mergeCell ref="DHM17:DHP17"/>
    <mergeCell ref="DHQ17:DHT17"/>
    <mergeCell ref="DHU17:DHX17"/>
    <mergeCell ref="DGK17:DGN17"/>
    <mergeCell ref="DGO17:DGR17"/>
    <mergeCell ref="DGS17:DGV17"/>
    <mergeCell ref="DGW17:DGZ17"/>
    <mergeCell ref="DHA17:DHD17"/>
    <mergeCell ref="DQK17:DQN17"/>
    <mergeCell ref="DQO17:DQR17"/>
    <mergeCell ref="DQS17:DQV17"/>
    <mergeCell ref="DQW17:DQZ17"/>
    <mergeCell ref="DRA17:DRD17"/>
    <mergeCell ref="DPQ17:DPT17"/>
    <mergeCell ref="DPU17:DPX17"/>
    <mergeCell ref="DPY17:DQB17"/>
    <mergeCell ref="DQC17:DQF17"/>
    <mergeCell ref="DQG17:DQJ17"/>
    <mergeCell ref="DOW17:DOZ17"/>
    <mergeCell ref="DPA17:DPD17"/>
    <mergeCell ref="DPE17:DPH17"/>
    <mergeCell ref="DPI17:DPL17"/>
    <mergeCell ref="DPM17:DPP17"/>
    <mergeCell ref="DOC17:DOF17"/>
    <mergeCell ref="DOG17:DOJ17"/>
    <mergeCell ref="DOK17:DON17"/>
    <mergeCell ref="DOO17:DOR17"/>
    <mergeCell ref="DOS17:DOV17"/>
    <mergeCell ref="DNI17:DNL17"/>
    <mergeCell ref="DNM17:DNP17"/>
    <mergeCell ref="DNQ17:DNT17"/>
    <mergeCell ref="DNU17:DNX17"/>
    <mergeCell ref="DNY17:DOB17"/>
    <mergeCell ref="DMO17:DMR17"/>
    <mergeCell ref="DMS17:DMV17"/>
    <mergeCell ref="DMW17:DMZ17"/>
    <mergeCell ref="DNA17:DND17"/>
    <mergeCell ref="DNE17:DNH17"/>
    <mergeCell ref="DLU17:DLX17"/>
    <mergeCell ref="DLY17:DMB17"/>
    <mergeCell ref="DMC17:DMF17"/>
    <mergeCell ref="DMG17:DMJ17"/>
    <mergeCell ref="DMK17:DMN17"/>
    <mergeCell ref="DVU17:DVX17"/>
    <mergeCell ref="DVY17:DWB17"/>
    <mergeCell ref="DWC17:DWF17"/>
    <mergeCell ref="DWG17:DWJ17"/>
    <mergeCell ref="DWK17:DWN17"/>
    <mergeCell ref="DVA17:DVD17"/>
    <mergeCell ref="DVE17:DVH17"/>
    <mergeCell ref="DVI17:DVL17"/>
    <mergeCell ref="DVM17:DVP17"/>
    <mergeCell ref="DVQ17:DVT17"/>
    <mergeCell ref="DUG17:DUJ17"/>
    <mergeCell ref="DUK17:DUN17"/>
    <mergeCell ref="DUO17:DUR17"/>
    <mergeCell ref="DUS17:DUV17"/>
    <mergeCell ref="DUW17:DUZ17"/>
    <mergeCell ref="DTM17:DTP17"/>
    <mergeCell ref="DTQ17:DTT17"/>
    <mergeCell ref="DTU17:DTX17"/>
    <mergeCell ref="DTY17:DUB17"/>
    <mergeCell ref="DUC17:DUF17"/>
    <mergeCell ref="DSS17:DSV17"/>
    <mergeCell ref="DSW17:DSZ17"/>
    <mergeCell ref="DTA17:DTD17"/>
    <mergeCell ref="DTE17:DTH17"/>
    <mergeCell ref="DTI17:DTL17"/>
    <mergeCell ref="DRY17:DSB17"/>
    <mergeCell ref="DSC17:DSF17"/>
    <mergeCell ref="DSG17:DSJ17"/>
    <mergeCell ref="DSK17:DSN17"/>
    <mergeCell ref="DSO17:DSR17"/>
    <mergeCell ref="DRE17:DRH17"/>
    <mergeCell ref="DRI17:DRL17"/>
    <mergeCell ref="DRM17:DRP17"/>
    <mergeCell ref="DRQ17:DRT17"/>
    <mergeCell ref="DRU17:DRX17"/>
    <mergeCell ref="EBE17:EBH17"/>
    <mergeCell ref="EBI17:EBL17"/>
    <mergeCell ref="EBM17:EBP17"/>
    <mergeCell ref="EBQ17:EBT17"/>
    <mergeCell ref="EBU17:EBX17"/>
    <mergeCell ref="EAK17:EAN17"/>
    <mergeCell ref="EAO17:EAR17"/>
    <mergeCell ref="EAS17:EAV17"/>
    <mergeCell ref="EAW17:EAZ17"/>
    <mergeCell ref="EBA17:EBD17"/>
    <mergeCell ref="DZQ17:DZT17"/>
    <mergeCell ref="DZU17:DZX17"/>
    <mergeCell ref="DZY17:EAB17"/>
    <mergeCell ref="EAC17:EAF17"/>
    <mergeCell ref="EAG17:EAJ17"/>
    <mergeCell ref="DYW17:DYZ17"/>
    <mergeCell ref="DZA17:DZD17"/>
    <mergeCell ref="DZE17:DZH17"/>
    <mergeCell ref="DZI17:DZL17"/>
    <mergeCell ref="DZM17:DZP17"/>
    <mergeCell ref="DYC17:DYF17"/>
    <mergeCell ref="DYG17:DYJ17"/>
    <mergeCell ref="DYK17:DYN17"/>
    <mergeCell ref="DYO17:DYR17"/>
    <mergeCell ref="DYS17:DYV17"/>
    <mergeCell ref="DXI17:DXL17"/>
    <mergeCell ref="DXM17:DXP17"/>
    <mergeCell ref="DXQ17:DXT17"/>
    <mergeCell ref="DXU17:DXX17"/>
    <mergeCell ref="DXY17:DYB17"/>
    <mergeCell ref="DWO17:DWR17"/>
    <mergeCell ref="DWS17:DWV17"/>
    <mergeCell ref="DWW17:DWZ17"/>
    <mergeCell ref="DXA17:DXD17"/>
    <mergeCell ref="DXE17:DXH17"/>
    <mergeCell ref="EGO17:EGR17"/>
    <mergeCell ref="EGS17:EGV17"/>
    <mergeCell ref="EGW17:EGZ17"/>
    <mergeCell ref="EHA17:EHD17"/>
    <mergeCell ref="EHE17:EHH17"/>
    <mergeCell ref="EFU17:EFX17"/>
    <mergeCell ref="EFY17:EGB17"/>
    <mergeCell ref="EGC17:EGF17"/>
    <mergeCell ref="EGG17:EGJ17"/>
    <mergeCell ref="EGK17:EGN17"/>
    <mergeCell ref="EFA17:EFD17"/>
    <mergeCell ref="EFE17:EFH17"/>
    <mergeCell ref="EFI17:EFL17"/>
    <mergeCell ref="EFM17:EFP17"/>
    <mergeCell ref="EFQ17:EFT17"/>
    <mergeCell ref="EEG17:EEJ17"/>
    <mergeCell ref="EEK17:EEN17"/>
    <mergeCell ref="EEO17:EER17"/>
    <mergeCell ref="EES17:EEV17"/>
    <mergeCell ref="EEW17:EEZ17"/>
    <mergeCell ref="EDM17:EDP17"/>
    <mergeCell ref="EDQ17:EDT17"/>
    <mergeCell ref="EDU17:EDX17"/>
    <mergeCell ref="EDY17:EEB17"/>
    <mergeCell ref="EEC17:EEF17"/>
    <mergeCell ref="ECS17:ECV17"/>
    <mergeCell ref="ECW17:ECZ17"/>
    <mergeCell ref="EDA17:EDD17"/>
    <mergeCell ref="EDE17:EDH17"/>
    <mergeCell ref="EDI17:EDL17"/>
    <mergeCell ref="EBY17:ECB17"/>
    <mergeCell ref="ECC17:ECF17"/>
    <mergeCell ref="ECG17:ECJ17"/>
    <mergeCell ref="ECK17:ECN17"/>
    <mergeCell ref="ECO17:ECR17"/>
    <mergeCell ref="ELY17:EMB17"/>
    <mergeCell ref="EMC17:EMF17"/>
    <mergeCell ref="EMG17:EMJ17"/>
    <mergeCell ref="EMK17:EMN17"/>
    <mergeCell ref="EMO17:EMR17"/>
    <mergeCell ref="ELE17:ELH17"/>
    <mergeCell ref="ELI17:ELL17"/>
    <mergeCell ref="ELM17:ELP17"/>
    <mergeCell ref="ELQ17:ELT17"/>
    <mergeCell ref="ELU17:ELX17"/>
    <mergeCell ref="EKK17:EKN17"/>
    <mergeCell ref="EKO17:EKR17"/>
    <mergeCell ref="EKS17:EKV17"/>
    <mergeCell ref="EKW17:EKZ17"/>
    <mergeCell ref="ELA17:ELD17"/>
    <mergeCell ref="EJQ17:EJT17"/>
    <mergeCell ref="EJU17:EJX17"/>
    <mergeCell ref="EJY17:EKB17"/>
    <mergeCell ref="EKC17:EKF17"/>
    <mergeCell ref="EKG17:EKJ17"/>
    <mergeCell ref="EIW17:EIZ17"/>
    <mergeCell ref="EJA17:EJD17"/>
    <mergeCell ref="EJE17:EJH17"/>
    <mergeCell ref="EJI17:EJL17"/>
    <mergeCell ref="EJM17:EJP17"/>
    <mergeCell ref="EIC17:EIF17"/>
    <mergeCell ref="EIG17:EIJ17"/>
    <mergeCell ref="EIK17:EIN17"/>
    <mergeCell ref="EIO17:EIR17"/>
    <mergeCell ref="EIS17:EIV17"/>
    <mergeCell ref="EHI17:EHL17"/>
    <mergeCell ref="EHM17:EHP17"/>
    <mergeCell ref="EHQ17:EHT17"/>
    <mergeCell ref="EHU17:EHX17"/>
    <mergeCell ref="EHY17:EIB17"/>
    <mergeCell ref="ERI17:ERL17"/>
    <mergeCell ref="ERM17:ERP17"/>
    <mergeCell ref="ERQ17:ERT17"/>
    <mergeCell ref="ERU17:ERX17"/>
    <mergeCell ref="ERY17:ESB17"/>
    <mergeCell ref="EQO17:EQR17"/>
    <mergeCell ref="EQS17:EQV17"/>
    <mergeCell ref="EQW17:EQZ17"/>
    <mergeCell ref="ERA17:ERD17"/>
    <mergeCell ref="ERE17:ERH17"/>
    <mergeCell ref="EPU17:EPX17"/>
    <mergeCell ref="EPY17:EQB17"/>
    <mergeCell ref="EQC17:EQF17"/>
    <mergeCell ref="EQG17:EQJ17"/>
    <mergeCell ref="EQK17:EQN17"/>
    <mergeCell ref="EPA17:EPD17"/>
    <mergeCell ref="EPE17:EPH17"/>
    <mergeCell ref="EPI17:EPL17"/>
    <mergeCell ref="EPM17:EPP17"/>
    <mergeCell ref="EPQ17:EPT17"/>
    <mergeCell ref="EOG17:EOJ17"/>
    <mergeCell ref="EOK17:EON17"/>
    <mergeCell ref="EOO17:EOR17"/>
    <mergeCell ref="EOS17:EOV17"/>
    <mergeCell ref="EOW17:EOZ17"/>
    <mergeCell ref="ENM17:ENP17"/>
    <mergeCell ref="ENQ17:ENT17"/>
    <mergeCell ref="ENU17:ENX17"/>
    <mergeCell ref="ENY17:EOB17"/>
    <mergeCell ref="EOC17:EOF17"/>
    <mergeCell ref="EMS17:EMV17"/>
    <mergeCell ref="EMW17:EMZ17"/>
    <mergeCell ref="ENA17:END17"/>
    <mergeCell ref="ENE17:ENH17"/>
    <mergeCell ref="ENI17:ENL17"/>
    <mergeCell ref="EWS17:EWV17"/>
    <mergeCell ref="EWW17:EWZ17"/>
    <mergeCell ref="EXA17:EXD17"/>
    <mergeCell ref="EXE17:EXH17"/>
    <mergeCell ref="EXI17:EXL17"/>
    <mergeCell ref="EVY17:EWB17"/>
    <mergeCell ref="EWC17:EWF17"/>
    <mergeCell ref="EWG17:EWJ17"/>
    <mergeCell ref="EWK17:EWN17"/>
    <mergeCell ref="EWO17:EWR17"/>
    <mergeCell ref="EVE17:EVH17"/>
    <mergeCell ref="EVI17:EVL17"/>
    <mergeCell ref="EVM17:EVP17"/>
    <mergeCell ref="EVQ17:EVT17"/>
    <mergeCell ref="EVU17:EVX17"/>
    <mergeCell ref="EUK17:EUN17"/>
    <mergeCell ref="EUO17:EUR17"/>
    <mergeCell ref="EUS17:EUV17"/>
    <mergeCell ref="EUW17:EUZ17"/>
    <mergeCell ref="EVA17:EVD17"/>
    <mergeCell ref="ETQ17:ETT17"/>
    <mergeCell ref="ETU17:ETX17"/>
    <mergeCell ref="ETY17:EUB17"/>
    <mergeCell ref="EUC17:EUF17"/>
    <mergeCell ref="EUG17:EUJ17"/>
    <mergeCell ref="ESW17:ESZ17"/>
    <mergeCell ref="ETA17:ETD17"/>
    <mergeCell ref="ETE17:ETH17"/>
    <mergeCell ref="ETI17:ETL17"/>
    <mergeCell ref="ETM17:ETP17"/>
    <mergeCell ref="ESC17:ESF17"/>
    <mergeCell ref="ESG17:ESJ17"/>
    <mergeCell ref="ESK17:ESN17"/>
    <mergeCell ref="ESO17:ESR17"/>
    <mergeCell ref="ESS17:ESV17"/>
    <mergeCell ref="FCC17:FCF17"/>
    <mergeCell ref="FCG17:FCJ17"/>
    <mergeCell ref="FCK17:FCN17"/>
    <mergeCell ref="FCO17:FCR17"/>
    <mergeCell ref="FCS17:FCV17"/>
    <mergeCell ref="FBI17:FBL17"/>
    <mergeCell ref="FBM17:FBP17"/>
    <mergeCell ref="FBQ17:FBT17"/>
    <mergeCell ref="FBU17:FBX17"/>
    <mergeCell ref="FBY17:FCB17"/>
    <mergeCell ref="FAO17:FAR17"/>
    <mergeCell ref="FAS17:FAV17"/>
    <mergeCell ref="FAW17:FAZ17"/>
    <mergeCell ref="FBA17:FBD17"/>
    <mergeCell ref="FBE17:FBH17"/>
    <mergeCell ref="EZU17:EZX17"/>
    <mergeCell ref="EZY17:FAB17"/>
    <mergeCell ref="FAC17:FAF17"/>
    <mergeCell ref="FAG17:FAJ17"/>
    <mergeCell ref="FAK17:FAN17"/>
    <mergeCell ref="EZA17:EZD17"/>
    <mergeCell ref="EZE17:EZH17"/>
    <mergeCell ref="EZI17:EZL17"/>
    <mergeCell ref="EZM17:EZP17"/>
    <mergeCell ref="EZQ17:EZT17"/>
    <mergeCell ref="EYG17:EYJ17"/>
    <mergeCell ref="EYK17:EYN17"/>
    <mergeCell ref="EYO17:EYR17"/>
    <mergeCell ref="EYS17:EYV17"/>
    <mergeCell ref="EYW17:EYZ17"/>
    <mergeCell ref="EXM17:EXP17"/>
    <mergeCell ref="EXQ17:EXT17"/>
    <mergeCell ref="EXU17:EXX17"/>
    <mergeCell ref="EXY17:EYB17"/>
    <mergeCell ref="EYC17:EYF17"/>
    <mergeCell ref="FHM17:FHP17"/>
    <mergeCell ref="FHQ17:FHT17"/>
    <mergeCell ref="FHU17:FHX17"/>
    <mergeCell ref="FHY17:FIB17"/>
    <mergeCell ref="FIC17:FIF17"/>
    <mergeCell ref="FGS17:FGV17"/>
    <mergeCell ref="FGW17:FGZ17"/>
    <mergeCell ref="FHA17:FHD17"/>
    <mergeCell ref="FHE17:FHH17"/>
    <mergeCell ref="FHI17:FHL17"/>
    <mergeCell ref="FFY17:FGB17"/>
    <mergeCell ref="FGC17:FGF17"/>
    <mergeCell ref="FGG17:FGJ17"/>
    <mergeCell ref="FGK17:FGN17"/>
    <mergeCell ref="FGO17:FGR17"/>
    <mergeCell ref="FFE17:FFH17"/>
    <mergeCell ref="FFI17:FFL17"/>
    <mergeCell ref="FFM17:FFP17"/>
    <mergeCell ref="FFQ17:FFT17"/>
    <mergeCell ref="FFU17:FFX17"/>
    <mergeCell ref="FEK17:FEN17"/>
    <mergeCell ref="FEO17:FER17"/>
    <mergeCell ref="FES17:FEV17"/>
    <mergeCell ref="FEW17:FEZ17"/>
    <mergeCell ref="FFA17:FFD17"/>
    <mergeCell ref="FDQ17:FDT17"/>
    <mergeCell ref="FDU17:FDX17"/>
    <mergeCell ref="FDY17:FEB17"/>
    <mergeCell ref="FEC17:FEF17"/>
    <mergeCell ref="FEG17:FEJ17"/>
    <mergeCell ref="FCW17:FCZ17"/>
    <mergeCell ref="FDA17:FDD17"/>
    <mergeCell ref="FDE17:FDH17"/>
    <mergeCell ref="FDI17:FDL17"/>
    <mergeCell ref="FDM17:FDP17"/>
    <mergeCell ref="FMW17:FMZ17"/>
    <mergeCell ref="FNA17:FND17"/>
    <mergeCell ref="FNE17:FNH17"/>
    <mergeCell ref="FNI17:FNL17"/>
    <mergeCell ref="FNM17:FNP17"/>
    <mergeCell ref="FMC17:FMF17"/>
    <mergeCell ref="FMG17:FMJ17"/>
    <mergeCell ref="FMK17:FMN17"/>
    <mergeCell ref="FMO17:FMR17"/>
    <mergeCell ref="FMS17:FMV17"/>
    <mergeCell ref="FLI17:FLL17"/>
    <mergeCell ref="FLM17:FLP17"/>
    <mergeCell ref="FLQ17:FLT17"/>
    <mergeCell ref="FLU17:FLX17"/>
    <mergeCell ref="FLY17:FMB17"/>
    <mergeCell ref="FKO17:FKR17"/>
    <mergeCell ref="FKS17:FKV17"/>
    <mergeCell ref="FKW17:FKZ17"/>
    <mergeCell ref="FLA17:FLD17"/>
    <mergeCell ref="FLE17:FLH17"/>
    <mergeCell ref="FJU17:FJX17"/>
    <mergeCell ref="FJY17:FKB17"/>
    <mergeCell ref="FKC17:FKF17"/>
    <mergeCell ref="FKG17:FKJ17"/>
    <mergeCell ref="FKK17:FKN17"/>
    <mergeCell ref="FJA17:FJD17"/>
    <mergeCell ref="FJE17:FJH17"/>
    <mergeCell ref="FJI17:FJL17"/>
    <mergeCell ref="FJM17:FJP17"/>
    <mergeCell ref="FJQ17:FJT17"/>
    <mergeCell ref="FIG17:FIJ17"/>
    <mergeCell ref="FIK17:FIN17"/>
    <mergeCell ref="FIO17:FIR17"/>
    <mergeCell ref="FIS17:FIV17"/>
    <mergeCell ref="FIW17:FIZ17"/>
    <mergeCell ref="FSG17:FSJ17"/>
    <mergeCell ref="FSK17:FSN17"/>
    <mergeCell ref="FSO17:FSR17"/>
    <mergeCell ref="FSS17:FSV17"/>
    <mergeCell ref="FSW17:FSZ17"/>
    <mergeCell ref="FRM17:FRP17"/>
    <mergeCell ref="FRQ17:FRT17"/>
    <mergeCell ref="FRU17:FRX17"/>
    <mergeCell ref="FRY17:FSB17"/>
    <mergeCell ref="FSC17:FSF17"/>
    <mergeCell ref="FQS17:FQV17"/>
    <mergeCell ref="FQW17:FQZ17"/>
    <mergeCell ref="FRA17:FRD17"/>
    <mergeCell ref="FRE17:FRH17"/>
    <mergeCell ref="FRI17:FRL17"/>
    <mergeCell ref="FPY17:FQB17"/>
    <mergeCell ref="FQC17:FQF17"/>
    <mergeCell ref="FQG17:FQJ17"/>
    <mergeCell ref="FQK17:FQN17"/>
    <mergeCell ref="FQO17:FQR17"/>
    <mergeCell ref="FPE17:FPH17"/>
    <mergeCell ref="FPI17:FPL17"/>
    <mergeCell ref="FPM17:FPP17"/>
    <mergeCell ref="FPQ17:FPT17"/>
    <mergeCell ref="FPU17:FPX17"/>
    <mergeCell ref="FOK17:FON17"/>
    <mergeCell ref="FOO17:FOR17"/>
    <mergeCell ref="FOS17:FOV17"/>
    <mergeCell ref="FOW17:FOZ17"/>
    <mergeCell ref="FPA17:FPD17"/>
    <mergeCell ref="FNQ17:FNT17"/>
    <mergeCell ref="FNU17:FNX17"/>
    <mergeCell ref="FNY17:FOB17"/>
    <mergeCell ref="FOC17:FOF17"/>
    <mergeCell ref="FOG17:FOJ17"/>
    <mergeCell ref="FXQ17:FXT17"/>
    <mergeCell ref="FXU17:FXX17"/>
    <mergeCell ref="FXY17:FYB17"/>
    <mergeCell ref="FYC17:FYF17"/>
    <mergeCell ref="FYG17:FYJ17"/>
    <mergeCell ref="FWW17:FWZ17"/>
    <mergeCell ref="FXA17:FXD17"/>
    <mergeCell ref="FXE17:FXH17"/>
    <mergeCell ref="FXI17:FXL17"/>
    <mergeCell ref="FXM17:FXP17"/>
    <mergeCell ref="FWC17:FWF17"/>
    <mergeCell ref="FWG17:FWJ17"/>
    <mergeCell ref="FWK17:FWN17"/>
    <mergeCell ref="FWO17:FWR17"/>
    <mergeCell ref="FWS17:FWV17"/>
    <mergeCell ref="FVI17:FVL17"/>
    <mergeCell ref="FVM17:FVP17"/>
    <mergeCell ref="FVQ17:FVT17"/>
    <mergeCell ref="FVU17:FVX17"/>
    <mergeCell ref="FVY17:FWB17"/>
    <mergeCell ref="FUO17:FUR17"/>
    <mergeCell ref="FUS17:FUV17"/>
    <mergeCell ref="FUW17:FUZ17"/>
    <mergeCell ref="FVA17:FVD17"/>
    <mergeCell ref="FVE17:FVH17"/>
    <mergeCell ref="FTU17:FTX17"/>
    <mergeCell ref="FTY17:FUB17"/>
    <mergeCell ref="FUC17:FUF17"/>
    <mergeCell ref="FUG17:FUJ17"/>
    <mergeCell ref="FUK17:FUN17"/>
    <mergeCell ref="FTA17:FTD17"/>
    <mergeCell ref="FTE17:FTH17"/>
    <mergeCell ref="FTI17:FTL17"/>
    <mergeCell ref="FTM17:FTP17"/>
    <mergeCell ref="FTQ17:FTT17"/>
    <mergeCell ref="GDA17:GDD17"/>
    <mergeCell ref="GDE17:GDH17"/>
    <mergeCell ref="GDI17:GDL17"/>
    <mergeCell ref="GDM17:GDP17"/>
    <mergeCell ref="GDQ17:GDT17"/>
    <mergeCell ref="GCG17:GCJ17"/>
    <mergeCell ref="GCK17:GCN17"/>
    <mergeCell ref="GCO17:GCR17"/>
    <mergeCell ref="GCS17:GCV17"/>
    <mergeCell ref="GCW17:GCZ17"/>
    <mergeCell ref="GBM17:GBP17"/>
    <mergeCell ref="GBQ17:GBT17"/>
    <mergeCell ref="GBU17:GBX17"/>
    <mergeCell ref="GBY17:GCB17"/>
    <mergeCell ref="GCC17:GCF17"/>
    <mergeCell ref="GAS17:GAV17"/>
    <mergeCell ref="GAW17:GAZ17"/>
    <mergeCell ref="GBA17:GBD17"/>
    <mergeCell ref="GBE17:GBH17"/>
    <mergeCell ref="GBI17:GBL17"/>
    <mergeCell ref="FZY17:GAB17"/>
    <mergeCell ref="GAC17:GAF17"/>
    <mergeCell ref="GAG17:GAJ17"/>
    <mergeCell ref="GAK17:GAN17"/>
    <mergeCell ref="GAO17:GAR17"/>
    <mergeCell ref="FZE17:FZH17"/>
    <mergeCell ref="FZI17:FZL17"/>
    <mergeCell ref="FZM17:FZP17"/>
    <mergeCell ref="FZQ17:FZT17"/>
    <mergeCell ref="FZU17:FZX17"/>
    <mergeCell ref="FYK17:FYN17"/>
    <mergeCell ref="FYO17:FYR17"/>
    <mergeCell ref="FYS17:FYV17"/>
    <mergeCell ref="FYW17:FYZ17"/>
    <mergeCell ref="FZA17:FZD17"/>
    <mergeCell ref="GIK17:GIN17"/>
    <mergeCell ref="GIO17:GIR17"/>
    <mergeCell ref="GIS17:GIV17"/>
    <mergeCell ref="GIW17:GIZ17"/>
    <mergeCell ref="GJA17:GJD17"/>
    <mergeCell ref="GHQ17:GHT17"/>
    <mergeCell ref="GHU17:GHX17"/>
    <mergeCell ref="GHY17:GIB17"/>
    <mergeCell ref="GIC17:GIF17"/>
    <mergeCell ref="GIG17:GIJ17"/>
    <mergeCell ref="GGW17:GGZ17"/>
    <mergeCell ref="GHA17:GHD17"/>
    <mergeCell ref="GHE17:GHH17"/>
    <mergeCell ref="GHI17:GHL17"/>
    <mergeCell ref="GHM17:GHP17"/>
    <mergeCell ref="GGC17:GGF17"/>
    <mergeCell ref="GGG17:GGJ17"/>
    <mergeCell ref="GGK17:GGN17"/>
    <mergeCell ref="GGO17:GGR17"/>
    <mergeCell ref="GGS17:GGV17"/>
    <mergeCell ref="GFI17:GFL17"/>
    <mergeCell ref="GFM17:GFP17"/>
    <mergeCell ref="GFQ17:GFT17"/>
    <mergeCell ref="GFU17:GFX17"/>
    <mergeCell ref="GFY17:GGB17"/>
    <mergeCell ref="GEO17:GER17"/>
    <mergeCell ref="GES17:GEV17"/>
    <mergeCell ref="GEW17:GEZ17"/>
    <mergeCell ref="GFA17:GFD17"/>
    <mergeCell ref="GFE17:GFH17"/>
    <mergeCell ref="GDU17:GDX17"/>
    <mergeCell ref="GDY17:GEB17"/>
    <mergeCell ref="GEC17:GEF17"/>
    <mergeCell ref="GEG17:GEJ17"/>
    <mergeCell ref="GEK17:GEN17"/>
    <mergeCell ref="GNU17:GNX17"/>
    <mergeCell ref="GNY17:GOB17"/>
    <mergeCell ref="GOC17:GOF17"/>
    <mergeCell ref="GOG17:GOJ17"/>
    <mergeCell ref="GOK17:GON17"/>
    <mergeCell ref="GNA17:GND17"/>
    <mergeCell ref="GNE17:GNH17"/>
    <mergeCell ref="GNI17:GNL17"/>
    <mergeCell ref="GNM17:GNP17"/>
    <mergeCell ref="GNQ17:GNT17"/>
    <mergeCell ref="GMG17:GMJ17"/>
    <mergeCell ref="GMK17:GMN17"/>
    <mergeCell ref="GMO17:GMR17"/>
    <mergeCell ref="GMS17:GMV17"/>
    <mergeCell ref="GMW17:GMZ17"/>
    <mergeCell ref="GLM17:GLP17"/>
    <mergeCell ref="GLQ17:GLT17"/>
    <mergeCell ref="GLU17:GLX17"/>
    <mergeCell ref="GLY17:GMB17"/>
    <mergeCell ref="GMC17:GMF17"/>
    <mergeCell ref="GKS17:GKV17"/>
    <mergeCell ref="GKW17:GKZ17"/>
    <mergeCell ref="GLA17:GLD17"/>
    <mergeCell ref="GLE17:GLH17"/>
    <mergeCell ref="GLI17:GLL17"/>
    <mergeCell ref="GJY17:GKB17"/>
    <mergeCell ref="GKC17:GKF17"/>
    <mergeCell ref="GKG17:GKJ17"/>
    <mergeCell ref="GKK17:GKN17"/>
    <mergeCell ref="GKO17:GKR17"/>
    <mergeCell ref="GJE17:GJH17"/>
    <mergeCell ref="GJI17:GJL17"/>
    <mergeCell ref="GJM17:GJP17"/>
    <mergeCell ref="GJQ17:GJT17"/>
    <mergeCell ref="GJU17:GJX17"/>
    <mergeCell ref="GTE17:GTH17"/>
    <mergeCell ref="GTI17:GTL17"/>
    <mergeCell ref="GTM17:GTP17"/>
    <mergeCell ref="GTQ17:GTT17"/>
    <mergeCell ref="GTU17:GTX17"/>
    <mergeCell ref="GSK17:GSN17"/>
    <mergeCell ref="GSO17:GSR17"/>
    <mergeCell ref="GSS17:GSV17"/>
    <mergeCell ref="GSW17:GSZ17"/>
    <mergeCell ref="GTA17:GTD17"/>
    <mergeCell ref="GRQ17:GRT17"/>
    <mergeCell ref="GRU17:GRX17"/>
    <mergeCell ref="GRY17:GSB17"/>
    <mergeCell ref="GSC17:GSF17"/>
    <mergeCell ref="GSG17:GSJ17"/>
    <mergeCell ref="GQW17:GQZ17"/>
    <mergeCell ref="GRA17:GRD17"/>
    <mergeCell ref="GRE17:GRH17"/>
    <mergeCell ref="GRI17:GRL17"/>
    <mergeCell ref="GRM17:GRP17"/>
    <mergeCell ref="GQC17:GQF17"/>
    <mergeCell ref="GQG17:GQJ17"/>
    <mergeCell ref="GQK17:GQN17"/>
    <mergeCell ref="GQO17:GQR17"/>
    <mergeCell ref="GQS17:GQV17"/>
    <mergeCell ref="GPI17:GPL17"/>
    <mergeCell ref="GPM17:GPP17"/>
    <mergeCell ref="GPQ17:GPT17"/>
    <mergeCell ref="GPU17:GPX17"/>
    <mergeCell ref="GPY17:GQB17"/>
    <mergeCell ref="GOO17:GOR17"/>
    <mergeCell ref="GOS17:GOV17"/>
    <mergeCell ref="GOW17:GOZ17"/>
    <mergeCell ref="GPA17:GPD17"/>
    <mergeCell ref="GPE17:GPH17"/>
    <mergeCell ref="GYO17:GYR17"/>
    <mergeCell ref="GYS17:GYV17"/>
    <mergeCell ref="GYW17:GYZ17"/>
    <mergeCell ref="GZA17:GZD17"/>
    <mergeCell ref="GZE17:GZH17"/>
    <mergeCell ref="GXU17:GXX17"/>
    <mergeCell ref="GXY17:GYB17"/>
    <mergeCell ref="GYC17:GYF17"/>
    <mergeCell ref="GYG17:GYJ17"/>
    <mergeCell ref="GYK17:GYN17"/>
    <mergeCell ref="GXA17:GXD17"/>
    <mergeCell ref="GXE17:GXH17"/>
    <mergeCell ref="GXI17:GXL17"/>
    <mergeCell ref="GXM17:GXP17"/>
    <mergeCell ref="GXQ17:GXT17"/>
    <mergeCell ref="GWG17:GWJ17"/>
    <mergeCell ref="GWK17:GWN17"/>
    <mergeCell ref="GWO17:GWR17"/>
    <mergeCell ref="GWS17:GWV17"/>
    <mergeCell ref="GWW17:GWZ17"/>
    <mergeCell ref="GVM17:GVP17"/>
    <mergeCell ref="GVQ17:GVT17"/>
    <mergeCell ref="GVU17:GVX17"/>
    <mergeCell ref="GVY17:GWB17"/>
    <mergeCell ref="GWC17:GWF17"/>
    <mergeCell ref="GUS17:GUV17"/>
    <mergeCell ref="GUW17:GUZ17"/>
    <mergeCell ref="GVA17:GVD17"/>
    <mergeCell ref="GVE17:GVH17"/>
    <mergeCell ref="GVI17:GVL17"/>
    <mergeCell ref="GTY17:GUB17"/>
    <mergeCell ref="GUC17:GUF17"/>
    <mergeCell ref="GUG17:GUJ17"/>
    <mergeCell ref="GUK17:GUN17"/>
    <mergeCell ref="GUO17:GUR17"/>
    <mergeCell ref="HDY17:HEB17"/>
    <mergeCell ref="HEC17:HEF17"/>
    <mergeCell ref="HEG17:HEJ17"/>
    <mergeCell ref="HEK17:HEN17"/>
    <mergeCell ref="HEO17:HER17"/>
    <mergeCell ref="HDE17:HDH17"/>
    <mergeCell ref="HDI17:HDL17"/>
    <mergeCell ref="HDM17:HDP17"/>
    <mergeCell ref="HDQ17:HDT17"/>
    <mergeCell ref="HDU17:HDX17"/>
    <mergeCell ref="HCK17:HCN17"/>
    <mergeCell ref="HCO17:HCR17"/>
    <mergeCell ref="HCS17:HCV17"/>
    <mergeCell ref="HCW17:HCZ17"/>
    <mergeCell ref="HDA17:HDD17"/>
    <mergeCell ref="HBQ17:HBT17"/>
    <mergeCell ref="HBU17:HBX17"/>
    <mergeCell ref="HBY17:HCB17"/>
    <mergeCell ref="HCC17:HCF17"/>
    <mergeCell ref="HCG17:HCJ17"/>
    <mergeCell ref="HAW17:HAZ17"/>
    <mergeCell ref="HBA17:HBD17"/>
    <mergeCell ref="HBE17:HBH17"/>
    <mergeCell ref="HBI17:HBL17"/>
    <mergeCell ref="HBM17:HBP17"/>
    <mergeCell ref="HAC17:HAF17"/>
    <mergeCell ref="HAG17:HAJ17"/>
    <mergeCell ref="HAK17:HAN17"/>
    <mergeCell ref="HAO17:HAR17"/>
    <mergeCell ref="HAS17:HAV17"/>
    <mergeCell ref="GZI17:GZL17"/>
    <mergeCell ref="GZM17:GZP17"/>
    <mergeCell ref="GZQ17:GZT17"/>
    <mergeCell ref="GZU17:GZX17"/>
    <mergeCell ref="GZY17:HAB17"/>
    <mergeCell ref="HJI17:HJL17"/>
    <mergeCell ref="HJM17:HJP17"/>
    <mergeCell ref="HJQ17:HJT17"/>
    <mergeCell ref="HJU17:HJX17"/>
    <mergeCell ref="HJY17:HKB17"/>
    <mergeCell ref="HIO17:HIR17"/>
    <mergeCell ref="HIS17:HIV17"/>
    <mergeCell ref="HIW17:HIZ17"/>
    <mergeCell ref="HJA17:HJD17"/>
    <mergeCell ref="HJE17:HJH17"/>
    <mergeCell ref="HHU17:HHX17"/>
    <mergeCell ref="HHY17:HIB17"/>
    <mergeCell ref="HIC17:HIF17"/>
    <mergeCell ref="HIG17:HIJ17"/>
    <mergeCell ref="HIK17:HIN17"/>
    <mergeCell ref="HHA17:HHD17"/>
    <mergeCell ref="HHE17:HHH17"/>
    <mergeCell ref="HHI17:HHL17"/>
    <mergeCell ref="HHM17:HHP17"/>
    <mergeCell ref="HHQ17:HHT17"/>
    <mergeCell ref="HGG17:HGJ17"/>
    <mergeCell ref="HGK17:HGN17"/>
    <mergeCell ref="HGO17:HGR17"/>
    <mergeCell ref="HGS17:HGV17"/>
    <mergeCell ref="HGW17:HGZ17"/>
    <mergeCell ref="HFM17:HFP17"/>
    <mergeCell ref="HFQ17:HFT17"/>
    <mergeCell ref="HFU17:HFX17"/>
    <mergeCell ref="HFY17:HGB17"/>
    <mergeCell ref="HGC17:HGF17"/>
    <mergeCell ref="HES17:HEV17"/>
    <mergeCell ref="HEW17:HEZ17"/>
    <mergeCell ref="HFA17:HFD17"/>
    <mergeCell ref="HFE17:HFH17"/>
    <mergeCell ref="HFI17:HFL17"/>
    <mergeCell ref="HOS17:HOV17"/>
    <mergeCell ref="HOW17:HOZ17"/>
    <mergeCell ref="HPA17:HPD17"/>
    <mergeCell ref="HPE17:HPH17"/>
    <mergeCell ref="HPI17:HPL17"/>
    <mergeCell ref="HNY17:HOB17"/>
    <mergeCell ref="HOC17:HOF17"/>
    <mergeCell ref="HOG17:HOJ17"/>
    <mergeCell ref="HOK17:HON17"/>
    <mergeCell ref="HOO17:HOR17"/>
    <mergeCell ref="HNE17:HNH17"/>
    <mergeCell ref="HNI17:HNL17"/>
    <mergeCell ref="HNM17:HNP17"/>
    <mergeCell ref="HNQ17:HNT17"/>
    <mergeCell ref="HNU17:HNX17"/>
    <mergeCell ref="HMK17:HMN17"/>
    <mergeCell ref="HMO17:HMR17"/>
    <mergeCell ref="HMS17:HMV17"/>
    <mergeCell ref="HMW17:HMZ17"/>
    <mergeCell ref="HNA17:HND17"/>
    <mergeCell ref="HLQ17:HLT17"/>
    <mergeCell ref="HLU17:HLX17"/>
    <mergeCell ref="HLY17:HMB17"/>
    <mergeCell ref="HMC17:HMF17"/>
    <mergeCell ref="HMG17:HMJ17"/>
    <mergeCell ref="HKW17:HKZ17"/>
    <mergeCell ref="HLA17:HLD17"/>
    <mergeCell ref="HLE17:HLH17"/>
    <mergeCell ref="HLI17:HLL17"/>
    <mergeCell ref="HLM17:HLP17"/>
    <mergeCell ref="HKC17:HKF17"/>
    <mergeCell ref="HKG17:HKJ17"/>
    <mergeCell ref="HKK17:HKN17"/>
    <mergeCell ref="HKO17:HKR17"/>
    <mergeCell ref="HKS17:HKV17"/>
    <mergeCell ref="HUC17:HUF17"/>
    <mergeCell ref="HUG17:HUJ17"/>
    <mergeCell ref="HUK17:HUN17"/>
    <mergeCell ref="HUO17:HUR17"/>
    <mergeCell ref="HUS17:HUV17"/>
    <mergeCell ref="HTI17:HTL17"/>
    <mergeCell ref="HTM17:HTP17"/>
    <mergeCell ref="HTQ17:HTT17"/>
    <mergeCell ref="HTU17:HTX17"/>
    <mergeCell ref="HTY17:HUB17"/>
    <mergeCell ref="HSO17:HSR17"/>
    <mergeCell ref="HSS17:HSV17"/>
    <mergeCell ref="HSW17:HSZ17"/>
    <mergeCell ref="HTA17:HTD17"/>
    <mergeCell ref="HTE17:HTH17"/>
    <mergeCell ref="HRU17:HRX17"/>
    <mergeCell ref="HRY17:HSB17"/>
    <mergeCell ref="HSC17:HSF17"/>
    <mergeCell ref="HSG17:HSJ17"/>
    <mergeCell ref="HSK17:HSN17"/>
    <mergeCell ref="HRA17:HRD17"/>
    <mergeCell ref="HRE17:HRH17"/>
    <mergeCell ref="HRI17:HRL17"/>
    <mergeCell ref="HRM17:HRP17"/>
    <mergeCell ref="HRQ17:HRT17"/>
    <mergeCell ref="HQG17:HQJ17"/>
    <mergeCell ref="HQK17:HQN17"/>
    <mergeCell ref="HQO17:HQR17"/>
    <mergeCell ref="HQS17:HQV17"/>
    <mergeCell ref="HQW17:HQZ17"/>
    <mergeCell ref="HPM17:HPP17"/>
    <mergeCell ref="HPQ17:HPT17"/>
    <mergeCell ref="HPU17:HPX17"/>
    <mergeCell ref="HPY17:HQB17"/>
    <mergeCell ref="HQC17:HQF17"/>
    <mergeCell ref="HZM17:HZP17"/>
    <mergeCell ref="HZQ17:HZT17"/>
    <mergeCell ref="HZU17:HZX17"/>
    <mergeCell ref="HZY17:IAB17"/>
    <mergeCell ref="IAC17:IAF17"/>
    <mergeCell ref="HYS17:HYV17"/>
    <mergeCell ref="HYW17:HYZ17"/>
    <mergeCell ref="HZA17:HZD17"/>
    <mergeCell ref="HZE17:HZH17"/>
    <mergeCell ref="HZI17:HZL17"/>
    <mergeCell ref="HXY17:HYB17"/>
    <mergeCell ref="HYC17:HYF17"/>
    <mergeCell ref="HYG17:HYJ17"/>
    <mergeCell ref="HYK17:HYN17"/>
    <mergeCell ref="HYO17:HYR17"/>
    <mergeCell ref="HXE17:HXH17"/>
    <mergeCell ref="HXI17:HXL17"/>
    <mergeCell ref="HXM17:HXP17"/>
    <mergeCell ref="HXQ17:HXT17"/>
    <mergeCell ref="HXU17:HXX17"/>
    <mergeCell ref="HWK17:HWN17"/>
    <mergeCell ref="HWO17:HWR17"/>
    <mergeCell ref="HWS17:HWV17"/>
    <mergeCell ref="HWW17:HWZ17"/>
    <mergeCell ref="HXA17:HXD17"/>
    <mergeCell ref="HVQ17:HVT17"/>
    <mergeCell ref="HVU17:HVX17"/>
    <mergeCell ref="HVY17:HWB17"/>
    <mergeCell ref="HWC17:HWF17"/>
    <mergeCell ref="HWG17:HWJ17"/>
    <mergeCell ref="HUW17:HUZ17"/>
    <mergeCell ref="HVA17:HVD17"/>
    <mergeCell ref="HVE17:HVH17"/>
    <mergeCell ref="HVI17:HVL17"/>
    <mergeCell ref="HVM17:HVP17"/>
    <mergeCell ref="IEW17:IEZ17"/>
    <mergeCell ref="IFA17:IFD17"/>
    <mergeCell ref="IFE17:IFH17"/>
    <mergeCell ref="IFI17:IFL17"/>
    <mergeCell ref="IFM17:IFP17"/>
    <mergeCell ref="IEC17:IEF17"/>
    <mergeCell ref="IEG17:IEJ17"/>
    <mergeCell ref="IEK17:IEN17"/>
    <mergeCell ref="IEO17:IER17"/>
    <mergeCell ref="IES17:IEV17"/>
    <mergeCell ref="IDI17:IDL17"/>
    <mergeCell ref="IDM17:IDP17"/>
    <mergeCell ref="IDQ17:IDT17"/>
    <mergeCell ref="IDU17:IDX17"/>
    <mergeCell ref="IDY17:IEB17"/>
    <mergeCell ref="ICO17:ICR17"/>
    <mergeCell ref="ICS17:ICV17"/>
    <mergeCell ref="ICW17:ICZ17"/>
    <mergeCell ref="IDA17:IDD17"/>
    <mergeCell ref="IDE17:IDH17"/>
    <mergeCell ref="IBU17:IBX17"/>
    <mergeCell ref="IBY17:ICB17"/>
    <mergeCell ref="ICC17:ICF17"/>
    <mergeCell ref="ICG17:ICJ17"/>
    <mergeCell ref="ICK17:ICN17"/>
    <mergeCell ref="IBA17:IBD17"/>
    <mergeCell ref="IBE17:IBH17"/>
    <mergeCell ref="IBI17:IBL17"/>
    <mergeCell ref="IBM17:IBP17"/>
    <mergeCell ref="IBQ17:IBT17"/>
    <mergeCell ref="IAG17:IAJ17"/>
    <mergeCell ref="IAK17:IAN17"/>
    <mergeCell ref="IAO17:IAR17"/>
    <mergeCell ref="IAS17:IAV17"/>
    <mergeCell ref="IAW17:IAZ17"/>
    <mergeCell ref="IKG17:IKJ17"/>
    <mergeCell ref="IKK17:IKN17"/>
    <mergeCell ref="IKO17:IKR17"/>
    <mergeCell ref="IKS17:IKV17"/>
    <mergeCell ref="IKW17:IKZ17"/>
    <mergeCell ref="IJM17:IJP17"/>
    <mergeCell ref="IJQ17:IJT17"/>
    <mergeCell ref="IJU17:IJX17"/>
    <mergeCell ref="IJY17:IKB17"/>
    <mergeCell ref="IKC17:IKF17"/>
    <mergeCell ref="IIS17:IIV17"/>
    <mergeCell ref="IIW17:IIZ17"/>
    <mergeCell ref="IJA17:IJD17"/>
    <mergeCell ref="IJE17:IJH17"/>
    <mergeCell ref="IJI17:IJL17"/>
    <mergeCell ref="IHY17:IIB17"/>
    <mergeCell ref="IIC17:IIF17"/>
    <mergeCell ref="IIG17:IIJ17"/>
    <mergeCell ref="IIK17:IIN17"/>
    <mergeCell ref="IIO17:IIR17"/>
    <mergeCell ref="IHE17:IHH17"/>
    <mergeCell ref="IHI17:IHL17"/>
    <mergeCell ref="IHM17:IHP17"/>
    <mergeCell ref="IHQ17:IHT17"/>
    <mergeCell ref="IHU17:IHX17"/>
    <mergeCell ref="IGK17:IGN17"/>
    <mergeCell ref="IGO17:IGR17"/>
    <mergeCell ref="IGS17:IGV17"/>
    <mergeCell ref="IGW17:IGZ17"/>
    <mergeCell ref="IHA17:IHD17"/>
    <mergeCell ref="IFQ17:IFT17"/>
    <mergeCell ref="IFU17:IFX17"/>
    <mergeCell ref="IFY17:IGB17"/>
    <mergeCell ref="IGC17:IGF17"/>
    <mergeCell ref="IGG17:IGJ17"/>
    <mergeCell ref="IPQ17:IPT17"/>
    <mergeCell ref="IPU17:IPX17"/>
    <mergeCell ref="IPY17:IQB17"/>
    <mergeCell ref="IQC17:IQF17"/>
    <mergeCell ref="IQG17:IQJ17"/>
    <mergeCell ref="IOW17:IOZ17"/>
    <mergeCell ref="IPA17:IPD17"/>
    <mergeCell ref="IPE17:IPH17"/>
    <mergeCell ref="IPI17:IPL17"/>
    <mergeCell ref="IPM17:IPP17"/>
    <mergeCell ref="IOC17:IOF17"/>
    <mergeCell ref="IOG17:IOJ17"/>
    <mergeCell ref="IOK17:ION17"/>
    <mergeCell ref="IOO17:IOR17"/>
    <mergeCell ref="IOS17:IOV17"/>
    <mergeCell ref="INI17:INL17"/>
    <mergeCell ref="INM17:INP17"/>
    <mergeCell ref="INQ17:INT17"/>
    <mergeCell ref="INU17:INX17"/>
    <mergeCell ref="INY17:IOB17"/>
    <mergeCell ref="IMO17:IMR17"/>
    <mergeCell ref="IMS17:IMV17"/>
    <mergeCell ref="IMW17:IMZ17"/>
    <mergeCell ref="INA17:IND17"/>
    <mergeCell ref="INE17:INH17"/>
    <mergeCell ref="ILU17:ILX17"/>
    <mergeCell ref="ILY17:IMB17"/>
    <mergeCell ref="IMC17:IMF17"/>
    <mergeCell ref="IMG17:IMJ17"/>
    <mergeCell ref="IMK17:IMN17"/>
    <mergeCell ref="ILA17:ILD17"/>
    <mergeCell ref="ILE17:ILH17"/>
    <mergeCell ref="ILI17:ILL17"/>
    <mergeCell ref="ILM17:ILP17"/>
    <mergeCell ref="ILQ17:ILT17"/>
    <mergeCell ref="IVA17:IVD17"/>
    <mergeCell ref="IVE17:IVH17"/>
    <mergeCell ref="IVI17:IVL17"/>
    <mergeCell ref="IVM17:IVP17"/>
    <mergeCell ref="IVQ17:IVT17"/>
    <mergeCell ref="IUG17:IUJ17"/>
    <mergeCell ref="IUK17:IUN17"/>
    <mergeCell ref="IUO17:IUR17"/>
    <mergeCell ref="IUS17:IUV17"/>
    <mergeCell ref="IUW17:IUZ17"/>
    <mergeCell ref="ITM17:ITP17"/>
    <mergeCell ref="ITQ17:ITT17"/>
    <mergeCell ref="ITU17:ITX17"/>
    <mergeCell ref="ITY17:IUB17"/>
    <mergeCell ref="IUC17:IUF17"/>
    <mergeCell ref="ISS17:ISV17"/>
    <mergeCell ref="ISW17:ISZ17"/>
    <mergeCell ref="ITA17:ITD17"/>
    <mergeCell ref="ITE17:ITH17"/>
    <mergeCell ref="ITI17:ITL17"/>
    <mergeCell ref="IRY17:ISB17"/>
    <mergeCell ref="ISC17:ISF17"/>
    <mergeCell ref="ISG17:ISJ17"/>
    <mergeCell ref="ISK17:ISN17"/>
    <mergeCell ref="ISO17:ISR17"/>
    <mergeCell ref="IRE17:IRH17"/>
    <mergeCell ref="IRI17:IRL17"/>
    <mergeCell ref="IRM17:IRP17"/>
    <mergeCell ref="IRQ17:IRT17"/>
    <mergeCell ref="IRU17:IRX17"/>
    <mergeCell ref="IQK17:IQN17"/>
    <mergeCell ref="IQO17:IQR17"/>
    <mergeCell ref="IQS17:IQV17"/>
    <mergeCell ref="IQW17:IQZ17"/>
    <mergeCell ref="IRA17:IRD17"/>
    <mergeCell ref="JAK17:JAN17"/>
    <mergeCell ref="JAO17:JAR17"/>
    <mergeCell ref="JAS17:JAV17"/>
    <mergeCell ref="JAW17:JAZ17"/>
    <mergeCell ref="JBA17:JBD17"/>
    <mergeCell ref="IZQ17:IZT17"/>
    <mergeCell ref="IZU17:IZX17"/>
    <mergeCell ref="IZY17:JAB17"/>
    <mergeCell ref="JAC17:JAF17"/>
    <mergeCell ref="JAG17:JAJ17"/>
    <mergeCell ref="IYW17:IYZ17"/>
    <mergeCell ref="IZA17:IZD17"/>
    <mergeCell ref="IZE17:IZH17"/>
    <mergeCell ref="IZI17:IZL17"/>
    <mergeCell ref="IZM17:IZP17"/>
    <mergeCell ref="IYC17:IYF17"/>
    <mergeCell ref="IYG17:IYJ17"/>
    <mergeCell ref="IYK17:IYN17"/>
    <mergeCell ref="IYO17:IYR17"/>
    <mergeCell ref="IYS17:IYV17"/>
    <mergeCell ref="IXI17:IXL17"/>
    <mergeCell ref="IXM17:IXP17"/>
    <mergeCell ref="IXQ17:IXT17"/>
    <mergeCell ref="IXU17:IXX17"/>
    <mergeCell ref="IXY17:IYB17"/>
    <mergeCell ref="IWO17:IWR17"/>
    <mergeCell ref="IWS17:IWV17"/>
    <mergeCell ref="IWW17:IWZ17"/>
    <mergeCell ref="IXA17:IXD17"/>
    <mergeCell ref="IXE17:IXH17"/>
    <mergeCell ref="IVU17:IVX17"/>
    <mergeCell ref="IVY17:IWB17"/>
    <mergeCell ref="IWC17:IWF17"/>
    <mergeCell ref="IWG17:IWJ17"/>
    <mergeCell ref="IWK17:IWN17"/>
    <mergeCell ref="JFU17:JFX17"/>
    <mergeCell ref="JFY17:JGB17"/>
    <mergeCell ref="JGC17:JGF17"/>
    <mergeCell ref="JGG17:JGJ17"/>
    <mergeCell ref="JGK17:JGN17"/>
    <mergeCell ref="JFA17:JFD17"/>
    <mergeCell ref="JFE17:JFH17"/>
    <mergeCell ref="JFI17:JFL17"/>
    <mergeCell ref="JFM17:JFP17"/>
    <mergeCell ref="JFQ17:JFT17"/>
    <mergeCell ref="JEG17:JEJ17"/>
    <mergeCell ref="JEK17:JEN17"/>
    <mergeCell ref="JEO17:JER17"/>
    <mergeCell ref="JES17:JEV17"/>
    <mergeCell ref="JEW17:JEZ17"/>
    <mergeCell ref="JDM17:JDP17"/>
    <mergeCell ref="JDQ17:JDT17"/>
    <mergeCell ref="JDU17:JDX17"/>
    <mergeCell ref="JDY17:JEB17"/>
    <mergeCell ref="JEC17:JEF17"/>
    <mergeCell ref="JCS17:JCV17"/>
    <mergeCell ref="JCW17:JCZ17"/>
    <mergeCell ref="JDA17:JDD17"/>
    <mergeCell ref="JDE17:JDH17"/>
    <mergeCell ref="JDI17:JDL17"/>
    <mergeCell ref="JBY17:JCB17"/>
    <mergeCell ref="JCC17:JCF17"/>
    <mergeCell ref="JCG17:JCJ17"/>
    <mergeCell ref="JCK17:JCN17"/>
    <mergeCell ref="JCO17:JCR17"/>
    <mergeCell ref="JBE17:JBH17"/>
    <mergeCell ref="JBI17:JBL17"/>
    <mergeCell ref="JBM17:JBP17"/>
    <mergeCell ref="JBQ17:JBT17"/>
    <mergeCell ref="JBU17:JBX17"/>
    <mergeCell ref="JLE17:JLH17"/>
    <mergeCell ref="JLI17:JLL17"/>
    <mergeCell ref="JLM17:JLP17"/>
    <mergeCell ref="JLQ17:JLT17"/>
    <mergeCell ref="JLU17:JLX17"/>
    <mergeCell ref="JKK17:JKN17"/>
    <mergeCell ref="JKO17:JKR17"/>
    <mergeCell ref="JKS17:JKV17"/>
    <mergeCell ref="JKW17:JKZ17"/>
    <mergeCell ref="JLA17:JLD17"/>
    <mergeCell ref="JJQ17:JJT17"/>
    <mergeCell ref="JJU17:JJX17"/>
    <mergeCell ref="JJY17:JKB17"/>
    <mergeCell ref="JKC17:JKF17"/>
    <mergeCell ref="JKG17:JKJ17"/>
    <mergeCell ref="JIW17:JIZ17"/>
    <mergeCell ref="JJA17:JJD17"/>
    <mergeCell ref="JJE17:JJH17"/>
    <mergeCell ref="JJI17:JJL17"/>
    <mergeCell ref="JJM17:JJP17"/>
    <mergeCell ref="JIC17:JIF17"/>
    <mergeCell ref="JIG17:JIJ17"/>
    <mergeCell ref="JIK17:JIN17"/>
    <mergeCell ref="JIO17:JIR17"/>
    <mergeCell ref="JIS17:JIV17"/>
    <mergeCell ref="JHI17:JHL17"/>
    <mergeCell ref="JHM17:JHP17"/>
    <mergeCell ref="JHQ17:JHT17"/>
    <mergeCell ref="JHU17:JHX17"/>
    <mergeCell ref="JHY17:JIB17"/>
    <mergeCell ref="JGO17:JGR17"/>
    <mergeCell ref="JGS17:JGV17"/>
    <mergeCell ref="JGW17:JGZ17"/>
    <mergeCell ref="JHA17:JHD17"/>
    <mergeCell ref="JHE17:JHH17"/>
    <mergeCell ref="JQO17:JQR17"/>
    <mergeCell ref="JQS17:JQV17"/>
    <mergeCell ref="JQW17:JQZ17"/>
    <mergeCell ref="JRA17:JRD17"/>
    <mergeCell ref="JRE17:JRH17"/>
    <mergeCell ref="JPU17:JPX17"/>
    <mergeCell ref="JPY17:JQB17"/>
    <mergeCell ref="JQC17:JQF17"/>
    <mergeCell ref="JQG17:JQJ17"/>
    <mergeCell ref="JQK17:JQN17"/>
    <mergeCell ref="JPA17:JPD17"/>
    <mergeCell ref="JPE17:JPH17"/>
    <mergeCell ref="JPI17:JPL17"/>
    <mergeCell ref="JPM17:JPP17"/>
    <mergeCell ref="JPQ17:JPT17"/>
    <mergeCell ref="JOG17:JOJ17"/>
    <mergeCell ref="JOK17:JON17"/>
    <mergeCell ref="JOO17:JOR17"/>
    <mergeCell ref="JOS17:JOV17"/>
    <mergeCell ref="JOW17:JOZ17"/>
    <mergeCell ref="JNM17:JNP17"/>
    <mergeCell ref="JNQ17:JNT17"/>
    <mergeCell ref="JNU17:JNX17"/>
    <mergeCell ref="JNY17:JOB17"/>
    <mergeCell ref="JOC17:JOF17"/>
    <mergeCell ref="JMS17:JMV17"/>
    <mergeCell ref="JMW17:JMZ17"/>
    <mergeCell ref="JNA17:JND17"/>
    <mergeCell ref="JNE17:JNH17"/>
    <mergeCell ref="JNI17:JNL17"/>
    <mergeCell ref="JLY17:JMB17"/>
    <mergeCell ref="JMC17:JMF17"/>
    <mergeCell ref="JMG17:JMJ17"/>
    <mergeCell ref="JMK17:JMN17"/>
    <mergeCell ref="JMO17:JMR17"/>
    <mergeCell ref="JVY17:JWB17"/>
    <mergeCell ref="JWC17:JWF17"/>
    <mergeCell ref="JWG17:JWJ17"/>
    <mergeCell ref="JWK17:JWN17"/>
    <mergeCell ref="JWO17:JWR17"/>
    <mergeCell ref="JVE17:JVH17"/>
    <mergeCell ref="JVI17:JVL17"/>
    <mergeCell ref="JVM17:JVP17"/>
    <mergeCell ref="JVQ17:JVT17"/>
    <mergeCell ref="JVU17:JVX17"/>
    <mergeCell ref="JUK17:JUN17"/>
    <mergeCell ref="JUO17:JUR17"/>
    <mergeCell ref="JUS17:JUV17"/>
    <mergeCell ref="JUW17:JUZ17"/>
    <mergeCell ref="JVA17:JVD17"/>
    <mergeCell ref="JTQ17:JTT17"/>
    <mergeCell ref="JTU17:JTX17"/>
    <mergeCell ref="JTY17:JUB17"/>
    <mergeCell ref="JUC17:JUF17"/>
    <mergeCell ref="JUG17:JUJ17"/>
    <mergeCell ref="JSW17:JSZ17"/>
    <mergeCell ref="JTA17:JTD17"/>
    <mergeCell ref="JTE17:JTH17"/>
    <mergeCell ref="JTI17:JTL17"/>
    <mergeCell ref="JTM17:JTP17"/>
    <mergeCell ref="JSC17:JSF17"/>
    <mergeCell ref="JSG17:JSJ17"/>
    <mergeCell ref="JSK17:JSN17"/>
    <mergeCell ref="JSO17:JSR17"/>
    <mergeCell ref="JSS17:JSV17"/>
    <mergeCell ref="JRI17:JRL17"/>
    <mergeCell ref="JRM17:JRP17"/>
    <mergeCell ref="JRQ17:JRT17"/>
    <mergeCell ref="JRU17:JRX17"/>
    <mergeCell ref="JRY17:JSB17"/>
    <mergeCell ref="KBI17:KBL17"/>
    <mergeCell ref="KBM17:KBP17"/>
    <mergeCell ref="KBQ17:KBT17"/>
    <mergeCell ref="KBU17:KBX17"/>
    <mergeCell ref="KBY17:KCB17"/>
    <mergeCell ref="KAO17:KAR17"/>
    <mergeCell ref="KAS17:KAV17"/>
    <mergeCell ref="KAW17:KAZ17"/>
    <mergeCell ref="KBA17:KBD17"/>
    <mergeCell ref="KBE17:KBH17"/>
    <mergeCell ref="JZU17:JZX17"/>
    <mergeCell ref="JZY17:KAB17"/>
    <mergeCell ref="KAC17:KAF17"/>
    <mergeCell ref="KAG17:KAJ17"/>
    <mergeCell ref="KAK17:KAN17"/>
    <mergeCell ref="JZA17:JZD17"/>
    <mergeCell ref="JZE17:JZH17"/>
    <mergeCell ref="JZI17:JZL17"/>
    <mergeCell ref="JZM17:JZP17"/>
    <mergeCell ref="JZQ17:JZT17"/>
    <mergeCell ref="JYG17:JYJ17"/>
    <mergeCell ref="JYK17:JYN17"/>
    <mergeCell ref="JYO17:JYR17"/>
    <mergeCell ref="JYS17:JYV17"/>
    <mergeCell ref="JYW17:JYZ17"/>
    <mergeCell ref="JXM17:JXP17"/>
    <mergeCell ref="JXQ17:JXT17"/>
    <mergeCell ref="JXU17:JXX17"/>
    <mergeCell ref="JXY17:JYB17"/>
    <mergeCell ref="JYC17:JYF17"/>
    <mergeCell ref="JWS17:JWV17"/>
    <mergeCell ref="JWW17:JWZ17"/>
    <mergeCell ref="JXA17:JXD17"/>
    <mergeCell ref="JXE17:JXH17"/>
    <mergeCell ref="JXI17:JXL17"/>
    <mergeCell ref="KGS17:KGV17"/>
    <mergeCell ref="KGW17:KGZ17"/>
    <mergeCell ref="KHA17:KHD17"/>
    <mergeCell ref="KHE17:KHH17"/>
    <mergeCell ref="KHI17:KHL17"/>
    <mergeCell ref="KFY17:KGB17"/>
    <mergeCell ref="KGC17:KGF17"/>
    <mergeCell ref="KGG17:KGJ17"/>
    <mergeCell ref="KGK17:KGN17"/>
    <mergeCell ref="KGO17:KGR17"/>
    <mergeCell ref="KFE17:KFH17"/>
    <mergeCell ref="KFI17:KFL17"/>
    <mergeCell ref="KFM17:KFP17"/>
    <mergeCell ref="KFQ17:KFT17"/>
    <mergeCell ref="KFU17:KFX17"/>
    <mergeCell ref="KEK17:KEN17"/>
    <mergeCell ref="KEO17:KER17"/>
    <mergeCell ref="KES17:KEV17"/>
    <mergeCell ref="KEW17:KEZ17"/>
    <mergeCell ref="KFA17:KFD17"/>
    <mergeCell ref="KDQ17:KDT17"/>
    <mergeCell ref="KDU17:KDX17"/>
    <mergeCell ref="KDY17:KEB17"/>
    <mergeCell ref="KEC17:KEF17"/>
    <mergeCell ref="KEG17:KEJ17"/>
    <mergeCell ref="KCW17:KCZ17"/>
    <mergeCell ref="KDA17:KDD17"/>
    <mergeCell ref="KDE17:KDH17"/>
    <mergeCell ref="KDI17:KDL17"/>
    <mergeCell ref="KDM17:KDP17"/>
    <mergeCell ref="KCC17:KCF17"/>
    <mergeCell ref="KCG17:KCJ17"/>
    <mergeCell ref="KCK17:KCN17"/>
    <mergeCell ref="KCO17:KCR17"/>
    <mergeCell ref="KCS17:KCV17"/>
    <mergeCell ref="KMC17:KMF17"/>
    <mergeCell ref="KMG17:KMJ17"/>
    <mergeCell ref="KMK17:KMN17"/>
    <mergeCell ref="KMO17:KMR17"/>
    <mergeCell ref="KMS17:KMV17"/>
    <mergeCell ref="KLI17:KLL17"/>
    <mergeCell ref="KLM17:KLP17"/>
    <mergeCell ref="KLQ17:KLT17"/>
    <mergeCell ref="KLU17:KLX17"/>
    <mergeCell ref="KLY17:KMB17"/>
    <mergeCell ref="KKO17:KKR17"/>
    <mergeCell ref="KKS17:KKV17"/>
    <mergeCell ref="KKW17:KKZ17"/>
    <mergeCell ref="KLA17:KLD17"/>
    <mergeCell ref="KLE17:KLH17"/>
    <mergeCell ref="KJU17:KJX17"/>
    <mergeCell ref="KJY17:KKB17"/>
    <mergeCell ref="KKC17:KKF17"/>
    <mergeCell ref="KKG17:KKJ17"/>
    <mergeCell ref="KKK17:KKN17"/>
    <mergeCell ref="KJA17:KJD17"/>
    <mergeCell ref="KJE17:KJH17"/>
    <mergeCell ref="KJI17:KJL17"/>
    <mergeCell ref="KJM17:KJP17"/>
    <mergeCell ref="KJQ17:KJT17"/>
    <mergeCell ref="KIG17:KIJ17"/>
    <mergeCell ref="KIK17:KIN17"/>
    <mergeCell ref="KIO17:KIR17"/>
    <mergeCell ref="KIS17:KIV17"/>
    <mergeCell ref="KIW17:KIZ17"/>
    <mergeCell ref="KHM17:KHP17"/>
    <mergeCell ref="KHQ17:KHT17"/>
    <mergeCell ref="KHU17:KHX17"/>
    <mergeCell ref="KHY17:KIB17"/>
    <mergeCell ref="KIC17:KIF17"/>
    <mergeCell ref="KRM17:KRP17"/>
    <mergeCell ref="KRQ17:KRT17"/>
    <mergeCell ref="KRU17:KRX17"/>
    <mergeCell ref="KRY17:KSB17"/>
    <mergeCell ref="KSC17:KSF17"/>
    <mergeCell ref="KQS17:KQV17"/>
    <mergeCell ref="KQW17:KQZ17"/>
    <mergeCell ref="KRA17:KRD17"/>
    <mergeCell ref="KRE17:KRH17"/>
    <mergeCell ref="KRI17:KRL17"/>
    <mergeCell ref="KPY17:KQB17"/>
    <mergeCell ref="KQC17:KQF17"/>
    <mergeCell ref="KQG17:KQJ17"/>
    <mergeCell ref="KQK17:KQN17"/>
    <mergeCell ref="KQO17:KQR17"/>
    <mergeCell ref="KPE17:KPH17"/>
    <mergeCell ref="KPI17:KPL17"/>
    <mergeCell ref="KPM17:KPP17"/>
    <mergeCell ref="KPQ17:KPT17"/>
    <mergeCell ref="KPU17:KPX17"/>
    <mergeCell ref="KOK17:KON17"/>
    <mergeCell ref="KOO17:KOR17"/>
    <mergeCell ref="KOS17:KOV17"/>
    <mergeCell ref="KOW17:KOZ17"/>
    <mergeCell ref="KPA17:KPD17"/>
    <mergeCell ref="KNQ17:KNT17"/>
    <mergeCell ref="KNU17:KNX17"/>
    <mergeCell ref="KNY17:KOB17"/>
    <mergeCell ref="KOC17:KOF17"/>
    <mergeCell ref="KOG17:KOJ17"/>
    <mergeCell ref="KMW17:KMZ17"/>
    <mergeCell ref="KNA17:KND17"/>
    <mergeCell ref="KNE17:KNH17"/>
    <mergeCell ref="KNI17:KNL17"/>
    <mergeCell ref="KNM17:KNP17"/>
    <mergeCell ref="KWW17:KWZ17"/>
    <mergeCell ref="KXA17:KXD17"/>
    <mergeCell ref="KXE17:KXH17"/>
    <mergeCell ref="KXI17:KXL17"/>
    <mergeCell ref="KXM17:KXP17"/>
    <mergeCell ref="KWC17:KWF17"/>
    <mergeCell ref="KWG17:KWJ17"/>
    <mergeCell ref="KWK17:KWN17"/>
    <mergeCell ref="KWO17:KWR17"/>
    <mergeCell ref="KWS17:KWV17"/>
    <mergeCell ref="KVI17:KVL17"/>
    <mergeCell ref="KVM17:KVP17"/>
    <mergeCell ref="KVQ17:KVT17"/>
    <mergeCell ref="KVU17:KVX17"/>
    <mergeCell ref="KVY17:KWB17"/>
    <mergeCell ref="KUO17:KUR17"/>
    <mergeCell ref="KUS17:KUV17"/>
    <mergeCell ref="KUW17:KUZ17"/>
    <mergeCell ref="KVA17:KVD17"/>
    <mergeCell ref="KVE17:KVH17"/>
    <mergeCell ref="KTU17:KTX17"/>
    <mergeCell ref="KTY17:KUB17"/>
    <mergeCell ref="KUC17:KUF17"/>
    <mergeCell ref="KUG17:KUJ17"/>
    <mergeCell ref="KUK17:KUN17"/>
    <mergeCell ref="KTA17:KTD17"/>
    <mergeCell ref="KTE17:KTH17"/>
    <mergeCell ref="KTI17:KTL17"/>
    <mergeCell ref="KTM17:KTP17"/>
    <mergeCell ref="KTQ17:KTT17"/>
    <mergeCell ref="KSG17:KSJ17"/>
    <mergeCell ref="KSK17:KSN17"/>
    <mergeCell ref="KSO17:KSR17"/>
    <mergeCell ref="KSS17:KSV17"/>
    <mergeCell ref="KSW17:KSZ17"/>
    <mergeCell ref="LCG17:LCJ17"/>
    <mergeCell ref="LCK17:LCN17"/>
    <mergeCell ref="LCO17:LCR17"/>
    <mergeCell ref="LCS17:LCV17"/>
    <mergeCell ref="LCW17:LCZ17"/>
    <mergeCell ref="LBM17:LBP17"/>
    <mergeCell ref="LBQ17:LBT17"/>
    <mergeCell ref="LBU17:LBX17"/>
    <mergeCell ref="LBY17:LCB17"/>
    <mergeCell ref="LCC17:LCF17"/>
    <mergeCell ref="LAS17:LAV17"/>
    <mergeCell ref="LAW17:LAZ17"/>
    <mergeCell ref="LBA17:LBD17"/>
    <mergeCell ref="LBE17:LBH17"/>
    <mergeCell ref="LBI17:LBL17"/>
    <mergeCell ref="KZY17:LAB17"/>
    <mergeCell ref="LAC17:LAF17"/>
    <mergeCell ref="LAG17:LAJ17"/>
    <mergeCell ref="LAK17:LAN17"/>
    <mergeCell ref="LAO17:LAR17"/>
    <mergeCell ref="KZE17:KZH17"/>
    <mergeCell ref="KZI17:KZL17"/>
    <mergeCell ref="KZM17:KZP17"/>
    <mergeCell ref="KZQ17:KZT17"/>
    <mergeCell ref="KZU17:KZX17"/>
    <mergeCell ref="KYK17:KYN17"/>
    <mergeCell ref="KYO17:KYR17"/>
    <mergeCell ref="KYS17:KYV17"/>
    <mergeCell ref="KYW17:KYZ17"/>
    <mergeCell ref="KZA17:KZD17"/>
    <mergeCell ref="KXQ17:KXT17"/>
    <mergeCell ref="KXU17:KXX17"/>
    <mergeCell ref="KXY17:KYB17"/>
    <mergeCell ref="KYC17:KYF17"/>
    <mergeCell ref="KYG17:KYJ17"/>
    <mergeCell ref="LHQ17:LHT17"/>
    <mergeCell ref="LHU17:LHX17"/>
    <mergeCell ref="LHY17:LIB17"/>
    <mergeCell ref="LIC17:LIF17"/>
    <mergeCell ref="LIG17:LIJ17"/>
    <mergeCell ref="LGW17:LGZ17"/>
    <mergeCell ref="LHA17:LHD17"/>
    <mergeCell ref="LHE17:LHH17"/>
    <mergeCell ref="LHI17:LHL17"/>
    <mergeCell ref="LHM17:LHP17"/>
    <mergeCell ref="LGC17:LGF17"/>
    <mergeCell ref="LGG17:LGJ17"/>
    <mergeCell ref="LGK17:LGN17"/>
    <mergeCell ref="LGO17:LGR17"/>
    <mergeCell ref="LGS17:LGV17"/>
    <mergeCell ref="LFI17:LFL17"/>
    <mergeCell ref="LFM17:LFP17"/>
    <mergeCell ref="LFQ17:LFT17"/>
    <mergeCell ref="LFU17:LFX17"/>
    <mergeCell ref="LFY17:LGB17"/>
    <mergeCell ref="LEO17:LER17"/>
    <mergeCell ref="LES17:LEV17"/>
    <mergeCell ref="LEW17:LEZ17"/>
    <mergeCell ref="LFA17:LFD17"/>
    <mergeCell ref="LFE17:LFH17"/>
    <mergeCell ref="LDU17:LDX17"/>
    <mergeCell ref="LDY17:LEB17"/>
    <mergeCell ref="LEC17:LEF17"/>
    <mergeCell ref="LEG17:LEJ17"/>
    <mergeCell ref="LEK17:LEN17"/>
    <mergeCell ref="LDA17:LDD17"/>
    <mergeCell ref="LDE17:LDH17"/>
    <mergeCell ref="LDI17:LDL17"/>
    <mergeCell ref="LDM17:LDP17"/>
    <mergeCell ref="LDQ17:LDT17"/>
    <mergeCell ref="LNA17:LND17"/>
    <mergeCell ref="LNE17:LNH17"/>
    <mergeCell ref="LNI17:LNL17"/>
    <mergeCell ref="LNM17:LNP17"/>
    <mergeCell ref="LNQ17:LNT17"/>
    <mergeCell ref="LMG17:LMJ17"/>
    <mergeCell ref="LMK17:LMN17"/>
    <mergeCell ref="LMO17:LMR17"/>
    <mergeCell ref="LMS17:LMV17"/>
    <mergeCell ref="LMW17:LMZ17"/>
    <mergeCell ref="LLM17:LLP17"/>
    <mergeCell ref="LLQ17:LLT17"/>
    <mergeCell ref="LLU17:LLX17"/>
    <mergeCell ref="LLY17:LMB17"/>
    <mergeCell ref="LMC17:LMF17"/>
    <mergeCell ref="LKS17:LKV17"/>
    <mergeCell ref="LKW17:LKZ17"/>
    <mergeCell ref="LLA17:LLD17"/>
    <mergeCell ref="LLE17:LLH17"/>
    <mergeCell ref="LLI17:LLL17"/>
    <mergeCell ref="LJY17:LKB17"/>
    <mergeCell ref="LKC17:LKF17"/>
    <mergeCell ref="LKG17:LKJ17"/>
    <mergeCell ref="LKK17:LKN17"/>
    <mergeCell ref="LKO17:LKR17"/>
    <mergeCell ref="LJE17:LJH17"/>
    <mergeCell ref="LJI17:LJL17"/>
    <mergeCell ref="LJM17:LJP17"/>
    <mergeCell ref="LJQ17:LJT17"/>
    <mergeCell ref="LJU17:LJX17"/>
    <mergeCell ref="LIK17:LIN17"/>
    <mergeCell ref="LIO17:LIR17"/>
    <mergeCell ref="LIS17:LIV17"/>
    <mergeCell ref="LIW17:LIZ17"/>
    <mergeCell ref="LJA17:LJD17"/>
    <mergeCell ref="LSK17:LSN17"/>
    <mergeCell ref="LSO17:LSR17"/>
    <mergeCell ref="LSS17:LSV17"/>
    <mergeCell ref="LSW17:LSZ17"/>
    <mergeCell ref="LTA17:LTD17"/>
    <mergeCell ref="LRQ17:LRT17"/>
    <mergeCell ref="LRU17:LRX17"/>
    <mergeCell ref="LRY17:LSB17"/>
    <mergeCell ref="LSC17:LSF17"/>
    <mergeCell ref="LSG17:LSJ17"/>
    <mergeCell ref="LQW17:LQZ17"/>
    <mergeCell ref="LRA17:LRD17"/>
    <mergeCell ref="LRE17:LRH17"/>
    <mergeCell ref="LRI17:LRL17"/>
    <mergeCell ref="LRM17:LRP17"/>
    <mergeCell ref="LQC17:LQF17"/>
    <mergeCell ref="LQG17:LQJ17"/>
    <mergeCell ref="LQK17:LQN17"/>
    <mergeCell ref="LQO17:LQR17"/>
    <mergeCell ref="LQS17:LQV17"/>
    <mergeCell ref="LPI17:LPL17"/>
    <mergeCell ref="LPM17:LPP17"/>
    <mergeCell ref="LPQ17:LPT17"/>
    <mergeCell ref="LPU17:LPX17"/>
    <mergeCell ref="LPY17:LQB17"/>
    <mergeCell ref="LOO17:LOR17"/>
    <mergeCell ref="LOS17:LOV17"/>
    <mergeCell ref="LOW17:LOZ17"/>
    <mergeCell ref="LPA17:LPD17"/>
    <mergeCell ref="LPE17:LPH17"/>
    <mergeCell ref="LNU17:LNX17"/>
    <mergeCell ref="LNY17:LOB17"/>
    <mergeCell ref="LOC17:LOF17"/>
    <mergeCell ref="LOG17:LOJ17"/>
    <mergeCell ref="LOK17:LON17"/>
    <mergeCell ref="LXU17:LXX17"/>
    <mergeCell ref="LXY17:LYB17"/>
    <mergeCell ref="LYC17:LYF17"/>
    <mergeCell ref="LYG17:LYJ17"/>
    <mergeCell ref="LYK17:LYN17"/>
    <mergeCell ref="LXA17:LXD17"/>
    <mergeCell ref="LXE17:LXH17"/>
    <mergeCell ref="LXI17:LXL17"/>
    <mergeCell ref="LXM17:LXP17"/>
    <mergeCell ref="LXQ17:LXT17"/>
    <mergeCell ref="LWG17:LWJ17"/>
    <mergeCell ref="LWK17:LWN17"/>
    <mergeCell ref="LWO17:LWR17"/>
    <mergeCell ref="LWS17:LWV17"/>
    <mergeCell ref="LWW17:LWZ17"/>
    <mergeCell ref="LVM17:LVP17"/>
    <mergeCell ref="LVQ17:LVT17"/>
    <mergeCell ref="LVU17:LVX17"/>
    <mergeCell ref="LVY17:LWB17"/>
    <mergeCell ref="LWC17:LWF17"/>
    <mergeCell ref="LUS17:LUV17"/>
    <mergeCell ref="LUW17:LUZ17"/>
    <mergeCell ref="LVA17:LVD17"/>
    <mergeCell ref="LVE17:LVH17"/>
    <mergeCell ref="LVI17:LVL17"/>
    <mergeCell ref="LTY17:LUB17"/>
    <mergeCell ref="LUC17:LUF17"/>
    <mergeCell ref="LUG17:LUJ17"/>
    <mergeCell ref="LUK17:LUN17"/>
    <mergeCell ref="LUO17:LUR17"/>
    <mergeCell ref="LTE17:LTH17"/>
    <mergeCell ref="LTI17:LTL17"/>
    <mergeCell ref="LTM17:LTP17"/>
    <mergeCell ref="LTQ17:LTT17"/>
    <mergeCell ref="LTU17:LTX17"/>
    <mergeCell ref="MDE17:MDH17"/>
    <mergeCell ref="MDI17:MDL17"/>
    <mergeCell ref="MDM17:MDP17"/>
    <mergeCell ref="MDQ17:MDT17"/>
    <mergeCell ref="MDU17:MDX17"/>
    <mergeCell ref="MCK17:MCN17"/>
    <mergeCell ref="MCO17:MCR17"/>
    <mergeCell ref="MCS17:MCV17"/>
    <mergeCell ref="MCW17:MCZ17"/>
    <mergeCell ref="MDA17:MDD17"/>
    <mergeCell ref="MBQ17:MBT17"/>
    <mergeCell ref="MBU17:MBX17"/>
    <mergeCell ref="MBY17:MCB17"/>
    <mergeCell ref="MCC17:MCF17"/>
    <mergeCell ref="MCG17:MCJ17"/>
    <mergeCell ref="MAW17:MAZ17"/>
    <mergeCell ref="MBA17:MBD17"/>
    <mergeCell ref="MBE17:MBH17"/>
    <mergeCell ref="MBI17:MBL17"/>
    <mergeCell ref="MBM17:MBP17"/>
    <mergeCell ref="MAC17:MAF17"/>
    <mergeCell ref="MAG17:MAJ17"/>
    <mergeCell ref="MAK17:MAN17"/>
    <mergeCell ref="MAO17:MAR17"/>
    <mergeCell ref="MAS17:MAV17"/>
    <mergeCell ref="LZI17:LZL17"/>
    <mergeCell ref="LZM17:LZP17"/>
    <mergeCell ref="LZQ17:LZT17"/>
    <mergeCell ref="LZU17:LZX17"/>
    <mergeCell ref="LZY17:MAB17"/>
    <mergeCell ref="LYO17:LYR17"/>
    <mergeCell ref="LYS17:LYV17"/>
    <mergeCell ref="LYW17:LYZ17"/>
    <mergeCell ref="LZA17:LZD17"/>
    <mergeCell ref="LZE17:LZH17"/>
    <mergeCell ref="MIO17:MIR17"/>
    <mergeCell ref="MIS17:MIV17"/>
    <mergeCell ref="MIW17:MIZ17"/>
    <mergeCell ref="MJA17:MJD17"/>
    <mergeCell ref="MJE17:MJH17"/>
    <mergeCell ref="MHU17:MHX17"/>
    <mergeCell ref="MHY17:MIB17"/>
    <mergeCell ref="MIC17:MIF17"/>
    <mergeCell ref="MIG17:MIJ17"/>
    <mergeCell ref="MIK17:MIN17"/>
    <mergeCell ref="MHA17:MHD17"/>
    <mergeCell ref="MHE17:MHH17"/>
    <mergeCell ref="MHI17:MHL17"/>
    <mergeCell ref="MHM17:MHP17"/>
    <mergeCell ref="MHQ17:MHT17"/>
    <mergeCell ref="MGG17:MGJ17"/>
    <mergeCell ref="MGK17:MGN17"/>
    <mergeCell ref="MGO17:MGR17"/>
    <mergeCell ref="MGS17:MGV17"/>
    <mergeCell ref="MGW17:MGZ17"/>
    <mergeCell ref="MFM17:MFP17"/>
    <mergeCell ref="MFQ17:MFT17"/>
    <mergeCell ref="MFU17:MFX17"/>
    <mergeCell ref="MFY17:MGB17"/>
    <mergeCell ref="MGC17:MGF17"/>
    <mergeCell ref="MES17:MEV17"/>
    <mergeCell ref="MEW17:MEZ17"/>
    <mergeCell ref="MFA17:MFD17"/>
    <mergeCell ref="MFE17:MFH17"/>
    <mergeCell ref="MFI17:MFL17"/>
    <mergeCell ref="MDY17:MEB17"/>
    <mergeCell ref="MEC17:MEF17"/>
    <mergeCell ref="MEG17:MEJ17"/>
    <mergeCell ref="MEK17:MEN17"/>
    <mergeCell ref="MEO17:MER17"/>
    <mergeCell ref="MNY17:MOB17"/>
    <mergeCell ref="MOC17:MOF17"/>
    <mergeCell ref="MOG17:MOJ17"/>
    <mergeCell ref="MOK17:MON17"/>
    <mergeCell ref="MOO17:MOR17"/>
    <mergeCell ref="MNE17:MNH17"/>
    <mergeCell ref="MNI17:MNL17"/>
    <mergeCell ref="MNM17:MNP17"/>
    <mergeCell ref="MNQ17:MNT17"/>
    <mergeCell ref="MNU17:MNX17"/>
    <mergeCell ref="MMK17:MMN17"/>
    <mergeCell ref="MMO17:MMR17"/>
    <mergeCell ref="MMS17:MMV17"/>
    <mergeCell ref="MMW17:MMZ17"/>
    <mergeCell ref="MNA17:MND17"/>
    <mergeCell ref="MLQ17:MLT17"/>
    <mergeCell ref="MLU17:MLX17"/>
    <mergeCell ref="MLY17:MMB17"/>
    <mergeCell ref="MMC17:MMF17"/>
    <mergeCell ref="MMG17:MMJ17"/>
    <mergeCell ref="MKW17:MKZ17"/>
    <mergeCell ref="MLA17:MLD17"/>
    <mergeCell ref="MLE17:MLH17"/>
    <mergeCell ref="MLI17:MLL17"/>
    <mergeCell ref="MLM17:MLP17"/>
    <mergeCell ref="MKC17:MKF17"/>
    <mergeCell ref="MKG17:MKJ17"/>
    <mergeCell ref="MKK17:MKN17"/>
    <mergeCell ref="MKO17:MKR17"/>
    <mergeCell ref="MKS17:MKV17"/>
    <mergeCell ref="MJI17:MJL17"/>
    <mergeCell ref="MJM17:MJP17"/>
    <mergeCell ref="MJQ17:MJT17"/>
    <mergeCell ref="MJU17:MJX17"/>
    <mergeCell ref="MJY17:MKB17"/>
    <mergeCell ref="MTI17:MTL17"/>
    <mergeCell ref="MTM17:MTP17"/>
    <mergeCell ref="MTQ17:MTT17"/>
    <mergeCell ref="MTU17:MTX17"/>
    <mergeCell ref="MTY17:MUB17"/>
    <mergeCell ref="MSO17:MSR17"/>
    <mergeCell ref="MSS17:MSV17"/>
    <mergeCell ref="MSW17:MSZ17"/>
    <mergeCell ref="MTA17:MTD17"/>
    <mergeCell ref="MTE17:MTH17"/>
    <mergeCell ref="MRU17:MRX17"/>
    <mergeCell ref="MRY17:MSB17"/>
    <mergeCell ref="MSC17:MSF17"/>
    <mergeCell ref="MSG17:MSJ17"/>
    <mergeCell ref="MSK17:MSN17"/>
    <mergeCell ref="MRA17:MRD17"/>
    <mergeCell ref="MRE17:MRH17"/>
    <mergeCell ref="MRI17:MRL17"/>
    <mergeCell ref="MRM17:MRP17"/>
    <mergeCell ref="MRQ17:MRT17"/>
    <mergeCell ref="MQG17:MQJ17"/>
    <mergeCell ref="MQK17:MQN17"/>
    <mergeCell ref="MQO17:MQR17"/>
    <mergeCell ref="MQS17:MQV17"/>
    <mergeCell ref="MQW17:MQZ17"/>
    <mergeCell ref="MPM17:MPP17"/>
    <mergeCell ref="MPQ17:MPT17"/>
    <mergeCell ref="MPU17:MPX17"/>
    <mergeCell ref="MPY17:MQB17"/>
    <mergeCell ref="MQC17:MQF17"/>
    <mergeCell ref="MOS17:MOV17"/>
    <mergeCell ref="MOW17:MOZ17"/>
    <mergeCell ref="MPA17:MPD17"/>
    <mergeCell ref="MPE17:MPH17"/>
    <mergeCell ref="MPI17:MPL17"/>
    <mergeCell ref="MYS17:MYV17"/>
    <mergeCell ref="MYW17:MYZ17"/>
    <mergeCell ref="MZA17:MZD17"/>
    <mergeCell ref="MZE17:MZH17"/>
    <mergeCell ref="MZI17:MZL17"/>
    <mergeCell ref="MXY17:MYB17"/>
    <mergeCell ref="MYC17:MYF17"/>
    <mergeCell ref="MYG17:MYJ17"/>
    <mergeCell ref="MYK17:MYN17"/>
    <mergeCell ref="MYO17:MYR17"/>
    <mergeCell ref="MXE17:MXH17"/>
    <mergeCell ref="MXI17:MXL17"/>
    <mergeCell ref="MXM17:MXP17"/>
    <mergeCell ref="MXQ17:MXT17"/>
    <mergeCell ref="MXU17:MXX17"/>
    <mergeCell ref="MWK17:MWN17"/>
    <mergeCell ref="MWO17:MWR17"/>
    <mergeCell ref="MWS17:MWV17"/>
    <mergeCell ref="MWW17:MWZ17"/>
    <mergeCell ref="MXA17:MXD17"/>
    <mergeCell ref="MVQ17:MVT17"/>
    <mergeCell ref="MVU17:MVX17"/>
    <mergeCell ref="MVY17:MWB17"/>
    <mergeCell ref="MWC17:MWF17"/>
    <mergeCell ref="MWG17:MWJ17"/>
    <mergeCell ref="MUW17:MUZ17"/>
    <mergeCell ref="MVA17:MVD17"/>
    <mergeCell ref="MVE17:MVH17"/>
    <mergeCell ref="MVI17:MVL17"/>
    <mergeCell ref="MVM17:MVP17"/>
    <mergeCell ref="MUC17:MUF17"/>
    <mergeCell ref="MUG17:MUJ17"/>
    <mergeCell ref="MUK17:MUN17"/>
    <mergeCell ref="MUO17:MUR17"/>
    <mergeCell ref="MUS17:MUV17"/>
    <mergeCell ref="NEC17:NEF17"/>
    <mergeCell ref="NEG17:NEJ17"/>
    <mergeCell ref="NEK17:NEN17"/>
    <mergeCell ref="NEO17:NER17"/>
    <mergeCell ref="NES17:NEV17"/>
    <mergeCell ref="NDI17:NDL17"/>
    <mergeCell ref="NDM17:NDP17"/>
    <mergeCell ref="NDQ17:NDT17"/>
    <mergeCell ref="NDU17:NDX17"/>
    <mergeCell ref="NDY17:NEB17"/>
    <mergeCell ref="NCO17:NCR17"/>
    <mergeCell ref="NCS17:NCV17"/>
    <mergeCell ref="NCW17:NCZ17"/>
    <mergeCell ref="NDA17:NDD17"/>
    <mergeCell ref="NDE17:NDH17"/>
    <mergeCell ref="NBU17:NBX17"/>
    <mergeCell ref="NBY17:NCB17"/>
    <mergeCell ref="NCC17:NCF17"/>
    <mergeCell ref="NCG17:NCJ17"/>
    <mergeCell ref="NCK17:NCN17"/>
    <mergeCell ref="NBA17:NBD17"/>
    <mergeCell ref="NBE17:NBH17"/>
    <mergeCell ref="NBI17:NBL17"/>
    <mergeCell ref="NBM17:NBP17"/>
    <mergeCell ref="NBQ17:NBT17"/>
    <mergeCell ref="NAG17:NAJ17"/>
    <mergeCell ref="NAK17:NAN17"/>
    <mergeCell ref="NAO17:NAR17"/>
    <mergeCell ref="NAS17:NAV17"/>
    <mergeCell ref="NAW17:NAZ17"/>
    <mergeCell ref="MZM17:MZP17"/>
    <mergeCell ref="MZQ17:MZT17"/>
    <mergeCell ref="MZU17:MZX17"/>
    <mergeCell ref="MZY17:NAB17"/>
    <mergeCell ref="NAC17:NAF17"/>
    <mergeCell ref="NJM17:NJP17"/>
    <mergeCell ref="NJQ17:NJT17"/>
    <mergeCell ref="NJU17:NJX17"/>
    <mergeCell ref="NJY17:NKB17"/>
    <mergeCell ref="NKC17:NKF17"/>
    <mergeCell ref="NIS17:NIV17"/>
    <mergeCell ref="NIW17:NIZ17"/>
    <mergeCell ref="NJA17:NJD17"/>
    <mergeCell ref="NJE17:NJH17"/>
    <mergeCell ref="NJI17:NJL17"/>
    <mergeCell ref="NHY17:NIB17"/>
    <mergeCell ref="NIC17:NIF17"/>
    <mergeCell ref="NIG17:NIJ17"/>
    <mergeCell ref="NIK17:NIN17"/>
    <mergeCell ref="NIO17:NIR17"/>
    <mergeCell ref="NHE17:NHH17"/>
    <mergeCell ref="NHI17:NHL17"/>
    <mergeCell ref="NHM17:NHP17"/>
    <mergeCell ref="NHQ17:NHT17"/>
    <mergeCell ref="NHU17:NHX17"/>
    <mergeCell ref="NGK17:NGN17"/>
    <mergeCell ref="NGO17:NGR17"/>
    <mergeCell ref="NGS17:NGV17"/>
    <mergeCell ref="NGW17:NGZ17"/>
    <mergeCell ref="NHA17:NHD17"/>
    <mergeCell ref="NFQ17:NFT17"/>
    <mergeCell ref="NFU17:NFX17"/>
    <mergeCell ref="NFY17:NGB17"/>
    <mergeCell ref="NGC17:NGF17"/>
    <mergeCell ref="NGG17:NGJ17"/>
    <mergeCell ref="NEW17:NEZ17"/>
    <mergeCell ref="NFA17:NFD17"/>
    <mergeCell ref="NFE17:NFH17"/>
    <mergeCell ref="NFI17:NFL17"/>
    <mergeCell ref="NFM17:NFP17"/>
    <mergeCell ref="NOW17:NOZ17"/>
    <mergeCell ref="NPA17:NPD17"/>
    <mergeCell ref="NPE17:NPH17"/>
    <mergeCell ref="NPI17:NPL17"/>
    <mergeCell ref="NPM17:NPP17"/>
    <mergeCell ref="NOC17:NOF17"/>
    <mergeCell ref="NOG17:NOJ17"/>
    <mergeCell ref="NOK17:NON17"/>
    <mergeCell ref="NOO17:NOR17"/>
    <mergeCell ref="NOS17:NOV17"/>
    <mergeCell ref="NNI17:NNL17"/>
    <mergeCell ref="NNM17:NNP17"/>
    <mergeCell ref="NNQ17:NNT17"/>
    <mergeCell ref="NNU17:NNX17"/>
    <mergeCell ref="NNY17:NOB17"/>
    <mergeCell ref="NMO17:NMR17"/>
    <mergeCell ref="NMS17:NMV17"/>
    <mergeCell ref="NMW17:NMZ17"/>
    <mergeCell ref="NNA17:NND17"/>
    <mergeCell ref="NNE17:NNH17"/>
    <mergeCell ref="NLU17:NLX17"/>
    <mergeCell ref="NLY17:NMB17"/>
    <mergeCell ref="NMC17:NMF17"/>
    <mergeCell ref="NMG17:NMJ17"/>
    <mergeCell ref="NMK17:NMN17"/>
    <mergeCell ref="NLA17:NLD17"/>
    <mergeCell ref="NLE17:NLH17"/>
    <mergeCell ref="NLI17:NLL17"/>
    <mergeCell ref="NLM17:NLP17"/>
    <mergeCell ref="NLQ17:NLT17"/>
    <mergeCell ref="NKG17:NKJ17"/>
    <mergeCell ref="NKK17:NKN17"/>
    <mergeCell ref="NKO17:NKR17"/>
    <mergeCell ref="NKS17:NKV17"/>
    <mergeCell ref="NKW17:NKZ17"/>
    <mergeCell ref="NUG17:NUJ17"/>
    <mergeCell ref="NUK17:NUN17"/>
    <mergeCell ref="NUO17:NUR17"/>
    <mergeCell ref="NUS17:NUV17"/>
    <mergeCell ref="NUW17:NUZ17"/>
    <mergeCell ref="NTM17:NTP17"/>
    <mergeCell ref="NTQ17:NTT17"/>
    <mergeCell ref="NTU17:NTX17"/>
    <mergeCell ref="NTY17:NUB17"/>
    <mergeCell ref="NUC17:NUF17"/>
    <mergeCell ref="NSS17:NSV17"/>
    <mergeCell ref="NSW17:NSZ17"/>
    <mergeCell ref="NTA17:NTD17"/>
    <mergeCell ref="NTE17:NTH17"/>
    <mergeCell ref="NTI17:NTL17"/>
    <mergeCell ref="NRY17:NSB17"/>
    <mergeCell ref="NSC17:NSF17"/>
    <mergeCell ref="NSG17:NSJ17"/>
    <mergeCell ref="NSK17:NSN17"/>
    <mergeCell ref="NSO17:NSR17"/>
    <mergeCell ref="NRE17:NRH17"/>
    <mergeCell ref="NRI17:NRL17"/>
    <mergeCell ref="NRM17:NRP17"/>
    <mergeCell ref="NRQ17:NRT17"/>
    <mergeCell ref="NRU17:NRX17"/>
    <mergeCell ref="NQK17:NQN17"/>
    <mergeCell ref="NQO17:NQR17"/>
    <mergeCell ref="NQS17:NQV17"/>
    <mergeCell ref="NQW17:NQZ17"/>
    <mergeCell ref="NRA17:NRD17"/>
    <mergeCell ref="NPQ17:NPT17"/>
    <mergeCell ref="NPU17:NPX17"/>
    <mergeCell ref="NPY17:NQB17"/>
    <mergeCell ref="NQC17:NQF17"/>
    <mergeCell ref="NQG17:NQJ17"/>
    <mergeCell ref="NZQ17:NZT17"/>
    <mergeCell ref="NZU17:NZX17"/>
    <mergeCell ref="NZY17:OAB17"/>
    <mergeCell ref="OAC17:OAF17"/>
    <mergeCell ref="OAG17:OAJ17"/>
    <mergeCell ref="NYW17:NYZ17"/>
    <mergeCell ref="NZA17:NZD17"/>
    <mergeCell ref="NZE17:NZH17"/>
    <mergeCell ref="NZI17:NZL17"/>
    <mergeCell ref="NZM17:NZP17"/>
    <mergeCell ref="NYC17:NYF17"/>
    <mergeCell ref="NYG17:NYJ17"/>
    <mergeCell ref="NYK17:NYN17"/>
    <mergeCell ref="NYO17:NYR17"/>
    <mergeCell ref="NYS17:NYV17"/>
    <mergeCell ref="NXI17:NXL17"/>
    <mergeCell ref="NXM17:NXP17"/>
    <mergeCell ref="NXQ17:NXT17"/>
    <mergeCell ref="NXU17:NXX17"/>
    <mergeCell ref="NXY17:NYB17"/>
    <mergeCell ref="NWO17:NWR17"/>
    <mergeCell ref="NWS17:NWV17"/>
    <mergeCell ref="NWW17:NWZ17"/>
    <mergeCell ref="NXA17:NXD17"/>
    <mergeCell ref="NXE17:NXH17"/>
    <mergeCell ref="NVU17:NVX17"/>
    <mergeCell ref="NVY17:NWB17"/>
    <mergeCell ref="NWC17:NWF17"/>
    <mergeCell ref="NWG17:NWJ17"/>
    <mergeCell ref="NWK17:NWN17"/>
    <mergeCell ref="NVA17:NVD17"/>
    <mergeCell ref="NVE17:NVH17"/>
    <mergeCell ref="NVI17:NVL17"/>
    <mergeCell ref="NVM17:NVP17"/>
    <mergeCell ref="NVQ17:NVT17"/>
    <mergeCell ref="OFA17:OFD17"/>
    <mergeCell ref="OFE17:OFH17"/>
    <mergeCell ref="OFI17:OFL17"/>
    <mergeCell ref="OFM17:OFP17"/>
    <mergeCell ref="OFQ17:OFT17"/>
    <mergeCell ref="OEG17:OEJ17"/>
    <mergeCell ref="OEK17:OEN17"/>
    <mergeCell ref="OEO17:OER17"/>
    <mergeCell ref="OES17:OEV17"/>
    <mergeCell ref="OEW17:OEZ17"/>
    <mergeCell ref="ODM17:ODP17"/>
    <mergeCell ref="ODQ17:ODT17"/>
    <mergeCell ref="ODU17:ODX17"/>
    <mergeCell ref="ODY17:OEB17"/>
    <mergeCell ref="OEC17:OEF17"/>
    <mergeCell ref="OCS17:OCV17"/>
    <mergeCell ref="OCW17:OCZ17"/>
    <mergeCell ref="ODA17:ODD17"/>
    <mergeCell ref="ODE17:ODH17"/>
    <mergeCell ref="ODI17:ODL17"/>
    <mergeCell ref="OBY17:OCB17"/>
    <mergeCell ref="OCC17:OCF17"/>
    <mergeCell ref="OCG17:OCJ17"/>
    <mergeCell ref="OCK17:OCN17"/>
    <mergeCell ref="OCO17:OCR17"/>
    <mergeCell ref="OBE17:OBH17"/>
    <mergeCell ref="OBI17:OBL17"/>
    <mergeCell ref="OBM17:OBP17"/>
    <mergeCell ref="OBQ17:OBT17"/>
    <mergeCell ref="OBU17:OBX17"/>
    <mergeCell ref="OAK17:OAN17"/>
    <mergeCell ref="OAO17:OAR17"/>
    <mergeCell ref="OAS17:OAV17"/>
    <mergeCell ref="OAW17:OAZ17"/>
    <mergeCell ref="OBA17:OBD17"/>
    <mergeCell ref="OKK17:OKN17"/>
    <mergeCell ref="OKO17:OKR17"/>
    <mergeCell ref="OKS17:OKV17"/>
    <mergeCell ref="OKW17:OKZ17"/>
    <mergeCell ref="OLA17:OLD17"/>
    <mergeCell ref="OJQ17:OJT17"/>
    <mergeCell ref="OJU17:OJX17"/>
    <mergeCell ref="OJY17:OKB17"/>
    <mergeCell ref="OKC17:OKF17"/>
    <mergeCell ref="OKG17:OKJ17"/>
    <mergeCell ref="OIW17:OIZ17"/>
    <mergeCell ref="OJA17:OJD17"/>
    <mergeCell ref="OJE17:OJH17"/>
    <mergeCell ref="OJI17:OJL17"/>
    <mergeCell ref="OJM17:OJP17"/>
    <mergeCell ref="OIC17:OIF17"/>
    <mergeCell ref="OIG17:OIJ17"/>
    <mergeCell ref="OIK17:OIN17"/>
    <mergeCell ref="OIO17:OIR17"/>
    <mergeCell ref="OIS17:OIV17"/>
    <mergeCell ref="OHI17:OHL17"/>
    <mergeCell ref="OHM17:OHP17"/>
    <mergeCell ref="OHQ17:OHT17"/>
    <mergeCell ref="OHU17:OHX17"/>
    <mergeCell ref="OHY17:OIB17"/>
    <mergeCell ref="OGO17:OGR17"/>
    <mergeCell ref="OGS17:OGV17"/>
    <mergeCell ref="OGW17:OGZ17"/>
    <mergeCell ref="OHA17:OHD17"/>
    <mergeCell ref="OHE17:OHH17"/>
    <mergeCell ref="OFU17:OFX17"/>
    <mergeCell ref="OFY17:OGB17"/>
    <mergeCell ref="OGC17:OGF17"/>
    <mergeCell ref="OGG17:OGJ17"/>
    <mergeCell ref="OGK17:OGN17"/>
    <mergeCell ref="OPU17:OPX17"/>
    <mergeCell ref="OPY17:OQB17"/>
    <mergeCell ref="OQC17:OQF17"/>
    <mergeCell ref="OQG17:OQJ17"/>
    <mergeCell ref="OQK17:OQN17"/>
    <mergeCell ref="OPA17:OPD17"/>
    <mergeCell ref="OPE17:OPH17"/>
    <mergeCell ref="OPI17:OPL17"/>
    <mergeCell ref="OPM17:OPP17"/>
    <mergeCell ref="OPQ17:OPT17"/>
    <mergeCell ref="OOG17:OOJ17"/>
    <mergeCell ref="OOK17:OON17"/>
    <mergeCell ref="OOO17:OOR17"/>
    <mergeCell ref="OOS17:OOV17"/>
    <mergeCell ref="OOW17:OOZ17"/>
    <mergeCell ref="ONM17:ONP17"/>
    <mergeCell ref="ONQ17:ONT17"/>
    <mergeCell ref="ONU17:ONX17"/>
    <mergeCell ref="ONY17:OOB17"/>
    <mergeCell ref="OOC17:OOF17"/>
    <mergeCell ref="OMS17:OMV17"/>
    <mergeCell ref="OMW17:OMZ17"/>
    <mergeCell ref="ONA17:OND17"/>
    <mergeCell ref="ONE17:ONH17"/>
    <mergeCell ref="ONI17:ONL17"/>
    <mergeCell ref="OLY17:OMB17"/>
    <mergeCell ref="OMC17:OMF17"/>
    <mergeCell ref="OMG17:OMJ17"/>
    <mergeCell ref="OMK17:OMN17"/>
    <mergeCell ref="OMO17:OMR17"/>
    <mergeCell ref="OLE17:OLH17"/>
    <mergeCell ref="OLI17:OLL17"/>
    <mergeCell ref="OLM17:OLP17"/>
    <mergeCell ref="OLQ17:OLT17"/>
    <mergeCell ref="OLU17:OLX17"/>
    <mergeCell ref="OVE17:OVH17"/>
    <mergeCell ref="OVI17:OVL17"/>
    <mergeCell ref="OVM17:OVP17"/>
    <mergeCell ref="OVQ17:OVT17"/>
    <mergeCell ref="OVU17:OVX17"/>
    <mergeCell ref="OUK17:OUN17"/>
    <mergeCell ref="OUO17:OUR17"/>
    <mergeCell ref="OUS17:OUV17"/>
    <mergeCell ref="OUW17:OUZ17"/>
    <mergeCell ref="OVA17:OVD17"/>
    <mergeCell ref="OTQ17:OTT17"/>
    <mergeCell ref="OTU17:OTX17"/>
    <mergeCell ref="OTY17:OUB17"/>
    <mergeCell ref="OUC17:OUF17"/>
    <mergeCell ref="OUG17:OUJ17"/>
    <mergeCell ref="OSW17:OSZ17"/>
    <mergeCell ref="OTA17:OTD17"/>
    <mergeCell ref="OTE17:OTH17"/>
    <mergeCell ref="OTI17:OTL17"/>
    <mergeCell ref="OTM17:OTP17"/>
    <mergeCell ref="OSC17:OSF17"/>
    <mergeCell ref="OSG17:OSJ17"/>
    <mergeCell ref="OSK17:OSN17"/>
    <mergeCell ref="OSO17:OSR17"/>
    <mergeCell ref="OSS17:OSV17"/>
    <mergeCell ref="ORI17:ORL17"/>
    <mergeCell ref="ORM17:ORP17"/>
    <mergeCell ref="ORQ17:ORT17"/>
    <mergeCell ref="ORU17:ORX17"/>
    <mergeCell ref="ORY17:OSB17"/>
    <mergeCell ref="OQO17:OQR17"/>
    <mergeCell ref="OQS17:OQV17"/>
    <mergeCell ref="OQW17:OQZ17"/>
    <mergeCell ref="ORA17:ORD17"/>
    <mergeCell ref="ORE17:ORH17"/>
    <mergeCell ref="PAO17:PAR17"/>
    <mergeCell ref="PAS17:PAV17"/>
    <mergeCell ref="PAW17:PAZ17"/>
    <mergeCell ref="PBA17:PBD17"/>
    <mergeCell ref="PBE17:PBH17"/>
    <mergeCell ref="OZU17:OZX17"/>
    <mergeCell ref="OZY17:PAB17"/>
    <mergeCell ref="PAC17:PAF17"/>
    <mergeCell ref="PAG17:PAJ17"/>
    <mergeCell ref="PAK17:PAN17"/>
    <mergeCell ref="OZA17:OZD17"/>
    <mergeCell ref="OZE17:OZH17"/>
    <mergeCell ref="OZI17:OZL17"/>
    <mergeCell ref="OZM17:OZP17"/>
    <mergeCell ref="OZQ17:OZT17"/>
    <mergeCell ref="OYG17:OYJ17"/>
    <mergeCell ref="OYK17:OYN17"/>
    <mergeCell ref="OYO17:OYR17"/>
    <mergeCell ref="OYS17:OYV17"/>
    <mergeCell ref="OYW17:OYZ17"/>
    <mergeCell ref="OXM17:OXP17"/>
    <mergeCell ref="OXQ17:OXT17"/>
    <mergeCell ref="OXU17:OXX17"/>
    <mergeCell ref="OXY17:OYB17"/>
    <mergeCell ref="OYC17:OYF17"/>
    <mergeCell ref="OWS17:OWV17"/>
    <mergeCell ref="OWW17:OWZ17"/>
    <mergeCell ref="OXA17:OXD17"/>
    <mergeCell ref="OXE17:OXH17"/>
    <mergeCell ref="OXI17:OXL17"/>
    <mergeCell ref="OVY17:OWB17"/>
    <mergeCell ref="OWC17:OWF17"/>
    <mergeCell ref="OWG17:OWJ17"/>
    <mergeCell ref="OWK17:OWN17"/>
    <mergeCell ref="OWO17:OWR17"/>
    <mergeCell ref="PFY17:PGB17"/>
    <mergeCell ref="PGC17:PGF17"/>
    <mergeCell ref="PGG17:PGJ17"/>
    <mergeCell ref="PGK17:PGN17"/>
    <mergeCell ref="PGO17:PGR17"/>
    <mergeCell ref="PFE17:PFH17"/>
    <mergeCell ref="PFI17:PFL17"/>
    <mergeCell ref="PFM17:PFP17"/>
    <mergeCell ref="PFQ17:PFT17"/>
    <mergeCell ref="PFU17:PFX17"/>
    <mergeCell ref="PEK17:PEN17"/>
    <mergeCell ref="PEO17:PER17"/>
    <mergeCell ref="PES17:PEV17"/>
    <mergeCell ref="PEW17:PEZ17"/>
    <mergeCell ref="PFA17:PFD17"/>
    <mergeCell ref="PDQ17:PDT17"/>
    <mergeCell ref="PDU17:PDX17"/>
    <mergeCell ref="PDY17:PEB17"/>
    <mergeCell ref="PEC17:PEF17"/>
    <mergeCell ref="PEG17:PEJ17"/>
    <mergeCell ref="PCW17:PCZ17"/>
    <mergeCell ref="PDA17:PDD17"/>
    <mergeCell ref="PDE17:PDH17"/>
    <mergeCell ref="PDI17:PDL17"/>
    <mergeCell ref="PDM17:PDP17"/>
    <mergeCell ref="PCC17:PCF17"/>
    <mergeCell ref="PCG17:PCJ17"/>
    <mergeCell ref="PCK17:PCN17"/>
    <mergeCell ref="PCO17:PCR17"/>
    <mergeCell ref="PCS17:PCV17"/>
    <mergeCell ref="PBI17:PBL17"/>
    <mergeCell ref="PBM17:PBP17"/>
    <mergeCell ref="PBQ17:PBT17"/>
    <mergeCell ref="PBU17:PBX17"/>
    <mergeCell ref="PBY17:PCB17"/>
    <mergeCell ref="PLI17:PLL17"/>
    <mergeCell ref="PLM17:PLP17"/>
    <mergeCell ref="PLQ17:PLT17"/>
    <mergeCell ref="PLU17:PLX17"/>
    <mergeCell ref="PLY17:PMB17"/>
    <mergeCell ref="PKO17:PKR17"/>
    <mergeCell ref="PKS17:PKV17"/>
    <mergeCell ref="PKW17:PKZ17"/>
    <mergeCell ref="PLA17:PLD17"/>
    <mergeCell ref="PLE17:PLH17"/>
    <mergeCell ref="PJU17:PJX17"/>
    <mergeCell ref="PJY17:PKB17"/>
    <mergeCell ref="PKC17:PKF17"/>
    <mergeCell ref="PKG17:PKJ17"/>
    <mergeCell ref="PKK17:PKN17"/>
    <mergeCell ref="PJA17:PJD17"/>
    <mergeCell ref="PJE17:PJH17"/>
    <mergeCell ref="PJI17:PJL17"/>
    <mergeCell ref="PJM17:PJP17"/>
    <mergeCell ref="PJQ17:PJT17"/>
    <mergeCell ref="PIG17:PIJ17"/>
    <mergeCell ref="PIK17:PIN17"/>
    <mergeCell ref="PIO17:PIR17"/>
    <mergeCell ref="PIS17:PIV17"/>
    <mergeCell ref="PIW17:PIZ17"/>
    <mergeCell ref="PHM17:PHP17"/>
    <mergeCell ref="PHQ17:PHT17"/>
    <mergeCell ref="PHU17:PHX17"/>
    <mergeCell ref="PHY17:PIB17"/>
    <mergeCell ref="PIC17:PIF17"/>
    <mergeCell ref="PGS17:PGV17"/>
    <mergeCell ref="PGW17:PGZ17"/>
    <mergeCell ref="PHA17:PHD17"/>
    <mergeCell ref="PHE17:PHH17"/>
    <mergeCell ref="PHI17:PHL17"/>
    <mergeCell ref="PQS17:PQV17"/>
    <mergeCell ref="PQW17:PQZ17"/>
    <mergeCell ref="PRA17:PRD17"/>
    <mergeCell ref="PRE17:PRH17"/>
    <mergeCell ref="PRI17:PRL17"/>
    <mergeCell ref="PPY17:PQB17"/>
    <mergeCell ref="PQC17:PQF17"/>
    <mergeCell ref="PQG17:PQJ17"/>
    <mergeCell ref="PQK17:PQN17"/>
    <mergeCell ref="PQO17:PQR17"/>
    <mergeCell ref="PPE17:PPH17"/>
    <mergeCell ref="PPI17:PPL17"/>
    <mergeCell ref="PPM17:PPP17"/>
    <mergeCell ref="PPQ17:PPT17"/>
    <mergeCell ref="PPU17:PPX17"/>
    <mergeCell ref="POK17:PON17"/>
    <mergeCell ref="POO17:POR17"/>
    <mergeCell ref="POS17:POV17"/>
    <mergeCell ref="POW17:POZ17"/>
    <mergeCell ref="PPA17:PPD17"/>
    <mergeCell ref="PNQ17:PNT17"/>
    <mergeCell ref="PNU17:PNX17"/>
    <mergeCell ref="PNY17:POB17"/>
    <mergeCell ref="POC17:POF17"/>
    <mergeCell ref="POG17:POJ17"/>
    <mergeCell ref="PMW17:PMZ17"/>
    <mergeCell ref="PNA17:PND17"/>
    <mergeCell ref="PNE17:PNH17"/>
    <mergeCell ref="PNI17:PNL17"/>
    <mergeCell ref="PNM17:PNP17"/>
    <mergeCell ref="PMC17:PMF17"/>
    <mergeCell ref="PMG17:PMJ17"/>
    <mergeCell ref="PMK17:PMN17"/>
    <mergeCell ref="PMO17:PMR17"/>
    <mergeCell ref="PMS17:PMV17"/>
    <mergeCell ref="PWC17:PWF17"/>
    <mergeCell ref="PWG17:PWJ17"/>
    <mergeCell ref="PWK17:PWN17"/>
    <mergeCell ref="PWO17:PWR17"/>
    <mergeCell ref="PWS17:PWV17"/>
    <mergeCell ref="PVI17:PVL17"/>
    <mergeCell ref="PVM17:PVP17"/>
    <mergeCell ref="PVQ17:PVT17"/>
    <mergeCell ref="PVU17:PVX17"/>
    <mergeCell ref="PVY17:PWB17"/>
    <mergeCell ref="PUO17:PUR17"/>
    <mergeCell ref="PUS17:PUV17"/>
    <mergeCell ref="PUW17:PUZ17"/>
    <mergeCell ref="PVA17:PVD17"/>
    <mergeCell ref="PVE17:PVH17"/>
    <mergeCell ref="PTU17:PTX17"/>
    <mergeCell ref="PTY17:PUB17"/>
    <mergeCell ref="PUC17:PUF17"/>
    <mergeCell ref="PUG17:PUJ17"/>
    <mergeCell ref="PUK17:PUN17"/>
    <mergeCell ref="PTA17:PTD17"/>
    <mergeCell ref="PTE17:PTH17"/>
    <mergeCell ref="PTI17:PTL17"/>
    <mergeCell ref="PTM17:PTP17"/>
    <mergeCell ref="PTQ17:PTT17"/>
    <mergeCell ref="PSG17:PSJ17"/>
    <mergeCell ref="PSK17:PSN17"/>
    <mergeCell ref="PSO17:PSR17"/>
    <mergeCell ref="PSS17:PSV17"/>
    <mergeCell ref="PSW17:PSZ17"/>
    <mergeCell ref="PRM17:PRP17"/>
    <mergeCell ref="PRQ17:PRT17"/>
    <mergeCell ref="PRU17:PRX17"/>
    <mergeCell ref="PRY17:PSB17"/>
    <mergeCell ref="PSC17:PSF17"/>
    <mergeCell ref="QBM17:QBP17"/>
    <mergeCell ref="QBQ17:QBT17"/>
    <mergeCell ref="QBU17:QBX17"/>
    <mergeCell ref="QBY17:QCB17"/>
    <mergeCell ref="QCC17:QCF17"/>
    <mergeCell ref="QAS17:QAV17"/>
    <mergeCell ref="QAW17:QAZ17"/>
    <mergeCell ref="QBA17:QBD17"/>
    <mergeCell ref="QBE17:QBH17"/>
    <mergeCell ref="QBI17:QBL17"/>
    <mergeCell ref="PZY17:QAB17"/>
    <mergeCell ref="QAC17:QAF17"/>
    <mergeCell ref="QAG17:QAJ17"/>
    <mergeCell ref="QAK17:QAN17"/>
    <mergeCell ref="QAO17:QAR17"/>
    <mergeCell ref="PZE17:PZH17"/>
    <mergeCell ref="PZI17:PZL17"/>
    <mergeCell ref="PZM17:PZP17"/>
    <mergeCell ref="PZQ17:PZT17"/>
    <mergeCell ref="PZU17:PZX17"/>
    <mergeCell ref="PYK17:PYN17"/>
    <mergeCell ref="PYO17:PYR17"/>
    <mergeCell ref="PYS17:PYV17"/>
    <mergeCell ref="PYW17:PYZ17"/>
    <mergeCell ref="PZA17:PZD17"/>
    <mergeCell ref="PXQ17:PXT17"/>
    <mergeCell ref="PXU17:PXX17"/>
    <mergeCell ref="PXY17:PYB17"/>
    <mergeCell ref="PYC17:PYF17"/>
    <mergeCell ref="PYG17:PYJ17"/>
    <mergeCell ref="PWW17:PWZ17"/>
    <mergeCell ref="PXA17:PXD17"/>
    <mergeCell ref="PXE17:PXH17"/>
    <mergeCell ref="PXI17:PXL17"/>
    <mergeCell ref="PXM17:PXP17"/>
    <mergeCell ref="QGW17:QGZ17"/>
    <mergeCell ref="QHA17:QHD17"/>
    <mergeCell ref="QHE17:QHH17"/>
    <mergeCell ref="QHI17:QHL17"/>
    <mergeCell ref="QHM17:QHP17"/>
    <mergeCell ref="QGC17:QGF17"/>
    <mergeCell ref="QGG17:QGJ17"/>
    <mergeCell ref="QGK17:QGN17"/>
    <mergeCell ref="QGO17:QGR17"/>
    <mergeCell ref="QGS17:QGV17"/>
    <mergeCell ref="QFI17:QFL17"/>
    <mergeCell ref="QFM17:QFP17"/>
    <mergeCell ref="QFQ17:QFT17"/>
    <mergeCell ref="QFU17:QFX17"/>
    <mergeCell ref="QFY17:QGB17"/>
    <mergeCell ref="QEO17:QER17"/>
    <mergeCell ref="QES17:QEV17"/>
    <mergeCell ref="QEW17:QEZ17"/>
    <mergeCell ref="QFA17:QFD17"/>
    <mergeCell ref="QFE17:QFH17"/>
    <mergeCell ref="QDU17:QDX17"/>
    <mergeCell ref="QDY17:QEB17"/>
    <mergeCell ref="QEC17:QEF17"/>
    <mergeCell ref="QEG17:QEJ17"/>
    <mergeCell ref="QEK17:QEN17"/>
    <mergeCell ref="QDA17:QDD17"/>
    <mergeCell ref="QDE17:QDH17"/>
    <mergeCell ref="QDI17:QDL17"/>
    <mergeCell ref="QDM17:QDP17"/>
    <mergeCell ref="QDQ17:QDT17"/>
    <mergeCell ref="QCG17:QCJ17"/>
    <mergeCell ref="QCK17:QCN17"/>
    <mergeCell ref="QCO17:QCR17"/>
    <mergeCell ref="QCS17:QCV17"/>
    <mergeCell ref="QCW17:QCZ17"/>
    <mergeCell ref="QMG17:QMJ17"/>
    <mergeCell ref="QMK17:QMN17"/>
    <mergeCell ref="QMO17:QMR17"/>
    <mergeCell ref="QMS17:QMV17"/>
    <mergeCell ref="QMW17:QMZ17"/>
    <mergeCell ref="QLM17:QLP17"/>
    <mergeCell ref="QLQ17:QLT17"/>
    <mergeCell ref="QLU17:QLX17"/>
    <mergeCell ref="QLY17:QMB17"/>
    <mergeCell ref="QMC17:QMF17"/>
    <mergeCell ref="QKS17:QKV17"/>
    <mergeCell ref="QKW17:QKZ17"/>
    <mergeCell ref="QLA17:QLD17"/>
    <mergeCell ref="QLE17:QLH17"/>
    <mergeCell ref="QLI17:QLL17"/>
    <mergeCell ref="QJY17:QKB17"/>
    <mergeCell ref="QKC17:QKF17"/>
    <mergeCell ref="QKG17:QKJ17"/>
    <mergeCell ref="QKK17:QKN17"/>
    <mergeCell ref="QKO17:QKR17"/>
    <mergeCell ref="QJE17:QJH17"/>
    <mergeCell ref="QJI17:QJL17"/>
    <mergeCell ref="QJM17:QJP17"/>
    <mergeCell ref="QJQ17:QJT17"/>
    <mergeCell ref="QJU17:QJX17"/>
    <mergeCell ref="QIK17:QIN17"/>
    <mergeCell ref="QIO17:QIR17"/>
    <mergeCell ref="QIS17:QIV17"/>
    <mergeCell ref="QIW17:QIZ17"/>
    <mergeCell ref="QJA17:QJD17"/>
    <mergeCell ref="QHQ17:QHT17"/>
    <mergeCell ref="QHU17:QHX17"/>
    <mergeCell ref="QHY17:QIB17"/>
    <mergeCell ref="QIC17:QIF17"/>
    <mergeCell ref="QIG17:QIJ17"/>
    <mergeCell ref="QRQ17:QRT17"/>
    <mergeCell ref="QRU17:QRX17"/>
    <mergeCell ref="QRY17:QSB17"/>
    <mergeCell ref="QSC17:QSF17"/>
    <mergeCell ref="QSG17:QSJ17"/>
    <mergeCell ref="QQW17:QQZ17"/>
    <mergeCell ref="QRA17:QRD17"/>
    <mergeCell ref="QRE17:QRH17"/>
    <mergeCell ref="QRI17:QRL17"/>
    <mergeCell ref="QRM17:QRP17"/>
    <mergeCell ref="QQC17:QQF17"/>
    <mergeCell ref="QQG17:QQJ17"/>
    <mergeCell ref="QQK17:QQN17"/>
    <mergeCell ref="QQO17:QQR17"/>
    <mergeCell ref="QQS17:QQV17"/>
    <mergeCell ref="QPI17:QPL17"/>
    <mergeCell ref="QPM17:QPP17"/>
    <mergeCell ref="QPQ17:QPT17"/>
    <mergeCell ref="QPU17:QPX17"/>
    <mergeCell ref="QPY17:QQB17"/>
    <mergeCell ref="QOO17:QOR17"/>
    <mergeCell ref="QOS17:QOV17"/>
    <mergeCell ref="QOW17:QOZ17"/>
    <mergeCell ref="QPA17:QPD17"/>
    <mergeCell ref="QPE17:QPH17"/>
    <mergeCell ref="QNU17:QNX17"/>
    <mergeCell ref="QNY17:QOB17"/>
    <mergeCell ref="QOC17:QOF17"/>
    <mergeCell ref="QOG17:QOJ17"/>
    <mergeCell ref="QOK17:QON17"/>
    <mergeCell ref="QNA17:QND17"/>
    <mergeCell ref="QNE17:QNH17"/>
    <mergeCell ref="QNI17:QNL17"/>
    <mergeCell ref="QNM17:QNP17"/>
    <mergeCell ref="QNQ17:QNT17"/>
    <mergeCell ref="QXA17:QXD17"/>
    <mergeCell ref="QXE17:QXH17"/>
    <mergeCell ref="QXI17:QXL17"/>
    <mergeCell ref="QXM17:QXP17"/>
    <mergeCell ref="QXQ17:QXT17"/>
    <mergeCell ref="QWG17:QWJ17"/>
    <mergeCell ref="QWK17:QWN17"/>
    <mergeCell ref="QWO17:QWR17"/>
    <mergeCell ref="QWS17:QWV17"/>
    <mergeCell ref="QWW17:QWZ17"/>
    <mergeCell ref="QVM17:QVP17"/>
    <mergeCell ref="QVQ17:QVT17"/>
    <mergeCell ref="QVU17:QVX17"/>
    <mergeCell ref="QVY17:QWB17"/>
    <mergeCell ref="QWC17:QWF17"/>
    <mergeCell ref="QUS17:QUV17"/>
    <mergeCell ref="QUW17:QUZ17"/>
    <mergeCell ref="QVA17:QVD17"/>
    <mergeCell ref="QVE17:QVH17"/>
    <mergeCell ref="QVI17:QVL17"/>
    <mergeCell ref="QTY17:QUB17"/>
    <mergeCell ref="QUC17:QUF17"/>
    <mergeCell ref="QUG17:QUJ17"/>
    <mergeCell ref="QUK17:QUN17"/>
    <mergeCell ref="QUO17:QUR17"/>
    <mergeCell ref="QTE17:QTH17"/>
    <mergeCell ref="QTI17:QTL17"/>
    <mergeCell ref="QTM17:QTP17"/>
    <mergeCell ref="QTQ17:QTT17"/>
    <mergeCell ref="QTU17:QTX17"/>
    <mergeCell ref="QSK17:QSN17"/>
    <mergeCell ref="QSO17:QSR17"/>
    <mergeCell ref="QSS17:QSV17"/>
    <mergeCell ref="QSW17:QSZ17"/>
    <mergeCell ref="QTA17:QTD17"/>
    <mergeCell ref="RCK17:RCN17"/>
    <mergeCell ref="RCO17:RCR17"/>
    <mergeCell ref="RCS17:RCV17"/>
    <mergeCell ref="RCW17:RCZ17"/>
    <mergeCell ref="RDA17:RDD17"/>
    <mergeCell ref="RBQ17:RBT17"/>
    <mergeCell ref="RBU17:RBX17"/>
    <mergeCell ref="RBY17:RCB17"/>
    <mergeCell ref="RCC17:RCF17"/>
    <mergeCell ref="RCG17:RCJ17"/>
    <mergeCell ref="RAW17:RAZ17"/>
    <mergeCell ref="RBA17:RBD17"/>
    <mergeCell ref="RBE17:RBH17"/>
    <mergeCell ref="RBI17:RBL17"/>
    <mergeCell ref="RBM17:RBP17"/>
    <mergeCell ref="RAC17:RAF17"/>
    <mergeCell ref="RAG17:RAJ17"/>
    <mergeCell ref="RAK17:RAN17"/>
    <mergeCell ref="RAO17:RAR17"/>
    <mergeCell ref="RAS17:RAV17"/>
    <mergeCell ref="QZI17:QZL17"/>
    <mergeCell ref="QZM17:QZP17"/>
    <mergeCell ref="QZQ17:QZT17"/>
    <mergeCell ref="QZU17:QZX17"/>
    <mergeCell ref="QZY17:RAB17"/>
    <mergeCell ref="QYO17:QYR17"/>
    <mergeCell ref="QYS17:QYV17"/>
    <mergeCell ref="QYW17:QYZ17"/>
    <mergeCell ref="QZA17:QZD17"/>
    <mergeCell ref="QZE17:QZH17"/>
    <mergeCell ref="QXU17:QXX17"/>
    <mergeCell ref="QXY17:QYB17"/>
    <mergeCell ref="QYC17:QYF17"/>
    <mergeCell ref="QYG17:QYJ17"/>
    <mergeCell ref="QYK17:QYN17"/>
    <mergeCell ref="RHU17:RHX17"/>
    <mergeCell ref="RHY17:RIB17"/>
    <mergeCell ref="RIC17:RIF17"/>
    <mergeCell ref="RIG17:RIJ17"/>
    <mergeCell ref="RIK17:RIN17"/>
    <mergeCell ref="RHA17:RHD17"/>
    <mergeCell ref="RHE17:RHH17"/>
    <mergeCell ref="RHI17:RHL17"/>
    <mergeCell ref="RHM17:RHP17"/>
    <mergeCell ref="RHQ17:RHT17"/>
    <mergeCell ref="RGG17:RGJ17"/>
    <mergeCell ref="RGK17:RGN17"/>
    <mergeCell ref="RGO17:RGR17"/>
    <mergeCell ref="RGS17:RGV17"/>
    <mergeCell ref="RGW17:RGZ17"/>
    <mergeCell ref="RFM17:RFP17"/>
    <mergeCell ref="RFQ17:RFT17"/>
    <mergeCell ref="RFU17:RFX17"/>
    <mergeCell ref="RFY17:RGB17"/>
    <mergeCell ref="RGC17:RGF17"/>
    <mergeCell ref="RES17:REV17"/>
    <mergeCell ref="REW17:REZ17"/>
    <mergeCell ref="RFA17:RFD17"/>
    <mergeCell ref="RFE17:RFH17"/>
    <mergeCell ref="RFI17:RFL17"/>
    <mergeCell ref="RDY17:REB17"/>
    <mergeCell ref="REC17:REF17"/>
    <mergeCell ref="REG17:REJ17"/>
    <mergeCell ref="REK17:REN17"/>
    <mergeCell ref="REO17:RER17"/>
    <mergeCell ref="RDE17:RDH17"/>
    <mergeCell ref="RDI17:RDL17"/>
    <mergeCell ref="RDM17:RDP17"/>
    <mergeCell ref="RDQ17:RDT17"/>
    <mergeCell ref="RDU17:RDX17"/>
    <mergeCell ref="RNE17:RNH17"/>
    <mergeCell ref="RNI17:RNL17"/>
    <mergeCell ref="RNM17:RNP17"/>
    <mergeCell ref="RNQ17:RNT17"/>
    <mergeCell ref="RNU17:RNX17"/>
    <mergeCell ref="RMK17:RMN17"/>
    <mergeCell ref="RMO17:RMR17"/>
    <mergeCell ref="RMS17:RMV17"/>
    <mergeCell ref="RMW17:RMZ17"/>
    <mergeCell ref="RNA17:RND17"/>
    <mergeCell ref="RLQ17:RLT17"/>
    <mergeCell ref="RLU17:RLX17"/>
    <mergeCell ref="RLY17:RMB17"/>
    <mergeCell ref="RMC17:RMF17"/>
    <mergeCell ref="RMG17:RMJ17"/>
    <mergeCell ref="RKW17:RKZ17"/>
    <mergeCell ref="RLA17:RLD17"/>
    <mergeCell ref="RLE17:RLH17"/>
    <mergeCell ref="RLI17:RLL17"/>
    <mergeCell ref="RLM17:RLP17"/>
    <mergeCell ref="RKC17:RKF17"/>
    <mergeCell ref="RKG17:RKJ17"/>
    <mergeCell ref="RKK17:RKN17"/>
    <mergeCell ref="RKO17:RKR17"/>
    <mergeCell ref="RKS17:RKV17"/>
    <mergeCell ref="RJI17:RJL17"/>
    <mergeCell ref="RJM17:RJP17"/>
    <mergeCell ref="RJQ17:RJT17"/>
    <mergeCell ref="RJU17:RJX17"/>
    <mergeCell ref="RJY17:RKB17"/>
    <mergeCell ref="RIO17:RIR17"/>
    <mergeCell ref="RIS17:RIV17"/>
    <mergeCell ref="RIW17:RIZ17"/>
    <mergeCell ref="RJA17:RJD17"/>
    <mergeCell ref="RJE17:RJH17"/>
    <mergeCell ref="RSO17:RSR17"/>
    <mergeCell ref="RSS17:RSV17"/>
    <mergeCell ref="RSW17:RSZ17"/>
    <mergeCell ref="RTA17:RTD17"/>
    <mergeCell ref="RTE17:RTH17"/>
    <mergeCell ref="RRU17:RRX17"/>
    <mergeCell ref="RRY17:RSB17"/>
    <mergeCell ref="RSC17:RSF17"/>
    <mergeCell ref="RSG17:RSJ17"/>
    <mergeCell ref="RSK17:RSN17"/>
    <mergeCell ref="RRA17:RRD17"/>
    <mergeCell ref="RRE17:RRH17"/>
    <mergeCell ref="RRI17:RRL17"/>
    <mergeCell ref="RRM17:RRP17"/>
    <mergeCell ref="RRQ17:RRT17"/>
    <mergeCell ref="RQG17:RQJ17"/>
    <mergeCell ref="RQK17:RQN17"/>
    <mergeCell ref="RQO17:RQR17"/>
    <mergeCell ref="RQS17:RQV17"/>
    <mergeCell ref="RQW17:RQZ17"/>
    <mergeCell ref="RPM17:RPP17"/>
    <mergeCell ref="RPQ17:RPT17"/>
    <mergeCell ref="RPU17:RPX17"/>
    <mergeCell ref="RPY17:RQB17"/>
    <mergeCell ref="RQC17:RQF17"/>
    <mergeCell ref="ROS17:ROV17"/>
    <mergeCell ref="ROW17:ROZ17"/>
    <mergeCell ref="RPA17:RPD17"/>
    <mergeCell ref="RPE17:RPH17"/>
    <mergeCell ref="RPI17:RPL17"/>
    <mergeCell ref="RNY17:ROB17"/>
    <mergeCell ref="ROC17:ROF17"/>
    <mergeCell ref="ROG17:ROJ17"/>
    <mergeCell ref="ROK17:RON17"/>
    <mergeCell ref="ROO17:ROR17"/>
    <mergeCell ref="RXY17:RYB17"/>
    <mergeCell ref="RYC17:RYF17"/>
    <mergeCell ref="RYG17:RYJ17"/>
    <mergeCell ref="RYK17:RYN17"/>
    <mergeCell ref="RYO17:RYR17"/>
    <mergeCell ref="RXE17:RXH17"/>
    <mergeCell ref="RXI17:RXL17"/>
    <mergeCell ref="RXM17:RXP17"/>
    <mergeCell ref="RXQ17:RXT17"/>
    <mergeCell ref="RXU17:RXX17"/>
    <mergeCell ref="RWK17:RWN17"/>
    <mergeCell ref="RWO17:RWR17"/>
    <mergeCell ref="RWS17:RWV17"/>
    <mergeCell ref="RWW17:RWZ17"/>
    <mergeCell ref="RXA17:RXD17"/>
    <mergeCell ref="RVQ17:RVT17"/>
    <mergeCell ref="RVU17:RVX17"/>
    <mergeCell ref="RVY17:RWB17"/>
    <mergeCell ref="RWC17:RWF17"/>
    <mergeCell ref="RWG17:RWJ17"/>
    <mergeCell ref="RUW17:RUZ17"/>
    <mergeCell ref="RVA17:RVD17"/>
    <mergeCell ref="RVE17:RVH17"/>
    <mergeCell ref="RVI17:RVL17"/>
    <mergeCell ref="RVM17:RVP17"/>
    <mergeCell ref="RUC17:RUF17"/>
    <mergeCell ref="RUG17:RUJ17"/>
    <mergeCell ref="RUK17:RUN17"/>
    <mergeCell ref="RUO17:RUR17"/>
    <mergeCell ref="RUS17:RUV17"/>
    <mergeCell ref="RTI17:RTL17"/>
    <mergeCell ref="RTM17:RTP17"/>
    <mergeCell ref="RTQ17:RTT17"/>
    <mergeCell ref="RTU17:RTX17"/>
    <mergeCell ref="RTY17:RUB17"/>
    <mergeCell ref="SDI17:SDL17"/>
    <mergeCell ref="SDM17:SDP17"/>
    <mergeCell ref="SDQ17:SDT17"/>
    <mergeCell ref="SDU17:SDX17"/>
    <mergeCell ref="SDY17:SEB17"/>
    <mergeCell ref="SCO17:SCR17"/>
    <mergeCell ref="SCS17:SCV17"/>
    <mergeCell ref="SCW17:SCZ17"/>
    <mergeCell ref="SDA17:SDD17"/>
    <mergeCell ref="SDE17:SDH17"/>
    <mergeCell ref="SBU17:SBX17"/>
    <mergeCell ref="SBY17:SCB17"/>
    <mergeCell ref="SCC17:SCF17"/>
    <mergeCell ref="SCG17:SCJ17"/>
    <mergeCell ref="SCK17:SCN17"/>
    <mergeCell ref="SBA17:SBD17"/>
    <mergeCell ref="SBE17:SBH17"/>
    <mergeCell ref="SBI17:SBL17"/>
    <mergeCell ref="SBM17:SBP17"/>
    <mergeCell ref="SBQ17:SBT17"/>
    <mergeCell ref="SAG17:SAJ17"/>
    <mergeCell ref="SAK17:SAN17"/>
    <mergeCell ref="SAO17:SAR17"/>
    <mergeCell ref="SAS17:SAV17"/>
    <mergeCell ref="SAW17:SAZ17"/>
    <mergeCell ref="RZM17:RZP17"/>
    <mergeCell ref="RZQ17:RZT17"/>
    <mergeCell ref="RZU17:RZX17"/>
    <mergeCell ref="RZY17:SAB17"/>
    <mergeCell ref="SAC17:SAF17"/>
    <mergeCell ref="RYS17:RYV17"/>
    <mergeCell ref="RYW17:RYZ17"/>
    <mergeCell ref="RZA17:RZD17"/>
    <mergeCell ref="RZE17:RZH17"/>
    <mergeCell ref="RZI17:RZL17"/>
    <mergeCell ref="SIS17:SIV17"/>
    <mergeCell ref="SIW17:SIZ17"/>
    <mergeCell ref="SJA17:SJD17"/>
    <mergeCell ref="SJE17:SJH17"/>
    <mergeCell ref="SJI17:SJL17"/>
    <mergeCell ref="SHY17:SIB17"/>
    <mergeCell ref="SIC17:SIF17"/>
    <mergeCell ref="SIG17:SIJ17"/>
    <mergeCell ref="SIK17:SIN17"/>
    <mergeCell ref="SIO17:SIR17"/>
    <mergeCell ref="SHE17:SHH17"/>
    <mergeCell ref="SHI17:SHL17"/>
    <mergeCell ref="SHM17:SHP17"/>
    <mergeCell ref="SHQ17:SHT17"/>
    <mergeCell ref="SHU17:SHX17"/>
    <mergeCell ref="SGK17:SGN17"/>
    <mergeCell ref="SGO17:SGR17"/>
    <mergeCell ref="SGS17:SGV17"/>
    <mergeCell ref="SGW17:SGZ17"/>
    <mergeCell ref="SHA17:SHD17"/>
    <mergeCell ref="SFQ17:SFT17"/>
    <mergeCell ref="SFU17:SFX17"/>
    <mergeCell ref="SFY17:SGB17"/>
    <mergeCell ref="SGC17:SGF17"/>
    <mergeCell ref="SGG17:SGJ17"/>
    <mergeCell ref="SEW17:SEZ17"/>
    <mergeCell ref="SFA17:SFD17"/>
    <mergeCell ref="SFE17:SFH17"/>
    <mergeCell ref="SFI17:SFL17"/>
    <mergeCell ref="SFM17:SFP17"/>
    <mergeCell ref="SEC17:SEF17"/>
    <mergeCell ref="SEG17:SEJ17"/>
    <mergeCell ref="SEK17:SEN17"/>
    <mergeCell ref="SEO17:SER17"/>
    <mergeCell ref="SES17:SEV17"/>
    <mergeCell ref="SOC17:SOF17"/>
    <mergeCell ref="SOG17:SOJ17"/>
    <mergeCell ref="SOK17:SON17"/>
    <mergeCell ref="SOO17:SOR17"/>
    <mergeCell ref="SOS17:SOV17"/>
    <mergeCell ref="SNI17:SNL17"/>
    <mergeCell ref="SNM17:SNP17"/>
    <mergeCell ref="SNQ17:SNT17"/>
    <mergeCell ref="SNU17:SNX17"/>
    <mergeCell ref="SNY17:SOB17"/>
    <mergeCell ref="SMO17:SMR17"/>
    <mergeCell ref="SMS17:SMV17"/>
    <mergeCell ref="SMW17:SMZ17"/>
    <mergeCell ref="SNA17:SND17"/>
    <mergeCell ref="SNE17:SNH17"/>
    <mergeCell ref="SLU17:SLX17"/>
    <mergeCell ref="SLY17:SMB17"/>
    <mergeCell ref="SMC17:SMF17"/>
    <mergeCell ref="SMG17:SMJ17"/>
    <mergeCell ref="SMK17:SMN17"/>
    <mergeCell ref="SLA17:SLD17"/>
    <mergeCell ref="SLE17:SLH17"/>
    <mergeCell ref="SLI17:SLL17"/>
    <mergeCell ref="SLM17:SLP17"/>
    <mergeCell ref="SLQ17:SLT17"/>
    <mergeCell ref="SKG17:SKJ17"/>
    <mergeCell ref="SKK17:SKN17"/>
    <mergeCell ref="SKO17:SKR17"/>
    <mergeCell ref="SKS17:SKV17"/>
    <mergeCell ref="SKW17:SKZ17"/>
    <mergeCell ref="SJM17:SJP17"/>
    <mergeCell ref="SJQ17:SJT17"/>
    <mergeCell ref="SJU17:SJX17"/>
    <mergeCell ref="SJY17:SKB17"/>
    <mergeCell ref="SKC17:SKF17"/>
    <mergeCell ref="STM17:STP17"/>
    <mergeCell ref="STQ17:STT17"/>
    <mergeCell ref="STU17:STX17"/>
    <mergeCell ref="STY17:SUB17"/>
    <mergeCell ref="SUC17:SUF17"/>
    <mergeCell ref="SSS17:SSV17"/>
    <mergeCell ref="SSW17:SSZ17"/>
    <mergeCell ref="STA17:STD17"/>
    <mergeCell ref="STE17:STH17"/>
    <mergeCell ref="STI17:STL17"/>
    <mergeCell ref="SRY17:SSB17"/>
    <mergeCell ref="SSC17:SSF17"/>
    <mergeCell ref="SSG17:SSJ17"/>
    <mergeCell ref="SSK17:SSN17"/>
    <mergeCell ref="SSO17:SSR17"/>
    <mergeCell ref="SRE17:SRH17"/>
    <mergeCell ref="SRI17:SRL17"/>
    <mergeCell ref="SRM17:SRP17"/>
    <mergeCell ref="SRQ17:SRT17"/>
    <mergeCell ref="SRU17:SRX17"/>
    <mergeCell ref="SQK17:SQN17"/>
    <mergeCell ref="SQO17:SQR17"/>
    <mergeCell ref="SQS17:SQV17"/>
    <mergeCell ref="SQW17:SQZ17"/>
    <mergeCell ref="SRA17:SRD17"/>
    <mergeCell ref="SPQ17:SPT17"/>
    <mergeCell ref="SPU17:SPX17"/>
    <mergeCell ref="SPY17:SQB17"/>
    <mergeCell ref="SQC17:SQF17"/>
    <mergeCell ref="SQG17:SQJ17"/>
    <mergeCell ref="SOW17:SOZ17"/>
    <mergeCell ref="SPA17:SPD17"/>
    <mergeCell ref="SPE17:SPH17"/>
    <mergeCell ref="SPI17:SPL17"/>
    <mergeCell ref="SPM17:SPP17"/>
    <mergeCell ref="SYW17:SYZ17"/>
    <mergeCell ref="SZA17:SZD17"/>
    <mergeCell ref="SZE17:SZH17"/>
    <mergeCell ref="SZI17:SZL17"/>
    <mergeCell ref="SZM17:SZP17"/>
    <mergeCell ref="SYC17:SYF17"/>
    <mergeCell ref="SYG17:SYJ17"/>
    <mergeCell ref="SYK17:SYN17"/>
    <mergeCell ref="SYO17:SYR17"/>
    <mergeCell ref="SYS17:SYV17"/>
    <mergeCell ref="SXI17:SXL17"/>
    <mergeCell ref="SXM17:SXP17"/>
    <mergeCell ref="SXQ17:SXT17"/>
    <mergeCell ref="SXU17:SXX17"/>
    <mergeCell ref="SXY17:SYB17"/>
    <mergeCell ref="SWO17:SWR17"/>
    <mergeCell ref="SWS17:SWV17"/>
    <mergeCell ref="SWW17:SWZ17"/>
    <mergeCell ref="SXA17:SXD17"/>
    <mergeCell ref="SXE17:SXH17"/>
    <mergeCell ref="SVU17:SVX17"/>
    <mergeCell ref="SVY17:SWB17"/>
    <mergeCell ref="SWC17:SWF17"/>
    <mergeCell ref="SWG17:SWJ17"/>
    <mergeCell ref="SWK17:SWN17"/>
    <mergeCell ref="SVA17:SVD17"/>
    <mergeCell ref="SVE17:SVH17"/>
    <mergeCell ref="SVI17:SVL17"/>
    <mergeCell ref="SVM17:SVP17"/>
    <mergeCell ref="SVQ17:SVT17"/>
    <mergeCell ref="SUG17:SUJ17"/>
    <mergeCell ref="SUK17:SUN17"/>
    <mergeCell ref="SUO17:SUR17"/>
    <mergeCell ref="SUS17:SUV17"/>
    <mergeCell ref="SUW17:SUZ17"/>
    <mergeCell ref="TEG17:TEJ17"/>
    <mergeCell ref="TEK17:TEN17"/>
    <mergeCell ref="TEO17:TER17"/>
    <mergeCell ref="TES17:TEV17"/>
    <mergeCell ref="TEW17:TEZ17"/>
    <mergeCell ref="TDM17:TDP17"/>
    <mergeCell ref="TDQ17:TDT17"/>
    <mergeCell ref="TDU17:TDX17"/>
    <mergeCell ref="TDY17:TEB17"/>
    <mergeCell ref="TEC17:TEF17"/>
    <mergeCell ref="TCS17:TCV17"/>
    <mergeCell ref="TCW17:TCZ17"/>
    <mergeCell ref="TDA17:TDD17"/>
    <mergeCell ref="TDE17:TDH17"/>
    <mergeCell ref="TDI17:TDL17"/>
    <mergeCell ref="TBY17:TCB17"/>
    <mergeCell ref="TCC17:TCF17"/>
    <mergeCell ref="TCG17:TCJ17"/>
    <mergeCell ref="TCK17:TCN17"/>
    <mergeCell ref="TCO17:TCR17"/>
    <mergeCell ref="TBE17:TBH17"/>
    <mergeCell ref="TBI17:TBL17"/>
    <mergeCell ref="TBM17:TBP17"/>
    <mergeCell ref="TBQ17:TBT17"/>
    <mergeCell ref="TBU17:TBX17"/>
    <mergeCell ref="TAK17:TAN17"/>
    <mergeCell ref="TAO17:TAR17"/>
    <mergeCell ref="TAS17:TAV17"/>
    <mergeCell ref="TAW17:TAZ17"/>
    <mergeCell ref="TBA17:TBD17"/>
    <mergeCell ref="SZQ17:SZT17"/>
    <mergeCell ref="SZU17:SZX17"/>
    <mergeCell ref="SZY17:TAB17"/>
    <mergeCell ref="TAC17:TAF17"/>
    <mergeCell ref="TAG17:TAJ17"/>
    <mergeCell ref="TJQ17:TJT17"/>
    <mergeCell ref="TJU17:TJX17"/>
    <mergeCell ref="TJY17:TKB17"/>
    <mergeCell ref="TKC17:TKF17"/>
    <mergeCell ref="TKG17:TKJ17"/>
    <mergeCell ref="TIW17:TIZ17"/>
    <mergeCell ref="TJA17:TJD17"/>
    <mergeCell ref="TJE17:TJH17"/>
    <mergeCell ref="TJI17:TJL17"/>
    <mergeCell ref="TJM17:TJP17"/>
    <mergeCell ref="TIC17:TIF17"/>
    <mergeCell ref="TIG17:TIJ17"/>
    <mergeCell ref="TIK17:TIN17"/>
    <mergeCell ref="TIO17:TIR17"/>
    <mergeCell ref="TIS17:TIV17"/>
    <mergeCell ref="THI17:THL17"/>
    <mergeCell ref="THM17:THP17"/>
    <mergeCell ref="THQ17:THT17"/>
    <mergeCell ref="THU17:THX17"/>
    <mergeCell ref="THY17:TIB17"/>
    <mergeCell ref="TGO17:TGR17"/>
    <mergeCell ref="TGS17:TGV17"/>
    <mergeCell ref="TGW17:TGZ17"/>
    <mergeCell ref="THA17:THD17"/>
    <mergeCell ref="THE17:THH17"/>
    <mergeCell ref="TFU17:TFX17"/>
    <mergeCell ref="TFY17:TGB17"/>
    <mergeCell ref="TGC17:TGF17"/>
    <mergeCell ref="TGG17:TGJ17"/>
    <mergeCell ref="TGK17:TGN17"/>
    <mergeCell ref="TFA17:TFD17"/>
    <mergeCell ref="TFE17:TFH17"/>
    <mergeCell ref="TFI17:TFL17"/>
    <mergeCell ref="TFM17:TFP17"/>
    <mergeCell ref="TFQ17:TFT17"/>
    <mergeCell ref="TPA17:TPD17"/>
    <mergeCell ref="TPE17:TPH17"/>
    <mergeCell ref="TPI17:TPL17"/>
    <mergeCell ref="TPM17:TPP17"/>
    <mergeCell ref="TPQ17:TPT17"/>
    <mergeCell ref="TOG17:TOJ17"/>
    <mergeCell ref="TOK17:TON17"/>
    <mergeCell ref="TOO17:TOR17"/>
    <mergeCell ref="TOS17:TOV17"/>
    <mergeCell ref="TOW17:TOZ17"/>
    <mergeCell ref="TNM17:TNP17"/>
    <mergeCell ref="TNQ17:TNT17"/>
    <mergeCell ref="TNU17:TNX17"/>
    <mergeCell ref="TNY17:TOB17"/>
    <mergeCell ref="TOC17:TOF17"/>
    <mergeCell ref="TMS17:TMV17"/>
    <mergeCell ref="TMW17:TMZ17"/>
    <mergeCell ref="TNA17:TND17"/>
    <mergeCell ref="TNE17:TNH17"/>
    <mergeCell ref="TNI17:TNL17"/>
    <mergeCell ref="TLY17:TMB17"/>
    <mergeCell ref="TMC17:TMF17"/>
    <mergeCell ref="TMG17:TMJ17"/>
    <mergeCell ref="TMK17:TMN17"/>
    <mergeCell ref="TMO17:TMR17"/>
    <mergeCell ref="TLE17:TLH17"/>
    <mergeCell ref="TLI17:TLL17"/>
    <mergeCell ref="TLM17:TLP17"/>
    <mergeCell ref="TLQ17:TLT17"/>
    <mergeCell ref="TLU17:TLX17"/>
    <mergeCell ref="TKK17:TKN17"/>
    <mergeCell ref="TKO17:TKR17"/>
    <mergeCell ref="TKS17:TKV17"/>
    <mergeCell ref="TKW17:TKZ17"/>
    <mergeCell ref="TLA17:TLD17"/>
    <mergeCell ref="TUK17:TUN17"/>
    <mergeCell ref="TUO17:TUR17"/>
    <mergeCell ref="TUS17:TUV17"/>
    <mergeCell ref="TUW17:TUZ17"/>
    <mergeCell ref="TVA17:TVD17"/>
    <mergeCell ref="TTQ17:TTT17"/>
    <mergeCell ref="TTU17:TTX17"/>
    <mergeCell ref="TTY17:TUB17"/>
    <mergeCell ref="TUC17:TUF17"/>
    <mergeCell ref="TUG17:TUJ17"/>
    <mergeCell ref="TSW17:TSZ17"/>
    <mergeCell ref="TTA17:TTD17"/>
    <mergeCell ref="TTE17:TTH17"/>
    <mergeCell ref="TTI17:TTL17"/>
    <mergeCell ref="TTM17:TTP17"/>
    <mergeCell ref="TSC17:TSF17"/>
    <mergeCell ref="TSG17:TSJ17"/>
    <mergeCell ref="TSK17:TSN17"/>
    <mergeCell ref="TSO17:TSR17"/>
    <mergeCell ref="TSS17:TSV17"/>
    <mergeCell ref="TRI17:TRL17"/>
    <mergeCell ref="TRM17:TRP17"/>
    <mergeCell ref="TRQ17:TRT17"/>
    <mergeCell ref="TRU17:TRX17"/>
    <mergeCell ref="TRY17:TSB17"/>
    <mergeCell ref="TQO17:TQR17"/>
    <mergeCell ref="TQS17:TQV17"/>
    <mergeCell ref="TQW17:TQZ17"/>
    <mergeCell ref="TRA17:TRD17"/>
    <mergeCell ref="TRE17:TRH17"/>
    <mergeCell ref="TPU17:TPX17"/>
    <mergeCell ref="TPY17:TQB17"/>
    <mergeCell ref="TQC17:TQF17"/>
    <mergeCell ref="TQG17:TQJ17"/>
    <mergeCell ref="TQK17:TQN17"/>
    <mergeCell ref="TZU17:TZX17"/>
    <mergeCell ref="TZY17:UAB17"/>
    <mergeCell ref="UAC17:UAF17"/>
    <mergeCell ref="UAG17:UAJ17"/>
    <mergeCell ref="UAK17:UAN17"/>
    <mergeCell ref="TZA17:TZD17"/>
    <mergeCell ref="TZE17:TZH17"/>
    <mergeCell ref="TZI17:TZL17"/>
    <mergeCell ref="TZM17:TZP17"/>
    <mergeCell ref="TZQ17:TZT17"/>
    <mergeCell ref="TYG17:TYJ17"/>
    <mergeCell ref="TYK17:TYN17"/>
    <mergeCell ref="TYO17:TYR17"/>
    <mergeCell ref="TYS17:TYV17"/>
    <mergeCell ref="TYW17:TYZ17"/>
    <mergeCell ref="TXM17:TXP17"/>
    <mergeCell ref="TXQ17:TXT17"/>
    <mergeCell ref="TXU17:TXX17"/>
    <mergeCell ref="TXY17:TYB17"/>
    <mergeCell ref="TYC17:TYF17"/>
    <mergeCell ref="TWS17:TWV17"/>
    <mergeCell ref="TWW17:TWZ17"/>
    <mergeCell ref="TXA17:TXD17"/>
    <mergeCell ref="TXE17:TXH17"/>
    <mergeCell ref="TXI17:TXL17"/>
    <mergeCell ref="TVY17:TWB17"/>
    <mergeCell ref="TWC17:TWF17"/>
    <mergeCell ref="TWG17:TWJ17"/>
    <mergeCell ref="TWK17:TWN17"/>
    <mergeCell ref="TWO17:TWR17"/>
    <mergeCell ref="TVE17:TVH17"/>
    <mergeCell ref="TVI17:TVL17"/>
    <mergeCell ref="TVM17:TVP17"/>
    <mergeCell ref="TVQ17:TVT17"/>
    <mergeCell ref="TVU17:TVX17"/>
    <mergeCell ref="UFE17:UFH17"/>
    <mergeCell ref="UFI17:UFL17"/>
    <mergeCell ref="UFM17:UFP17"/>
    <mergeCell ref="UFQ17:UFT17"/>
    <mergeCell ref="UFU17:UFX17"/>
    <mergeCell ref="UEK17:UEN17"/>
    <mergeCell ref="UEO17:UER17"/>
    <mergeCell ref="UES17:UEV17"/>
    <mergeCell ref="UEW17:UEZ17"/>
    <mergeCell ref="UFA17:UFD17"/>
    <mergeCell ref="UDQ17:UDT17"/>
    <mergeCell ref="UDU17:UDX17"/>
    <mergeCell ref="UDY17:UEB17"/>
    <mergeCell ref="UEC17:UEF17"/>
    <mergeCell ref="UEG17:UEJ17"/>
    <mergeCell ref="UCW17:UCZ17"/>
    <mergeCell ref="UDA17:UDD17"/>
    <mergeCell ref="UDE17:UDH17"/>
    <mergeCell ref="UDI17:UDL17"/>
    <mergeCell ref="UDM17:UDP17"/>
    <mergeCell ref="UCC17:UCF17"/>
    <mergeCell ref="UCG17:UCJ17"/>
    <mergeCell ref="UCK17:UCN17"/>
    <mergeCell ref="UCO17:UCR17"/>
    <mergeCell ref="UCS17:UCV17"/>
    <mergeCell ref="UBI17:UBL17"/>
    <mergeCell ref="UBM17:UBP17"/>
    <mergeCell ref="UBQ17:UBT17"/>
    <mergeCell ref="UBU17:UBX17"/>
    <mergeCell ref="UBY17:UCB17"/>
    <mergeCell ref="UAO17:UAR17"/>
    <mergeCell ref="UAS17:UAV17"/>
    <mergeCell ref="UAW17:UAZ17"/>
    <mergeCell ref="UBA17:UBD17"/>
    <mergeCell ref="UBE17:UBH17"/>
    <mergeCell ref="UKO17:UKR17"/>
    <mergeCell ref="UKS17:UKV17"/>
    <mergeCell ref="UKW17:UKZ17"/>
    <mergeCell ref="ULA17:ULD17"/>
    <mergeCell ref="ULE17:ULH17"/>
    <mergeCell ref="UJU17:UJX17"/>
    <mergeCell ref="UJY17:UKB17"/>
    <mergeCell ref="UKC17:UKF17"/>
    <mergeCell ref="UKG17:UKJ17"/>
    <mergeCell ref="UKK17:UKN17"/>
    <mergeCell ref="UJA17:UJD17"/>
    <mergeCell ref="UJE17:UJH17"/>
    <mergeCell ref="UJI17:UJL17"/>
    <mergeCell ref="UJM17:UJP17"/>
    <mergeCell ref="UJQ17:UJT17"/>
    <mergeCell ref="UIG17:UIJ17"/>
    <mergeCell ref="UIK17:UIN17"/>
    <mergeCell ref="UIO17:UIR17"/>
    <mergeCell ref="UIS17:UIV17"/>
    <mergeCell ref="UIW17:UIZ17"/>
    <mergeCell ref="UHM17:UHP17"/>
    <mergeCell ref="UHQ17:UHT17"/>
    <mergeCell ref="UHU17:UHX17"/>
    <mergeCell ref="UHY17:UIB17"/>
    <mergeCell ref="UIC17:UIF17"/>
    <mergeCell ref="UGS17:UGV17"/>
    <mergeCell ref="UGW17:UGZ17"/>
    <mergeCell ref="UHA17:UHD17"/>
    <mergeCell ref="UHE17:UHH17"/>
    <mergeCell ref="UHI17:UHL17"/>
    <mergeCell ref="UFY17:UGB17"/>
    <mergeCell ref="UGC17:UGF17"/>
    <mergeCell ref="UGG17:UGJ17"/>
    <mergeCell ref="UGK17:UGN17"/>
    <mergeCell ref="UGO17:UGR17"/>
    <mergeCell ref="UPY17:UQB17"/>
    <mergeCell ref="UQC17:UQF17"/>
    <mergeCell ref="UQG17:UQJ17"/>
    <mergeCell ref="UQK17:UQN17"/>
    <mergeCell ref="UQO17:UQR17"/>
    <mergeCell ref="UPE17:UPH17"/>
    <mergeCell ref="UPI17:UPL17"/>
    <mergeCell ref="UPM17:UPP17"/>
    <mergeCell ref="UPQ17:UPT17"/>
    <mergeCell ref="UPU17:UPX17"/>
    <mergeCell ref="UOK17:UON17"/>
    <mergeCell ref="UOO17:UOR17"/>
    <mergeCell ref="UOS17:UOV17"/>
    <mergeCell ref="UOW17:UOZ17"/>
    <mergeCell ref="UPA17:UPD17"/>
    <mergeCell ref="UNQ17:UNT17"/>
    <mergeCell ref="UNU17:UNX17"/>
    <mergeCell ref="UNY17:UOB17"/>
    <mergeCell ref="UOC17:UOF17"/>
    <mergeCell ref="UOG17:UOJ17"/>
    <mergeCell ref="UMW17:UMZ17"/>
    <mergeCell ref="UNA17:UND17"/>
    <mergeCell ref="UNE17:UNH17"/>
    <mergeCell ref="UNI17:UNL17"/>
    <mergeCell ref="UNM17:UNP17"/>
    <mergeCell ref="UMC17:UMF17"/>
    <mergeCell ref="UMG17:UMJ17"/>
    <mergeCell ref="UMK17:UMN17"/>
    <mergeCell ref="UMO17:UMR17"/>
    <mergeCell ref="UMS17:UMV17"/>
    <mergeCell ref="ULI17:ULL17"/>
    <mergeCell ref="ULM17:ULP17"/>
    <mergeCell ref="ULQ17:ULT17"/>
    <mergeCell ref="ULU17:ULX17"/>
    <mergeCell ref="ULY17:UMB17"/>
    <mergeCell ref="UVI17:UVL17"/>
    <mergeCell ref="UVM17:UVP17"/>
    <mergeCell ref="UVQ17:UVT17"/>
    <mergeCell ref="UVU17:UVX17"/>
    <mergeCell ref="UVY17:UWB17"/>
    <mergeCell ref="UUO17:UUR17"/>
    <mergeCell ref="UUS17:UUV17"/>
    <mergeCell ref="UUW17:UUZ17"/>
    <mergeCell ref="UVA17:UVD17"/>
    <mergeCell ref="UVE17:UVH17"/>
    <mergeCell ref="UTU17:UTX17"/>
    <mergeCell ref="UTY17:UUB17"/>
    <mergeCell ref="UUC17:UUF17"/>
    <mergeCell ref="UUG17:UUJ17"/>
    <mergeCell ref="UUK17:UUN17"/>
    <mergeCell ref="UTA17:UTD17"/>
    <mergeCell ref="UTE17:UTH17"/>
    <mergeCell ref="UTI17:UTL17"/>
    <mergeCell ref="UTM17:UTP17"/>
    <mergeCell ref="UTQ17:UTT17"/>
    <mergeCell ref="USG17:USJ17"/>
    <mergeCell ref="USK17:USN17"/>
    <mergeCell ref="USO17:USR17"/>
    <mergeCell ref="USS17:USV17"/>
    <mergeCell ref="USW17:USZ17"/>
    <mergeCell ref="URM17:URP17"/>
    <mergeCell ref="URQ17:URT17"/>
    <mergeCell ref="URU17:URX17"/>
    <mergeCell ref="URY17:USB17"/>
    <mergeCell ref="USC17:USF17"/>
    <mergeCell ref="UQS17:UQV17"/>
    <mergeCell ref="UQW17:UQZ17"/>
    <mergeCell ref="URA17:URD17"/>
    <mergeCell ref="URE17:URH17"/>
    <mergeCell ref="URI17:URL17"/>
    <mergeCell ref="VAS17:VAV17"/>
    <mergeCell ref="VAW17:VAZ17"/>
    <mergeCell ref="VBA17:VBD17"/>
    <mergeCell ref="VBE17:VBH17"/>
    <mergeCell ref="VBI17:VBL17"/>
    <mergeCell ref="UZY17:VAB17"/>
    <mergeCell ref="VAC17:VAF17"/>
    <mergeCell ref="VAG17:VAJ17"/>
    <mergeCell ref="VAK17:VAN17"/>
    <mergeCell ref="VAO17:VAR17"/>
    <mergeCell ref="UZE17:UZH17"/>
    <mergeCell ref="UZI17:UZL17"/>
    <mergeCell ref="UZM17:UZP17"/>
    <mergeCell ref="UZQ17:UZT17"/>
    <mergeCell ref="UZU17:UZX17"/>
    <mergeCell ref="UYK17:UYN17"/>
    <mergeCell ref="UYO17:UYR17"/>
    <mergeCell ref="UYS17:UYV17"/>
    <mergeCell ref="UYW17:UYZ17"/>
    <mergeCell ref="UZA17:UZD17"/>
    <mergeCell ref="UXQ17:UXT17"/>
    <mergeCell ref="UXU17:UXX17"/>
    <mergeCell ref="UXY17:UYB17"/>
    <mergeCell ref="UYC17:UYF17"/>
    <mergeCell ref="UYG17:UYJ17"/>
    <mergeCell ref="UWW17:UWZ17"/>
    <mergeCell ref="UXA17:UXD17"/>
    <mergeCell ref="UXE17:UXH17"/>
    <mergeCell ref="UXI17:UXL17"/>
    <mergeCell ref="UXM17:UXP17"/>
    <mergeCell ref="UWC17:UWF17"/>
    <mergeCell ref="UWG17:UWJ17"/>
    <mergeCell ref="UWK17:UWN17"/>
    <mergeCell ref="UWO17:UWR17"/>
    <mergeCell ref="UWS17:UWV17"/>
    <mergeCell ref="VGC17:VGF17"/>
    <mergeCell ref="VGG17:VGJ17"/>
    <mergeCell ref="VGK17:VGN17"/>
    <mergeCell ref="VGO17:VGR17"/>
    <mergeCell ref="VGS17:VGV17"/>
    <mergeCell ref="VFI17:VFL17"/>
    <mergeCell ref="VFM17:VFP17"/>
    <mergeCell ref="VFQ17:VFT17"/>
    <mergeCell ref="VFU17:VFX17"/>
    <mergeCell ref="VFY17:VGB17"/>
    <mergeCell ref="VEO17:VER17"/>
    <mergeCell ref="VES17:VEV17"/>
    <mergeCell ref="VEW17:VEZ17"/>
    <mergeCell ref="VFA17:VFD17"/>
    <mergeCell ref="VFE17:VFH17"/>
    <mergeCell ref="VDU17:VDX17"/>
    <mergeCell ref="VDY17:VEB17"/>
    <mergeCell ref="VEC17:VEF17"/>
    <mergeCell ref="VEG17:VEJ17"/>
    <mergeCell ref="VEK17:VEN17"/>
    <mergeCell ref="VDA17:VDD17"/>
    <mergeCell ref="VDE17:VDH17"/>
    <mergeCell ref="VDI17:VDL17"/>
    <mergeCell ref="VDM17:VDP17"/>
    <mergeCell ref="VDQ17:VDT17"/>
    <mergeCell ref="VCG17:VCJ17"/>
    <mergeCell ref="VCK17:VCN17"/>
    <mergeCell ref="VCO17:VCR17"/>
    <mergeCell ref="VCS17:VCV17"/>
    <mergeCell ref="VCW17:VCZ17"/>
    <mergeCell ref="VBM17:VBP17"/>
    <mergeCell ref="VBQ17:VBT17"/>
    <mergeCell ref="VBU17:VBX17"/>
    <mergeCell ref="VBY17:VCB17"/>
    <mergeCell ref="VCC17:VCF17"/>
    <mergeCell ref="VLM17:VLP17"/>
    <mergeCell ref="VLQ17:VLT17"/>
    <mergeCell ref="VLU17:VLX17"/>
    <mergeCell ref="VLY17:VMB17"/>
    <mergeCell ref="VMC17:VMF17"/>
    <mergeCell ref="VKS17:VKV17"/>
    <mergeCell ref="VKW17:VKZ17"/>
    <mergeCell ref="VLA17:VLD17"/>
    <mergeCell ref="VLE17:VLH17"/>
    <mergeCell ref="VLI17:VLL17"/>
    <mergeCell ref="VJY17:VKB17"/>
    <mergeCell ref="VKC17:VKF17"/>
    <mergeCell ref="VKG17:VKJ17"/>
    <mergeCell ref="VKK17:VKN17"/>
    <mergeCell ref="VKO17:VKR17"/>
    <mergeCell ref="VJE17:VJH17"/>
    <mergeCell ref="VJI17:VJL17"/>
    <mergeCell ref="VJM17:VJP17"/>
    <mergeCell ref="VJQ17:VJT17"/>
    <mergeCell ref="VJU17:VJX17"/>
    <mergeCell ref="VIK17:VIN17"/>
    <mergeCell ref="VIO17:VIR17"/>
    <mergeCell ref="VIS17:VIV17"/>
    <mergeCell ref="VIW17:VIZ17"/>
    <mergeCell ref="VJA17:VJD17"/>
    <mergeCell ref="VHQ17:VHT17"/>
    <mergeCell ref="VHU17:VHX17"/>
    <mergeCell ref="VHY17:VIB17"/>
    <mergeCell ref="VIC17:VIF17"/>
    <mergeCell ref="VIG17:VIJ17"/>
    <mergeCell ref="VGW17:VGZ17"/>
    <mergeCell ref="VHA17:VHD17"/>
    <mergeCell ref="VHE17:VHH17"/>
    <mergeCell ref="VHI17:VHL17"/>
    <mergeCell ref="VHM17:VHP17"/>
    <mergeCell ref="VQW17:VQZ17"/>
    <mergeCell ref="VRA17:VRD17"/>
    <mergeCell ref="VRE17:VRH17"/>
    <mergeCell ref="VRI17:VRL17"/>
    <mergeCell ref="VRM17:VRP17"/>
    <mergeCell ref="VQC17:VQF17"/>
    <mergeCell ref="VQG17:VQJ17"/>
    <mergeCell ref="VQK17:VQN17"/>
    <mergeCell ref="VQO17:VQR17"/>
    <mergeCell ref="VQS17:VQV17"/>
    <mergeCell ref="VPI17:VPL17"/>
    <mergeCell ref="VPM17:VPP17"/>
    <mergeCell ref="VPQ17:VPT17"/>
    <mergeCell ref="VPU17:VPX17"/>
    <mergeCell ref="VPY17:VQB17"/>
    <mergeCell ref="VOO17:VOR17"/>
    <mergeCell ref="VOS17:VOV17"/>
    <mergeCell ref="VOW17:VOZ17"/>
    <mergeCell ref="VPA17:VPD17"/>
    <mergeCell ref="VPE17:VPH17"/>
    <mergeCell ref="VNU17:VNX17"/>
    <mergeCell ref="VNY17:VOB17"/>
    <mergeCell ref="VOC17:VOF17"/>
    <mergeCell ref="VOG17:VOJ17"/>
    <mergeCell ref="VOK17:VON17"/>
    <mergeCell ref="VNA17:VND17"/>
    <mergeCell ref="VNE17:VNH17"/>
    <mergeCell ref="VNI17:VNL17"/>
    <mergeCell ref="VNM17:VNP17"/>
    <mergeCell ref="VNQ17:VNT17"/>
    <mergeCell ref="VMG17:VMJ17"/>
    <mergeCell ref="VMK17:VMN17"/>
    <mergeCell ref="VMO17:VMR17"/>
    <mergeCell ref="VMS17:VMV17"/>
    <mergeCell ref="VMW17:VMZ17"/>
    <mergeCell ref="VWG17:VWJ17"/>
    <mergeCell ref="VWK17:VWN17"/>
    <mergeCell ref="VWO17:VWR17"/>
    <mergeCell ref="VWS17:VWV17"/>
    <mergeCell ref="VWW17:VWZ17"/>
    <mergeCell ref="VVM17:VVP17"/>
    <mergeCell ref="VVQ17:VVT17"/>
    <mergeCell ref="VVU17:VVX17"/>
    <mergeCell ref="VVY17:VWB17"/>
    <mergeCell ref="VWC17:VWF17"/>
    <mergeCell ref="VUS17:VUV17"/>
    <mergeCell ref="VUW17:VUZ17"/>
    <mergeCell ref="VVA17:VVD17"/>
    <mergeCell ref="VVE17:VVH17"/>
    <mergeCell ref="VVI17:VVL17"/>
    <mergeCell ref="VTY17:VUB17"/>
    <mergeCell ref="VUC17:VUF17"/>
    <mergeCell ref="VUG17:VUJ17"/>
    <mergeCell ref="VUK17:VUN17"/>
    <mergeCell ref="VUO17:VUR17"/>
    <mergeCell ref="VTE17:VTH17"/>
    <mergeCell ref="VTI17:VTL17"/>
    <mergeCell ref="VTM17:VTP17"/>
    <mergeCell ref="VTQ17:VTT17"/>
    <mergeCell ref="VTU17:VTX17"/>
    <mergeCell ref="VSK17:VSN17"/>
    <mergeCell ref="VSO17:VSR17"/>
    <mergeCell ref="VSS17:VSV17"/>
    <mergeCell ref="VSW17:VSZ17"/>
    <mergeCell ref="VTA17:VTD17"/>
    <mergeCell ref="VRQ17:VRT17"/>
    <mergeCell ref="VRU17:VRX17"/>
    <mergeCell ref="VRY17:VSB17"/>
    <mergeCell ref="VSC17:VSF17"/>
    <mergeCell ref="VSG17:VSJ17"/>
    <mergeCell ref="WBQ17:WBT17"/>
    <mergeCell ref="WBU17:WBX17"/>
    <mergeCell ref="WBY17:WCB17"/>
    <mergeCell ref="WCC17:WCF17"/>
    <mergeCell ref="WCG17:WCJ17"/>
    <mergeCell ref="WAW17:WAZ17"/>
    <mergeCell ref="WBA17:WBD17"/>
    <mergeCell ref="WBE17:WBH17"/>
    <mergeCell ref="WBI17:WBL17"/>
    <mergeCell ref="WBM17:WBP17"/>
    <mergeCell ref="WAC17:WAF17"/>
    <mergeCell ref="WAG17:WAJ17"/>
    <mergeCell ref="WAK17:WAN17"/>
    <mergeCell ref="WAO17:WAR17"/>
    <mergeCell ref="WAS17:WAV17"/>
    <mergeCell ref="VZI17:VZL17"/>
    <mergeCell ref="VZM17:VZP17"/>
    <mergeCell ref="VZQ17:VZT17"/>
    <mergeCell ref="VZU17:VZX17"/>
    <mergeCell ref="VZY17:WAB17"/>
    <mergeCell ref="VYO17:VYR17"/>
    <mergeCell ref="VYS17:VYV17"/>
    <mergeCell ref="VYW17:VYZ17"/>
    <mergeCell ref="VZA17:VZD17"/>
    <mergeCell ref="VZE17:VZH17"/>
    <mergeCell ref="VXU17:VXX17"/>
    <mergeCell ref="VXY17:VYB17"/>
    <mergeCell ref="VYC17:VYF17"/>
    <mergeCell ref="VYG17:VYJ17"/>
    <mergeCell ref="VYK17:VYN17"/>
    <mergeCell ref="VXA17:VXD17"/>
    <mergeCell ref="VXE17:VXH17"/>
    <mergeCell ref="VXI17:VXL17"/>
    <mergeCell ref="VXM17:VXP17"/>
    <mergeCell ref="VXQ17:VXT17"/>
    <mergeCell ref="WHA17:WHD17"/>
    <mergeCell ref="WHE17:WHH17"/>
    <mergeCell ref="WHI17:WHL17"/>
    <mergeCell ref="WHM17:WHP17"/>
    <mergeCell ref="WHQ17:WHT17"/>
    <mergeCell ref="WGG17:WGJ17"/>
    <mergeCell ref="WGK17:WGN17"/>
    <mergeCell ref="WGO17:WGR17"/>
    <mergeCell ref="WGS17:WGV17"/>
    <mergeCell ref="WGW17:WGZ17"/>
    <mergeCell ref="WFM17:WFP17"/>
    <mergeCell ref="WFQ17:WFT17"/>
    <mergeCell ref="WFU17:WFX17"/>
    <mergeCell ref="WFY17:WGB17"/>
    <mergeCell ref="WGC17:WGF17"/>
    <mergeCell ref="WES17:WEV17"/>
    <mergeCell ref="WEW17:WEZ17"/>
    <mergeCell ref="WFA17:WFD17"/>
    <mergeCell ref="WFE17:WFH17"/>
    <mergeCell ref="WFI17:WFL17"/>
    <mergeCell ref="WDY17:WEB17"/>
    <mergeCell ref="WEC17:WEF17"/>
    <mergeCell ref="WEG17:WEJ17"/>
    <mergeCell ref="WEK17:WEN17"/>
    <mergeCell ref="WEO17:WER17"/>
    <mergeCell ref="WDE17:WDH17"/>
    <mergeCell ref="WDI17:WDL17"/>
    <mergeCell ref="WDM17:WDP17"/>
    <mergeCell ref="WDQ17:WDT17"/>
    <mergeCell ref="WDU17:WDX17"/>
    <mergeCell ref="WCK17:WCN17"/>
    <mergeCell ref="WCO17:WCR17"/>
    <mergeCell ref="WCS17:WCV17"/>
    <mergeCell ref="WCW17:WCZ17"/>
    <mergeCell ref="WDA17:WDD17"/>
    <mergeCell ref="WMK17:WMN17"/>
    <mergeCell ref="WMO17:WMR17"/>
    <mergeCell ref="WMS17:WMV17"/>
    <mergeCell ref="WMW17:WMZ17"/>
    <mergeCell ref="WNA17:WND17"/>
    <mergeCell ref="WLQ17:WLT17"/>
    <mergeCell ref="WLU17:WLX17"/>
    <mergeCell ref="WLY17:WMB17"/>
    <mergeCell ref="WMC17:WMF17"/>
    <mergeCell ref="WMG17:WMJ17"/>
    <mergeCell ref="WKW17:WKZ17"/>
    <mergeCell ref="WLA17:WLD17"/>
    <mergeCell ref="WLE17:WLH17"/>
    <mergeCell ref="WLI17:WLL17"/>
    <mergeCell ref="WLM17:WLP17"/>
    <mergeCell ref="WKC17:WKF17"/>
    <mergeCell ref="WKG17:WKJ17"/>
    <mergeCell ref="WKK17:WKN17"/>
    <mergeCell ref="WKO17:WKR17"/>
    <mergeCell ref="WKS17:WKV17"/>
    <mergeCell ref="WJI17:WJL17"/>
    <mergeCell ref="WJM17:WJP17"/>
    <mergeCell ref="WJQ17:WJT17"/>
    <mergeCell ref="WJU17:WJX17"/>
    <mergeCell ref="WJY17:WKB17"/>
    <mergeCell ref="WIO17:WIR17"/>
    <mergeCell ref="WIS17:WIV17"/>
    <mergeCell ref="WIW17:WIZ17"/>
    <mergeCell ref="WJA17:WJD17"/>
    <mergeCell ref="WJE17:WJH17"/>
    <mergeCell ref="WHU17:WHX17"/>
    <mergeCell ref="WHY17:WIB17"/>
    <mergeCell ref="WIC17:WIF17"/>
    <mergeCell ref="WIG17:WIJ17"/>
    <mergeCell ref="WIK17:WIN17"/>
    <mergeCell ref="WRU17:WRX17"/>
    <mergeCell ref="WRY17:WSB17"/>
    <mergeCell ref="WSC17:WSF17"/>
    <mergeCell ref="WSG17:WSJ17"/>
    <mergeCell ref="WSK17:WSN17"/>
    <mergeCell ref="WRA17:WRD17"/>
    <mergeCell ref="WRE17:WRH17"/>
    <mergeCell ref="WRI17:WRL17"/>
    <mergeCell ref="WRM17:WRP17"/>
    <mergeCell ref="WRQ17:WRT17"/>
    <mergeCell ref="WQG17:WQJ17"/>
    <mergeCell ref="WQK17:WQN17"/>
    <mergeCell ref="WQO17:WQR17"/>
    <mergeCell ref="WQS17:WQV17"/>
    <mergeCell ref="WQW17:WQZ17"/>
    <mergeCell ref="WPM17:WPP17"/>
    <mergeCell ref="WPQ17:WPT17"/>
    <mergeCell ref="WPU17:WPX17"/>
    <mergeCell ref="WPY17:WQB17"/>
    <mergeCell ref="WQC17:WQF17"/>
    <mergeCell ref="WOS17:WOV17"/>
    <mergeCell ref="WOW17:WOZ17"/>
    <mergeCell ref="WPA17:WPD17"/>
    <mergeCell ref="WPE17:WPH17"/>
    <mergeCell ref="WPI17:WPL17"/>
    <mergeCell ref="WNY17:WOB17"/>
    <mergeCell ref="WOC17:WOF17"/>
    <mergeCell ref="WOG17:WOJ17"/>
    <mergeCell ref="WOK17:WON17"/>
    <mergeCell ref="WOO17:WOR17"/>
    <mergeCell ref="WNE17:WNH17"/>
    <mergeCell ref="WNI17:WNL17"/>
    <mergeCell ref="WNM17:WNP17"/>
    <mergeCell ref="WNQ17:WNT17"/>
    <mergeCell ref="WNU17:WNX17"/>
    <mergeCell ref="WYK17:WYN17"/>
    <mergeCell ref="WYO17:WYR17"/>
    <mergeCell ref="WXE17:WXH17"/>
    <mergeCell ref="WXI17:WXL17"/>
    <mergeCell ref="WXM17:WXP17"/>
    <mergeCell ref="WXQ17:WXT17"/>
    <mergeCell ref="WXU17:WXX17"/>
    <mergeCell ref="WWK17:WWN17"/>
    <mergeCell ref="WWO17:WWR17"/>
    <mergeCell ref="WWS17:WWV17"/>
    <mergeCell ref="WWW17:WWZ17"/>
    <mergeCell ref="WXA17:WXD17"/>
    <mergeCell ref="WVQ17:WVT17"/>
    <mergeCell ref="WVU17:WVX17"/>
    <mergeCell ref="WVY17:WWB17"/>
    <mergeCell ref="WWC17:WWF17"/>
    <mergeCell ref="WWG17:WWJ17"/>
    <mergeCell ref="WUW17:WUZ17"/>
    <mergeCell ref="WVA17:WVD17"/>
    <mergeCell ref="WVE17:WVH17"/>
    <mergeCell ref="WVI17:WVL17"/>
    <mergeCell ref="WVM17:WVP17"/>
    <mergeCell ref="WUC17:WUF17"/>
    <mergeCell ref="WUG17:WUJ17"/>
    <mergeCell ref="WUK17:WUN17"/>
    <mergeCell ref="WUO17:WUR17"/>
    <mergeCell ref="WUS17:WUV17"/>
    <mergeCell ref="WTI17:WTL17"/>
    <mergeCell ref="WTM17:WTP17"/>
    <mergeCell ref="WTQ17:WTT17"/>
    <mergeCell ref="WTU17:WTX17"/>
    <mergeCell ref="WTY17:WUB17"/>
    <mergeCell ref="WSO17:WSR17"/>
    <mergeCell ref="WSS17:WSV17"/>
    <mergeCell ref="WSW17:WSZ17"/>
    <mergeCell ref="WTA17:WTD17"/>
    <mergeCell ref="WTE17:WTH17"/>
    <mergeCell ref="BE19:BH19"/>
    <mergeCell ref="BI19:BL19"/>
    <mergeCell ref="BM19:BP19"/>
    <mergeCell ref="BQ19:BT19"/>
    <mergeCell ref="BU19:BX19"/>
    <mergeCell ref="XEW17:XEZ17"/>
    <mergeCell ref="XFA17:XFD17"/>
    <mergeCell ref="B19:E19"/>
    <mergeCell ref="F19:I19"/>
    <mergeCell ref="J19:M19"/>
    <mergeCell ref="N19:P19"/>
    <mergeCell ref="Q19:T19"/>
    <mergeCell ref="U19:X19"/>
    <mergeCell ref="Y19:AB19"/>
    <mergeCell ref="AC19:AF19"/>
    <mergeCell ref="AG19:AJ19"/>
    <mergeCell ref="AK19:AN19"/>
    <mergeCell ref="AO19:AR19"/>
    <mergeCell ref="AS19:AV19"/>
    <mergeCell ref="AW19:AZ19"/>
    <mergeCell ref="BA19:BD19"/>
    <mergeCell ref="XEC17:XEF17"/>
    <mergeCell ref="XEG17:XEJ17"/>
    <mergeCell ref="XEK17:XEN17"/>
    <mergeCell ref="XEO17:XER17"/>
    <mergeCell ref="XES17:XEV17"/>
    <mergeCell ref="XDI17:XDL17"/>
    <mergeCell ref="XDM17:XDP17"/>
    <mergeCell ref="XDQ17:XDT17"/>
    <mergeCell ref="XDU17:XDX17"/>
    <mergeCell ref="XDY17:XEB17"/>
    <mergeCell ref="XCO17:XCR17"/>
    <mergeCell ref="XCS17:XCV17"/>
    <mergeCell ref="XCW17:XCZ17"/>
    <mergeCell ref="XDA17:XDD17"/>
    <mergeCell ref="XDE17:XDH17"/>
    <mergeCell ref="XBU17:XBX17"/>
    <mergeCell ref="XBY17:XCB17"/>
    <mergeCell ref="XCC17:XCF17"/>
    <mergeCell ref="XCG17:XCJ17"/>
    <mergeCell ref="XCK17:XCN17"/>
    <mergeCell ref="XBA17:XBD17"/>
    <mergeCell ref="XBE17:XBH17"/>
    <mergeCell ref="XBI17:XBL17"/>
    <mergeCell ref="XBM17:XBP17"/>
    <mergeCell ref="XBQ17:XBT17"/>
    <mergeCell ref="XAG17:XAJ17"/>
    <mergeCell ref="XAK17:XAN17"/>
    <mergeCell ref="XAO17:XAR17"/>
    <mergeCell ref="XAS17:XAV17"/>
    <mergeCell ref="XAW17:XAZ17"/>
    <mergeCell ref="WZM17:WZP17"/>
    <mergeCell ref="WZQ17:WZT17"/>
    <mergeCell ref="WZU17:WZX17"/>
    <mergeCell ref="WZY17:XAB17"/>
    <mergeCell ref="XAC17:XAF17"/>
    <mergeCell ref="WYS17:WYV17"/>
    <mergeCell ref="WYW17:WYZ17"/>
    <mergeCell ref="WZA17:WZD17"/>
    <mergeCell ref="WZE17:WZH17"/>
    <mergeCell ref="WZI17:WZL17"/>
    <mergeCell ref="WXY17:WYB17"/>
    <mergeCell ref="WYC17:WYF17"/>
    <mergeCell ref="WYG17:WYJ17"/>
    <mergeCell ref="GO19:GR19"/>
    <mergeCell ref="GS19:GV19"/>
    <mergeCell ref="GW19:GZ19"/>
    <mergeCell ref="HA19:HD19"/>
    <mergeCell ref="HE19:HH19"/>
    <mergeCell ref="FU19:FX19"/>
    <mergeCell ref="FY19:GB19"/>
    <mergeCell ref="GC19:GF19"/>
    <mergeCell ref="GG19:GJ19"/>
    <mergeCell ref="GK19:GN19"/>
    <mergeCell ref="FA19:FD19"/>
    <mergeCell ref="FE19:FH19"/>
    <mergeCell ref="FI19:FL19"/>
    <mergeCell ref="FM19:FP19"/>
    <mergeCell ref="FQ19:FT19"/>
    <mergeCell ref="EG19:EJ19"/>
    <mergeCell ref="EK19:EN19"/>
    <mergeCell ref="EO19:ER19"/>
    <mergeCell ref="ES19:EV19"/>
    <mergeCell ref="EW19:EZ19"/>
    <mergeCell ref="DM19:DP19"/>
    <mergeCell ref="DQ19:DT19"/>
    <mergeCell ref="DU19:DX19"/>
    <mergeCell ref="DY19:EB19"/>
    <mergeCell ref="EC19:EF19"/>
    <mergeCell ref="CS19:CV19"/>
    <mergeCell ref="CW19:CZ19"/>
    <mergeCell ref="DA19:DD19"/>
    <mergeCell ref="DE19:DH19"/>
    <mergeCell ref="DI19:DL19"/>
    <mergeCell ref="BY19:CB19"/>
    <mergeCell ref="CC19:CF19"/>
    <mergeCell ref="CG19:CJ19"/>
    <mergeCell ref="CK19:CN19"/>
    <mergeCell ref="CO19:CR19"/>
    <mergeCell ref="LY19:MB19"/>
    <mergeCell ref="MC19:MF19"/>
    <mergeCell ref="MG19:MJ19"/>
    <mergeCell ref="MK19:MN19"/>
    <mergeCell ref="MO19:MR19"/>
    <mergeCell ref="LE19:LH19"/>
    <mergeCell ref="LI19:LL19"/>
    <mergeCell ref="LM19:LP19"/>
    <mergeCell ref="LQ19:LT19"/>
    <mergeCell ref="LU19:LX19"/>
    <mergeCell ref="KK19:KN19"/>
    <mergeCell ref="KO19:KR19"/>
    <mergeCell ref="KS19:KV19"/>
    <mergeCell ref="KW19:KZ19"/>
    <mergeCell ref="LA19:LD19"/>
    <mergeCell ref="JQ19:JT19"/>
    <mergeCell ref="JU19:JX19"/>
    <mergeCell ref="JY19:KB19"/>
    <mergeCell ref="KC19:KF19"/>
    <mergeCell ref="KG19:KJ19"/>
    <mergeCell ref="IW19:IZ19"/>
    <mergeCell ref="JA19:JD19"/>
    <mergeCell ref="JE19:JH19"/>
    <mergeCell ref="JI19:JL19"/>
    <mergeCell ref="JM19:JP19"/>
    <mergeCell ref="IC19:IF19"/>
    <mergeCell ref="IG19:IJ19"/>
    <mergeCell ref="IK19:IN19"/>
    <mergeCell ref="IO19:IR19"/>
    <mergeCell ref="IS19:IV19"/>
    <mergeCell ref="HI19:HL19"/>
    <mergeCell ref="HM19:HP19"/>
    <mergeCell ref="HQ19:HT19"/>
    <mergeCell ref="HU19:HX19"/>
    <mergeCell ref="HY19:IB19"/>
    <mergeCell ref="RI19:RL19"/>
    <mergeCell ref="RM19:RP19"/>
    <mergeCell ref="RQ19:RT19"/>
    <mergeCell ref="RU19:RX19"/>
    <mergeCell ref="RY19:SB19"/>
    <mergeCell ref="QO19:QR19"/>
    <mergeCell ref="QS19:QV19"/>
    <mergeCell ref="QW19:QZ19"/>
    <mergeCell ref="RA19:RD19"/>
    <mergeCell ref="RE19:RH19"/>
    <mergeCell ref="PU19:PX19"/>
    <mergeCell ref="PY19:QB19"/>
    <mergeCell ref="QC19:QF19"/>
    <mergeCell ref="QG19:QJ19"/>
    <mergeCell ref="QK19:QN19"/>
    <mergeCell ref="PA19:PD19"/>
    <mergeCell ref="PE19:PH19"/>
    <mergeCell ref="PI19:PL19"/>
    <mergeCell ref="PM19:PP19"/>
    <mergeCell ref="PQ19:PT19"/>
    <mergeCell ref="OG19:OJ19"/>
    <mergeCell ref="OK19:ON19"/>
    <mergeCell ref="OO19:OR19"/>
    <mergeCell ref="OS19:OV19"/>
    <mergeCell ref="OW19:OZ19"/>
    <mergeCell ref="NM19:NP19"/>
    <mergeCell ref="NQ19:NT19"/>
    <mergeCell ref="NU19:NX19"/>
    <mergeCell ref="NY19:OB19"/>
    <mergeCell ref="OC19:OF19"/>
    <mergeCell ref="MS19:MV19"/>
    <mergeCell ref="MW19:MZ19"/>
    <mergeCell ref="NA19:ND19"/>
    <mergeCell ref="NE19:NH19"/>
    <mergeCell ref="NI19:NL19"/>
    <mergeCell ref="WS19:WV19"/>
    <mergeCell ref="WW19:WZ19"/>
    <mergeCell ref="XA19:XD19"/>
    <mergeCell ref="XE19:XH19"/>
    <mergeCell ref="XI19:XL19"/>
    <mergeCell ref="VY19:WB19"/>
    <mergeCell ref="WC19:WF19"/>
    <mergeCell ref="WG19:WJ19"/>
    <mergeCell ref="WK19:WN19"/>
    <mergeCell ref="WO19:WR19"/>
    <mergeCell ref="VE19:VH19"/>
    <mergeCell ref="VI19:VL19"/>
    <mergeCell ref="VM19:VP19"/>
    <mergeCell ref="VQ19:VT19"/>
    <mergeCell ref="VU19:VX19"/>
    <mergeCell ref="UK19:UN19"/>
    <mergeCell ref="UO19:UR19"/>
    <mergeCell ref="US19:UV19"/>
    <mergeCell ref="UW19:UZ19"/>
    <mergeCell ref="VA19:VD19"/>
    <mergeCell ref="TQ19:TT19"/>
    <mergeCell ref="TU19:TX19"/>
    <mergeCell ref="TY19:UB19"/>
    <mergeCell ref="UC19:UF19"/>
    <mergeCell ref="UG19:UJ19"/>
    <mergeCell ref="SW19:SZ19"/>
    <mergeCell ref="TA19:TD19"/>
    <mergeCell ref="TE19:TH19"/>
    <mergeCell ref="TI19:TL19"/>
    <mergeCell ref="TM19:TP19"/>
    <mergeCell ref="SC19:SF19"/>
    <mergeCell ref="SG19:SJ19"/>
    <mergeCell ref="SK19:SN19"/>
    <mergeCell ref="SO19:SR19"/>
    <mergeCell ref="SS19:SV19"/>
    <mergeCell ref="ACC19:ACF19"/>
    <mergeCell ref="ACG19:ACJ19"/>
    <mergeCell ref="ACK19:ACN19"/>
    <mergeCell ref="ACO19:ACR19"/>
    <mergeCell ref="ACS19:ACV19"/>
    <mergeCell ref="ABI19:ABL19"/>
    <mergeCell ref="ABM19:ABP19"/>
    <mergeCell ref="ABQ19:ABT19"/>
    <mergeCell ref="ABU19:ABX19"/>
    <mergeCell ref="ABY19:ACB19"/>
    <mergeCell ref="AAO19:AAR19"/>
    <mergeCell ref="AAS19:AAV19"/>
    <mergeCell ref="AAW19:AAZ19"/>
    <mergeCell ref="ABA19:ABD19"/>
    <mergeCell ref="ABE19:ABH19"/>
    <mergeCell ref="ZU19:ZX19"/>
    <mergeCell ref="ZY19:AAB19"/>
    <mergeCell ref="AAC19:AAF19"/>
    <mergeCell ref="AAG19:AAJ19"/>
    <mergeCell ref="AAK19:AAN19"/>
    <mergeCell ref="ZA19:ZD19"/>
    <mergeCell ref="ZE19:ZH19"/>
    <mergeCell ref="ZI19:ZL19"/>
    <mergeCell ref="ZM19:ZP19"/>
    <mergeCell ref="ZQ19:ZT19"/>
    <mergeCell ref="YG19:YJ19"/>
    <mergeCell ref="YK19:YN19"/>
    <mergeCell ref="YO19:YR19"/>
    <mergeCell ref="YS19:YV19"/>
    <mergeCell ref="YW19:YZ19"/>
    <mergeCell ref="XM19:XP19"/>
    <mergeCell ref="XQ19:XT19"/>
    <mergeCell ref="XU19:XX19"/>
    <mergeCell ref="XY19:YB19"/>
    <mergeCell ref="YC19:YF19"/>
    <mergeCell ref="AHM19:AHP19"/>
    <mergeCell ref="AHQ19:AHT19"/>
    <mergeCell ref="AHU19:AHX19"/>
    <mergeCell ref="AHY19:AIB19"/>
    <mergeCell ref="AIC19:AIF19"/>
    <mergeCell ref="AGS19:AGV19"/>
    <mergeCell ref="AGW19:AGZ19"/>
    <mergeCell ref="AHA19:AHD19"/>
    <mergeCell ref="AHE19:AHH19"/>
    <mergeCell ref="AHI19:AHL19"/>
    <mergeCell ref="AFY19:AGB19"/>
    <mergeCell ref="AGC19:AGF19"/>
    <mergeCell ref="AGG19:AGJ19"/>
    <mergeCell ref="AGK19:AGN19"/>
    <mergeCell ref="AGO19:AGR19"/>
    <mergeCell ref="AFE19:AFH19"/>
    <mergeCell ref="AFI19:AFL19"/>
    <mergeCell ref="AFM19:AFP19"/>
    <mergeCell ref="AFQ19:AFT19"/>
    <mergeCell ref="AFU19:AFX19"/>
    <mergeCell ref="AEK19:AEN19"/>
    <mergeCell ref="AEO19:AER19"/>
    <mergeCell ref="AES19:AEV19"/>
    <mergeCell ref="AEW19:AEZ19"/>
    <mergeCell ref="AFA19:AFD19"/>
    <mergeCell ref="ADQ19:ADT19"/>
    <mergeCell ref="ADU19:ADX19"/>
    <mergeCell ref="ADY19:AEB19"/>
    <mergeCell ref="AEC19:AEF19"/>
    <mergeCell ref="AEG19:AEJ19"/>
    <mergeCell ref="ACW19:ACZ19"/>
    <mergeCell ref="ADA19:ADD19"/>
    <mergeCell ref="ADE19:ADH19"/>
    <mergeCell ref="ADI19:ADL19"/>
    <mergeCell ref="ADM19:ADP19"/>
    <mergeCell ref="AMW19:AMZ19"/>
    <mergeCell ref="ANA19:AND19"/>
    <mergeCell ref="ANE19:ANH19"/>
    <mergeCell ref="ANI19:ANL19"/>
    <mergeCell ref="ANM19:ANP19"/>
    <mergeCell ref="AMC19:AMF19"/>
    <mergeCell ref="AMG19:AMJ19"/>
    <mergeCell ref="AMK19:AMN19"/>
    <mergeCell ref="AMO19:AMR19"/>
    <mergeCell ref="AMS19:AMV19"/>
    <mergeCell ref="ALI19:ALL19"/>
    <mergeCell ref="ALM19:ALP19"/>
    <mergeCell ref="ALQ19:ALT19"/>
    <mergeCell ref="ALU19:ALX19"/>
    <mergeCell ref="ALY19:AMB19"/>
    <mergeCell ref="AKO19:AKR19"/>
    <mergeCell ref="AKS19:AKV19"/>
    <mergeCell ref="AKW19:AKZ19"/>
    <mergeCell ref="ALA19:ALD19"/>
    <mergeCell ref="ALE19:ALH19"/>
    <mergeCell ref="AJU19:AJX19"/>
    <mergeCell ref="AJY19:AKB19"/>
    <mergeCell ref="AKC19:AKF19"/>
    <mergeCell ref="AKG19:AKJ19"/>
    <mergeCell ref="AKK19:AKN19"/>
    <mergeCell ref="AJA19:AJD19"/>
    <mergeCell ref="AJE19:AJH19"/>
    <mergeCell ref="AJI19:AJL19"/>
    <mergeCell ref="AJM19:AJP19"/>
    <mergeCell ref="AJQ19:AJT19"/>
    <mergeCell ref="AIG19:AIJ19"/>
    <mergeCell ref="AIK19:AIN19"/>
    <mergeCell ref="AIO19:AIR19"/>
    <mergeCell ref="AIS19:AIV19"/>
    <mergeCell ref="AIW19:AIZ19"/>
    <mergeCell ref="ASG19:ASJ19"/>
    <mergeCell ref="ASK19:ASN19"/>
    <mergeCell ref="ASO19:ASR19"/>
    <mergeCell ref="ASS19:ASV19"/>
    <mergeCell ref="ASW19:ASZ19"/>
    <mergeCell ref="ARM19:ARP19"/>
    <mergeCell ref="ARQ19:ART19"/>
    <mergeCell ref="ARU19:ARX19"/>
    <mergeCell ref="ARY19:ASB19"/>
    <mergeCell ref="ASC19:ASF19"/>
    <mergeCell ref="AQS19:AQV19"/>
    <mergeCell ref="AQW19:AQZ19"/>
    <mergeCell ref="ARA19:ARD19"/>
    <mergeCell ref="ARE19:ARH19"/>
    <mergeCell ref="ARI19:ARL19"/>
    <mergeCell ref="APY19:AQB19"/>
    <mergeCell ref="AQC19:AQF19"/>
    <mergeCell ref="AQG19:AQJ19"/>
    <mergeCell ref="AQK19:AQN19"/>
    <mergeCell ref="AQO19:AQR19"/>
    <mergeCell ref="APE19:APH19"/>
    <mergeCell ref="API19:APL19"/>
    <mergeCell ref="APM19:APP19"/>
    <mergeCell ref="APQ19:APT19"/>
    <mergeCell ref="APU19:APX19"/>
    <mergeCell ref="AOK19:AON19"/>
    <mergeCell ref="AOO19:AOR19"/>
    <mergeCell ref="AOS19:AOV19"/>
    <mergeCell ref="AOW19:AOZ19"/>
    <mergeCell ref="APA19:APD19"/>
    <mergeCell ref="ANQ19:ANT19"/>
    <mergeCell ref="ANU19:ANX19"/>
    <mergeCell ref="ANY19:AOB19"/>
    <mergeCell ref="AOC19:AOF19"/>
    <mergeCell ref="AOG19:AOJ19"/>
    <mergeCell ref="AXQ19:AXT19"/>
    <mergeCell ref="AXU19:AXX19"/>
    <mergeCell ref="AXY19:AYB19"/>
    <mergeCell ref="AYC19:AYF19"/>
    <mergeCell ref="AYG19:AYJ19"/>
    <mergeCell ref="AWW19:AWZ19"/>
    <mergeCell ref="AXA19:AXD19"/>
    <mergeCell ref="AXE19:AXH19"/>
    <mergeCell ref="AXI19:AXL19"/>
    <mergeCell ref="AXM19:AXP19"/>
    <mergeCell ref="AWC19:AWF19"/>
    <mergeCell ref="AWG19:AWJ19"/>
    <mergeCell ref="AWK19:AWN19"/>
    <mergeCell ref="AWO19:AWR19"/>
    <mergeCell ref="AWS19:AWV19"/>
    <mergeCell ref="AVI19:AVL19"/>
    <mergeCell ref="AVM19:AVP19"/>
    <mergeCell ref="AVQ19:AVT19"/>
    <mergeCell ref="AVU19:AVX19"/>
    <mergeCell ref="AVY19:AWB19"/>
    <mergeCell ref="AUO19:AUR19"/>
    <mergeCell ref="AUS19:AUV19"/>
    <mergeCell ref="AUW19:AUZ19"/>
    <mergeCell ref="AVA19:AVD19"/>
    <mergeCell ref="AVE19:AVH19"/>
    <mergeCell ref="ATU19:ATX19"/>
    <mergeCell ref="ATY19:AUB19"/>
    <mergeCell ref="AUC19:AUF19"/>
    <mergeCell ref="AUG19:AUJ19"/>
    <mergeCell ref="AUK19:AUN19"/>
    <mergeCell ref="ATA19:ATD19"/>
    <mergeCell ref="ATE19:ATH19"/>
    <mergeCell ref="ATI19:ATL19"/>
    <mergeCell ref="ATM19:ATP19"/>
    <mergeCell ref="ATQ19:ATT19"/>
    <mergeCell ref="BDA19:BDD19"/>
    <mergeCell ref="BDE19:BDH19"/>
    <mergeCell ref="BDI19:BDL19"/>
    <mergeCell ref="BDM19:BDP19"/>
    <mergeCell ref="BDQ19:BDT19"/>
    <mergeCell ref="BCG19:BCJ19"/>
    <mergeCell ref="BCK19:BCN19"/>
    <mergeCell ref="BCO19:BCR19"/>
    <mergeCell ref="BCS19:BCV19"/>
    <mergeCell ref="BCW19:BCZ19"/>
    <mergeCell ref="BBM19:BBP19"/>
    <mergeCell ref="BBQ19:BBT19"/>
    <mergeCell ref="BBU19:BBX19"/>
    <mergeCell ref="BBY19:BCB19"/>
    <mergeCell ref="BCC19:BCF19"/>
    <mergeCell ref="BAS19:BAV19"/>
    <mergeCell ref="BAW19:BAZ19"/>
    <mergeCell ref="BBA19:BBD19"/>
    <mergeCell ref="BBE19:BBH19"/>
    <mergeCell ref="BBI19:BBL19"/>
    <mergeCell ref="AZY19:BAB19"/>
    <mergeCell ref="BAC19:BAF19"/>
    <mergeCell ref="BAG19:BAJ19"/>
    <mergeCell ref="BAK19:BAN19"/>
    <mergeCell ref="BAO19:BAR19"/>
    <mergeCell ref="AZE19:AZH19"/>
    <mergeCell ref="AZI19:AZL19"/>
    <mergeCell ref="AZM19:AZP19"/>
    <mergeCell ref="AZQ19:AZT19"/>
    <mergeCell ref="AZU19:AZX19"/>
    <mergeCell ref="AYK19:AYN19"/>
    <mergeCell ref="AYO19:AYR19"/>
    <mergeCell ref="AYS19:AYV19"/>
    <mergeCell ref="AYW19:AYZ19"/>
    <mergeCell ref="AZA19:AZD19"/>
    <mergeCell ref="BIK19:BIN19"/>
    <mergeCell ref="BIO19:BIR19"/>
    <mergeCell ref="BIS19:BIV19"/>
    <mergeCell ref="BIW19:BIZ19"/>
    <mergeCell ref="BJA19:BJD19"/>
    <mergeCell ref="BHQ19:BHT19"/>
    <mergeCell ref="BHU19:BHX19"/>
    <mergeCell ref="BHY19:BIB19"/>
    <mergeCell ref="BIC19:BIF19"/>
    <mergeCell ref="BIG19:BIJ19"/>
    <mergeCell ref="BGW19:BGZ19"/>
    <mergeCell ref="BHA19:BHD19"/>
    <mergeCell ref="BHE19:BHH19"/>
    <mergeCell ref="BHI19:BHL19"/>
    <mergeCell ref="BHM19:BHP19"/>
    <mergeCell ref="BGC19:BGF19"/>
    <mergeCell ref="BGG19:BGJ19"/>
    <mergeCell ref="BGK19:BGN19"/>
    <mergeCell ref="BGO19:BGR19"/>
    <mergeCell ref="BGS19:BGV19"/>
    <mergeCell ref="BFI19:BFL19"/>
    <mergeCell ref="BFM19:BFP19"/>
    <mergeCell ref="BFQ19:BFT19"/>
    <mergeCell ref="BFU19:BFX19"/>
    <mergeCell ref="BFY19:BGB19"/>
    <mergeCell ref="BEO19:BER19"/>
    <mergeCell ref="BES19:BEV19"/>
    <mergeCell ref="BEW19:BEZ19"/>
    <mergeCell ref="BFA19:BFD19"/>
    <mergeCell ref="BFE19:BFH19"/>
    <mergeCell ref="BDU19:BDX19"/>
    <mergeCell ref="BDY19:BEB19"/>
    <mergeCell ref="BEC19:BEF19"/>
    <mergeCell ref="BEG19:BEJ19"/>
    <mergeCell ref="BEK19:BEN19"/>
    <mergeCell ref="BNU19:BNX19"/>
    <mergeCell ref="BNY19:BOB19"/>
    <mergeCell ref="BOC19:BOF19"/>
    <mergeCell ref="BOG19:BOJ19"/>
    <mergeCell ref="BOK19:BON19"/>
    <mergeCell ref="BNA19:BND19"/>
    <mergeCell ref="BNE19:BNH19"/>
    <mergeCell ref="BNI19:BNL19"/>
    <mergeCell ref="BNM19:BNP19"/>
    <mergeCell ref="BNQ19:BNT19"/>
    <mergeCell ref="BMG19:BMJ19"/>
    <mergeCell ref="BMK19:BMN19"/>
    <mergeCell ref="BMO19:BMR19"/>
    <mergeCell ref="BMS19:BMV19"/>
    <mergeCell ref="BMW19:BMZ19"/>
    <mergeCell ref="BLM19:BLP19"/>
    <mergeCell ref="BLQ19:BLT19"/>
    <mergeCell ref="BLU19:BLX19"/>
    <mergeCell ref="BLY19:BMB19"/>
    <mergeCell ref="BMC19:BMF19"/>
    <mergeCell ref="BKS19:BKV19"/>
    <mergeCell ref="BKW19:BKZ19"/>
    <mergeCell ref="BLA19:BLD19"/>
    <mergeCell ref="BLE19:BLH19"/>
    <mergeCell ref="BLI19:BLL19"/>
    <mergeCell ref="BJY19:BKB19"/>
    <mergeCell ref="BKC19:BKF19"/>
    <mergeCell ref="BKG19:BKJ19"/>
    <mergeCell ref="BKK19:BKN19"/>
    <mergeCell ref="BKO19:BKR19"/>
    <mergeCell ref="BJE19:BJH19"/>
    <mergeCell ref="BJI19:BJL19"/>
    <mergeCell ref="BJM19:BJP19"/>
    <mergeCell ref="BJQ19:BJT19"/>
    <mergeCell ref="BJU19:BJX19"/>
    <mergeCell ref="BTE19:BTH19"/>
    <mergeCell ref="BTI19:BTL19"/>
    <mergeCell ref="BTM19:BTP19"/>
    <mergeCell ref="BTQ19:BTT19"/>
    <mergeCell ref="BTU19:BTX19"/>
    <mergeCell ref="BSK19:BSN19"/>
    <mergeCell ref="BSO19:BSR19"/>
    <mergeCell ref="BSS19:BSV19"/>
    <mergeCell ref="BSW19:BSZ19"/>
    <mergeCell ref="BTA19:BTD19"/>
    <mergeCell ref="BRQ19:BRT19"/>
    <mergeCell ref="BRU19:BRX19"/>
    <mergeCell ref="BRY19:BSB19"/>
    <mergeCell ref="BSC19:BSF19"/>
    <mergeCell ref="BSG19:BSJ19"/>
    <mergeCell ref="BQW19:BQZ19"/>
    <mergeCell ref="BRA19:BRD19"/>
    <mergeCell ref="BRE19:BRH19"/>
    <mergeCell ref="BRI19:BRL19"/>
    <mergeCell ref="BRM19:BRP19"/>
    <mergeCell ref="BQC19:BQF19"/>
    <mergeCell ref="BQG19:BQJ19"/>
    <mergeCell ref="BQK19:BQN19"/>
    <mergeCell ref="BQO19:BQR19"/>
    <mergeCell ref="BQS19:BQV19"/>
    <mergeCell ref="BPI19:BPL19"/>
    <mergeCell ref="BPM19:BPP19"/>
    <mergeCell ref="BPQ19:BPT19"/>
    <mergeCell ref="BPU19:BPX19"/>
    <mergeCell ref="BPY19:BQB19"/>
    <mergeCell ref="BOO19:BOR19"/>
    <mergeCell ref="BOS19:BOV19"/>
    <mergeCell ref="BOW19:BOZ19"/>
    <mergeCell ref="BPA19:BPD19"/>
    <mergeCell ref="BPE19:BPH19"/>
    <mergeCell ref="BYO19:BYR19"/>
    <mergeCell ref="BYS19:BYV19"/>
    <mergeCell ref="BYW19:BYZ19"/>
    <mergeCell ref="BZA19:BZD19"/>
    <mergeCell ref="BZE19:BZH19"/>
    <mergeCell ref="BXU19:BXX19"/>
    <mergeCell ref="BXY19:BYB19"/>
    <mergeCell ref="BYC19:BYF19"/>
    <mergeCell ref="BYG19:BYJ19"/>
    <mergeCell ref="BYK19:BYN19"/>
    <mergeCell ref="BXA19:BXD19"/>
    <mergeCell ref="BXE19:BXH19"/>
    <mergeCell ref="BXI19:BXL19"/>
    <mergeCell ref="BXM19:BXP19"/>
    <mergeCell ref="BXQ19:BXT19"/>
    <mergeCell ref="BWG19:BWJ19"/>
    <mergeCell ref="BWK19:BWN19"/>
    <mergeCell ref="BWO19:BWR19"/>
    <mergeCell ref="BWS19:BWV19"/>
    <mergeCell ref="BWW19:BWZ19"/>
    <mergeCell ref="BVM19:BVP19"/>
    <mergeCell ref="BVQ19:BVT19"/>
    <mergeCell ref="BVU19:BVX19"/>
    <mergeCell ref="BVY19:BWB19"/>
    <mergeCell ref="BWC19:BWF19"/>
    <mergeCell ref="BUS19:BUV19"/>
    <mergeCell ref="BUW19:BUZ19"/>
    <mergeCell ref="BVA19:BVD19"/>
    <mergeCell ref="BVE19:BVH19"/>
    <mergeCell ref="BVI19:BVL19"/>
    <mergeCell ref="BTY19:BUB19"/>
    <mergeCell ref="BUC19:BUF19"/>
    <mergeCell ref="BUG19:BUJ19"/>
    <mergeCell ref="BUK19:BUN19"/>
    <mergeCell ref="BUO19:BUR19"/>
    <mergeCell ref="CDY19:CEB19"/>
    <mergeCell ref="CEC19:CEF19"/>
    <mergeCell ref="CEG19:CEJ19"/>
    <mergeCell ref="CEK19:CEN19"/>
    <mergeCell ref="CEO19:CER19"/>
    <mergeCell ref="CDE19:CDH19"/>
    <mergeCell ref="CDI19:CDL19"/>
    <mergeCell ref="CDM19:CDP19"/>
    <mergeCell ref="CDQ19:CDT19"/>
    <mergeCell ref="CDU19:CDX19"/>
    <mergeCell ref="CCK19:CCN19"/>
    <mergeCell ref="CCO19:CCR19"/>
    <mergeCell ref="CCS19:CCV19"/>
    <mergeCell ref="CCW19:CCZ19"/>
    <mergeCell ref="CDA19:CDD19"/>
    <mergeCell ref="CBQ19:CBT19"/>
    <mergeCell ref="CBU19:CBX19"/>
    <mergeCell ref="CBY19:CCB19"/>
    <mergeCell ref="CCC19:CCF19"/>
    <mergeCell ref="CCG19:CCJ19"/>
    <mergeCell ref="CAW19:CAZ19"/>
    <mergeCell ref="CBA19:CBD19"/>
    <mergeCell ref="CBE19:CBH19"/>
    <mergeCell ref="CBI19:CBL19"/>
    <mergeCell ref="CBM19:CBP19"/>
    <mergeCell ref="CAC19:CAF19"/>
    <mergeCell ref="CAG19:CAJ19"/>
    <mergeCell ref="CAK19:CAN19"/>
    <mergeCell ref="CAO19:CAR19"/>
    <mergeCell ref="CAS19:CAV19"/>
    <mergeCell ref="BZI19:BZL19"/>
    <mergeCell ref="BZM19:BZP19"/>
    <mergeCell ref="BZQ19:BZT19"/>
    <mergeCell ref="BZU19:BZX19"/>
    <mergeCell ref="BZY19:CAB19"/>
    <mergeCell ref="CJI19:CJL19"/>
    <mergeCell ref="CJM19:CJP19"/>
    <mergeCell ref="CJQ19:CJT19"/>
    <mergeCell ref="CJU19:CJX19"/>
    <mergeCell ref="CJY19:CKB19"/>
    <mergeCell ref="CIO19:CIR19"/>
    <mergeCell ref="CIS19:CIV19"/>
    <mergeCell ref="CIW19:CIZ19"/>
    <mergeCell ref="CJA19:CJD19"/>
    <mergeCell ref="CJE19:CJH19"/>
    <mergeCell ref="CHU19:CHX19"/>
    <mergeCell ref="CHY19:CIB19"/>
    <mergeCell ref="CIC19:CIF19"/>
    <mergeCell ref="CIG19:CIJ19"/>
    <mergeCell ref="CIK19:CIN19"/>
    <mergeCell ref="CHA19:CHD19"/>
    <mergeCell ref="CHE19:CHH19"/>
    <mergeCell ref="CHI19:CHL19"/>
    <mergeCell ref="CHM19:CHP19"/>
    <mergeCell ref="CHQ19:CHT19"/>
    <mergeCell ref="CGG19:CGJ19"/>
    <mergeCell ref="CGK19:CGN19"/>
    <mergeCell ref="CGO19:CGR19"/>
    <mergeCell ref="CGS19:CGV19"/>
    <mergeCell ref="CGW19:CGZ19"/>
    <mergeCell ref="CFM19:CFP19"/>
    <mergeCell ref="CFQ19:CFT19"/>
    <mergeCell ref="CFU19:CFX19"/>
    <mergeCell ref="CFY19:CGB19"/>
    <mergeCell ref="CGC19:CGF19"/>
    <mergeCell ref="CES19:CEV19"/>
    <mergeCell ref="CEW19:CEZ19"/>
    <mergeCell ref="CFA19:CFD19"/>
    <mergeCell ref="CFE19:CFH19"/>
    <mergeCell ref="CFI19:CFL19"/>
    <mergeCell ref="COS19:COV19"/>
    <mergeCell ref="COW19:COZ19"/>
    <mergeCell ref="CPA19:CPD19"/>
    <mergeCell ref="CPE19:CPH19"/>
    <mergeCell ref="CPI19:CPL19"/>
    <mergeCell ref="CNY19:COB19"/>
    <mergeCell ref="COC19:COF19"/>
    <mergeCell ref="COG19:COJ19"/>
    <mergeCell ref="COK19:CON19"/>
    <mergeCell ref="COO19:COR19"/>
    <mergeCell ref="CNE19:CNH19"/>
    <mergeCell ref="CNI19:CNL19"/>
    <mergeCell ref="CNM19:CNP19"/>
    <mergeCell ref="CNQ19:CNT19"/>
    <mergeCell ref="CNU19:CNX19"/>
    <mergeCell ref="CMK19:CMN19"/>
    <mergeCell ref="CMO19:CMR19"/>
    <mergeCell ref="CMS19:CMV19"/>
    <mergeCell ref="CMW19:CMZ19"/>
    <mergeCell ref="CNA19:CND19"/>
    <mergeCell ref="CLQ19:CLT19"/>
    <mergeCell ref="CLU19:CLX19"/>
    <mergeCell ref="CLY19:CMB19"/>
    <mergeCell ref="CMC19:CMF19"/>
    <mergeCell ref="CMG19:CMJ19"/>
    <mergeCell ref="CKW19:CKZ19"/>
    <mergeCell ref="CLA19:CLD19"/>
    <mergeCell ref="CLE19:CLH19"/>
    <mergeCell ref="CLI19:CLL19"/>
    <mergeCell ref="CLM19:CLP19"/>
    <mergeCell ref="CKC19:CKF19"/>
    <mergeCell ref="CKG19:CKJ19"/>
    <mergeCell ref="CKK19:CKN19"/>
    <mergeCell ref="CKO19:CKR19"/>
    <mergeCell ref="CKS19:CKV19"/>
    <mergeCell ref="CUC19:CUF19"/>
    <mergeCell ref="CUG19:CUJ19"/>
    <mergeCell ref="CUK19:CUN19"/>
    <mergeCell ref="CUO19:CUR19"/>
    <mergeCell ref="CUS19:CUV19"/>
    <mergeCell ref="CTI19:CTL19"/>
    <mergeCell ref="CTM19:CTP19"/>
    <mergeCell ref="CTQ19:CTT19"/>
    <mergeCell ref="CTU19:CTX19"/>
    <mergeCell ref="CTY19:CUB19"/>
    <mergeCell ref="CSO19:CSR19"/>
    <mergeCell ref="CSS19:CSV19"/>
    <mergeCell ref="CSW19:CSZ19"/>
    <mergeCell ref="CTA19:CTD19"/>
    <mergeCell ref="CTE19:CTH19"/>
    <mergeCell ref="CRU19:CRX19"/>
    <mergeCell ref="CRY19:CSB19"/>
    <mergeCell ref="CSC19:CSF19"/>
    <mergeCell ref="CSG19:CSJ19"/>
    <mergeCell ref="CSK19:CSN19"/>
    <mergeCell ref="CRA19:CRD19"/>
    <mergeCell ref="CRE19:CRH19"/>
    <mergeCell ref="CRI19:CRL19"/>
    <mergeCell ref="CRM19:CRP19"/>
    <mergeCell ref="CRQ19:CRT19"/>
    <mergeCell ref="CQG19:CQJ19"/>
    <mergeCell ref="CQK19:CQN19"/>
    <mergeCell ref="CQO19:CQR19"/>
    <mergeCell ref="CQS19:CQV19"/>
    <mergeCell ref="CQW19:CQZ19"/>
    <mergeCell ref="CPM19:CPP19"/>
    <mergeCell ref="CPQ19:CPT19"/>
    <mergeCell ref="CPU19:CPX19"/>
    <mergeCell ref="CPY19:CQB19"/>
    <mergeCell ref="CQC19:CQF19"/>
    <mergeCell ref="CZM19:CZP19"/>
    <mergeCell ref="CZQ19:CZT19"/>
    <mergeCell ref="CZU19:CZX19"/>
    <mergeCell ref="CZY19:DAB19"/>
    <mergeCell ref="DAC19:DAF19"/>
    <mergeCell ref="CYS19:CYV19"/>
    <mergeCell ref="CYW19:CYZ19"/>
    <mergeCell ref="CZA19:CZD19"/>
    <mergeCell ref="CZE19:CZH19"/>
    <mergeCell ref="CZI19:CZL19"/>
    <mergeCell ref="CXY19:CYB19"/>
    <mergeCell ref="CYC19:CYF19"/>
    <mergeCell ref="CYG19:CYJ19"/>
    <mergeCell ref="CYK19:CYN19"/>
    <mergeCell ref="CYO19:CYR19"/>
    <mergeCell ref="CXE19:CXH19"/>
    <mergeCell ref="CXI19:CXL19"/>
    <mergeCell ref="CXM19:CXP19"/>
    <mergeCell ref="CXQ19:CXT19"/>
    <mergeCell ref="CXU19:CXX19"/>
    <mergeCell ref="CWK19:CWN19"/>
    <mergeCell ref="CWO19:CWR19"/>
    <mergeCell ref="CWS19:CWV19"/>
    <mergeCell ref="CWW19:CWZ19"/>
    <mergeCell ref="CXA19:CXD19"/>
    <mergeCell ref="CVQ19:CVT19"/>
    <mergeCell ref="CVU19:CVX19"/>
    <mergeCell ref="CVY19:CWB19"/>
    <mergeCell ref="CWC19:CWF19"/>
    <mergeCell ref="CWG19:CWJ19"/>
    <mergeCell ref="CUW19:CUZ19"/>
    <mergeCell ref="CVA19:CVD19"/>
    <mergeCell ref="CVE19:CVH19"/>
    <mergeCell ref="CVI19:CVL19"/>
    <mergeCell ref="CVM19:CVP19"/>
    <mergeCell ref="DEW19:DEZ19"/>
    <mergeCell ref="DFA19:DFD19"/>
    <mergeCell ref="DFE19:DFH19"/>
    <mergeCell ref="DFI19:DFL19"/>
    <mergeCell ref="DFM19:DFP19"/>
    <mergeCell ref="DEC19:DEF19"/>
    <mergeCell ref="DEG19:DEJ19"/>
    <mergeCell ref="DEK19:DEN19"/>
    <mergeCell ref="DEO19:DER19"/>
    <mergeCell ref="DES19:DEV19"/>
    <mergeCell ref="DDI19:DDL19"/>
    <mergeCell ref="DDM19:DDP19"/>
    <mergeCell ref="DDQ19:DDT19"/>
    <mergeCell ref="DDU19:DDX19"/>
    <mergeCell ref="DDY19:DEB19"/>
    <mergeCell ref="DCO19:DCR19"/>
    <mergeCell ref="DCS19:DCV19"/>
    <mergeCell ref="DCW19:DCZ19"/>
    <mergeCell ref="DDA19:DDD19"/>
    <mergeCell ref="DDE19:DDH19"/>
    <mergeCell ref="DBU19:DBX19"/>
    <mergeCell ref="DBY19:DCB19"/>
    <mergeCell ref="DCC19:DCF19"/>
    <mergeCell ref="DCG19:DCJ19"/>
    <mergeCell ref="DCK19:DCN19"/>
    <mergeCell ref="DBA19:DBD19"/>
    <mergeCell ref="DBE19:DBH19"/>
    <mergeCell ref="DBI19:DBL19"/>
    <mergeCell ref="DBM19:DBP19"/>
    <mergeCell ref="DBQ19:DBT19"/>
    <mergeCell ref="DAG19:DAJ19"/>
    <mergeCell ref="DAK19:DAN19"/>
    <mergeCell ref="DAO19:DAR19"/>
    <mergeCell ref="DAS19:DAV19"/>
    <mergeCell ref="DAW19:DAZ19"/>
    <mergeCell ref="DKG19:DKJ19"/>
    <mergeCell ref="DKK19:DKN19"/>
    <mergeCell ref="DKO19:DKR19"/>
    <mergeCell ref="DKS19:DKV19"/>
    <mergeCell ref="DKW19:DKZ19"/>
    <mergeCell ref="DJM19:DJP19"/>
    <mergeCell ref="DJQ19:DJT19"/>
    <mergeCell ref="DJU19:DJX19"/>
    <mergeCell ref="DJY19:DKB19"/>
    <mergeCell ref="DKC19:DKF19"/>
    <mergeCell ref="DIS19:DIV19"/>
    <mergeCell ref="DIW19:DIZ19"/>
    <mergeCell ref="DJA19:DJD19"/>
    <mergeCell ref="DJE19:DJH19"/>
    <mergeCell ref="DJI19:DJL19"/>
    <mergeCell ref="DHY19:DIB19"/>
    <mergeCell ref="DIC19:DIF19"/>
    <mergeCell ref="DIG19:DIJ19"/>
    <mergeCell ref="DIK19:DIN19"/>
    <mergeCell ref="DIO19:DIR19"/>
    <mergeCell ref="DHE19:DHH19"/>
    <mergeCell ref="DHI19:DHL19"/>
    <mergeCell ref="DHM19:DHP19"/>
    <mergeCell ref="DHQ19:DHT19"/>
    <mergeCell ref="DHU19:DHX19"/>
    <mergeCell ref="DGK19:DGN19"/>
    <mergeCell ref="DGO19:DGR19"/>
    <mergeCell ref="DGS19:DGV19"/>
    <mergeCell ref="DGW19:DGZ19"/>
    <mergeCell ref="DHA19:DHD19"/>
    <mergeCell ref="DFQ19:DFT19"/>
    <mergeCell ref="DFU19:DFX19"/>
    <mergeCell ref="DFY19:DGB19"/>
    <mergeCell ref="DGC19:DGF19"/>
    <mergeCell ref="DGG19:DGJ19"/>
    <mergeCell ref="DPQ19:DPT19"/>
    <mergeCell ref="DPU19:DPX19"/>
    <mergeCell ref="DPY19:DQB19"/>
    <mergeCell ref="DQC19:DQF19"/>
    <mergeCell ref="DQG19:DQJ19"/>
    <mergeCell ref="DOW19:DOZ19"/>
    <mergeCell ref="DPA19:DPD19"/>
    <mergeCell ref="DPE19:DPH19"/>
    <mergeCell ref="DPI19:DPL19"/>
    <mergeCell ref="DPM19:DPP19"/>
    <mergeCell ref="DOC19:DOF19"/>
    <mergeCell ref="DOG19:DOJ19"/>
    <mergeCell ref="DOK19:DON19"/>
    <mergeCell ref="DOO19:DOR19"/>
    <mergeCell ref="DOS19:DOV19"/>
    <mergeCell ref="DNI19:DNL19"/>
    <mergeCell ref="DNM19:DNP19"/>
    <mergeCell ref="DNQ19:DNT19"/>
    <mergeCell ref="DNU19:DNX19"/>
    <mergeCell ref="DNY19:DOB19"/>
    <mergeCell ref="DMO19:DMR19"/>
    <mergeCell ref="DMS19:DMV19"/>
    <mergeCell ref="DMW19:DMZ19"/>
    <mergeCell ref="DNA19:DND19"/>
    <mergeCell ref="DNE19:DNH19"/>
    <mergeCell ref="DLU19:DLX19"/>
    <mergeCell ref="DLY19:DMB19"/>
    <mergeCell ref="DMC19:DMF19"/>
    <mergeCell ref="DMG19:DMJ19"/>
    <mergeCell ref="DMK19:DMN19"/>
    <mergeCell ref="DLA19:DLD19"/>
    <mergeCell ref="DLE19:DLH19"/>
    <mergeCell ref="DLI19:DLL19"/>
    <mergeCell ref="DLM19:DLP19"/>
    <mergeCell ref="DLQ19:DLT19"/>
    <mergeCell ref="DVA19:DVD19"/>
    <mergeCell ref="DVE19:DVH19"/>
    <mergeCell ref="DVI19:DVL19"/>
    <mergeCell ref="DVM19:DVP19"/>
    <mergeCell ref="DVQ19:DVT19"/>
    <mergeCell ref="DUG19:DUJ19"/>
    <mergeCell ref="DUK19:DUN19"/>
    <mergeCell ref="DUO19:DUR19"/>
    <mergeCell ref="DUS19:DUV19"/>
    <mergeCell ref="DUW19:DUZ19"/>
    <mergeCell ref="DTM19:DTP19"/>
    <mergeCell ref="DTQ19:DTT19"/>
    <mergeCell ref="DTU19:DTX19"/>
    <mergeCell ref="DTY19:DUB19"/>
    <mergeCell ref="DUC19:DUF19"/>
    <mergeCell ref="DSS19:DSV19"/>
    <mergeCell ref="DSW19:DSZ19"/>
    <mergeCell ref="DTA19:DTD19"/>
    <mergeCell ref="DTE19:DTH19"/>
    <mergeCell ref="DTI19:DTL19"/>
    <mergeCell ref="DRY19:DSB19"/>
    <mergeCell ref="DSC19:DSF19"/>
    <mergeCell ref="DSG19:DSJ19"/>
    <mergeCell ref="DSK19:DSN19"/>
    <mergeCell ref="DSO19:DSR19"/>
    <mergeCell ref="DRE19:DRH19"/>
    <mergeCell ref="DRI19:DRL19"/>
    <mergeCell ref="DRM19:DRP19"/>
    <mergeCell ref="DRQ19:DRT19"/>
    <mergeCell ref="DRU19:DRX19"/>
    <mergeCell ref="DQK19:DQN19"/>
    <mergeCell ref="DQO19:DQR19"/>
    <mergeCell ref="DQS19:DQV19"/>
    <mergeCell ref="DQW19:DQZ19"/>
    <mergeCell ref="DRA19:DRD19"/>
    <mergeCell ref="EAK19:EAN19"/>
    <mergeCell ref="EAO19:EAR19"/>
    <mergeCell ref="EAS19:EAV19"/>
    <mergeCell ref="EAW19:EAZ19"/>
    <mergeCell ref="EBA19:EBD19"/>
    <mergeCell ref="DZQ19:DZT19"/>
    <mergeCell ref="DZU19:DZX19"/>
    <mergeCell ref="DZY19:EAB19"/>
    <mergeCell ref="EAC19:EAF19"/>
    <mergeCell ref="EAG19:EAJ19"/>
    <mergeCell ref="DYW19:DYZ19"/>
    <mergeCell ref="DZA19:DZD19"/>
    <mergeCell ref="DZE19:DZH19"/>
    <mergeCell ref="DZI19:DZL19"/>
    <mergeCell ref="DZM19:DZP19"/>
    <mergeCell ref="DYC19:DYF19"/>
    <mergeCell ref="DYG19:DYJ19"/>
    <mergeCell ref="DYK19:DYN19"/>
    <mergeCell ref="DYO19:DYR19"/>
    <mergeCell ref="DYS19:DYV19"/>
    <mergeCell ref="DXI19:DXL19"/>
    <mergeCell ref="DXM19:DXP19"/>
    <mergeCell ref="DXQ19:DXT19"/>
    <mergeCell ref="DXU19:DXX19"/>
    <mergeCell ref="DXY19:DYB19"/>
    <mergeCell ref="DWO19:DWR19"/>
    <mergeCell ref="DWS19:DWV19"/>
    <mergeCell ref="DWW19:DWZ19"/>
    <mergeCell ref="DXA19:DXD19"/>
    <mergeCell ref="DXE19:DXH19"/>
    <mergeCell ref="DVU19:DVX19"/>
    <mergeCell ref="DVY19:DWB19"/>
    <mergeCell ref="DWC19:DWF19"/>
    <mergeCell ref="DWG19:DWJ19"/>
    <mergeCell ref="DWK19:DWN19"/>
    <mergeCell ref="EFU19:EFX19"/>
    <mergeCell ref="EFY19:EGB19"/>
    <mergeCell ref="EGC19:EGF19"/>
    <mergeCell ref="EGG19:EGJ19"/>
    <mergeCell ref="EGK19:EGN19"/>
    <mergeCell ref="EFA19:EFD19"/>
    <mergeCell ref="EFE19:EFH19"/>
    <mergeCell ref="EFI19:EFL19"/>
    <mergeCell ref="EFM19:EFP19"/>
    <mergeCell ref="EFQ19:EFT19"/>
    <mergeCell ref="EEG19:EEJ19"/>
    <mergeCell ref="EEK19:EEN19"/>
    <mergeCell ref="EEO19:EER19"/>
    <mergeCell ref="EES19:EEV19"/>
    <mergeCell ref="EEW19:EEZ19"/>
    <mergeCell ref="EDM19:EDP19"/>
    <mergeCell ref="EDQ19:EDT19"/>
    <mergeCell ref="EDU19:EDX19"/>
    <mergeCell ref="EDY19:EEB19"/>
    <mergeCell ref="EEC19:EEF19"/>
    <mergeCell ref="ECS19:ECV19"/>
    <mergeCell ref="ECW19:ECZ19"/>
    <mergeCell ref="EDA19:EDD19"/>
    <mergeCell ref="EDE19:EDH19"/>
    <mergeCell ref="EDI19:EDL19"/>
    <mergeCell ref="EBY19:ECB19"/>
    <mergeCell ref="ECC19:ECF19"/>
    <mergeCell ref="ECG19:ECJ19"/>
    <mergeCell ref="ECK19:ECN19"/>
    <mergeCell ref="ECO19:ECR19"/>
    <mergeCell ref="EBE19:EBH19"/>
    <mergeCell ref="EBI19:EBL19"/>
    <mergeCell ref="EBM19:EBP19"/>
    <mergeCell ref="EBQ19:EBT19"/>
    <mergeCell ref="EBU19:EBX19"/>
    <mergeCell ref="ELE19:ELH19"/>
    <mergeCell ref="ELI19:ELL19"/>
    <mergeCell ref="ELM19:ELP19"/>
    <mergeCell ref="ELQ19:ELT19"/>
    <mergeCell ref="ELU19:ELX19"/>
    <mergeCell ref="EKK19:EKN19"/>
    <mergeCell ref="EKO19:EKR19"/>
    <mergeCell ref="EKS19:EKV19"/>
    <mergeCell ref="EKW19:EKZ19"/>
    <mergeCell ref="ELA19:ELD19"/>
    <mergeCell ref="EJQ19:EJT19"/>
    <mergeCell ref="EJU19:EJX19"/>
    <mergeCell ref="EJY19:EKB19"/>
    <mergeCell ref="EKC19:EKF19"/>
    <mergeCell ref="EKG19:EKJ19"/>
    <mergeCell ref="EIW19:EIZ19"/>
    <mergeCell ref="EJA19:EJD19"/>
    <mergeCell ref="EJE19:EJH19"/>
    <mergeCell ref="EJI19:EJL19"/>
    <mergeCell ref="EJM19:EJP19"/>
    <mergeCell ref="EIC19:EIF19"/>
    <mergeCell ref="EIG19:EIJ19"/>
    <mergeCell ref="EIK19:EIN19"/>
    <mergeCell ref="EIO19:EIR19"/>
    <mergeCell ref="EIS19:EIV19"/>
    <mergeCell ref="EHI19:EHL19"/>
    <mergeCell ref="EHM19:EHP19"/>
    <mergeCell ref="EHQ19:EHT19"/>
    <mergeCell ref="EHU19:EHX19"/>
    <mergeCell ref="EHY19:EIB19"/>
    <mergeCell ref="EGO19:EGR19"/>
    <mergeCell ref="EGS19:EGV19"/>
    <mergeCell ref="EGW19:EGZ19"/>
    <mergeCell ref="EHA19:EHD19"/>
    <mergeCell ref="EHE19:EHH19"/>
    <mergeCell ref="EQO19:EQR19"/>
    <mergeCell ref="EQS19:EQV19"/>
    <mergeCell ref="EQW19:EQZ19"/>
    <mergeCell ref="ERA19:ERD19"/>
    <mergeCell ref="ERE19:ERH19"/>
    <mergeCell ref="EPU19:EPX19"/>
    <mergeCell ref="EPY19:EQB19"/>
    <mergeCell ref="EQC19:EQF19"/>
    <mergeCell ref="EQG19:EQJ19"/>
    <mergeCell ref="EQK19:EQN19"/>
    <mergeCell ref="EPA19:EPD19"/>
    <mergeCell ref="EPE19:EPH19"/>
    <mergeCell ref="EPI19:EPL19"/>
    <mergeCell ref="EPM19:EPP19"/>
    <mergeCell ref="EPQ19:EPT19"/>
    <mergeCell ref="EOG19:EOJ19"/>
    <mergeCell ref="EOK19:EON19"/>
    <mergeCell ref="EOO19:EOR19"/>
    <mergeCell ref="EOS19:EOV19"/>
    <mergeCell ref="EOW19:EOZ19"/>
    <mergeCell ref="ENM19:ENP19"/>
    <mergeCell ref="ENQ19:ENT19"/>
    <mergeCell ref="ENU19:ENX19"/>
    <mergeCell ref="ENY19:EOB19"/>
    <mergeCell ref="EOC19:EOF19"/>
    <mergeCell ref="EMS19:EMV19"/>
    <mergeCell ref="EMW19:EMZ19"/>
    <mergeCell ref="ENA19:END19"/>
    <mergeCell ref="ENE19:ENH19"/>
    <mergeCell ref="ENI19:ENL19"/>
    <mergeCell ref="ELY19:EMB19"/>
    <mergeCell ref="EMC19:EMF19"/>
    <mergeCell ref="EMG19:EMJ19"/>
    <mergeCell ref="EMK19:EMN19"/>
    <mergeCell ref="EMO19:EMR19"/>
    <mergeCell ref="EVY19:EWB19"/>
    <mergeCell ref="EWC19:EWF19"/>
    <mergeCell ref="EWG19:EWJ19"/>
    <mergeCell ref="EWK19:EWN19"/>
    <mergeCell ref="EWO19:EWR19"/>
    <mergeCell ref="EVE19:EVH19"/>
    <mergeCell ref="EVI19:EVL19"/>
    <mergeCell ref="EVM19:EVP19"/>
    <mergeCell ref="EVQ19:EVT19"/>
    <mergeCell ref="EVU19:EVX19"/>
    <mergeCell ref="EUK19:EUN19"/>
    <mergeCell ref="EUO19:EUR19"/>
    <mergeCell ref="EUS19:EUV19"/>
    <mergeCell ref="EUW19:EUZ19"/>
    <mergeCell ref="EVA19:EVD19"/>
    <mergeCell ref="ETQ19:ETT19"/>
    <mergeCell ref="ETU19:ETX19"/>
    <mergeCell ref="ETY19:EUB19"/>
    <mergeCell ref="EUC19:EUF19"/>
    <mergeCell ref="EUG19:EUJ19"/>
    <mergeCell ref="ESW19:ESZ19"/>
    <mergeCell ref="ETA19:ETD19"/>
    <mergeCell ref="ETE19:ETH19"/>
    <mergeCell ref="ETI19:ETL19"/>
    <mergeCell ref="ETM19:ETP19"/>
    <mergeCell ref="ESC19:ESF19"/>
    <mergeCell ref="ESG19:ESJ19"/>
    <mergeCell ref="ESK19:ESN19"/>
    <mergeCell ref="ESO19:ESR19"/>
    <mergeCell ref="ESS19:ESV19"/>
    <mergeCell ref="ERI19:ERL19"/>
    <mergeCell ref="ERM19:ERP19"/>
    <mergeCell ref="ERQ19:ERT19"/>
    <mergeCell ref="ERU19:ERX19"/>
    <mergeCell ref="ERY19:ESB19"/>
    <mergeCell ref="FBI19:FBL19"/>
    <mergeCell ref="FBM19:FBP19"/>
    <mergeCell ref="FBQ19:FBT19"/>
    <mergeCell ref="FBU19:FBX19"/>
    <mergeCell ref="FBY19:FCB19"/>
    <mergeCell ref="FAO19:FAR19"/>
    <mergeCell ref="FAS19:FAV19"/>
    <mergeCell ref="FAW19:FAZ19"/>
    <mergeCell ref="FBA19:FBD19"/>
    <mergeCell ref="FBE19:FBH19"/>
    <mergeCell ref="EZU19:EZX19"/>
    <mergeCell ref="EZY19:FAB19"/>
    <mergeCell ref="FAC19:FAF19"/>
    <mergeCell ref="FAG19:FAJ19"/>
    <mergeCell ref="FAK19:FAN19"/>
    <mergeCell ref="EZA19:EZD19"/>
    <mergeCell ref="EZE19:EZH19"/>
    <mergeCell ref="EZI19:EZL19"/>
    <mergeCell ref="EZM19:EZP19"/>
    <mergeCell ref="EZQ19:EZT19"/>
    <mergeCell ref="EYG19:EYJ19"/>
    <mergeCell ref="EYK19:EYN19"/>
    <mergeCell ref="EYO19:EYR19"/>
    <mergeCell ref="EYS19:EYV19"/>
    <mergeCell ref="EYW19:EYZ19"/>
    <mergeCell ref="EXM19:EXP19"/>
    <mergeCell ref="EXQ19:EXT19"/>
    <mergeCell ref="EXU19:EXX19"/>
    <mergeCell ref="EXY19:EYB19"/>
    <mergeCell ref="EYC19:EYF19"/>
    <mergeCell ref="EWS19:EWV19"/>
    <mergeCell ref="EWW19:EWZ19"/>
    <mergeCell ref="EXA19:EXD19"/>
    <mergeCell ref="EXE19:EXH19"/>
    <mergeCell ref="EXI19:EXL19"/>
    <mergeCell ref="FGS19:FGV19"/>
    <mergeCell ref="FGW19:FGZ19"/>
    <mergeCell ref="FHA19:FHD19"/>
    <mergeCell ref="FHE19:FHH19"/>
    <mergeCell ref="FHI19:FHL19"/>
    <mergeCell ref="FFY19:FGB19"/>
    <mergeCell ref="FGC19:FGF19"/>
    <mergeCell ref="FGG19:FGJ19"/>
    <mergeCell ref="FGK19:FGN19"/>
    <mergeCell ref="FGO19:FGR19"/>
    <mergeCell ref="FFE19:FFH19"/>
    <mergeCell ref="FFI19:FFL19"/>
    <mergeCell ref="FFM19:FFP19"/>
    <mergeCell ref="FFQ19:FFT19"/>
    <mergeCell ref="FFU19:FFX19"/>
    <mergeCell ref="FEK19:FEN19"/>
    <mergeCell ref="FEO19:FER19"/>
    <mergeCell ref="FES19:FEV19"/>
    <mergeCell ref="FEW19:FEZ19"/>
    <mergeCell ref="FFA19:FFD19"/>
    <mergeCell ref="FDQ19:FDT19"/>
    <mergeCell ref="FDU19:FDX19"/>
    <mergeCell ref="FDY19:FEB19"/>
    <mergeCell ref="FEC19:FEF19"/>
    <mergeCell ref="FEG19:FEJ19"/>
    <mergeCell ref="FCW19:FCZ19"/>
    <mergeCell ref="FDA19:FDD19"/>
    <mergeCell ref="FDE19:FDH19"/>
    <mergeCell ref="FDI19:FDL19"/>
    <mergeCell ref="FDM19:FDP19"/>
    <mergeCell ref="FCC19:FCF19"/>
    <mergeCell ref="FCG19:FCJ19"/>
    <mergeCell ref="FCK19:FCN19"/>
    <mergeCell ref="FCO19:FCR19"/>
    <mergeCell ref="FCS19:FCV19"/>
    <mergeCell ref="FMC19:FMF19"/>
    <mergeCell ref="FMG19:FMJ19"/>
    <mergeCell ref="FMK19:FMN19"/>
    <mergeCell ref="FMO19:FMR19"/>
    <mergeCell ref="FMS19:FMV19"/>
    <mergeCell ref="FLI19:FLL19"/>
    <mergeCell ref="FLM19:FLP19"/>
    <mergeCell ref="FLQ19:FLT19"/>
    <mergeCell ref="FLU19:FLX19"/>
    <mergeCell ref="FLY19:FMB19"/>
    <mergeCell ref="FKO19:FKR19"/>
    <mergeCell ref="FKS19:FKV19"/>
    <mergeCell ref="FKW19:FKZ19"/>
    <mergeCell ref="FLA19:FLD19"/>
    <mergeCell ref="FLE19:FLH19"/>
    <mergeCell ref="FJU19:FJX19"/>
    <mergeCell ref="FJY19:FKB19"/>
    <mergeCell ref="FKC19:FKF19"/>
    <mergeCell ref="FKG19:FKJ19"/>
    <mergeCell ref="FKK19:FKN19"/>
    <mergeCell ref="FJA19:FJD19"/>
    <mergeCell ref="FJE19:FJH19"/>
    <mergeCell ref="FJI19:FJL19"/>
    <mergeCell ref="FJM19:FJP19"/>
    <mergeCell ref="FJQ19:FJT19"/>
    <mergeCell ref="FIG19:FIJ19"/>
    <mergeCell ref="FIK19:FIN19"/>
    <mergeCell ref="FIO19:FIR19"/>
    <mergeCell ref="FIS19:FIV19"/>
    <mergeCell ref="FIW19:FIZ19"/>
    <mergeCell ref="FHM19:FHP19"/>
    <mergeCell ref="FHQ19:FHT19"/>
    <mergeCell ref="FHU19:FHX19"/>
    <mergeCell ref="FHY19:FIB19"/>
    <mergeCell ref="FIC19:FIF19"/>
    <mergeCell ref="FRM19:FRP19"/>
    <mergeCell ref="FRQ19:FRT19"/>
    <mergeCell ref="FRU19:FRX19"/>
    <mergeCell ref="FRY19:FSB19"/>
    <mergeCell ref="FSC19:FSF19"/>
    <mergeCell ref="FQS19:FQV19"/>
    <mergeCell ref="FQW19:FQZ19"/>
    <mergeCell ref="FRA19:FRD19"/>
    <mergeCell ref="FRE19:FRH19"/>
    <mergeCell ref="FRI19:FRL19"/>
    <mergeCell ref="FPY19:FQB19"/>
    <mergeCell ref="FQC19:FQF19"/>
    <mergeCell ref="FQG19:FQJ19"/>
    <mergeCell ref="FQK19:FQN19"/>
    <mergeCell ref="FQO19:FQR19"/>
    <mergeCell ref="FPE19:FPH19"/>
    <mergeCell ref="FPI19:FPL19"/>
    <mergeCell ref="FPM19:FPP19"/>
    <mergeCell ref="FPQ19:FPT19"/>
    <mergeCell ref="FPU19:FPX19"/>
    <mergeCell ref="FOK19:FON19"/>
    <mergeCell ref="FOO19:FOR19"/>
    <mergeCell ref="FOS19:FOV19"/>
    <mergeCell ref="FOW19:FOZ19"/>
    <mergeCell ref="FPA19:FPD19"/>
    <mergeCell ref="FNQ19:FNT19"/>
    <mergeCell ref="FNU19:FNX19"/>
    <mergeCell ref="FNY19:FOB19"/>
    <mergeCell ref="FOC19:FOF19"/>
    <mergeCell ref="FOG19:FOJ19"/>
    <mergeCell ref="FMW19:FMZ19"/>
    <mergeCell ref="FNA19:FND19"/>
    <mergeCell ref="FNE19:FNH19"/>
    <mergeCell ref="FNI19:FNL19"/>
    <mergeCell ref="FNM19:FNP19"/>
    <mergeCell ref="FWW19:FWZ19"/>
    <mergeCell ref="FXA19:FXD19"/>
    <mergeCell ref="FXE19:FXH19"/>
    <mergeCell ref="FXI19:FXL19"/>
    <mergeCell ref="FXM19:FXP19"/>
    <mergeCell ref="FWC19:FWF19"/>
    <mergeCell ref="FWG19:FWJ19"/>
    <mergeCell ref="FWK19:FWN19"/>
    <mergeCell ref="FWO19:FWR19"/>
    <mergeCell ref="FWS19:FWV19"/>
    <mergeCell ref="FVI19:FVL19"/>
    <mergeCell ref="FVM19:FVP19"/>
    <mergeCell ref="FVQ19:FVT19"/>
    <mergeCell ref="FVU19:FVX19"/>
    <mergeCell ref="FVY19:FWB19"/>
    <mergeCell ref="FUO19:FUR19"/>
    <mergeCell ref="FUS19:FUV19"/>
    <mergeCell ref="FUW19:FUZ19"/>
    <mergeCell ref="FVA19:FVD19"/>
    <mergeCell ref="FVE19:FVH19"/>
    <mergeCell ref="FTU19:FTX19"/>
    <mergeCell ref="FTY19:FUB19"/>
    <mergeCell ref="FUC19:FUF19"/>
    <mergeCell ref="FUG19:FUJ19"/>
    <mergeCell ref="FUK19:FUN19"/>
    <mergeCell ref="FTA19:FTD19"/>
    <mergeCell ref="FTE19:FTH19"/>
    <mergeCell ref="FTI19:FTL19"/>
    <mergeCell ref="FTM19:FTP19"/>
    <mergeCell ref="FTQ19:FTT19"/>
    <mergeCell ref="FSG19:FSJ19"/>
    <mergeCell ref="FSK19:FSN19"/>
    <mergeCell ref="FSO19:FSR19"/>
    <mergeCell ref="FSS19:FSV19"/>
    <mergeCell ref="FSW19:FSZ19"/>
    <mergeCell ref="GCG19:GCJ19"/>
    <mergeCell ref="GCK19:GCN19"/>
    <mergeCell ref="GCO19:GCR19"/>
    <mergeCell ref="GCS19:GCV19"/>
    <mergeCell ref="GCW19:GCZ19"/>
    <mergeCell ref="GBM19:GBP19"/>
    <mergeCell ref="GBQ19:GBT19"/>
    <mergeCell ref="GBU19:GBX19"/>
    <mergeCell ref="GBY19:GCB19"/>
    <mergeCell ref="GCC19:GCF19"/>
    <mergeCell ref="GAS19:GAV19"/>
    <mergeCell ref="GAW19:GAZ19"/>
    <mergeCell ref="GBA19:GBD19"/>
    <mergeCell ref="GBE19:GBH19"/>
    <mergeCell ref="GBI19:GBL19"/>
    <mergeCell ref="FZY19:GAB19"/>
    <mergeCell ref="GAC19:GAF19"/>
    <mergeCell ref="GAG19:GAJ19"/>
    <mergeCell ref="GAK19:GAN19"/>
    <mergeCell ref="GAO19:GAR19"/>
    <mergeCell ref="FZE19:FZH19"/>
    <mergeCell ref="FZI19:FZL19"/>
    <mergeCell ref="FZM19:FZP19"/>
    <mergeCell ref="FZQ19:FZT19"/>
    <mergeCell ref="FZU19:FZX19"/>
    <mergeCell ref="FYK19:FYN19"/>
    <mergeCell ref="FYO19:FYR19"/>
    <mergeCell ref="FYS19:FYV19"/>
    <mergeCell ref="FYW19:FYZ19"/>
    <mergeCell ref="FZA19:FZD19"/>
    <mergeCell ref="FXQ19:FXT19"/>
    <mergeCell ref="FXU19:FXX19"/>
    <mergeCell ref="FXY19:FYB19"/>
    <mergeCell ref="FYC19:FYF19"/>
    <mergeCell ref="FYG19:FYJ19"/>
    <mergeCell ref="GHQ19:GHT19"/>
    <mergeCell ref="GHU19:GHX19"/>
    <mergeCell ref="GHY19:GIB19"/>
    <mergeCell ref="GIC19:GIF19"/>
    <mergeCell ref="GIG19:GIJ19"/>
    <mergeCell ref="GGW19:GGZ19"/>
    <mergeCell ref="GHA19:GHD19"/>
    <mergeCell ref="GHE19:GHH19"/>
    <mergeCell ref="GHI19:GHL19"/>
    <mergeCell ref="GHM19:GHP19"/>
    <mergeCell ref="GGC19:GGF19"/>
    <mergeCell ref="GGG19:GGJ19"/>
    <mergeCell ref="GGK19:GGN19"/>
    <mergeCell ref="GGO19:GGR19"/>
    <mergeCell ref="GGS19:GGV19"/>
    <mergeCell ref="GFI19:GFL19"/>
    <mergeCell ref="GFM19:GFP19"/>
    <mergeCell ref="GFQ19:GFT19"/>
    <mergeCell ref="GFU19:GFX19"/>
    <mergeCell ref="GFY19:GGB19"/>
    <mergeCell ref="GEO19:GER19"/>
    <mergeCell ref="GES19:GEV19"/>
    <mergeCell ref="GEW19:GEZ19"/>
    <mergeCell ref="GFA19:GFD19"/>
    <mergeCell ref="GFE19:GFH19"/>
    <mergeCell ref="GDU19:GDX19"/>
    <mergeCell ref="GDY19:GEB19"/>
    <mergeCell ref="GEC19:GEF19"/>
    <mergeCell ref="GEG19:GEJ19"/>
    <mergeCell ref="GEK19:GEN19"/>
    <mergeCell ref="GDA19:GDD19"/>
    <mergeCell ref="GDE19:GDH19"/>
    <mergeCell ref="GDI19:GDL19"/>
    <mergeCell ref="GDM19:GDP19"/>
    <mergeCell ref="GDQ19:GDT19"/>
    <mergeCell ref="GNA19:GND19"/>
    <mergeCell ref="GNE19:GNH19"/>
    <mergeCell ref="GNI19:GNL19"/>
    <mergeCell ref="GNM19:GNP19"/>
    <mergeCell ref="GNQ19:GNT19"/>
    <mergeCell ref="GMG19:GMJ19"/>
    <mergeCell ref="GMK19:GMN19"/>
    <mergeCell ref="GMO19:GMR19"/>
    <mergeCell ref="GMS19:GMV19"/>
    <mergeCell ref="GMW19:GMZ19"/>
    <mergeCell ref="GLM19:GLP19"/>
    <mergeCell ref="GLQ19:GLT19"/>
    <mergeCell ref="GLU19:GLX19"/>
    <mergeCell ref="GLY19:GMB19"/>
    <mergeCell ref="GMC19:GMF19"/>
    <mergeCell ref="GKS19:GKV19"/>
    <mergeCell ref="GKW19:GKZ19"/>
    <mergeCell ref="GLA19:GLD19"/>
    <mergeCell ref="GLE19:GLH19"/>
    <mergeCell ref="GLI19:GLL19"/>
    <mergeCell ref="GJY19:GKB19"/>
    <mergeCell ref="GKC19:GKF19"/>
    <mergeCell ref="GKG19:GKJ19"/>
    <mergeCell ref="GKK19:GKN19"/>
    <mergeCell ref="GKO19:GKR19"/>
    <mergeCell ref="GJE19:GJH19"/>
    <mergeCell ref="GJI19:GJL19"/>
    <mergeCell ref="GJM19:GJP19"/>
    <mergeCell ref="GJQ19:GJT19"/>
    <mergeCell ref="GJU19:GJX19"/>
    <mergeCell ref="GIK19:GIN19"/>
    <mergeCell ref="GIO19:GIR19"/>
    <mergeCell ref="GIS19:GIV19"/>
    <mergeCell ref="GIW19:GIZ19"/>
    <mergeCell ref="GJA19:GJD19"/>
    <mergeCell ref="GSK19:GSN19"/>
    <mergeCell ref="GSO19:GSR19"/>
    <mergeCell ref="GSS19:GSV19"/>
    <mergeCell ref="GSW19:GSZ19"/>
    <mergeCell ref="GTA19:GTD19"/>
    <mergeCell ref="GRQ19:GRT19"/>
    <mergeCell ref="GRU19:GRX19"/>
    <mergeCell ref="GRY19:GSB19"/>
    <mergeCell ref="GSC19:GSF19"/>
    <mergeCell ref="GSG19:GSJ19"/>
    <mergeCell ref="GQW19:GQZ19"/>
    <mergeCell ref="GRA19:GRD19"/>
    <mergeCell ref="GRE19:GRH19"/>
    <mergeCell ref="GRI19:GRL19"/>
    <mergeCell ref="GRM19:GRP19"/>
    <mergeCell ref="GQC19:GQF19"/>
    <mergeCell ref="GQG19:GQJ19"/>
    <mergeCell ref="GQK19:GQN19"/>
    <mergeCell ref="GQO19:GQR19"/>
    <mergeCell ref="GQS19:GQV19"/>
    <mergeCell ref="GPI19:GPL19"/>
    <mergeCell ref="GPM19:GPP19"/>
    <mergeCell ref="GPQ19:GPT19"/>
    <mergeCell ref="GPU19:GPX19"/>
    <mergeCell ref="GPY19:GQB19"/>
    <mergeCell ref="GOO19:GOR19"/>
    <mergeCell ref="GOS19:GOV19"/>
    <mergeCell ref="GOW19:GOZ19"/>
    <mergeCell ref="GPA19:GPD19"/>
    <mergeCell ref="GPE19:GPH19"/>
    <mergeCell ref="GNU19:GNX19"/>
    <mergeCell ref="GNY19:GOB19"/>
    <mergeCell ref="GOC19:GOF19"/>
    <mergeCell ref="GOG19:GOJ19"/>
    <mergeCell ref="GOK19:GON19"/>
    <mergeCell ref="GXU19:GXX19"/>
    <mergeCell ref="GXY19:GYB19"/>
    <mergeCell ref="GYC19:GYF19"/>
    <mergeCell ref="GYG19:GYJ19"/>
    <mergeCell ref="GYK19:GYN19"/>
    <mergeCell ref="GXA19:GXD19"/>
    <mergeCell ref="GXE19:GXH19"/>
    <mergeCell ref="GXI19:GXL19"/>
    <mergeCell ref="GXM19:GXP19"/>
    <mergeCell ref="GXQ19:GXT19"/>
    <mergeCell ref="GWG19:GWJ19"/>
    <mergeCell ref="GWK19:GWN19"/>
    <mergeCell ref="GWO19:GWR19"/>
    <mergeCell ref="GWS19:GWV19"/>
    <mergeCell ref="GWW19:GWZ19"/>
    <mergeCell ref="GVM19:GVP19"/>
    <mergeCell ref="GVQ19:GVT19"/>
    <mergeCell ref="GVU19:GVX19"/>
    <mergeCell ref="GVY19:GWB19"/>
    <mergeCell ref="GWC19:GWF19"/>
    <mergeCell ref="GUS19:GUV19"/>
    <mergeCell ref="GUW19:GUZ19"/>
    <mergeCell ref="GVA19:GVD19"/>
    <mergeCell ref="GVE19:GVH19"/>
    <mergeCell ref="GVI19:GVL19"/>
    <mergeCell ref="GTY19:GUB19"/>
    <mergeCell ref="GUC19:GUF19"/>
    <mergeCell ref="GUG19:GUJ19"/>
    <mergeCell ref="GUK19:GUN19"/>
    <mergeCell ref="GUO19:GUR19"/>
    <mergeCell ref="GTE19:GTH19"/>
    <mergeCell ref="GTI19:GTL19"/>
    <mergeCell ref="GTM19:GTP19"/>
    <mergeCell ref="GTQ19:GTT19"/>
    <mergeCell ref="GTU19:GTX19"/>
    <mergeCell ref="HDE19:HDH19"/>
    <mergeCell ref="HDI19:HDL19"/>
    <mergeCell ref="HDM19:HDP19"/>
    <mergeCell ref="HDQ19:HDT19"/>
    <mergeCell ref="HDU19:HDX19"/>
    <mergeCell ref="HCK19:HCN19"/>
    <mergeCell ref="HCO19:HCR19"/>
    <mergeCell ref="HCS19:HCV19"/>
    <mergeCell ref="HCW19:HCZ19"/>
    <mergeCell ref="HDA19:HDD19"/>
    <mergeCell ref="HBQ19:HBT19"/>
    <mergeCell ref="HBU19:HBX19"/>
    <mergeCell ref="HBY19:HCB19"/>
    <mergeCell ref="HCC19:HCF19"/>
    <mergeCell ref="HCG19:HCJ19"/>
    <mergeCell ref="HAW19:HAZ19"/>
    <mergeCell ref="HBA19:HBD19"/>
    <mergeCell ref="HBE19:HBH19"/>
    <mergeCell ref="HBI19:HBL19"/>
    <mergeCell ref="HBM19:HBP19"/>
    <mergeCell ref="HAC19:HAF19"/>
    <mergeCell ref="HAG19:HAJ19"/>
    <mergeCell ref="HAK19:HAN19"/>
    <mergeCell ref="HAO19:HAR19"/>
    <mergeCell ref="HAS19:HAV19"/>
    <mergeCell ref="GZI19:GZL19"/>
    <mergeCell ref="GZM19:GZP19"/>
    <mergeCell ref="GZQ19:GZT19"/>
    <mergeCell ref="GZU19:GZX19"/>
    <mergeCell ref="GZY19:HAB19"/>
    <mergeCell ref="GYO19:GYR19"/>
    <mergeCell ref="GYS19:GYV19"/>
    <mergeCell ref="GYW19:GYZ19"/>
    <mergeCell ref="GZA19:GZD19"/>
    <mergeCell ref="GZE19:GZH19"/>
    <mergeCell ref="HIO19:HIR19"/>
    <mergeCell ref="HIS19:HIV19"/>
    <mergeCell ref="HIW19:HIZ19"/>
    <mergeCell ref="HJA19:HJD19"/>
    <mergeCell ref="HJE19:HJH19"/>
    <mergeCell ref="HHU19:HHX19"/>
    <mergeCell ref="HHY19:HIB19"/>
    <mergeCell ref="HIC19:HIF19"/>
    <mergeCell ref="HIG19:HIJ19"/>
    <mergeCell ref="HIK19:HIN19"/>
    <mergeCell ref="HHA19:HHD19"/>
    <mergeCell ref="HHE19:HHH19"/>
    <mergeCell ref="HHI19:HHL19"/>
    <mergeCell ref="HHM19:HHP19"/>
    <mergeCell ref="HHQ19:HHT19"/>
    <mergeCell ref="HGG19:HGJ19"/>
    <mergeCell ref="HGK19:HGN19"/>
    <mergeCell ref="HGO19:HGR19"/>
    <mergeCell ref="HGS19:HGV19"/>
    <mergeCell ref="HGW19:HGZ19"/>
    <mergeCell ref="HFM19:HFP19"/>
    <mergeCell ref="HFQ19:HFT19"/>
    <mergeCell ref="HFU19:HFX19"/>
    <mergeCell ref="HFY19:HGB19"/>
    <mergeCell ref="HGC19:HGF19"/>
    <mergeCell ref="HES19:HEV19"/>
    <mergeCell ref="HEW19:HEZ19"/>
    <mergeCell ref="HFA19:HFD19"/>
    <mergeCell ref="HFE19:HFH19"/>
    <mergeCell ref="HFI19:HFL19"/>
    <mergeCell ref="HDY19:HEB19"/>
    <mergeCell ref="HEC19:HEF19"/>
    <mergeCell ref="HEG19:HEJ19"/>
    <mergeCell ref="HEK19:HEN19"/>
    <mergeCell ref="HEO19:HER19"/>
    <mergeCell ref="HNY19:HOB19"/>
    <mergeCell ref="HOC19:HOF19"/>
    <mergeCell ref="HOG19:HOJ19"/>
    <mergeCell ref="HOK19:HON19"/>
    <mergeCell ref="HOO19:HOR19"/>
    <mergeCell ref="HNE19:HNH19"/>
    <mergeCell ref="HNI19:HNL19"/>
    <mergeCell ref="HNM19:HNP19"/>
    <mergeCell ref="HNQ19:HNT19"/>
    <mergeCell ref="HNU19:HNX19"/>
    <mergeCell ref="HMK19:HMN19"/>
    <mergeCell ref="HMO19:HMR19"/>
    <mergeCell ref="HMS19:HMV19"/>
    <mergeCell ref="HMW19:HMZ19"/>
    <mergeCell ref="HNA19:HND19"/>
    <mergeCell ref="HLQ19:HLT19"/>
    <mergeCell ref="HLU19:HLX19"/>
    <mergeCell ref="HLY19:HMB19"/>
    <mergeCell ref="HMC19:HMF19"/>
    <mergeCell ref="HMG19:HMJ19"/>
    <mergeCell ref="HKW19:HKZ19"/>
    <mergeCell ref="HLA19:HLD19"/>
    <mergeCell ref="HLE19:HLH19"/>
    <mergeCell ref="HLI19:HLL19"/>
    <mergeCell ref="HLM19:HLP19"/>
    <mergeCell ref="HKC19:HKF19"/>
    <mergeCell ref="HKG19:HKJ19"/>
    <mergeCell ref="HKK19:HKN19"/>
    <mergeCell ref="HKO19:HKR19"/>
    <mergeCell ref="HKS19:HKV19"/>
    <mergeCell ref="HJI19:HJL19"/>
    <mergeCell ref="HJM19:HJP19"/>
    <mergeCell ref="HJQ19:HJT19"/>
    <mergeCell ref="HJU19:HJX19"/>
    <mergeCell ref="HJY19:HKB19"/>
    <mergeCell ref="HTI19:HTL19"/>
    <mergeCell ref="HTM19:HTP19"/>
    <mergeCell ref="HTQ19:HTT19"/>
    <mergeCell ref="HTU19:HTX19"/>
    <mergeCell ref="HTY19:HUB19"/>
    <mergeCell ref="HSO19:HSR19"/>
    <mergeCell ref="HSS19:HSV19"/>
    <mergeCell ref="HSW19:HSZ19"/>
    <mergeCell ref="HTA19:HTD19"/>
    <mergeCell ref="HTE19:HTH19"/>
    <mergeCell ref="HRU19:HRX19"/>
    <mergeCell ref="HRY19:HSB19"/>
    <mergeCell ref="HSC19:HSF19"/>
    <mergeCell ref="HSG19:HSJ19"/>
    <mergeCell ref="HSK19:HSN19"/>
    <mergeCell ref="HRA19:HRD19"/>
    <mergeCell ref="HRE19:HRH19"/>
    <mergeCell ref="HRI19:HRL19"/>
    <mergeCell ref="HRM19:HRP19"/>
    <mergeCell ref="HRQ19:HRT19"/>
    <mergeCell ref="HQG19:HQJ19"/>
    <mergeCell ref="HQK19:HQN19"/>
    <mergeCell ref="HQO19:HQR19"/>
    <mergeCell ref="HQS19:HQV19"/>
    <mergeCell ref="HQW19:HQZ19"/>
    <mergeCell ref="HPM19:HPP19"/>
    <mergeCell ref="HPQ19:HPT19"/>
    <mergeCell ref="HPU19:HPX19"/>
    <mergeCell ref="HPY19:HQB19"/>
    <mergeCell ref="HQC19:HQF19"/>
    <mergeCell ref="HOS19:HOV19"/>
    <mergeCell ref="HOW19:HOZ19"/>
    <mergeCell ref="HPA19:HPD19"/>
    <mergeCell ref="HPE19:HPH19"/>
    <mergeCell ref="HPI19:HPL19"/>
    <mergeCell ref="HYS19:HYV19"/>
    <mergeCell ref="HYW19:HYZ19"/>
    <mergeCell ref="HZA19:HZD19"/>
    <mergeCell ref="HZE19:HZH19"/>
    <mergeCell ref="HZI19:HZL19"/>
    <mergeCell ref="HXY19:HYB19"/>
    <mergeCell ref="HYC19:HYF19"/>
    <mergeCell ref="HYG19:HYJ19"/>
    <mergeCell ref="HYK19:HYN19"/>
    <mergeCell ref="HYO19:HYR19"/>
    <mergeCell ref="HXE19:HXH19"/>
    <mergeCell ref="HXI19:HXL19"/>
    <mergeCell ref="HXM19:HXP19"/>
    <mergeCell ref="HXQ19:HXT19"/>
    <mergeCell ref="HXU19:HXX19"/>
    <mergeCell ref="HWK19:HWN19"/>
    <mergeCell ref="HWO19:HWR19"/>
    <mergeCell ref="HWS19:HWV19"/>
    <mergeCell ref="HWW19:HWZ19"/>
    <mergeCell ref="HXA19:HXD19"/>
    <mergeCell ref="HVQ19:HVT19"/>
    <mergeCell ref="HVU19:HVX19"/>
    <mergeCell ref="HVY19:HWB19"/>
    <mergeCell ref="HWC19:HWF19"/>
    <mergeCell ref="HWG19:HWJ19"/>
    <mergeCell ref="HUW19:HUZ19"/>
    <mergeCell ref="HVA19:HVD19"/>
    <mergeCell ref="HVE19:HVH19"/>
    <mergeCell ref="HVI19:HVL19"/>
    <mergeCell ref="HVM19:HVP19"/>
    <mergeCell ref="HUC19:HUF19"/>
    <mergeCell ref="HUG19:HUJ19"/>
    <mergeCell ref="HUK19:HUN19"/>
    <mergeCell ref="HUO19:HUR19"/>
    <mergeCell ref="HUS19:HUV19"/>
    <mergeCell ref="IEC19:IEF19"/>
    <mergeCell ref="IEG19:IEJ19"/>
    <mergeCell ref="IEK19:IEN19"/>
    <mergeCell ref="IEO19:IER19"/>
    <mergeCell ref="IES19:IEV19"/>
    <mergeCell ref="IDI19:IDL19"/>
    <mergeCell ref="IDM19:IDP19"/>
    <mergeCell ref="IDQ19:IDT19"/>
    <mergeCell ref="IDU19:IDX19"/>
    <mergeCell ref="IDY19:IEB19"/>
    <mergeCell ref="ICO19:ICR19"/>
    <mergeCell ref="ICS19:ICV19"/>
    <mergeCell ref="ICW19:ICZ19"/>
    <mergeCell ref="IDA19:IDD19"/>
    <mergeCell ref="IDE19:IDH19"/>
    <mergeCell ref="IBU19:IBX19"/>
    <mergeCell ref="IBY19:ICB19"/>
    <mergeCell ref="ICC19:ICF19"/>
    <mergeCell ref="ICG19:ICJ19"/>
    <mergeCell ref="ICK19:ICN19"/>
    <mergeCell ref="IBA19:IBD19"/>
    <mergeCell ref="IBE19:IBH19"/>
    <mergeCell ref="IBI19:IBL19"/>
    <mergeCell ref="IBM19:IBP19"/>
    <mergeCell ref="IBQ19:IBT19"/>
    <mergeCell ref="IAG19:IAJ19"/>
    <mergeCell ref="IAK19:IAN19"/>
    <mergeCell ref="IAO19:IAR19"/>
    <mergeCell ref="IAS19:IAV19"/>
    <mergeCell ref="IAW19:IAZ19"/>
    <mergeCell ref="HZM19:HZP19"/>
    <mergeCell ref="HZQ19:HZT19"/>
    <mergeCell ref="HZU19:HZX19"/>
    <mergeCell ref="HZY19:IAB19"/>
    <mergeCell ref="IAC19:IAF19"/>
    <mergeCell ref="IJM19:IJP19"/>
    <mergeCell ref="IJQ19:IJT19"/>
    <mergeCell ref="IJU19:IJX19"/>
    <mergeCell ref="IJY19:IKB19"/>
    <mergeCell ref="IKC19:IKF19"/>
    <mergeCell ref="IIS19:IIV19"/>
    <mergeCell ref="IIW19:IIZ19"/>
    <mergeCell ref="IJA19:IJD19"/>
    <mergeCell ref="IJE19:IJH19"/>
    <mergeCell ref="IJI19:IJL19"/>
    <mergeCell ref="IHY19:IIB19"/>
    <mergeCell ref="IIC19:IIF19"/>
    <mergeCell ref="IIG19:IIJ19"/>
    <mergeCell ref="IIK19:IIN19"/>
    <mergeCell ref="IIO19:IIR19"/>
    <mergeCell ref="IHE19:IHH19"/>
    <mergeCell ref="IHI19:IHL19"/>
    <mergeCell ref="IHM19:IHP19"/>
    <mergeCell ref="IHQ19:IHT19"/>
    <mergeCell ref="IHU19:IHX19"/>
    <mergeCell ref="IGK19:IGN19"/>
    <mergeCell ref="IGO19:IGR19"/>
    <mergeCell ref="IGS19:IGV19"/>
    <mergeCell ref="IGW19:IGZ19"/>
    <mergeCell ref="IHA19:IHD19"/>
    <mergeCell ref="IFQ19:IFT19"/>
    <mergeCell ref="IFU19:IFX19"/>
    <mergeCell ref="IFY19:IGB19"/>
    <mergeCell ref="IGC19:IGF19"/>
    <mergeCell ref="IGG19:IGJ19"/>
    <mergeCell ref="IEW19:IEZ19"/>
    <mergeCell ref="IFA19:IFD19"/>
    <mergeCell ref="IFE19:IFH19"/>
    <mergeCell ref="IFI19:IFL19"/>
    <mergeCell ref="IFM19:IFP19"/>
    <mergeCell ref="IOW19:IOZ19"/>
    <mergeCell ref="IPA19:IPD19"/>
    <mergeCell ref="IPE19:IPH19"/>
    <mergeCell ref="IPI19:IPL19"/>
    <mergeCell ref="IPM19:IPP19"/>
    <mergeCell ref="IOC19:IOF19"/>
    <mergeCell ref="IOG19:IOJ19"/>
    <mergeCell ref="IOK19:ION19"/>
    <mergeCell ref="IOO19:IOR19"/>
    <mergeCell ref="IOS19:IOV19"/>
    <mergeCell ref="INI19:INL19"/>
    <mergeCell ref="INM19:INP19"/>
    <mergeCell ref="INQ19:INT19"/>
    <mergeCell ref="INU19:INX19"/>
    <mergeCell ref="INY19:IOB19"/>
    <mergeCell ref="IMO19:IMR19"/>
    <mergeCell ref="IMS19:IMV19"/>
    <mergeCell ref="IMW19:IMZ19"/>
    <mergeCell ref="INA19:IND19"/>
    <mergeCell ref="INE19:INH19"/>
    <mergeCell ref="ILU19:ILX19"/>
    <mergeCell ref="ILY19:IMB19"/>
    <mergeCell ref="IMC19:IMF19"/>
    <mergeCell ref="IMG19:IMJ19"/>
    <mergeCell ref="IMK19:IMN19"/>
    <mergeCell ref="ILA19:ILD19"/>
    <mergeCell ref="ILE19:ILH19"/>
    <mergeCell ref="ILI19:ILL19"/>
    <mergeCell ref="ILM19:ILP19"/>
    <mergeCell ref="ILQ19:ILT19"/>
    <mergeCell ref="IKG19:IKJ19"/>
    <mergeCell ref="IKK19:IKN19"/>
    <mergeCell ref="IKO19:IKR19"/>
    <mergeCell ref="IKS19:IKV19"/>
    <mergeCell ref="IKW19:IKZ19"/>
    <mergeCell ref="IUG19:IUJ19"/>
    <mergeCell ref="IUK19:IUN19"/>
    <mergeCell ref="IUO19:IUR19"/>
    <mergeCell ref="IUS19:IUV19"/>
    <mergeCell ref="IUW19:IUZ19"/>
    <mergeCell ref="ITM19:ITP19"/>
    <mergeCell ref="ITQ19:ITT19"/>
    <mergeCell ref="ITU19:ITX19"/>
    <mergeCell ref="ITY19:IUB19"/>
    <mergeCell ref="IUC19:IUF19"/>
    <mergeCell ref="ISS19:ISV19"/>
    <mergeCell ref="ISW19:ISZ19"/>
    <mergeCell ref="ITA19:ITD19"/>
    <mergeCell ref="ITE19:ITH19"/>
    <mergeCell ref="ITI19:ITL19"/>
    <mergeCell ref="IRY19:ISB19"/>
    <mergeCell ref="ISC19:ISF19"/>
    <mergeCell ref="ISG19:ISJ19"/>
    <mergeCell ref="ISK19:ISN19"/>
    <mergeCell ref="ISO19:ISR19"/>
    <mergeCell ref="IRE19:IRH19"/>
    <mergeCell ref="IRI19:IRL19"/>
    <mergeCell ref="IRM19:IRP19"/>
    <mergeCell ref="IRQ19:IRT19"/>
    <mergeCell ref="IRU19:IRX19"/>
    <mergeCell ref="IQK19:IQN19"/>
    <mergeCell ref="IQO19:IQR19"/>
    <mergeCell ref="IQS19:IQV19"/>
    <mergeCell ref="IQW19:IQZ19"/>
    <mergeCell ref="IRA19:IRD19"/>
    <mergeCell ref="IPQ19:IPT19"/>
    <mergeCell ref="IPU19:IPX19"/>
    <mergeCell ref="IPY19:IQB19"/>
    <mergeCell ref="IQC19:IQF19"/>
    <mergeCell ref="IQG19:IQJ19"/>
    <mergeCell ref="IZQ19:IZT19"/>
    <mergeCell ref="IZU19:IZX19"/>
    <mergeCell ref="IZY19:JAB19"/>
    <mergeCell ref="JAC19:JAF19"/>
    <mergeCell ref="JAG19:JAJ19"/>
    <mergeCell ref="IYW19:IYZ19"/>
    <mergeCell ref="IZA19:IZD19"/>
    <mergeCell ref="IZE19:IZH19"/>
    <mergeCell ref="IZI19:IZL19"/>
    <mergeCell ref="IZM19:IZP19"/>
    <mergeCell ref="IYC19:IYF19"/>
    <mergeCell ref="IYG19:IYJ19"/>
    <mergeCell ref="IYK19:IYN19"/>
    <mergeCell ref="IYO19:IYR19"/>
    <mergeCell ref="IYS19:IYV19"/>
    <mergeCell ref="IXI19:IXL19"/>
    <mergeCell ref="IXM19:IXP19"/>
    <mergeCell ref="IXQ19:IXT19"/>
    <mergeCell ref="IXU19:IXX19"/>
    <mergeCell ref="IXY19:IYB19"/>
    <mergeCell ref="IWO19:IWR19"/>
    <mergeCell ref="IWS19:IWV19"/>
    <mergeCell ref="IWW19:IWZ19"/>
    <mergeCell ref="IXA19:IXD19"/>
    <mergeCell ref="IXE19:IXH19"/>
    <mergeCell ref="IVU19:IVX19"/>
    <mergeCell ref="IVY19:IWB19"/>
    <mergeCell ref="IWC19:IWF19"/>
    <mergeCell ref="IWG19:IWJ19"/>
    <mergeCell ref="IWK19:IWN19"/>
    <mergeCell ref="IVA19:IVD19"/>
    <mergeCell ref="IVE19:IVH19"/>
    <mergeCell ref="IVI19:IVL19"/>
    <mergeCell ref="IVM19:IVP19"/>
    <mergeCell ref="IVQ19:IVT19"/>
    <mergeCell ref="JFA19:JFD19"/>
    <mergeCell ref="JFE19:JFH19"/>
    <mergeCell ref="JFI19:JFL19"/>
    <mergeCell ref="JFM19:JFP19"/>
    <mergeCell ref="JFQ19:JFT19"/>
    <mergeCell ref="JEG19:JEJ19"/>
    <mergeCell ref="JEK19:JEN19"/>
    <mergeCell ref="JEO19:JER19"/>
    <mergeCell ref="JES19:JEV19"/>
    <mergeCell ref="JEW19:JEZ19"/>
    <mergeCell ref="JDM19:JDP19"/>
    <mergeCell ref="JDQ19:JDT19"/>
    <mergeCell ref="JDU19:JDX19"/>
    <mergeCell ref="JDY19:JEB19"/>
    <mergeCell ref="JEC19:JEF19"/>
    <mergeCell ref="JCS19:JCV19"/>
    <mergeCell ref="JCW19:JCZ19"/>
    <mergeCell ref="JDA19:JDD19"/>
    <mergeCell ref="JDE19:JDH19"/>
    <mergeCell ref="JDI19:JDL19"/>
    <mergeCell ref="JBY19:JCB19"/>
    <mergeCell ref="JCC19:JCF19"/>
    <mergeCell ref="JCG19:JCJ19"/>
    <mergeCell ref="JCK19:JCN19"/>
    <mergeCell ref="JCO19:JCR19"/>
    <mergeCell ref="JBE19:JBH19"/>
    <mergeCell ref="JBI19:JBL19"/>
    <mergeCell ref="JBM19:JBP19"/>
    <mergeCell ref="JBQ19:JBT19"/>
    <mergeCell ref="JBU19:JBX19"/>
    <mergeCell ref="JAK19:JAN19"/>
    <mergeCell ref="JAO19:JAR19"/>
    <mergeCell ref="JAS19:JAV19"/>
    <mergeCell ref="JAW19:JAZ19"/>
    <mergeCell ref="JBA19:JBD19"/>
    <mergeCell ref="JKK19:JKN19"/>
    <mergeCell ref="JKO19:JKR19"/>
    <mergeCell ref="JKS19:JKV19"/>
    <mergeCell ref="JKW19:JKZ19"/>
    <mergeCell ref="JLA19:JLD19"/>
    <mergeCell ref="JJQ19:JJT19"/>
    <mergeCell ref="JJU19:JJX19"/>
    <mergeCell ref="JJY19:JKB19"/>
    <mergeCell ref="JKC19:JKF19"/>
    <mergeCell ref="JKG19:JKJ19"/>
    <mergeCell ref="JIW19:JIZ19"/>
    <mergeCell ref="JJA19:JJD19"/>
    <mergeCell ref="JJE19:JJH19"/>
    <mergeCell ref="JJI19:JJL19"/>
    <mergeCell ref="JJM19:JJP19"/>
    <mergeCell ref="JIC19:JIF19"/>
    <mergeCell ref="JIG19:JIJ19"/>
    <mergeCell ref="JIK19:JIN19"/>
    <mergeCell ref="JIO19:JIR19"/>
    <mergeCell ref="JIS19:JIV19"/>
    <mergeCell ref="JHI19:JHL19"/>
    <mergeCell ref="JHM19:JHP19"/>
    <mergeCell ref="JHQ19:JHT19"/>
    <mergeCell ref="JHU19:JHX19"/>
    <mergeCell ref="JHY19:JIB19"/>
    <mergeCell ref="JGO19:JGR19"/>
    <mergeCell ref="JGS19:JGV19"/>
    <mergeCell ref="JGW19:JGZ19"/>
    <mergeCell ref="JHA19:JHD19"/>
    <mergeCell ref="JHE19:JHH19"/>
    <mergeCell ref="JFU19:JFX19"/>
    <mergeCell ref="JFY19:JGB19"/>
    <mergeCell ref="JGC19:JGF19"/>
    <mergeCell ref="JGG19:JGJ19"/>
    <mergeCell ref="JGK19:JGN19"/>
    <mergeCell ref="JPU19:JPX19"/>
    <mergeCell ref="JPY19:JQB19"/>
    <mergeCell ref="JQC19:JQF19"/>
    <mergeCell ref="JQG19:JQJ19"/>
    <mergeCell ref="JQK19:JQN19"/>
    <mergeCell ref="JPA19:JPD19"/>
    <mergeCell ref="JPE19:JPH19"/>
    <mergeCell ref="JPI19:JPL19"/>
    <mergeCell ref="JPM19:JPP19"/>
    <mergeCell ref="JPQ19:JPT19"/>
    <mergeCell ref="JOG19:JOJ19"/>
    <mergeCell ref="JOK19:JON19"/>
    <mergeCell ref="JOO19:JOR19"/>
    <mergeCell ref="JOS19:JOV19"/>
    <mergeCell ref="JOW19:JOZ19"/>
    <mergeCell ref="JNM19:JNP19"/>
    <mergeCell ref="JNQ19:JNT19"/>
    <mergeCell ref="JNU19:JNX19"/>
    <mergeCell ref="JNY19:JOB19"/>
    <mergeCell ref="JOC19:JOF19"/>
    <mergeCell ref="JMS19:JMV19"/>
    <mergeCell ref="JMW19:JMZ19"/>
    <mergeCell ref="JNA19:JND19"/>
    <mergeCell ref="JNE19:JNH19"/>
    <mergeCell ref="JNI19:JNL19"/>
    <mergeCell ref="JLY19:JMB19"/>
    <mergeCell ref="JMC19:JMF19"/>
    <mergeCell ref="JMG19:JMJ19"/>
    <mergeCell ref="JMK19:JMN19"/>
    <mergeCell ref="JMO19:JMR19"/>
    <mergeCell ref="JLE19:JLH19"/>
    <mergeCell ref="JLI19:JLL19"/>
    <mergeCell ref="JLM19:JLP19"/>
    <mergeCell ref="JLQ19:JLT19"/>
    <mergeCell ref="JLU19:JLX19"/>
    <mergeCell ref="JVE19:JVH19"/>
    <mergeCell ref="JVI19:JVL19"/>
    <mergeCell ref="JVM19:JVP19"/>
    <mergeCell ref="JVQ19:JVT19"/>
    <mergeCell ref="JVU19:JVX19"/>
    <mergeCell ref="JUK19:JUN19"/>
    <mergeCell ref="JUO19:JUR19"/>
    <mergeCell ref="JUS19:JUV19"/>
    <mergeCell ref="JUW19:JUZ19"/>
    <mergeCell ref="JVA19:JVD19"/>
    <mergeCell ref="JTQ19:JTT19"/>
    <mergeCell ref="JTU19:JTX19"/>
    <mergeCell ref="JTY19:JUB19"/>
    <mergeCell ref="JUC19:JUF19"/>
    <mergeCell ref="JUG19:JUJ19"/>
    <mergeCell ref="JSW19:JSZ19"/>
    <mergeCell ref="JTA19:JTD19"/>
    <mergeCell ref="JTE19:JTH19"/>
    <mergeCell ref="JTI19:JTL19"/>
    <mergeCell ref="JTM19:JTP19"/>
    <mergeCell ref="JSC19:JSF19"/>
    <mergeCell ref="JSG19:JSJ19"/>
    <mergeCell ref="JSK19:JSN19"/>
    <mergeCell ref="JSO19:JSR19"/>
    <mergeCell ref="JSS19:JSV19"/>
    <mergeCell ref="JRI19:JRL19"/>
    <mergeCell ref="JRM19:JRP19"/>
    <mergeCell ref="JRQ19:JRT19"/>
    <mergeCell ref="JRU19:JRX19"/>
    <mergeCell ref="JRY19:JSB19"/>
    <mergeCell ref="JQO19:JQR19"/>
    <mergeCell ref="JQS19:JQV19"/>
    <mergeCell ref="JQW19:JQZ19"/>
    <mergeCell ref="JRA19:JRD19"/>
    <mergeCell ref="JRE19:JRH19"/>
    <mergeCell ref="KAO19:KAR19"/>
    <mergeCell ref="KAS19:KAV19"/>
    <mergeCell ref="KAW19:KAZ19"/>
    <mergeCell ref="KBA19:KBD19"/>
    <mergeCell ref="KBE19:KBH19"/>
    <mergeCell ref="JZU19:JZX19"/>
    <mergeCell ref="JZY19:KAB19"/>
    <mergeCell ref="KAC19:KAF19"/>
    <mergeCell ref="KAG19:KAJ19"/>
    <mergeCell ref="KAK19:KAN19"/>
    <mergeCell ref="JZA19:JZD19"/>
    <mergeCell ref="JZE19:JZH19"/>
    <mergeCell ref="JZI19:JZL19"/>
    <mergeCell ref="JZM19:JZP19"/>
    <mergeCell ref="JZQ19:JZT19"/>
    <mergeCell ref="JYG19:JYJ19"/>
    <mergeCell ref="JYK19:JYN19"/>
    <mergeCell ref="JYO19:JYR19"/>
    <mergeCell ref="JYS19:JYV19"/>
    <mergeCell ref="JYW19:JYZ19"/>
    <mergeCell ref="JXM19:JXP19"/>
    <mergeCell ref="JXQ19:JXT19"/>
    <mergeCell ref="JXU19:JXX19"/>
    <mergeCell ref="JXY19:JYB19"/>
    <mergeCell ref="JYC19:JYF19"/>
    <mergeCell ref="JWS19:JWV19"/>
    <mergeCell ref="JWW19:JWZ19"/>
    <mergeCell ref="JXA19:JXD19"/>
    <mergeCell ref="JXE19:JXH19"/>
    <mergeCell ref="JXI19:JXL19"/>
    <mergeCell ref="JVY19:JWB19"/>
    <mergeCell ref="JWC19:JWF19"/>
    <mergeCell ref="JWG19:JWJ19"/>
    <mergeCell ref="JWK19:JWN19"/>
    <mergeCell ref="JWO19:JWR19"/>
    <mergeCell ref="KFY19:KGB19"/>
    <mergeCell ref="KGC19:KGF19"/>
    <mergeCell ref="KGG19:KGJ19"/>
    <mergeCell ref="KGK19:KGN19"/>
    <mergeCell ref="KGO19:KGR19"/>
    <mergeCell ref="KFE19:KFH19"/>
    <mergeCell ref="KFI19:KFL19"/>
    <mergeCell ref="KFM19:KFP19"/>
    <mergeCell ref="KFQ19:KFT19"/>
    <mergeCell ref="KFU19:KFX19"/>
    <mergeCell ref="KEK19:KEN19"/>
    <mergeCell ref="KEO19:KER19"/>
    <mergeCell ref="KES19:KEV19"/>
    <mergeCell ref="KEW19:KEZ19"/>
    <mergeCell ref="KFA19:KFD19"/>
    <mergeCell ref="KDQ19:KDT19"/>
    <mergeCell ref="KDU19:KDX19"/>
    <mergeCell ref="KDY19:KEB19"/>
    <mergeCell ref="KEC19:KEF19"/>
    <mergeCell ref="KEG19:KEJ19"/>
    <mergeCell ref="KCW19:KCZ19"/>
    <mergeCell ref="KDA19:KDD19"/>
    <mergeCell ref="KDE19:KDH19"/>
    <mergeCell ref="KDI19:KDL19"/>
    <mergeCell ref="KDM19:KDP19"/>
    <mergeCell ref="KCC19:KCF19"/>
    <mergeCell ref="KCG19:KCJ19"/>
    <mergeCell ref="KCK19:KCN19"/>
    <mergeCell ref="KCO19:KCR19"/>
    <mergeCell ref="KCS19:KCV19"/>
    <mergeCell ref="KBI19:KBL19"/>
    <mergeCell ref="KBM19:KBP19"/>
    <mergeCell ref="KBQ19:KBT19"/>
    <mergeCell ref="KBU19:KBX19"/>
    <mergeCell ref="KBY19:KCB19"/>
    <mergeCell ref="KLI19:KLL19"/>
    <mergeCell ref="KLM19:KLP19"/>
    <mergeCell ref="KLQ19:KLT19"/>
    <mergeCell ref="KLU19:KLX19"/>
    <mergeCell ref="KLY19:KMB19"/>
    <mergeCell ref="KKO19:KKR19"/>
    <mergeCell ref="KKS19:KKV19"/>
    <mergeCell ref="KKW19:KKZ19"/>
    <mergeCell ref="KLA19:KLD19"/>
    <mergeCell ref="KLE19:KLH19"/>
    <mergeCell ref="KJU19:KJX19"/>
    <mergeCell ref="KJY19:KKB19"/>
    <mergeCell ref="KKC19:KKF19"/>
    <mergeCell ref="KKG19:KKJ19"/>
    <mergeCell ref="KKK19:KKN19"/>
    <mergeCell ref="KJA19:KJD19"/>
    <mergeCell ref="KJE19:KJH19"/>
    <mergeCell ref="KJI19:KJL19"/>
    <mergeCell ref="KJM19:KJP19"/>
    <mergeCell ref="KJQ19:KJT19"/>
    <mergeCell ref="KIG19:KIJ19"/>
    <mergeCell ref="KIK19:KIN19"/>
    <mergeCell ref="KIO19:KIR19"/>
    <mergeCell ref="KIS19:KIV19"/>
    <mergeCell ref="KIW19:KIZ19"/>
    <mergeCell ref="KHM19:KHP19"/>
    <mergeCell ref="KHQ19:KHT19"/>
    <mergeCell ref="KHU19:KHX19"/>
    <mergeCell ref="KHY19:KIB19"/>
    <mergeCell ref="KIC19:KIF19"/>
    <mergeCell ref="KGS19:KGV19"/>
    <mergeCell ref="KGW19:KGZ19"/>
    <mergeCell ref="KHA19:KHD19"/>
    <mergeCell ref="KHE19:KHH19"/>
    <mergeCell ref="KHI19:KHL19"/>
    <mergeCell ref="KQS19:KQV19"/>
    <mergeCell ref="KQW19:KQZ19"/>
    <mergeCell ref="KRA19:KRD19"/>
    <mergeCell ref="KRE19:KRH19"/>
    <mergeCell ref="KRI19:KRL19"/>
    <mergeCell ref="KPY19:KQB19"/>
    <mergeCell ref="KQC19:KQF19"/>
    <mergeCell ref="KQG19:KQJ19"/>
    <mergeCell ref="KQK19:KQN19"/>
    <mergeCell ref="KQO19:KQR19"/>
    <mergeCell ref="KPE19:KPH19"/>
    <mergeCell ref="KPI19:KPL19"/>
    <mergeCell ref="KPM19:KPP19"/>
    <mergeCell ref="KPQ19:KPT19"/>
    <mergeCell ref="KPU19:KPX19"/>
    <mergeCell ref="KOK19:KON19"/>
    <mergeCell ref="KOO19:KOR19"/>
    <mergeCell ref="KOS19:KOV19"/>
    <mergeCell ref="KOW19:KOZ19"/>
    <mergeCell ref="KPA19:KPD19"/>
    <mergeCell ref="KNQ19:KNT19"/>
    <mergeCell ref="KNU19:KNX19"/>
    <mergeCell ref="KNY19:KOB19"/>
    <mergeCell ref="KOC19:KOF19"/>
    <mergeCell ref="KOG19:KOJ19"/>
    <mergeCell ref="KMW19:KMZ19"/>
    <mergeCell ref="KNA19:KND19"/>
    <mergeCell ref="KNE19:KNH19"/>
    <mergeCell ref="KNI19:KNL19"/>
    <mergeCell ref="KNM19:KNP19"/>
    <mergeCell ref="KMC19:KMF19"/>
    <mergeCell ref="KMG19:KMJ19"/>
    <mergeCell ref="KMK19:KMN19"/>
    <mergeCell ref="KMO19:KMR19"/>
    <mergeCell ref="KMS19:KMV19"/>
    <mergeCell ref="KWC19:KWF19"/>
    <mergeCell ref="KWG19:KWJ19"/>
    <mergeCell ref="KWK19:KWN19"/>
    <mergeCell ref="KWO19:KWR19"/>
    <mergeCell ref="KWS19:KWV19"/>
    <mergeCell ref="KVI19:KVL19"/>
    <mergeCell ref="KVM19:KVP19"/>
    <mergeCell ref="KVQ19:KVT19"/>
    <mergeCell ref="KVU19:KVX19"/>
    <mergeCell ref="KVY19:KWB19"/>
    <mergeCell ref="KUO19:KUR19"/>
    <mergeCell ref="KUS19:KUV19"/>
    <mergeCell ref="KUW19:KUZ19"/>
    <mergeCell ref="KVA19:KVD19"/>
    <mergeCell ref="KVE19:KVH19"/>
    <mergeCell ref="KTU19:KTX19"/>
    <mergeCell ref="KTY19:KUB19"/>
    <mergeCell ref="KUC19:KUF19"/>
    <mergeCell ref="KUG19:KUJ19"/>
    <mergeCell ref="KUK19:KUN19"/>
    <mergeCell ref="KTA19:KTD19"/>
    <mergeCell ref="KTE19:KTH19"/>
    <mergeCell ref="KTI19:KTL19"/>
    <mergeCell ref="KTM19:KTP19"/>
    <mergeCell ref="KTQ19:KTT19"/>
    <mergeCell ref="KSG19:KSJ19"/>
    <mergeCell ref="KSK19:KSN19"/>
    <mergeCell ref="KSO19:KSR19"/>
    <mergeCell ref="KSS19:KSV19"/>
    <mergeCell ref="KSW19:KSZ19"/>
    <mergeCell ref="KRM19:KRP19"/>
    <mergeCell ref="KRQ19:KRT19"/>
    <mergeCell ref="KRU19:KRX19"/>
    <mergeCell ref="KRY19:KSB19"/>
    <mergeCell ref="KSC19:KSF19"/>
    <mergeCell ref="LBM19:LBP19"/>
    <mergeCell ref="LBQ19:LBT19"/>
    <mergeCell ref="LBU19:LBX19"/>
    <mergeCell ref="LBY19:LCB19"/>
    <mergeCell ref="LCC19:LCF19"/>
    <mergeCell ref="LAS19:LAV19"/>
    <mergeCell ref="LAW19:LAZ19"/>
    <mergeCell ref="LBA19:LBD19"/>
    <mergeCell ref="LBE19:LBH19"/>
    <mergeCell ref="LBI19:LBL19"/>
    <mergeCell ref="KZY19:LAB19"/>
    <mergeCell ref="LAC19:LAF19"/>
    <mergeCell ref="LAG19:LAJ19"/>
    <mergeCell ref="LAK19:LAN19"/>
    <mergeCell ref="LAO19:LAR19"/>
    <mergeCell ref="KZE19:KZH19"/>
    <mergeCell ref="KZI19:KZL19"/>
    <mergeCell ref="KZM19:KZP19"/>
    <mergeCell ref="KZQ19:KZT19"/>
    <mergeCell ref="KZU19:KZX19"/>
    <mergeCell ref="KYK19:KYN19"/>
    <mergeCell ref="KYO19:KYR19"/>
    <mergeCell ref="KYS19:KYV19"/>
    <mergeCell ref="KYW19:KYZ19"/>
    <mergeCell ref="KZA19:KZD19"/>
    <mergeCell ref="KXQ19:KXT19"/>
    <mergeCell ref="KXU19:KXX19"/>
    <mergeCell ref="KXY19:KYB19"/>
    <mergeCell ref="KYC19:KYF19"/>
    <mergeCell ref="KYG19:KYJ19"/>
    <mergeCell ref="KWW19:KWZ19"/>
    <mergeCell ref="KXA19:KXD19"/>
    <mergeCell ref="KXE19:KXH19"/>
    <mergeCell ref="KXI19:KXL19"/>
    <mergeCell ref="KXM19:KXP19"/>
    <mergeCell ref="LGW19:LGZ19"/>
    <mergeCell ref="LHA19:LHD19"/>
    <mergeCell ref="LHE19:LHH19"/>
    <mergeCell ref="LHI19:LHL19"/>
    <mergeCell ref="LHM19:LHP19"/>
    <mergeCell ref="LGC19:LGF19"/>
    <mergeCell ref="LGG19:LGJ19"/>
    <mergeCell ref="LGK19:LGN19"/>
    <mergeCell ref="LGO19:LGR19"/>
    <mergeCell ref="LGS19:LGV19"/>
    <mergeCell ref="LFI19:LFL19"/>
    <mergeCell ref="LFM19:LFP19"/>
    <mergeCell ref="LFQ19:LFT19"/>
    <mergeCell ref="LFU19:LFX19"/>
    <mergeCell ref="LFY19:LGB19"/>
    <mergeCell ref="LEO19:LER19"/>
    <mergeCell ref="LES19:LEV19"/>
    <mergeCell ref="LEW19:LEZ19"/>
    <mergeCell ref="LFA19:LFD19"/>
    <mergeCell ref="LFE19:LFH19"/>
    <mergeCell ref="LDU19:LDX19"/>
    <mergeCell ref="LDY19:LEB19"/>
    <mergeCell ref="LEC19:LEF19"/>
    <mergeCell ref="LEG19:LEJ19"/>
    <mergeCell ref="LEK19:LEN19"/>
    <mergeCell ref="LDA19:LDD19"/>
    <mergeCell ref="LDE19:LDH19"/>
    <mergeCell ref="LDI19:LDL19"/>
    <mergeCell ref="LDM19:LDP19"/>
    <mergeCell ref="LDQ19:LDT19"/>
    <mergeCell ref="LCG19:LCJ19"/>
    <mergeCell ref="LCK19:LCN19"/>
    <mergeCell ref="LCO19:LCR19"/>
    <mergeCell ref="LCS19:LCV19"/>
    <mergeCell ref="LCW19:LCZ19"/>
    <mergeCell ref="LMG19:LMJ19"/>
    <mergeCell ref="LMK19:LMN19"/>
    <mergeCell ref="LMO19:LMR19"/>
    <mergeCell ref="LMS19:LMV19"/>
    <mergeCell ref="LMW19:LMZ19"/>
    <mergeCell ref="LLM19:LLP19"/>
    <mergeCell ref="LLQ19:LLT19"/>
    <mergeCell ref="LLU19:LLX19"/>
    <mergeCell ref="LLY19:LMB19"/>
    <mergeCell ref="LMC19:LMF19"/>
    <mergeCell ref="LKS19:LKV19"/>
    <mergeCell ref="LKW19:LKZ19"/>
    <mergeCell ref="LLA19:LLD19"/>
    <mergeCell ref="LLE19:LLH19"/>
    <mergeCell ref="LLI19:LLL19"/>
    <mergeCell ref="LJY19:LKB19"/>
    <mergeCell ref="LKC19:LKF19"/>
    <mergeCell ref="LKG19:LKJ19"/>
    <mergeCell ref="LKK19:LKN19"/>
    <mergeCell ref="LKO19:LKR19"/>
    <mergeCell ref="LJE19:LJH19"/>
    <mergeCell ref="LJI19:LJL19"/>
    <mergeCell ref="LJM19:LJP19"/>
    <mergeCell ref="LJQ19:LJT19"/>
    <mergeCell ref="LJU19:LJX19"/>
    <mergeCell ref="LIK19:LIN19"/>
    <mergeCell ref="LIO19:LIR19"/>
    <mergeCell ref="LIS19:LIV19"/>
    <mergeCell ref="LIW19:LIZ19"/>
    <mergeCell ref="LJA19:LJD19"/>
    <mergeCell ref="LHQ19:LHT19"/>
    <mergeCell ref="LHU19:LHX19"/>
    <mergeCell ref="LHY19:LIB19"/>
    <mergeCell ref="LIC19:LIF19"/>
    <mergeCell ref="LIG19:LIJ19"/>
    <mergeCell ref="LRQ19:LRT19"/>
    <mergeCell ref="LRU19:LRX19"/>
    <mergeCell ref="LRY19:LSB19"/>
    <mergeCell ref="LSC19:LSF19"/>
    <mergeCell ref="LSG19:LSJ19"/>
    <mergeCell ref="LQW19:LQZ19"/>
    <mergeCell ref="LRA19:LRD19"/>
    <mergeCell ref="LRE19:LRH19"/>
    <mergeCell ref="LRI19:LRL19"/>
    <mergeCell ref="LRM19:LRP19"/>
    <mergeCell ref="LQC19:LQF19"/>
    <mergeCell ref="LQG19:LQJ19"/>
    <mergeCell ref="LQK19:LQN19"/>
    <mergeCell ref="LQO19:LQR19"/>
    <mergeCell ref="LQS19:LQV19"/>
    <mergeCell ref="LPI19:LPL19"/>
    <mergeCell ref="LPM19:LPP19"/>
    <mergeCell ref="LPQ19:LPT19"/>
    <mergeCell ref="LPU19:LPX19"/>
    <mergeCell ref="LPY19:LQB19"/>
    <mergeCell ref="LOO19:LOR19"/>
    <mergeCell ref="LOS19:LOV19"/>
    <mergeCell ref="LOW19:LOZ19"/>
    <mergeCell ref="LPA19:LPD19"/>
    <mergeCell ref="LPE19:LPH19"/>
    <mergeCell ref="LNU19:LNX19"/>
    <mergeCell ref="LNY19:LOB19"/>
    <mergeCell ref="LOC19:LOF19"/>
    <mergeCell ref="LOG19:LOJ19"/>
    <mergeCell ref="LOK19:LON19"/>
    <mergeCell ref="LNA19:LND19"/>
    <mergeCell ref="LNE19:LNH19"/>
    <mergeCell ref="LNI19:LNL19"/>
    <mergeCell ref="LNM19:LNP19"/>
    <mergeCell ref="LNQ19:LNT19"/>
    <mergeCell ref="LXA19:LXD19"/>
    <mergeCell ref="LXE19:LXH19"/>
    <mergeCell ref="LXI19:LXL19"/>
    <mergeCell ref="LXM19:LXP19"/>
    <mergeCell ref="LXQ19:LXT19"/>
    <mergeCell ref="LWG19:LWJ19"/>
    <mergeCell ref="LWK19:LWN19"/>
    <mergeCell ref="LWO19:LWR19"/>
    <mergeCell ref="LWS19:LWV19"/>
    <mergeCell ref="LWW19:LWZ19"/>
    <mergeCell ref="LVM19:LVP19"/>
    <mergeCell ref="LVQ19:LVT19"/>
    <mergeCell ref="LVU19:LVX19"/>
    <mergeCell ref="LVY19:LWB19"/>
    <mergeCell ref="LWC19:LWF19"/>
    <mergeCell ref="LUS19:LUV19"/>
    <mergeCell ref="LUW19:LUZ19"/>
    <mergeCell ref="LVA19:LVD19"/>
    <mergeCell ref="LVE19:LVH19"/>
    <mergeCell ref="LVI19:LVL19"/>
    <mergeCell ref="LTY19:LUB19"/>
    <mergeCell ref="LUC19:LUF19"/>
    <mergeCell ref="LUG19:LUJ19"/>
    <mergeCell ref="LUK19:LUN19"/>
    <mergeCell ref="LUO19:LUR19"/>
    <mergeCell ref="LTE19:LTH19"/>
    <mergeCell ref="LTI19:LTL19"/>
    <mergeCell ref="LTM19:LTP19"/>
    <mergeCell ref="LTQ19:LTT19"/>
    <mergeCell ref="LTU19:LTX19"/>
    <mergeCell ref="LSK19:LSN19"/>
    <mergeCell ref="LSO19:LSR19"/>
    <mergeCell ref="LSS19:LSV19"/>
    <mergeCell ref="LSW19:LSZ19"/>
    <mergeCell ref="LTA19:LTD19"/>
    <mergeCell ref="MCK19:MCN19"/>
    <mergeCell ref="MCO19:MCR19"/>
    <mergeCell ref="MCS19:MCV19"/>
    <mergeCell ref="MCW19:MCZ19"/>
    <mergeCell ref="MDA19:MDD19"/>
    <mergeCell ref="MBQ19:MBT19"/>
    <mergeCell ref="MBU19:MBX19"/>
    <mergeCell ref="MBY19:MCB19"/>
    <mergeCell ref="MCC19:MCF19"/>
    <mergeCell ref="MCG19:MCJ19"/>
    <mergeCell ref="MAW19:MAZ19"/>
    <mergeCell ref="MBA19:MBD19"/>
    <mergeCell ref="MBE19:MBH19"/>
    <mergeCell ref="MBI19:MBL19"/>
    <mergeCell ref="MBM19:MBP19"/>
    <mergeCell ref="MAC19:MAF19"/>
    <mergeCell ref="MAG19:MAJ19"/>
    <mergeCell ref="MAK19:MAN19"/>
    <mergeCell ref="MAO19:MAR19"/>
    <mergeCell ref="MAS19:MAV19"/>
    <mergeCell ref="LZI19:LZL19"/>
    <mergeCell ref="LZM19:LZP19"/>
    <mergeCell ref="LZQ19:LZT19"/>
    <mergeCell ref="LZU19:LZX19"/>
    <mergeCell ref="LZY19:MAB19"/>
    <mergeCell ref="LYO19:LYR19"/>
    <mergeCell ref="LYS19:LYV19"/>
    <mergeCell ref="LYW19:LYZ19"/>
    <mergeCell ref="LZA19:LZD19"/>
    <mergeCell ref="LZE19:LZH19"/>
    <mergeCell ref="LXU19:LXX19"/>
    <mergeCell ref="LXY19:LYB19"/>
    <mergeCell ref="LYC19:LYF19"/>
    <mergeCell ref="LYG19:LYJ19"/>
    <mergeCell ref="LYK19:LYN19"/>
    <mergeCell ref="MHU19:MHX19"/>
    <mergeCell ref="MHY19:MIB19"/>
    <mergeCell ref="MIC19:MIF19"/>
    <mergeCell ref="MIG19:MIJ19"/>
    <mergeCell ref="MIK19:MIN19"/>
    <mergeCell ref="MHA19:MHD19"/>
    <mergeCell ref="MHE19:MHH19"/>
    <mergeCell ref="MHI19:MHL19"/>
    <mergeCell ref="MHM19:MHP19"/>
    <mergeCell ref="MHQ19:MHT19"/>
    <mergeCell ref="MGG19:MGJ19"/>
    <mergeCell ref="MGK19:MGN19"/>
    <mergeCell ref="MGO19:MGR19"/>
    <mergeCell ref="MGS19:MGV19"/>
    <mergeCell ref="MGW19:MGZ19"/>
    <mergeCell ref="MFM19:MFP19"/>
    <mergeCell ref="MFQ19:MFT19"/>
    <mergeCell ref="MFU19:MFX19"/>
    <mergeCell ref="MFY19:MGB19"/>
    <mergeCell ref="MGC19:MGF19"/>
    <mergeCell ref="MES19:MEV19"/>
    <mergeCell ref="MEW19:MEZ19"/>
    <mergeCell ref="MFA19:MFD19"/>
    <mergeCell ref="MFE19:MFH19"/>
    <mergeCell ref="MFI19:MFL19"/>
    <mergeCell ref="MDY19:MEB19"/>
    <mergeCell ref="MEC19:MEF19"/>
    <mergeCell ref="MEG19:MEJ19"/>
    <mergeCell ref="MEK19:MEN19"/>
    <mergeCell ref="MEO19:MER19"/>
    <mergeCell ref="MDE19:MDH19"/>
    <mergeCell ref="MDI19:MDL19"/>
    <mergeCell ref="MDM19:MDP19"/>
    <mergeCell ref="MDQ19:MDT19"/>
    <mergeCell ref="MDU19:MDX19"/>
    <mergeCell ref="MNE19:MNH19"/>
    <mergeCell ref="MNI19:MNL19"/>
    <mergeCell ref="MNM19:MNP19"/>
    <mergeCell ref="MNQ19:MNT19"/>
    <mergeCell ref="MNU19:MNX19"/>
    <mergeCell ref="MMK19:MMN19"/>
    <mergeCell ref="MMO19:MMR19"/>
    <mergeCell ref="MMS19:MMV19"/>
    <mergeCell ref="MMW19:MMZ19"/>
    <mergeCell ref="MNA19:MND19"/>
    <mergeCell ref="MLQ19:MLT19"/>
    <mergeCell ref="MLU19:MLX19"/>
    <mergeCell ref="MLY19:MMB19"/>
    <mergeCell ref="MMC19:MMF19"/>
    <mergeCell ref="MMG19:MMJ19"/>
    <mergeCell ref="MKW19:MKZ19"/>
    <mergeCell ref="MLA19:MLD19"/>
    <mergeCell ref="MLE19:MLH19"/>
    <mergeCell ref="MLI19:MLL19"/>
    <mergeCell ref="MLM19:MLP19"/>
    <mergeCell ref="MKC19:MKF19"/>
    <mergeCell ref="MKG19:MKJ19"/>
    <mergeCell ref="MKK19:MKN19"/>
    <mergeCell ref="MKO19:MKR19"/>
    <mergeCell ref="MKS19:MKV19"/>
    <mergeCell ref="MJI19:MJL19"/>
    <mergeCell ref="MJM19:MJP19"/>
    <mergeCell ref="MJQ19:MJT19"/>
    <mergeCell ref="MJU19:MJX19"/>
    <mergeCell ref="MJY19:MKB19"/>
    <mergeCell ref="MIO19:MIR19"/>
    <mergeCell ref="MIS19:MIV19"/>
    <mergeCell ref="MIW19:MIZ19"/>
    <mergeCell ref="MJA19:MJD19"/>
    <mergeCell ref="MJE19:MJH19"/>
    <mergeCell ref="MSO19:MSR19"/>
    <mergeCell ref="MSS19:MSV19"/>
    <mergeCell ref="MSW19:MSZ19"/>
    <mergeCell ref="MTA19:MTD19"/>
    <mergeCell ref="MTE19:MTH19"/>
    <mergeCell ref="MRU19:MRX19"/>
    <mergeCell ref="MRY19:MSB19"/>
    <mergeCell ref="MSC19:MSF19"/>
    <mergeCell ref="MSG19:MSJ19"/>
    <mergeCell ref="MSK19:MSN19"/>
    <mergeCell ref="MRA19:MRD19"/>
    <mergeCell ref="MRE19:MRH19"/>
    <mergeCell ref="MRI19:MRL19"/>
    <mergeCell ref="MRM19:MRP19"/>
    <mergeCell ref="MRQ19:MRT19"/>
    <mergeCell ref="MQG19:MQJ19"/>
    <mergeCell ref="MQK19:MQN19"/>
    <mergeCell ref="MQO19:MQR19"/>
    <mergeCell ref="MQS19:MQV19"/>
    <mergeCell ref="MQW19:MQZ19"/>
    <mergeCell ref="MPM19:MPP19"/>
    <mergeCell ref="MPQ19:MPT19"/>
    <mergeCell ref="MPU19:MPX19"/>
    <mergeCell ref="MPY19:MQB19"/>
    <mergeCell ref="MQC19:MQF19"/>
    <mergeCell ref="MOS19:MOV19"/>
    <mergeCell ref="MOW19:MOZ19"/>
    <mergeCell ref="MPA19:MPD19"/>
    <mergeCell ref="MPE19:MPH19"/>
    <mergeCell ref="MPI19:MPL19"/>
    <mergeCell ref="MNY19:MOB19"/>
    <mergeCell ref="MOC19:MOF19"/>
    <mergeCell ref="MOG19:MOJ19"/>
    <mergeCell ref="MOK19:MON19"/>
    <mergeCell ref="MOO19:MOR19"/>
    <mergeCell ref="MXY19:MYB19"/>
    <mergeCell ref="MYC19:MYF19"/>
    <mergeCell ref="MYG19:MYJ19"/>
    <mergeCell ref="MYK19:MYN19"/>
    <mergeCell ref="MYO19:MYR19"/>
    <mergeCell ref="MXE19:MXH19"/>
    <mergeCell ref="MXI19:MXL19"/>
    <mergeCell ref="MXM19:MXP19"/>
    <mergeCell ref="MXQ19:MXT19"/>
    <mergeCell ref="MXU19:MXX19"/>
    <mergeCell ref="MWK19:MWN19"/>
    <mergeCell ref="MWO19:MWR19"/>
    <mergeCell ref="MWS19:MWV19"/>
    <mergeCell ref="MWW19:MWZ19"/>
    <mergeCell ref="MXA19:MXD19"/>
    <mergeCell ref="MVQ19:MVT19"/>
    <mergeCell ref="MVU19:MVX19"/>
    <mergeCell ref="MVY19:MWB19"/>
    <mergeCell ref="MWC19:MWF19"/>
    <mergeCell ref="MWG19:MWJ19"/>
    <mergeCell ref="MUW19:MUZ19"/>
    <mergeCell ref="MVA19:MVD19"/>
    <mergeCell ref="MVE19:MVH19"/>
    <mergeCell ref="MVI19:MVL19"/>
    <mergeCell ref="MVM19:MVP19"/>
    <mergeCell ref="MUC19:MUF19"/>
    <mergeCell ref="MUG19:MUJ19"/>
    <mergeCell ref="MUK19:MUN19"/>
    <mergeCell ref="MUO19:MUR19"/>
    <mergeCell ref="MUS19:MUV19"/>
    <mergeCell ref="MTI19:MTL19"/>
    <mergeCell ref="MTM19:MTP19"/>
    <mergeCell ref="MTQ19:MTT19"/>
    <mergeCell ref="MTU19:MTX19"/>
    <mergeCell ref="MTY19:MUB19"/>
    <mergeCell ref="NDI19:NDL19"/>
    <mergeCell ref="NDM19:NDP19"/>
    <mergeCell ref="NDQ19:NDT19"/>
    <mergeCell ref="NDU19:NDX19"/>
    <mergeCell ref="NDY19:NEB19"/>
    <mergeCell ref="NCO19:NCR19"/>
    <mergeCell ref="NCS19:NCV19"/>
    <mergeCell ref="NCW19:NCZ19"/>
    <mergeCell ref="NDA19:NDD19"/>
    <mergeCell ref="NDE19:NDH19"/>
    <mergeCell ref="NBU19:NBX19"/>
    <mergeCell ref="NBY19:NCB19"/>
    <mergeCell ref="NCC19:NCF19"/>
    <mergeCell ref="NCG19:NCJ19"/>
    <mergeCell ref="NCK19:NCN19"/>
    <mergeCell ref="NBA19:NBD19"/>
    <mergeCell ref="NBE19:NBH19"/>
    <mergeCell ref="NBI19:NBL19"/>
    <mergeCell ref="NBM19:NBP19"/>
    <mergeCell ref="NBQ19:NBT19"/>
    <mergeCell ref="NAG19:NAJ19"/>
    <mergeCell ref="NAK19:NAN19"/>
    <mergeCell ref="NAO19:NAR19"/>
    <mergeCell ref="NAS19:NAV19"/>
    <mergeCell ref="NAW19:NAZ19"/>
    <mergeCell ref="MZM19:MZP19"/>
    <mergeCell ref="MZQ19:MZT19"/>
    <mergeCell ref="MZU19:MZX19"/>
    <mergeCell ref="MZY19:NAB19"/>
    <mergeCell ref="NAC19:NAF19"/>
    <mergeCell ref="MYS19:MYV19"/>
    <mergeCell ref="MYW19:MYZ19"/>
    <mergeCell ref="MZA19:MZD19"/>
    <mergeCell ref="MZE19:MZH19"/>
    <mergeCell ref="MZI19:MZL19"/>
    <mergeCell ref="NIS19:NIV19"/>
    <mergeCell ref="NIW19:NIZ19"/>
    <mergeCell ref="NJA19:NJD19"/>
    <mergeCell ref="NJE19:NJH19"/>
    <mergeCell ref="NJI19:NJL19"/>
    <mergeCell ref="NHY19:NIB19"/>
    <mergeCell ref="NIC19:NIF19"/>
    <mergeCell ref="NIG19:NIJ19"/>
    <mergeCell ref="NIK19:NIN19"/>
    <mergeCell ref="NIO19:NIR19"/>
    <mergeCell ref="NHE19:NHH19"/>
    <mergeCell ref="NHI19:NHL19"/>
    <mergeCell ref="NHM19:NHP19"/>
    <mergeCell ref="NHQ19:NHT19"/>
    <mergeCell ref="NHU19:NHX19"/>
    <mergeCell ref="NGK19:NGN19"/>
    <mergeCell ref="NGO19:NGR19"/>
    <mergeCell ref="NGS19:NGV19"/>
    <mergeCell ref="NGW19:NGZ19"/>
    <mergeCell ref="NHA19:NHD19"/>
    <mergeCell ref="NFQ19:NFT19"/>
    <mergeCell ref="NFU19:NFX19"/>
    <mergeCell ref="NFY19:NGB19"/>
    <mergeCell ref="NGC19:NGF19"/>
    <mergeCell ref="NGG19:NGJ19"/>
    <mergeCell ref="NEW19:NEZ19"/>
    <mergeCell ref="NFA19:NFD19"/>
    <mergeCell ref="NFE19:NFH19"/>
    <mergeCell ref="NFI19:NFL19"/>
    <mergeCell ref="NFM19:NFP19"/>
    <mergeCell ref="NEC19:NEF19"/>
    <mergeCell ref="NEG19:NEJ19"/>
    <mergeCell ref="NEK19:NEN19"/>
    <mergeCell ref="NEO19:NER19"/>
    <mergeCell ref="NES19:NEV19"/>
    <mergeCell ref="NOC19:NOF19"/>
    <mergeCell ref="NOG19:NOJ19"/>
    <mergeCell ref="NOK19:NON19"/>
    <mergeCell ref="NOO19:NOR19"/>
    <mergeCell ref="NOS19:NOV19"/>
    <mergeCell ref="NNI19:NNL19"/>
    <mergeCell ref="NNM19:NNP19"/>
    <mergeCell ref="NNQ19:NNT19"/>
    <mergeCell ref="NNU19:NNX19"/>
    <mergeCell ref="NNY19:NOB19"/>
    <mergeCell ref="NMO19:NMR19"/>
    <mergeCell ref="NMS19:NMV19"/>
    <mergeCell ref="NMW19:NMZ19"/>
    <mergeCell ref="NNA19:NND19"/>
    <mergeCell ref="NNE19:NNH19"/>
    <mergeCell ref="NLU19:NLX19"/>
    <mergeCell ref="NLY19:NMB19"/>
    <mergeCell ref="NMC19:NMF19"/>
    <mergeCell ref="NMG19:NMJ19"/>
    <mergeCell ref="NMK19:NMN19"/>
    <mergeCell ref="NLA19:NLD19"/>
    <mergeCell ref="NLE19:NLH19"/>
    <mergeCell ref="NLI19:NLL19"/>
    <mergeCell ref="NLM19:NLP19"/>
    <mergeCell ref="NLQ19:NLT19"/>
    <mergeCell ref="NKG19:NKJ19"/>
    <mergeCell ref="NKK19:NKN19"/>
    <mergeCell ref="NKO19:NKR19"/>
    <mergeCell ref="NKS19:NKV19"/>
    <mergeCell ref="NKW19:NKZ19"/>
    <mergeCell ref="NJM19:NJP19"/>
    <mergeCell ref="NJQ19:NJT19"/>
    <mergeCell ref="NJU19:NJX19"/>
    <mergeCell ref="NJY19:NKB19"/>
    <mergeCell ref="NKC19:NKF19"/>
    <mergeCell ref="NTM19:NTP19"/>
    <mergeCell ref="NTQ19:NTT19"/>
    <mergeCell ref="NTU19:NTX19"/>
    <mergeCell ref="NTY19:NUB19"/>
    <mergeCell ref="NUC19:NUF19"/>
    <mergeCell ref="NSS19:NSV19"/>
    <mergeCell ref="NSW19:NSZ19"/>
    <mergeCell ref="NTA19:NTD19"/>
    <mergeCell ref="NTE19:NTH19"/>
    <mergeCell ref="NTI19:NTL19"/>
    <mergeCell ref="NRY19:NSB19"/>
    <mergeCell ref="NSC19:NSF19"/>
    <mergeCell ref="NSG19:NSJ19"/>
    <mergeCell ref="NSK19:NSN19"/>
    <mergeCell ref="NSO19:NSR19"/>
    <mergeCell ref="NRE19:NRH19"/>
    <mergeCell ref="NRI19:NRL19"/>
    <mergeCell ref="NRM19:NRP19"/>
    <mergeCell ref="NRQ19:NRT19"/>
    <mergeCell ref="NRU19:NRX19"/>
    <mergeCell ref="NQK19:NQN19"/>
    <mergeCell ref="NQO19:NQR19"/>
    <mergeCell ref="NQS19:NQV19"/>
    <mergeCell ref="NQW19:NQZ19"/>
    <mergeCell ref="NRA19:NRD19"/>
    <mergeCell ref="NPQ19:NPT19"/>
    <mergeCell ref="NPU19:NPX19"/>
    <mergeCell ref="NPY19:NQB19"/>
    <mergeCell ref="NQC19:NQF19"/>
    <mergeCell ref="NQG19:NQJ19"/>
    <mergeCell ref="NOW19:NOZ19"/>
    <mergeCell ref="NPA19:NPD19"/>
    <mergeCell ref="NPE19:NPH19"/>
    <mergeCell ref="NPI19:NPL19"/>
    <mergeCell ref="NPM19:NPP19"/>
    <mergeCell ref="NYW19:NYZ19"/>
    <mergeCell ref="NZA19:NZD19"/>
    <mergeCell ref="NZE19:NZH19"/>
    <mergeCell ref="NZI19:NZL19"/>
    <mergeCell ref="NZM19:NZP19"/>
    <mergeCell ref="NYC19:NYF19"/>
    <mergeCell ref="NYG19:NYJ19"/>
    <mergeCell ref="NYK19:NYN19"/>
    <mergeCell ref="NYO19:NYR19"/>
    <mergeCell ref="NYS19:NYV19"/>
    <mergeCell ref="NXI19:NXL19"/>
    <mergeCell ref="NXM19:NXP19"/>
    <mergeCell ref="NXQ19:NXT19"/>
    <mergeCell ref="NXU19:NXX19"/>
    <mergeCell ref="NXY19:NYB19"/>
    <mergeCell ref="NWO19:NWR19"/>
    <mergeCell ref="NWS19:NWV19"/>
    <mergeCell ref="NWW19:NWZ19"/>
    <mergeCell ref="NXA19:NXD19"/>
    <mergeCell ref="NXE19:NXH19"/>
    <mergeCell ref="NVU19:NVX19"/>
    <mergeCell ref="NVY19:NWB19"/>
    <mergeCell ref="NWC19:NWF19"/>
    <mergeCell ref="NWG19:NWJ19"/>
    <mergeCell ref="NWK19:NWN19"/>
    <mergeCell ref="NVA19:NVD19"/>
    <mergeCell ref="NVE19:NVH19"/>
    <mergeCell ref="NVI19:NVL19"/>
    <mergeCell ref="NVM19:NVP19"/>
    <mergeCell ref="NVQ19:NVT19"/>
    <mergeCell ref="NUG19:NUJ19"/>
    <mergeCell ref="NUK19:NUN19"/>
    <mergeCell ref="NUO19:NUR19"/>
    <mergeCell ref="NUS19:NUV19"/>
    <mergeCell ref="NUW19:NUZ19"/>
    <mergeCell ref="OEG19:OEJ19"/>
    <mergeCell ref="OEK19:OEN19"/>
    <mergeCell ref="OEO19:OER19"/>
    <mergeCell ref="OES19:OEV19"/>
    <mergeCell ref="OEW19:OEZ19"/>
    <mergeCell ref="ODM19:ODP19"/>
    <mergeCell ref="ODQ19:ODT19"/>
    <mergeCell ref="ODU19:ODX19"/>
    <mergeCell ref="ODY19:OEB19"/>
    <mergeCell ref="OEC19:OEF19"/>
    <mergeCell ref="OCS19:OCV19"/>
    <mergeCell ref="OCW19:OCZ19"/>
    <mergeCell ref="ODA19:ODD19"/>
    <mergeCell ref="ODE19:ODH19"/>
    <mergeCell ref="ODI19:ODL19"/>
    <mergeCell ref="OBY19:OCB19"/>
    <mergeCell ref="OCC19:OCF19"/>
    <mergeCell ref="OCG19:OCJ19"/>
    <mergeCell ref="OCK19:OCN19"/>
    <mergeCell ref="OCO19:OCR19"/>
    <mergeCell ref="OBE19:OBH19"/>
    <mergeCell ref="OBI19:OBL19"/>
    <mergeCell ref="OBM19:OBP19"/>
    <mergeCell ref="OBQ19:OBT19"/>
    <mergeCell ref="OBU19:OBX19"/>
    <mergeCell ref="OAK19:OAN19"/>
    <mergeCell ref="OAO19:OAR19"/>
    <mergeCell ref="OAS19:OAV19"/>
    <mergeCell ref="OAW19:OAZ19"/>
    <mergeCell ref="OBA19:OBD19"/>
    <mergeCell ref="NZQ19:NZT19"/>
    <mergeCell ref="NZU19:NZX19"/>
    <mergeCell ref="NZY19:OAB19"/>
    <mergeCell ref="OAC19:OAF19"/>
    <mergeCell ref="OAG19:OAJ19"/>
    <mergeCell ref="OJQ19:OJT19"/>
    <mergeCell ref="OJU19:OJX19"/>
    <mergeCell ref="OJY19:OKB19"/>
    <mergeCell ref="OKC19:OKF19"/>
    <mergeCell ref="OKG19:OKJ19"/>
    <mergeCell ref="OIW19:OIZ19"/>
    <mergeCell ref="OJA19:OJD19"/>
    <mergeCell ref="OJE19:OJH19"/>
    <mergeCell ref="OJI19:OJL19"/>
    <mergeCell ref="OJM19:OJP19"/>
    <mergeCell ref="OIC19:OIF19"/>
    <mergeCell ref="OIG19:OIJ19"/>
    <mergeCell ref="OIK19:OIN19"/>
    <mergeCell ref="OIO19:OIR19"/>
    <mergeCell ref="OIS19:OIV19"/>
    <mergeCell ref="OHI19:OHL19"/>
    <mergeCell ref="OHM19:OHP19"/>
    <mergeCell ref="OHQ19:OHT19"/>
    <mergeCell ref="OHU19:OHX19"/>
    <mergeCell ref="OHY19:OIB19"/>
    <mergeCell ref="OGO19:OGR19"/>
    <mergeCell ref="OGS19:OGV19"/>
    <mergeCell ref="OGW19:OGZ19"/>
    <mergeCell ref="OHA19:OHD19"/>
    <mergeCell ref="OHE19:OHH19"/>
    <mergeCell ref="OFU19:OFX19"/>
    <mergeCell ref="OFY19:OGB19"/>
    <mergeCell ref="OGC19:OGF19"/>
    <mergeCell ref="OGG19:OGJ19"/>
    <mergeCell ref="OGK19:OGN19"/>
    <mergeCell ref="OFA19:OFD19"/>
    <mergeCell ref="OFE19:OFH19"/>
    <mergeCell ref="OFI19:OFL19"/>
    <mergeCell ref="OFM19:OFP19"/>
    <mergeCell ref="OFQ19:OFT19"/>
    <mergeCell ref="OPA19:OPD19"/>
    <mergeCell ref="OPE19:OPH19"/>
    <mergeCell ref="OPI19:OPL19"/>
    <mergeCell ref="OPM19:OPP19"/>
    <mergeCell ref="OPQ19:OPT19"/>
    <mergeCell ref="OOG19:OOJ19"/>
    <mergeCell ref="OOK19:OON19"/>
    <mergeCell ref="OOO19:OOR19"/>
    <mergeCell ref="OOS19:OOV19"/>
    <mergeCell ref="OOW19:OOZ19"/>
    <mergeCell ref="ONM19:ONP19"/>
    <mergeCell ref="ONQ19:ONT19"/>
    <mergeCell ref="ONU19:ONX19"/>
    <mergeCell ref="ONY19:OOB19"/>
    <mergeCell ref="OOC19:OOF19"/>
    <mergeCell ref="OMS19:OMV19"/>
    <mergeCell ref="OMW19:OMZ19"/>
    <mergeCell ref="ONA19:OND19"/>
    <mergeCell ref="ONE19:ONH19"/>
    <mergeCell ref="ONI19:ONL19"/>
    <mergeCell ref="OLY19:OMB19"/>
    <mergeCell ref="OMC19:OMF19"/>
    <mergeCell ref="OMG19:OMJ19"/>
    <mergeCell ref="OMK19:OMN19"/>
    <mergeCell ref="OMO19:OMR19"/>
    <mergeCell ref="OLE19:OLH19"/>
    <mergeCell ref="OLI19:OLL19"/>
    <mergeCell ref="OLM19:OLP19"/>
    <mergeCell ref="OLQ19:OLT19"/>
    <mergeCell ref="OLU19:OLX19"/>
    <mergeCell ref="OKK19:OKN19"/>
    <mergeCell ref="OKO19:OKR19"/>
    <mergeCell ref="OKS19:OKV19"/>
    <mergeCell ref="OKW19:OKZ19"/>
    <mergeCell ref="OLA19:OLD19"/>
    <mergeCell ref="OUK19:OUN19"/>
    <mergeCell ref="OUO19:OUR19"/>
    <mergeCell ref="OUS19:OUV19"/>
    <mergeCell ref="OUW19:OUZ19"/>
    <mergeCell ref="OVA19:OVD19"/>
    <mergeCell ref="OTQ19:OTT19"/>
    <mergeCell ref="OTU19:OTX19"/>
    <mergeCell ref="OTY19:OUB19"/>
    <mergeCell ref="OUC19:OUF19"/>
    <mergeCell ref="OUG19:OUJ19"/>
    <mergeCell ref="OSW19:OSZ19"/>
    <mergeCell ref="OTA19:OTD19"/>
    <mergeCell ref="OTE19:OTH19"/>
    <mergeCell ref="OTI19:OTL19"/>
    <mergeCell ref="OTM19:OTP19"/>
    <mergeCell ref="OSC19:OSF19"/>
    <mergeCell ref="OSG19:OSJ19"/>
    <mergeCell ref="OSK19:OSN19"/>
    <mergeCell ref="OSO19:OSR19"/>
    <mergeCell ref="OSS19:OSV19"/>
    <mergeCell ref="ORI19:ORL19"/>
    <mergeCell ref="ORM19:ORP19"/>
    <mergeCell ref="ORQ19:ORT19"/>
    <mergeCell ref="ORU19:ORX19"/>
    <mergeCell ref="ORY19:OSB19"/>
    <mergeCell ref="OQO19:OQR19"/>
    <mergeCell ref="OQS19:OQV19"/>
    <mergeCell ref="OQW19:OQZ19"/>
    <mergeCell ref="ORA19:ORD19"/>
    <mergeCell ref="ORE19:ORH19"/>
    <mergeCell ref="OPU19:OPX19"/>
    <mergeCell ref="OPY19:OQB19"/>
    <mergeCell ref="OQC19:OQF19"/>
    <mergeCell ref="OQG19:OQJ19"/>
    <mergeCell ref="OQK19:OQN19"/>
    <mergeCell ref="OZU19:OZX19"/>
    <mergeCell ref="OZY19:PAB19"/>
    <mergeCell ref="PAC19:PAF19"/>
    <mergeCell ref="PAG19:PAJ19"/>
    <mergeCell ref="PAK19:PAN19"/>
    <mergeCell ref="OZA19:OZD19"/>
    <mergeCell ref="OZE19:OZH19"/>
    <mergeCell ref="OZI19:OZL19"/>
    <mergeCell ref="OZM19:OZP19"/>
    <mergeCell ref="OZQ19:OZT19"/>
    <mergeCell ref="OYG19:OYJ19"/>
    <mergeCell ref="OYK19:OYN19"/>
    <mergeCell ref="OYO19:OYR19"/>
    <mergeCell ref="OYS19:OYV19"/>
    <mergeCell ref="OYW19:OYZ19"/>
    <mergeCell ref="OXM19:OXP19"/>
    <mergeCell ref="OXQ19:OXT19"/>
    <mergeCell ref="OXU19:OXX19"/>
    <mergeCell ref="OXY19:OYB19"/>
    <mergeCell ref="OYC19:OYF19"/>
    <mergeCell ref="OWS19:OWV19"/>
    <mergeCell ref="OWW19:OWZ19"/>
    <mergeCell ref="OXA19:OXD19"/>
    <mergeCell ref="OXE19:OXH19"/>
    <mergeCell ref="OXI19:OXL19"/>
    <mergeCell ref="OVY19:OWB19"/>
    <mergeCell ref="OWC19:OWF19"/>
    <mergeCell ref="OWG19:OWJ19"/>
    <mergeCell ref="OWK19:OWN19"/>
    <mergeCell ref="OWO19:OWR19"/>
    <mergeCell ref="OVE19:OVH19"/>
    <mergeCell ref="OVI19:OVL19"/>
    <mergeCell ref="OVM19:OVP19"/>
    <mergeCell ref="OVQ19:OVT19"/>
    <mergeCell ref="OVU19:OVX19"/>
    <mergeCell ref="PFE19:PFH19"/>
    <mergeCell ref="PFI19:PFL19"/>
    <mergeCell ref="PFM19:PFP19"/>
    <mergeCell ref="PFQ19:PFT19"/>
    <mergeCell ref="PFU19:PFX19"/>
    <mergeCell ref="PEK19:PEN19"/>
    <mergeCell ref="PEO19:PER19"/>
    <mergeCell ref="PES19:PEV19"/>
    <mergeCell ref="PEW19:PEZ19"/>
    <mergeCell ref="PFA19:PFD19"/>
    <mergeCell ref="PDQ19:PDT19"/>
    <mergeCell ref="PDU19:PDX19"/>
    <mergeCell ref="PDY19:PEB19"/>
    <mergeCell ref="PEC19:PEF19"/>
    <mergeCell ref="PEG19:PEJ19"/>
    <mergeCell ref="PCW19:PCZ19"/>
    <mergeCell ref="PDA19:PDD19"/>
    <mergeCell ref="PDE19:PDH19"/>
    <mergeCell ref="PDI19:PDL19"/>
    <mergeCell ref="PDM19:PDP19"/>
    <mergeCell ref="PCC19:PCF19"/>
    <mergeCell ref="PCG19:PCJ19"/>
    <mergeCell ref="PCK19:PCN19"/>
    <mergeCell ref="PCO19:PCR19"/>
    <mergeCell ref="PCS19:PCV19"/>
    <mergeCell ref="PBI19:PBL19"/>
    <mergeCell ref="PBM19:PBP19"/>
    <mergeCell ref="PBQ19:PBT19"/>
    <mergeCell ref="PBU19:PBX19"/>
    <mergeCell ref="PBY19:PCB19"/>
    <mergeCell ref="PAO19:PAR19"/>
    <mergeCell ref="PAS19:PAV19"/>
    <mergeCell ref="PAW19:PAZ19"/>
    <mergeCell ref="PBA19:PBD19"/>
    <mergeCell ref="PBE19:PBH19"/>
    <mergeCell ref="PKO19:PKR19"/>
    <mergeCell ref="PKS19:PKV19"/>
    <mergeCell ref="PKW19:PKZ19"/>
    <mergeCell ref="PLA19:PLD19"/>
    <mergeCell ref="PLE19:PLH19"/>
    <mergeCell ref="PJU19:PJX19"/>
    <mergeCell ref="PJY19:PKB19"/>
    <mergeCell ref="PKC19:PKF19"/>
    <mergeCell ref="PKG19:PKJ19"/>
    <mergeCell ref="PKK19:PKN19"/>
    <mergeCell ref="PJA19:PJD19"/>
    <mergeCell ref="PJE19:PJH19"/>
    <mergeCell ref="PJI19:PJL19"/>
    <mergeCell ref="PJM19:PJP19"/>
    <mergeCell ref="PJQ19:PJT19"/>
    <mergeCell ref="PIG19:PIJ19"/>
    <mergeCell ref="PIK19:PIN19"/>
    <mergeCell ref="PIO19:PIR19"/>
    <mergeCell ref="PIS19:PIV19"/>
    <mergeCell ref="PIW19:PIZ19"/>
    <mergeCell ref="PHM19:PHP19"/>
    <mergeCell ref="PHQ19:PHT19"/>
    <mergeCell ref="PHU19:PHX19"/>
    <mergeCell ref="PHY19:PIB19"/>
    <mergeCell ref="PIC19:PIF19"/>
    <mergeCell ref="PGS19:PGV19"/>
    <mergeCell ref="PGW19:PGZ19"/>
    <mergeCell ref="PHA19:PHD19"/>
    <mergeCell ref="PHE19:PHH19"/>
    <mergeCell ref="PHI19:PHL19"/>
    <mergeCell ref="PFY19:PGB19"/>
    <mergeCell ref="PGC19:PGF19"/>
    <mergeCell ref="PGG19:PGJ19"/>
    <mergeCell ref="PGK19:PGN19"/>
    <mergeCell ref="PGO19:PGR19"/>
    <mergeCell ref="PPY19:PQB19"/>
    <mergeCell ref="PQC19:PQF19"/>
    <mergeCell ref="PQG19:PQJ19"/>
    <mergeCell ref="PQK19:PQN19"/>
    <mergeCell ref="PQO19:PQR19"/>
    <mergeCell ref="PPE19:PPH19"/>
    <mergeCell ref="PPI19:PPL19"/>
    <mergeCell ref="PPM19:PPP19"/>
    <mergeCell ref="PPQ19:PPT19"/>
    <mergeCell ref="PPU19:PPX19"/>
    <mergeCell ref="POK19:PON19"/>
    <mergeCell ref="POO19:POR19"/>
    <mergeCell ref="POS19:POV19"/>
    <mergeCell ref="POW19:POZ19"/>
    <mergeCell ref="PPA19:PPD19"/>
    <mergeCell ref="PNQ19:PNT19"/>
    <mergeCell ref="PNU19:PNX19"/>
    <mergeCell ref="PNY19:POB19"/>
    <mergeCell ref="POC19:POF19"/>
    <mergeCell ref="POG19:POJ19"/>
    <mergeCell ref="PMW19:PMZ19"/>
    <mergeCell ref="PNA19:PND19"/>
    <mergeCell ref="PNE19:PNH19"/>
    <mergeCell ref="PNI19:PNL19"/>
    <mergeCell ref="PNM19:PNP19"/>
    <mergeCell ref="PMC19:PMF19"/>
    <mergeCell ref="PMG19:PMJ19"/>
    <mergeCell ref="PMK19:PMN19"/>
    <mergeCell ref="PMO19:PMR19"/>
    <mergeCell ref="PMS19:PMV19"/>
    <mergeCell ref="PLI19:PLL19"/>
    <mergeCell ref="PLM19:PLP19"/>
    <mergeCell ref="PLQ19:PLT19"/>
    <mergeCell ref="PLU19:PLX19"/>
    <mergeCell ref="PLY19:PMB19"/>
    <mergeCell ref="PVI19:PVL19"/>
    <mergeCell ref="PVM19:PVP19"/>
    <mergeCell ref="PVQ19:PVT19"/>
    <mergeCell ref="PVU19:PVX19"/>
    <mergeCell ref="PVY19:PWB19"/>
    <mergeCell ref="PUO19:PUR19"/>
    <mergeCell ref="PUS19:PUV19"/>
    <mergeCell ref="PUW19:PUZ19"/>
    <mergeCell ref="PVA19:PVD19"/>
    <mergeCell ref="PVE19:PVH19"/>
    <mergeCell ref="PTU19:PTX19"/>
    <mergeCell ref="PTY19:PUB19"/>
    <mergeCell ref="PUC19:PUF19"/>
    <mergeCell ref="PUG19:PUJ19"/>
    <mergeCell ref="PUK19:PUN19"/>
    <mergeCell ref="PTA19:PTD19"/>
    <mergeCell ref="PTE19:PTH19"/>
    <mergeCell ref="PTI19:PTL19"/>
    <mergeCell ref="PTM19:PTP19"/>
    <mergeCell ref="PTQ19:PTT19"/>
    <mergeCell ref="PSG19:PSJ19"/>
    <mergeCell ref="PSK19:PSN19"/>
    <mergeCell ref="PSO19:PSR19"/>
    <mergeCell ref="PSS19:PSV19"/>
    <mergeCell ref="PSW19:PSZ19"/>
    <mergeCell ref="PRM19:PRP19"/>
    <mergeCell ref="PRQ19:PRT19"/>
    <mergeCell ref="PRU19:PRX19"/>
    <mergeCell ref="PRY19:PSB19"/>
    <mergeCell ref="PSC19:PSF19"/>
    <mergeCell ref="PQS19:PQV19"/>
    <mergeCell ref="PQW19:PQZ19"/>
    <mergeCell ref="PRA19:PRD19"/>
    <mergeCell ref="PRE19:PRH19"/>
    <mergeCell ref="PRI19:PRL19"/>
    <mergeCell ref="QAS19:QAV19"/>
    <mergeCell ref="QAW19:QAZ19"/>
    <mergeCell ref="QBA19:QBD19"/>
    <mergeCell ref="QBE19:QBH19"/>
    <mergeCell ref="QBI19:QBL19"/>
    <mergeCell ref="PZY19:QAB19"/>
    <mergeCell ref="QAC19:QAF19"/>
    <mergeCell ref="QAG19:QAJ19"/>
    <mergeCell ref="QAK19:QAN19"/>
    <mergeCell ref="QAO19:QAR19"/>
    <mergeCell ref="PZE19:PZH19"/>
    <mergeCell ref="PZI19:PZL19"/>
    <mergeCell ref="PZM19:PZP19"/>
    <mergeCell ref="PZQ19:PZT19"/>
    <mergeCell ref="PZU19:PZX19"/>
    <mergeCell ref="PYK19:PYN19"/>
    <mergeCell ref="PYO19:PYR19"/>
    <mergeCell ref="PYS19:PYV19"/>
    <mergeCell ref="PYW19:PYZ19"/>
    <mergeCell ref="PZA19:PZD19"/>
    <mergeCell ref="PXQ19:PXT19"/>
    <mergeCell ref="PXU19:PXX19"/>
    <mergeCell ref="PXY19:PYB19"/>
    <mergeCell ref="PYC19:PYF19"/>
    <mergeCell ref="PYG19:PYJ19"/>
    <mergeCell ref="PWW19:PWZ19"/>
    <mergeCell ref="PXA19:PXD19"/>
    <mergeCell ref="PXE19:PXH19"/>
    <mergeCell ref="PXI19:PXL19"/>
    <mergeCell ref="PXM19:PXP19"/>
    <mergeCell ref="PWC19:PWF19"/>
    <mergeCell ref="PWG19:PWJ19"/>
    <mergeCell ref="PWK19:PWN19"/>
    <mergeCell ref="PWO19:PWR19"/>
    <mergeCell ref="PWS19:PWV19"/>
    <mergeCell ref="QGC19:QGF19"/>
    <mergeCell ref="QGG19:QGJ19"/>
    <mergeCell ref="QGK19:QGN19"/>
    <mergeCell ref="QGO19:QGR19"/>
    <mergeCell ref="QGS19:QGV19"/>
    <mergeCell ref="QFI19:QFL19"/>
    <mergeCell ref="QFM19:QFP19"/>
    <mergeCell ref="QFQ19:QFT19"/>
    <mergeCell ref="QFU19:QFX19"/>
    <mergeCell ref="QFY19:QGB19"/>
    <mergeCell ref="QEO19:QER19"/>
    <mergeCell ref="QES19:QEV19"/>
    <mergeCell ref="QEW19:QEZ19"/>
    <mergeCell ref="QFA19:QFD19"/>
    <mergeCell ref="QFE19:QFH19"/>
    <mergeCell ref="QDU19:QDX19"/>
    <mergeCell ref="QDY19:QEB19"/>
    <mergeCell ref="QEC19:QEF19"/>
    <mergeCell ref="QEG19:QEJ19"/>
    <mergeCell ref="QEK19:QEN19"/>
    <mergeCell ref="QDA19:QDD19"/>
    <mergeCell ref="QDE19:QDH19"/>
    <mergeCell ref="QDI19:QDL19"/>
    <mergeCell ref="QDM19:QDP19"/>
    <mergeCell ref="QDQ19:QDT19"/>
    <mergeCell ref="QCG19:QCJ19"/>
    <mergeCell ref="QCK19:QCN19"/>
    <mergeCell ref="QCO19:QCR19"/>
    <mergeCell ref="QCS19:QCV19"/>
    <mergeCell ref="QCW19:QCZ19"/>
    <mergeCell ref="QBM19:QBP19"/>
    <mergeCell ref="QBQ19:QBT19"/>
    <mergeCell ref="QBU19:QBX19"/>
    <mergeCell ref="QBY19:QCB19"/>
    <mergeCell ref="QCC19:QCF19"/>
    <mergeCell ref="QLM19:QLP19"/>
    <mergeCell ref="QLQ19:QLT19"/>
    <mergeCell ref="QLU19:QLX19"/>
    <mergeCell ref="QLY19:QMB19"/>
    <mergeCell ref="QMC19:QMF19"/>
    <mergeCell ref="QKS19:QKV19"/>
    <mergeCell ref="QKW19:QKZ19"/>
    <mergeCell ref="QLA19:QLD19"/>
    <mergeCell ref="QLE19:QLH19"/>
    <mergeCell ref="QLI19:QLL19"/>
    <mergeCell ref="QJY19:QKB19"/>
    <mergeCell ref="QKC19:QKF19"/>
    <mergeCell ref="QKG19:QKJ19"/>
    <mergeCell ref="QKK19:QKN19"/>
    <mergeCell ref="QKO19:QKR19"/>
    <mergeCell ref="QJE19:QJH19"/>
    <mergeCell ref="QJI19:QJL19"/>
    <mergeCell ref="QJM19:QJP19"/>
    <mergeCell ref="QJQ19:QJT19"/>
    <mergeCell ref="QJU19:QJX19"/>
    <mergeCell ref="QIK19:QIN19"/>
    <mergeCell ref="QIO19:QIR19"/>
    <mergeCell ref="QIS19:QIV19"/>
    <mergeCell ref="QIW19:QIZ19"/>
    <mergeCell ref="QJA19:QJD19"/>
    <mergeCell ref="QHQ19:QHT19"/>
    <mergeCell ref="QHU19:QHX19"/>
    <mergeCell ref="QHY19:QIB19"/>
    <mergeCell ref="QIC19:QIF19"/>
    <mergeCell ref="QIG19:QIJ19"/>
    <mergeCell ref="QGW19:QGZ19"/>
    <mergeCell ref="QHA19:QHD19"/>
    <mergeCell ref="QHE19:QHH19"/>
    <mergeCell ref="QHI19:QHL19"/>
    <mergeCell ref="QHM19:QHP19"/>
    <mergeCell ref="QQW19:QQZ19"/>
    <mergeCell ref="QRA19:QRD19"/>
    <mergeCell ref="QRE19:QRH19"/>
    <mergeCell ref="QRI19:QRL19"/>
    <mergeCell ref="QRM19:QRP19"/>
    <mergeCell ref="QQC19:QQF19"/>
    <mergeCell ref="QQG19:QQJ19"/>
    <mergeCell ref="QQK19:QQN19"/>
    <mergeCell ref="QQO19:QQR19"/>
    <mergeCell ref="QQS19:QQV19"/>
    <mergeCell ref="QPI19:QPL19"/>
    <mergeCell ref="QPM19:QPP19"/>
    <mergeCell ref="QPQ19:QPT19"/>
    <mergeCell ref="QPU19:QPX19"/>
    <mergeCell ref="QPY19:QQB19"/>
    <mergeCell ref="QOO19:QOR19"/>
    <mergeCell ref="QOS19:QOV19"/>
    <mergeCell ref="QOW19:QOZ19"/>
    <mergeCell ref="QPA19:QPD19"/>
    <mergeCell ref="QPE19:QPH19"/>
    <mergeCell ref="QNU19:QNX19"/>
    <mergeCell ref="QNY19:QOB19"/>
    <mergeCell ref="QOC19:QOF19"/>
    <mergeCell ref="QOG19:QOJ19"/>
    <mergeCell ref="QOK19:QON19"/>
    <mergeCell ref="QNA19:QND19"/>
    <mergeCell ref="QNE19:QNH19"/>
    <mergeCell ref="QNI19:QNL19"/>
    <mergeCell ref="QNM19:QNP19"/>
    <mergeCell ref="QNQ19:QNT19"/>
    <mergeCell ref="QMG19:QMJ19"/>
    <mergeCell ref="QMK19:QMN19"/>
    <mergeCell ref="QMO19:QMR19"/>
    <mergeCell ref="QMS19:QMV19"/>
    <mergeCell ref="QMW19:QMZ19"/>
    <mergeCell ref="QWG19:QWJ19"/>
    <mergeCell ref="QWK19:QWN19"/>
    <mergeCell ref="QWO19:QWR19"/>
    <mergeCell ref="QWS19:QWV19"/>
    <mergeCell ref="QWW19:QWZ19"/>
    <mergeCell ref="QVM19:QVP19"/>
    <mergeCell ref="QVQ19:QVT19"/>
    <mergeCell ref="QVU19:QVX19"/>
    <mergeCell ref="QVY19:QWB19"/>
    <mergeCell ref="QWC19:QWF19"/>
    <mergeCell ref="QUS19:QUV19"/>
    <mergeCell ref="QUW19:QUZ19"/>
    <mergeCell ref="QVA19:QVD19"/>
    <mergeCell ref="QVE19:QVH19"/>
    <mergeCell ref="QVI19:QVL19"/>
    <mergeCell ref="QTY19:QUB19"/>
    <mergeCell ref="QUC19:QUF19"/>
    <mergeCell ref="QUG19:QUJ19"/>
    <mergeCell ref="QUK19:QUN19"/>
    <mergeCell ref="QUO19:QUR19"/>
    <mergeCell ref="QTE19:QTH19"/>
    <mergeCell ref="QTI19:QTL19"/>
    <mergeCell ref="QTM19:QTP19"/>
    <mergeCell ref="QTQ19:QTT19"/>
    <mergeCell ref="QTU19:QTX19"/>
    <mergeCell ref="QSK19:QSN19"/>
    <mergeCell ref="QSO19:QSR19"/>
    <mergeCell ref="QSS19:QSV19"/>
    <mergeCell ref="QSW19:QSZ19"/>
    <mergeCell ref="QTA19:QTD19"/>
    <mergeCell ref="QRQ19:QRT19"/>
    <mergeCell ref="QRU19:QRX19"/>
    <mergeCell ref="QRY19:QSB19"/>
    <mergeCell ref="QSC19:QSF19"/>
    <mergeCell ref="QSG19:QSJ19"/>
    <mergeCell ref="RBQ19:RBT19"/>
    <mergeCell ref="RBU19:RBX19"/>
    <mergeCell ref="RBY19:RCB19"/>
    <mergeCell ref="RCC19:RCF19"/>
    <mergeCell ref="RCG19:RCJ19"/>
    <mergeCell ref="RAW19:RAZ19"/>
    <mergeCell ref="RBA19:RBD19"/>
    <mergeCell ref="RBE19:RBH19"/>
    <mergeCell ref="RBI19:RBL19"/>
    <mergeCell ref="RBM19:RBP19"/>
    <mergeCell ref="RAC19:RAF19"/>
    <mergeCell ref="RAG19:RAJ19"/>
    <mergeCell ref="RAK19:RAN19"/>
    <mergeCell ref="RAO19:RAR19"/>
    <mergeCell ref="RAS19:RAV19"/>
    <mergeCell ref="QZI19:QZL19"/>
    <mergeCell ref="QZM19:QZP19"/>
    <mergeCell ref="QZQ19:QZT19"/>
    <mergeCell ref="QZU19:QZX19"/>
    <mergeCell ref="QZY19:RAB19"/>
    <mergeCell ref="QYO19:QYR19"/>
    <mergeCell ref="QYS19:QYV19"/>
    <mergeCell ref="QYW19:QYZ19"/>
    <mergeCell ref="QZA19:QZD19"/>
    <mergeCell ref="QZE19:QZH19"/>
    <mergeCell ref="QXU19:QXX19"/>
    <mergeCell ref="QXY19:QYB19"/>
    <mergeCell ref="QYC19:QYF19"/>
    <mergeCell ref="QYG19:QYJ19"/>
    <mergeCell ref="QYK19:QYN19"/>
    <mergeCell ref="QXA19:QXD19"/>
    <mergeCell ref="QXE19:QXH19"/>
    <mergeCell ref="QXI19:QXL19"/>
    <mergeCell ref="QXM19:QXP19"/>
    <mergeCell ref="QXQ19:QXT19"/>
    <mergeCell ref="RHA19:RHD19"/>
    <mergeCell ref="RHE19:RHH19"/>
    <mergeCell ref="RHI19:RHL19"/>
    <mergeCell ref="RHM19:RHP19"/>
    <mergeCell ref="RHQ19:RHT19"/>
    <mergeCell ref="RGG19:RGJ19"/>
    <mergeCell ref="RGK19:RGN19"/>
    <mergeCell ref="RGO19:RGR19"/>
    <mergeCell ref="RGS19:RGV19"/>
    <mergeCell ref="RGW19:RGZ19"/>
    <mergeCell ref="RFM19:RFP19"/>
    <mergeCell ref="RFQ19:RFT19"/>
    <mergeCell ref="RFU19:RFX19"/>
    <mergeCell ref="RFY19:RGB19"/>
    <mergeCell ref="RGC19:RGF19"/>
    <mergeCell ref="RES19:REV19"/>
    <mergeCell ref="REW19:REZ19"/>
    <mergeCell ref="RFA19:RFD19"/>
    <mergeCell ref="RFE19:RFH19"/>
    <mergeCell ref="RFI19:RFL19"/>
    <mergeCell ref="RDY19:REB19"/>
    <mergeCell ref="REC19:REF19"/>
    <mergeCell ref="REG19:REJ19"/>
    <mergeCell ref="REK19:REN19"/>
    <mergeCell ref="REO19:RER19"/>
    <mergeCell ref="RDE19:RDH19"/>
    <mergeCell ref="RDI19:RDL19"/>
    <mergeCell ref="RDM19:RDP19"/>
    <mergeCell ref="RDQ19:RDT19"/>
    <mergeCell ref="RDU19:RDX19"/>
    <mergeCell ref="RCK19:RCN19"/>
    <mergeCell ref="RCO19:RCR19"/>
    <mergeCell ref="RCS19:RCV19"/>
    <mergeCell ref="RCW19:RCZ19"/>
    <mergeCell ref="RDA19:RDD19"/>
    <mergeCell ref="RMK19:RMN19"/>
    <mergeCell ref="RMO19:RMR19"/>
    <mergeCell ref="RMS19:RMV19"/>
    <mergeCell ref="RMW19:RMZ19"/>
    <mergeCell ref="RNA19:RND19"/>
    <mergeCell ref="RLQ19:RLT19"/>
    <mergeCell ref="RLU19:RLX19"/>
    <mergeCell ref="RLY19:RMB19"/>
    <mergeCell ref="RMC19:RMF19"/>
    <mergeCell ref="RMG19:RMJ19"/>
    <mergeCell ref="RKW19:RKZ19"/>
    <mergeCell ref="RLA19:RLD19"/>
    <mergeCell ref="RLE19:RLH19"/>
    <mergeCell ref="RLI19:RLL19"/>
    <mergeCell ref="RLM19:RLP19"/>
    <mergeCell ref="RKC19:RKF19"/>
    <mergeCell ref="RKG19:RKJ19"/>
    <mergeCell ref="RKK19:RKN19"/>
    <mergeCell ref="RKO19:RKR19"/>
    <mergeCell ref="RKS19:RKV19"/>
    <mergeCell ref="RJI19:RJL19"/>
    <mergeCell ref="RJM19:RJP19"/>
    <mergeCell ref="RJQ19:RJT19"/>
    <mergeCell ref="RJU19:RJX19"/>
    <mergeCell ref="RJY19:RKB19"/>
    <mergeCell ref="RIO19:RIR19"/>
    <mergeCell ref="RIS19:RIV19"/>
    <mergeCell ref="RIW19:RIZ19"/>
    <mergeCell ref="RJA19:RJD19"/>
    <mergeCell ref="RJE19:RJH19"/>
    <mergeCell ref="RHU19:RHX19"/>
    <mergeCell ref="RHY19:RIB19"/>
    <mergeCell ref="RIC19:RIF19"/>
    <mergeCell ref="RIG19:RIJ19"/>
    <mergeCell ref="RIK19:RIN19"/>
    <mergeCell ref="RRU19:RRX19"/>
    <mergeCell ref="RRY19:RSB19"/>
    <mergeCell ref="RSC19:RSF19"/>
    <mergeCell ref="RSG19:RSJ19"/>
    <mergeCell ref="RSK19:RSN19"/>
    <mergeCell ref="RRA19:RRD19"/>
    <mergeCell ref="RRE19:RRH19"/>
    <mergeCell ref="RRI19:RRL19"/>
    <mergeCell ref="RRM19:RRP19"/>
    <mergeCell ref="RRQ19:RRT19"/>
    <mergeCell ref="RQG19:RQJ19"/>
    <mergeCell ref="RQK19:RQN19"/>
    <mergeCell ref="RQO19:RQR19"/>
    <mergeCell ref="RQS19:RQV19"/>
    <mergeCell ref="RQW19:RQZ19"/>
    <mergeCell ref="RPM19:RPP19"/>
    <mergeCell ref="RPQ19:RPT19"/>
    <mergeCell ref="RPU19:RPX19"/>
    <mergeCell ref="RPY19:RQB19"/>
    <mergeCell ref="RQC19:RQF19"/>
    <mergeCell ref="ROS19:ROV19"/>
    <mergeCell ref="ROW19:ROZ19"/>
    <mergeCell ref="RPA19:RPD19"/>
    <mergeCell ref="RPE19:RPH19"/>
    <mergeCell ref="RPI19:RPL19"/>
    <mergeCell ref="RNY19:ROB19"/>
    <mergeCell ref="ROC19:ROF19"/>
    <mergeCell ref="ROG19:ROJ19"/>
    <mergeCell ref="ROK19:RON19"/>
    <mergeCell ref="ROO19:ROR19"/>
    <mergeCell ref="RNE19:RNH19"/>
    <mergeCell ref="RNI19:RNL19"/>
    <mergeCell ref="RNM19:RNP19"/>
    <mergeCell ref="RNQ19:RNT19"/>
    <mergeCell ref="RNU19:RNX19"/>
    <mergeCell ref="RXE19:RXH19"/>
    <mergeCell ref="RXI19:RXL19"/>
    <mergeCell ref="RXM19:RXP19"/>
    <mergeCell ref="RXQ19:RXT19"/>
    <mergeCell ref="RXU19:RXX19"/>
    <mergeCell ref="RWK19:RWN19"/>
    <mergeCell ref="RWO19:RWR19"/>
    <mergeCell ref="RWS19:RWV19"/>
    <mergeCell ref="RWW19:RWZ19"/>
    <mergeCell ref="RXA19:RXD19"/>
    <mergeCell ref="RVQ19:RVT19"/>
    <mergeCell ref="RVU19:RVX19"/>
    <mergeCell ref="RVY19:RWB19"/>
    <mergeCell ref="RWC19:RWF19"/>
    <mergeCell ref="RWG19:RWJ19"/>
    <mergeCell ref="RUW19:RUZ19"/>
    <mergeCell ref="RVA19:RVD19"/>
    <mergeCell ref="RVE19:RVH19"/>
    <mergeCell ref="RVI19:RVL19"/>
    <mergeCell ref="RVM19:RVP19"/>
    <mergeCell ref="RUC19:RUF19"/>
    <mergeCell ref="RUG19:RUJ19"/>
    <mergeCell ref="RUK19:RUN19"/>
    <mergeCell ref="RUO19:RUR19"/>
    <mergeCell ref="RUS19:RUV19"/>
    <mergeCell ref="RTI19:RTL19"/>
    <mergeCell ref="RTM19:RTP19"/>
    <mergeCell ref="RTQ19:RTT19"/>
    <mergeCell ref="RTU19:RTX19"/>
    <mergeCell ref="RTY19:RUB19"/>
    <mergeCell ref="RSO19:RSR19"/>
    <mergeCell ref="RSS19:RSV19"/>
    <mergeCell ref="RSW19:RSZ19"/>
    <mergeCell ref="RTA19:RTD19"/>
    <mergeCell ref="RTE19:RTH19"/>
    <mergeCell ref="SCO19:SCR19"/>
    <mergeCell ref="SCS19:SCV19"/>
    <mergeCell ref="SCW19:SCZ19"/>
    <mergeCell ref="SDA19:SDD19"/>
    <mergeCell ref="SDE19:SDH19"/>
    <mergeCell ref="SBU19:SBX19"/>
    <mergeCell ref="SBY19:SCB19"/>
    <mergeCell ref="SCC19:SCF19"/>
    <mergeCell ref="SCG19:SCJ19"/>
    <mergeCell ref="SCK19:SCN19"/>
    <mergeCell ref="SBA19:SBD19"/>
    <mergeCell ref="SBE19:SBH19"/>
    <mergeCell ref="SBI19:SBL19"/>
    <mergeCell ref="SBM19:SBP19"/>
    <mergeCell ref="SBQ19:SBT19"/>
    <mergeCell ref="SAG19:SAJ19"/>
    <mergeCell ref="SAK19:SAN19"/>
    <mergeCell ref="SAO19:SAR19"/>
    <mergeCell ref="SAS19:SAV19"/>
    <mergeCell ref="SAW19:SAZ19"/>
    <mergeCell ref="RZM19:RZP19"/>
    <mergeCell ref="RZQ19:RZT19"/>
    <mergeCell ref="RZU19:RZX19"/>
    <mergeCell ref="RZY19:SAB19"/>
    <mergeCell ref="SAC19:SAF19"/>
    <mergeCell ref="RYS19:RYV19"/>
    <mergeCell ref="RYW19:RYZ19"/>
    <mergeCell ref="RZA19:RZD19"/>
    <mergeCell ref="RZE19:RZH19"/>
    <mergeCell ref="RZI19:RZL19"/>
    <mergeCell ref="RXY19:RYB19"/>
    <mergeCell ref="RYC19:RYF19"/>
    <mergeCell ref="RYG19:RYJ19"/>
    <mergeCell ref="RYK19:RYN19"/>
    <mergeCell ref="RYO19:RYR19"/>
    <mergeCell ref="SHY19:SIB19"/>
    <mergeCell ref="SIC19:SIF19"/>
    <mergeCell ref="SIG19:SIJ19"/>
    <mergeCell ref="SIK19:SIN19"/>
    <mergeCell ref="SIO19:SIR19"/>
    <mergeCell ref="SHE19:SHH19"/>
    <mergeCell ref="SHI19:SHL19"/>
    <mergeCell ref="SHM19:SHP19"/>
    <mergeCell ref="SHQ19:SHT19"/>
    <mergeCell ref="SHU19:SHX19"/>
    <mergeCell ref="SGK19:SGN19"/>
    <mergeCell ref="SGO19:SGR19"/>
    <mergeCell ref="SGS19:SGV19"/>
    <mergeCell ref="SGW19:SGZ19"/>
    <mergeCell ref="SHA19:SHD19"/>
    <mergeCell ref="SFQ19:SFT19"/>
    <mergeCell ref="SFU19:SFX19"/>
    <mergeCell ref="SFY19:SGB19"/>
    <mergeCell ref="SGC19:SGF19"/>
    <mergeCell ref="SGG19:SGJ19"/>
    <mergeCell ref="SEW19:SEZ19"/>
    <mergeCell ref="SFA19:SFD19"/>
    <mergeCell ref="SFE19:SFH19"/>
    <mergeCell ref="SFI19:SFL19"/>
    <mergeCell ref="SFM19:SFP19"/>
    <mergeCell ref="SEC19:SEF19"/>
    <mergeCell ref="SEG19:SEJ19"/>
    <mergeCell ref="SEK19:SEN19"/>
    <mergeCell ref="SEO19:SER19"/>
    <mergeCell ref="SES19:SEV19"/>
    <mergeCell ref="SDI19:SDL19"/>
    <mergeCell ref="SDM19:SDP19"/>
    <mergeCell ref="SDQ19:SDT19"/>
    <mergeCell ref="SDU19:SDX19"/>
    <mergeCell ref="SDY19:SEB19"/>
    <mergeCell ref="SNI19:SNL19"/>
    <mergeCell ref="SNM19:SNP19"/>
    <mergeCell ref="SNQ19:SNT19"/>
    <mergeCell ref="SNU19:SNX19"/>
    <mergeCell ref="SNY19:SOB19"/>
    <mergeCell ref="SMO19:SMR19"/>
    <mergeCell ref="SMS19:SMV19"/>
    <mergeCell ref="SMW19:SMZ19"/>
    <mergeCell ref="SNA19:SND19"/>
    <mergeCell ref="SNE19:SNH19"/>
    <mergeCell ref="SLU19:SLX19"/>
    <mergeCell ref="SLY19:SMB19"/>
    <mergeCell ref="SMC19:SMF19"/>
    <mergeCell ref="SMG19:SMJ19"/>
    <mergeCell ref="SMK19:SMN19"/>
    <mergeCell ref="SLA19:SLD19"/>
    <mergeCell ref="SLE19:SLH19"/>
    <mergeCell ref="SLI19:SLL19"/>
    <mergeCell ref="SLM19:SLP19"/>
    <mergeCell ref="SLQ19:SLT19"/>
    <mergeCell ref="SKG19:SKJ19"/>
    <mergeCell ref="SKK19:SKN19"/>
    <mergeCell ref="SKO19:SKR19"/>
    <mergeCell ref="SKS19:SKV19"/>
    <mergeCell ref="SKW19:SKZ19"/>
    <mergeCell ref="SJM19:SJP19"/>
    <mergeCell ref="SJQ19:SJT19"/>
    <mergeCell ref="SJU19:SJX19"/>
    <mergeCell ref="SJY19:SKB19"/>
    <mergeCell ref="SKC19:SKF19"/>
    <mergeCell ref="SIS19:SIV19"/>
    <mergeCell ref="SIW19:SIZ19"/>
    <mergeCell ref="SJA19:SJD19"/>
    <mergeCell ref="SJE19:SJH19"/>
    <mergeCell ref="SJI19:SJL19"/>
    <mergeCell ref="SSS19:SSV19"/>
    <mergeCell ref="SSW19:SSZ19"/>
    <mergeCell ref="STA19:STD19"/>
    <mergeCell ref="STE19:STH19"/>
    <mergeCell ref="STI19:STL19"/>
    <mergeCell ref="SRY19:SSB19"/>
    <mergeCell ref="SSC19:SSF19"/>
    <mergeCell ref="SSG19:SSJ19"/>
    <mergeCell ref="SSK19:SSN19"/>
    <mergeCell ref="SSO19:SSR19"/>
    <mergeCell ref="SRE19:SRH19"/>
    <mergeCell ref="SRI19:SRL19"/>
    <mergeCell ref="SRM19:SRP19"/>
    <mergeCell ref="SRQ19:SRT19"/>
    <mergeCell ref="SRU19:SRX19"/>
    <mergeCell ref="SQK19:SQN19"/>
    <mergeCell ref="SQO19:SQR19"/>
    <mergeCell ref="SQS19:SQV19"/>
    <mergeCell ref="SQW19:SQZ19"/>
    <mergeCell ref="SRA19:SRD19"/>
    <mergeCell ref="SPQ19:SPT19"/>
    <mergeCell ref="SPU19:SPX19"/>
    <mergeCell ref="SPY19:SQB19"/>
    <mergeCell ref="SQC19:SQF19"/>
    <mergeCell ref="SQG19:SQJ19"/>
    <mergeCell ref="SOW19:SOZ19"/>
    <mergeCell ref="SPA19:SPD19"/>
    <mergeCell ref="SPE19:SPH19"/>
    <mergeCell ref="SPI19:SPL19"/>
    <mergeCell ref="SPM19:SPP19"/>
    <mergeCell ref="SOC19:SOF19"/>
    <mergeCell ref="SOG19:SOJ19"/>
    <mergeCell ref="SOK19:SON19"/>
    <mergeCell ref="SOO19:SOR19"/>
    <mergeCell ref="SOS19:SOV19"/>
    <mergeCell ref="SYC19:SYF19"/>
    <mergeCell ref="SYG19:SYJ19"/>
    <mergeCell ref="SYK19:SYN19"/>
    <mergeCell ref="SYO19:SYR19"/>
    <mergeCell ref="SYS19:SYV19"/>
    <mergeCell ref="SXI19:SXL19"/>
    <mergeCell ref="SXM19:SXP19"/>
    <mergeCell ref="SXQ19:SXT19"/>
    <mergeCell ref="SXU19:SXX19"/>
    <mergeCell ref="SXY19:SYB19"/>
    <mergeCell ref="SWO19:SWR19"/>
    <mergeCell ref="SWS19:SWV19"/>
    <mergeCell ref="SWW19:SWZ19"/>
    <mergeCell ref="SXA19:SXD19"/>
    <mergeCell ref="SXE19:SXH19"/>
    <mergeCell ref="SVU19:SVX19"/>
    <mergeCell ref="SVY19:SWB19"/>
    <mergeCell ref="SWC19:SWF19"/>
    <mergeCell ref="SWG19:SWJ19"/>
    <mergeCell ref="SWK19:SWN19"/>
    <mergeCell ref="SVA19:SVD19"/>
    <mergeCell ref="SVE19:SVH19"/>
    <mergeCell ref="SVI19:SVL19"/>
    <mergeCell ref="SVM19:SVP19"/>
    <mergeCell ref="SVQ19:SVT19"/>
    <mergeCell ref="SUG19:SUJ19"/>
    <mergeCell ref="SUK19:SUN19"/>
    <mergeCell ref="SUO19:SUR19"/>
    <mergeCell ref="SUS19:SUV19"/>
    <mergeCell ref="SUW19:SUZ19"/>
    <mergeCell ref="STM19:STP19"/>
    <mergeCell ref="STQ19:STT19"/>
    <mergeCell ref="STU19:STX19"/>
    <mergeCell ref="STY19:SUB19"/>
    <mergeCell ref="SUC19:SUF19"/>
    <mergeCell ref="TDM19:TDP19"/>
    <mergeCell ref="TDQ19:TDT19"/>
    <mergeCell ref="TDU19:TDX19"/>
    <mergeCell ref="TDY19:TEB19"/>
    <mergeCell ref="TEC19:TEF19"/>
    <mergeCell ref="TCS19:TCV19"/>
    <mergeCell ref="TCW19:TCZ19"/>
    <mergeCell ref="TDA19:TDD19"/>
    <mergeCell ref="TDE19:TDH19"/>
    <mergeCell ref="TDI19:TDL19"/>
    <mergeCell ref="TBY19:TCB19"/>
    <mergeCell ref="TCC19:TCF19"/>
    <mergeCell ref="TCG19:TCJ19"/>
    <mergeCell ref="TCK19:TCN19"/>
    <mergeCell ref="TCO19:TCR19"/>
    <mergeCell ref="TBE19:TBH19"/>
    <mergeCell ref="TBI19:TBL19"/>
    <mergeCell ref="TBM19:TBP19"/>
    <mergeCell ref="TBQ19:TBT19"/>
    <mergeCell ref="TBU19:TBX19"/>
    <mergeCell ref="TAK19:TAN19"/>
    <mergeCell ref="TAO19:TAR19"/>
    <mergeCell ref="TAS19:TAV19"/>
    <mergeCell ref="TAW19:TAZ19"/>
    <mergeCell ref="TBA19:TBD19"/>
    <mergeCell ref="SZQ19:SZT19"/>
    <mergeCell ref="SZU19:SZX19"/>
    <mergeCell ref="SZY19:TAB19"/>
    <mergeCell ref="TAC19:TAF19"/>
    <mergeCell ref="TAG19:TAJ19"/>
    <mergeCell ref="SYW19:SYZ19"/>
    <mergeCell ref="SZA19:SZD19"/>
    <mergeCell ref="SZE19:SZH19"/>
    <mergeCell ref="SZI19:SZL19"/>
    <mergeCell ref="SZM19:SZP19"/>
    <mergeCell ref="TIW19:TIZ19"/>
    <mergeCell ref="TJA19:TJD19"/>
    <mergeCell ref="TJE19:TJH19"/>
    <mergeCell ref="TJI19:TJL19"/>
    <mergeCell ref="TJM19:TJP19"/>
    <mergeCell ref="TIC19:TIF19"/>
    <mergeCell ref="TIG19:TIJ19"/>
    <mergeCell ref="TIK19:TIN19"/>
    <mergeCell ref="TIO19:TIR19"/>
    <mergeCell ref="TIS19:TIV19"/>
    <mergeCell ref="THI19:THL19"/>
    <mergeCell ref="THM19:THP19"/>
    <mergeCell ref="THQ19:THT19"/>
    <mergeCell ref="THU19:THX19"/>
    <mergeCell ref="THY19:TIB19"/>
    <mergeCell ref="TGO19:TGR19"/>
    <mergeCell ref="TGS19:TGV19"/>
    <mergeCell ref="TGW19:TGZ19"/>
    <mergeCell ref="THA19:THD19"/>
    <mergeCell ref="THE19:THH19"/>
    <mergeCell ref="TFU19:TFX19"/>
    <mergeCell ref="TFY19:TGB19"/>
    <mergeCell ref="TGC19:TGF19"/>
    <mergeCell ref="TGG19:TGJ19"/>
    <mergeCell ref="TGK19:TGN19"/>
    <mergeCell ref="TFA19:TFD19"/>
    <mergeCell ref="TFE19:TFH19"/>
    <mergeCell ref="TFI19:TFL19"/>
    <mergeCell ref="TFM19:TFP19"/>
    <mergeCell ref="TFQ19:TFT19"/>
    <mergeCell ref="TEG19:TEJ19"/>
    <mergeCell ref="TEK19:TEN19"/>
    <mergeCell ref="TEO19:TER19"/>
    <mergeCell ref="TES19:TEV19"/>
    <mergeCell ref="TEW19:TEZ19"/>
    <mergeCell ref="TOG19:TOJ19"/>
    <mergeCell ref="TOK19:TON19"/>
    <mergeCell ref="TOO19:TOR19"/>
    <mergeCell ref="TOS19:TOV19"/>
    <mergeCell ref="TOW19:TOZ19"/>
    <mergeCell ref="TNM19:TNP19"/>
    <mergeCell ref="TNQ19:TNT19"/>
    <mergeCell ref="TNU19:TNX19"/>
    <mergeCell ref="TNY19:TOB19"/>
    <mergeCell ref="TOC19:TOF19"/>
    <mergeCell ref="TMS19:TMV19"/>
    <mergeCell ref="TMW19:TMZ19"/>
    <mergeCell ref="TNA19:TND19"/>
    <mergeCell ref="TNE19:TNH19"/>
    <mergeCell ref="TNI19:TNL19"/>
    <mergeCell ref="TLY19:TMB19"/>
    <mergeCell ref="TMC19:TMF19"/>
    <mergeCell ref="TMG19:TMJ19"/>
    <mergeCell ref="TMK19:TMN19"/>
    <mergeCell ref="TMO19:TMR19"/>
    <mergeCell ref="TLE19:TLH19"/>
    <mergeCell ref="TLI19:TLL19"/>
    <mergeCell ref="TLM19:TLP19"/>
    <mergeCell ref="TLQ19:TLT19"/>
    <mergeCell ref="TLU19:TLX19"/>
    <mergeCell ref="TKK19:TKN19"/>
    <mergeCell ref="TKO19:TKR19"/>
    <mergeCell ref="TKS19:TKV19"/>
    <mergeCell ref="TKW19:TKZ19"/>
    <mergeCell ref="TLA19:TLD19"/>
    <mergeCell ref="TJQ19:TJT19"/>
    <mergeCell ref="TJU19:TJX19"/>
    <mergeCell ref="TJY19:TKB19"/>
    <mergeCell ref="TKC19:TKF19"/>
    <mergeCell ref="TKG19:TKJ19"/>
    <mergeCell ref="TTQ19:TTT19"/>
    <mergeCell ref="TTU19:TTX19"/>
    <mergeCell ref="TTY19:TUB19"/>
    <mergeCell ref="TUC19:TUF19"/>
    <mergeCell ref="TUG19:TUJ19"/>
    <mergeCell ref="TSW19:TSZ19"/>
    <mergeCell ref="TTA19:TTD19"/>
    <mergeCell ref="TTE19:TTH19"/>
    <mergeCell ref="TTI19:TTL19"/>
    <mergeCell ref="TTM19:TTP19"/>
    <mergeCell ref="TSC19:TSF19"/>
    <mergeCell ref="TSG19:TSJ19"/>
    <mergeCell ref="TSK19:TSN19"/>
    <mergeCell ref="TSO19:TSR19"/>
    <mergeCell ref="TSS19:TSV19"/>
    <mergeCell ref="TRI19:TRL19"/>
    <mergeCell ref="TRM19:TRP19"/>
    <mergeCell ref="TRQ19:TRT19"/>
    <mergeCell ref="TRU19:TRX19"/>
    <mergeCell ref="TRY19:TSB19"/>
    <mergeCell ref="TQO19:TQR19"/>
    <mergeCell ref="TQS19:TQV19"/>
    <mergeCell ref="TQW19:TQZ19"/>
    <mergeCell ref="TRA19:TRD19"/>
    <mergeCell ref="TRE19:TRH19"/>
    <mergeCell ref="TPU19:TPX19"/>
    <mergeCell ref="TPY19:TQB19"/>
    <mergeCell ref="TQC19:TQF19"/>
    <mergeCell ref="TQG19:TQJ19"/>
    <mergeCell ref="TQK19:TQN19"/>
    <mergeCell ref="TPA19:TPD19"/>
    <mergeCell ref="TPE19:TPH19"/>
    <mergeCell ref="TPI19:TPL19"/>
    <mergeCell ref="TPM19:TPP19"/>
    <mergeCell ref="TPQ19:TPT19"/>
    <mergeCell ref="TZA19:TZD19"/>
    <mergeCell ref="TZE19:TZH19"/>
    <mergeCell ref="TZI19:TZL19"/>
    <mergeCell ref="TZM19:TZP19"/>
    <mergeCell ref="TZQ19:TZT19"/>
    <mergeCell ref="TYG19:TYJ19"/>
    <mergeCell ref="TYK19:TYN19"/>
    <mergeCell ref="TYO19:TYR19"/>
    <mergeCell ref="TYS19:TYV19"/>
    <mergeCell ref="TYW19:TYZ19"/>
    <mergeCell ref="TXM19:TXP19"/>
    <mergeCell ref="TXQ19:TXT19"/>
    <mergeCell ref="TXU19:TXX19"/>
    <mergeCell ref="TXY19:TYB19"/>
    <mergeCell ref="TYC19:TYF19"/>
    <mergeCell ref="TWS19:TWV19"/>
    <mergeCell ref="TWW19:TWZ19"/>
    <mergeCell ref="TXA19:TXD19"/>
    <mergeCell ref="TXE19:TXH19"/>
    <mergeCell ref="TXI19:TXL19"/>
    <mergeCell ref="TVY19:TWB19"/>
    <mergeCell ref="TWC19:TWF19"/>
    <mergeCell ref="TWG19:TWJ19"/>
    <mergeCell ref="TWK19:TWN19"/>
    <mergeCell ref="TWO19:TWR19"/>
    <mergeCell ref="TVE19:TVH19"/>
    <mergeCell ref="TVI19:TVL19"/>
    <mergeCell ref="TVM19:TVP19"/>
    <mergeCell ref="TVQ19:TVT19"/>
    <mergeCell ref="TVU19:TVX19"/>
    <mergeCell ref="TUK19:TUN19"/>
    <mergeCell ref="TUO19:TUR19"/>
    <mergeCell ref="TUS19:TUV19"/>
    <mergeCell ref="TUW19:TUZ19"/>
    <mergeCell ref="TVA19:TVD19"/>
    <mergeCell ref="UEK19:UEN19"/>
    <mergeCell ref="UEO19:UER19"/>
    <mergeCell ref="UES19:UEV19"/>
    <mergeCell ref="UEW19:UEZ19"/>
    <mergeCell ref="UFA19:UFD19"/>
    <mergeCell ref="UDQ19:UDT19"/>
    <mergeCell ref="UDU19:UDX19"/>
    <mergeCell ref="UDY19:UEB19"/>
    <mergeCell ref="UEC19:UEF19"/>
    <mergeCell ref="UEG19:UEJ19"/>
    <mergeCell ref="UCW19:UCZ19"/>
    <mergeCell ref="UDA19:UDD19"/>
    <mergeCell ref="UDE19:UDH19"/>
    <mergeCell ref="UDI19:UDL19"/>
    <mergeCell ref="UDM19:UDP19"/>
    <mergeCell ref="UCC19:UCF19"/>
    <mergeCell ref="UCG19:UCJ19"/>
    <mergeCell ref="UCK19:UCN19"/>
    <mergeCell ref="UCO19:UCR19"/>
    <mergeCell ref="UCS19:UCV19"/>
    <mergeCell ref="UBI19:UBL19"/>
    <mergeCell ref="UBM19:UBP19"/>
    <mergeCell ref="UBQ19:UBT19"/>
    <mergeCell ref="UBU19:UBX19"/>
    <mergeCell ref="UBY19:UCB19"/>
    <mergeCell ref="UAO19:UAR19"/>
    <mergeCell ref="UAS19:UAV19"/>
    <mergeCell ref="UAW19:UAZ19"/>
    <mergeCell ref="UBA19:UBD19"/>
    <mergeCell ref="UBE19:UBH19"/>
    <mergeCell ref="TZU19:TZX19"/>
    <mergeCell ref="TZY19:UAB19"/>
    <mergeCell ref="UAC19:UAF19"/>
    <mergeCell ref="UAG19:UAJ19"/>
    <mergeCell ref="UAK19:UAN19"/>
    <mergeCell ref="UJU19:UJX19"/>
    <mergeCell ref="UJY19:UKB19"/>
    <mergeCell ref="UKC19:UKF19"/>
    <mergeCell ref="UKG19:UKJ19"/>
    <mergeCell ref="UKK19:UKN19"/>
    <mergeCell ref="UJA19:UJD19"/>
    <mergeCell ref="UJE19:UJH19"/>
    <mergeCell ref="UJI19:UJL19"/>
    <mergeCell ref="UJM19:UJP19"/>
    <mergeCell ref="UJQ19:UJT19"/>
    <mergeCell ref="UIG19:UIJ19"/>
    <mergeCell ref="UIK19:UIN19"/>
    <mergeCell ref="UIO19:UIR19"/>
    <mergeCell ref="UIS19:UIV19"/>
    <mergeCell ref="UIW19:UIZ19"/>
    <mergeCell ref="UHM19:UHP19"/>
    <mergeCell ref="UHQ19:UHT19"/>
    <mergeCell ref="UHU19:UHX19"/>
    <mergeCell ref="UHY19:UIB19"/>
    <mergeCell ref="UIC19:UIF19"/>
    <mergeCell ref="UGS19:UGV19"/>
    <mergeCell ref="UGW19:UGZ19"/>
    <mergeCell ref="UHA19:UHD19"/>
    <mergeCell ref="UHE19:UHH19"/>
    <mergeCell ref="UHI19:UHL19"/>
    <mergeCell ref="UFY19:UGB19"/>
    <mergeCell ref="UGC19:UGF19"/>
    <mergeCell ref="UGG19:UGJ19"/>
    <mergeCell ref="UGK19:UGN19"/>
    <mergeCell ref="UGO19:UGR19"/>
    <mergeCell ref="UFE19:UFH19"/>
    <mergeCell ref="UFI19:UFL19"/>
    <mergeCell ref="UFM19:UFP19"/>
    <mergeCell ref="UFQ19:UFT19"/>
    <mergeCell ref="UFU19:UFX19"/>
    <mergeCell ref="UPE19:UPH19"/>
    <mergeCell ref="UPI19:UPL19"/>
    <mergeCell ref="UPM19:UPP19"/>
    <mergeCell ref="UPQ19:UPT19"/>
    <mergeCell ref="UPU19:UPX19"/>
    <mergeCell ref="UOK19:UON19"/>
    <mergeCell ref="UOO19:UOR19"/>
    <mergeCell ref="UOS19:UOV19"/>
    <mergeCell ref="UOW19:UOZ19"/>
    <mergeCell ref="UPA19:UPD19"/>
    <mergeCell ref="UNQ19:UNT19"/>
    <mergeCell ref="UNU19:UNX19"/>
    <mergeCell ref="UNY19:UOB19"/>
    <mergeCell ref="UOC19:UOF19"/>
    <mergeCell ref="UOG19:UOJ19"/>
    <mergeCell ref="UMW19:UMZ19"/>
    <mergeCell ref="UNA19:UND19"/>
    <mergeCell ref="UNE19:UNH19"/>
    <mergeCell ref="UNI19:UNL19"/>
    <mergeCell ref="UNM19:UNP19"/>
    <mergeCell ref="UMC19:UMF19"/>
    <mergeCell ref="UMG19:UMJ19"/>
    <mergeCell ref="UMK19:UMN19"/>
    <mergeCell ref="UMO19:UMR19"/>
    <mergeCell ref="UMS19:UMV19"/>
    <mergeCell ref="ULI19:ULL19"/>
    <mergeCell ref="ULM19:ULP19"/>
    <mergeCell ref="ULQ19:ULT19"/>
    <mergeCell ref="ULU19:ULX19"/>
    <mergeCell ref="ULY19:UMB19"/>
    <mergeCell ref="UKO19:UKR19"/>
    <mergeCell ref="UKS19:UKV19"/>
    <mergeCell ref="UKW19:UKZ19"/>
    <mergeCell ref="ULA19:ULD19"/>
    <mergeCell ref="ULE19:ULH19"/>
    <mergeCell ref="UUO19:UUR19"/>
    <mergeCell ref="UUS19:UUV19"/>
    <mergeCell ref="UUW19:UUZ19"/>
    <mergeCell ref="UVA19:UVD19"/>
    <mergeCell ref="UVE19:UVH19"/>
    <mergeCell ref="UTU19:UTX19"/>
    <mergeCell ref="UTY19:UUB19"/>
    <mergeCell ref="UUC19:UUF19"/>
    <mergeCell ref="UUG19:UUJ19"/>
    <mergeCell ref="UUK19:UUN19"/>
    <mergeCell ref="UTA19:UTD19"/>
    <mergeCell ref="UTE19:UTH19"/>
    <mergeCell ref="UTI19:UTL19"/>
    <mergeCell ref="UTM19:UTP19"/>
    <mergeCell ref="UTQ19:UTT19"/>
    <mergeCell ref="USG19:USJ19"/>
    <mergeCell ref="USK19:USN19"/>
    <mergeCell ref="USO19:USR19"/>
    <mergeCell ref="USS19:USV19"/>
    <mergeCell ref="USW19:USZ19"/>
    <mergeCell ref="URM19:URP19"/>
    <mergeCell ref="URQ19:URT19"/>
    <mergeCell ref="URU19:URX19"/>
    <mergeCell ref="URY19:USB19"/>
    <mergeCell ref="USC19:USF19"/>
    <mergeCell ref="UQS19:UQV19"/>
    <mergeCell ref="UQW19:UQZ19"/>
    <mergeCell ref="URA19:URD19"/>
    <mergeCell ref="URE19:URH19"/>
    <mergeCell ref="URI19:URL19"/>
    <mergeCell ref="UPY19:UQB19"/>
    <mergeCell ref="UQC19:UQF19"/>
    <mergeCell ref="UQG19:UQJ19"/>
    <mergeCell ref="UQK19:UQN19"/>
    <mergeCell ref="UQO19:UQR19"/>
    <mergeCell ref="UZY19:VAB19"/>
    <mergeCell ref="VAC19:VAF19"/>
    <mergeCell ref="VAG19:VAJ19"/>
    <mergeCell ref="VAK19:VAN19"/>
    <mergeCell ref="VAO19:VAR19"/>
    <mergeCell ref="UZE19:UZH19"/>
    <mergeCell ref="UZI19:UZL19"/>
    <mergeCell ref="UZM19:UZP19"/>
    <mergeCell ref="UZQ19:UZT19"/>
    <mergeCell ref="UZU19:UZX19"/>
    <mergeCell ref="UYK19:UYN19"/>
    <mergeCell ref="UYO19:UYR19"/>
    <mergeCell ref="UYS19:UYV19"/>
    <mergeCell ref="UYW19:UYZ19"/>
    <mergeCell ref="UZA19:UZD19"/>
    <mergeCell ref="UXQ19:UXT19"/>
    <mergeCell ref="UXU19:UXX19"/>
    <mergeCell ref="UXY19:UYB19"/>
    <mergeCell ref="UYC19:UYF19"/>
    <mergeCell ref="UYG19:UYJ19"/>
    <mergeCell ref="UWW19:UWZ19"/>
    <mergeCell ref="UXA19:UXD19"/>
    <mergeCell ref="UXE19:UXH19"/>
    <mergeCell ref="UXI19:UXL19"/>
    <mergeCell ref="UXM19:UXP19"/>
    <mergeCell ref="UWC19:UWF19"/>
    <mergeCell ref="UWG19:UWJ19"/>
    <mergeCell ref="UWK19:UWN19"/>
    <mergeCell ref="UWO19:UWR19"/>
    <mergeCell ref="UWS19:UWV19"/>
    <mergeCell ref="UVI19:UVL19"/>
    <mergeCell ref="UVM19:UVP19"/>
    <mergeCell ref="UVQ19:UVT19"/>
    <mergeCell ref="UVU19:UVX19"/>
    <mergeCell ref="UVY19:UWB19"/>
    <mergeCell ref="VFI19:VFL19"/>
    <mergeCell ref="VFM19:VFP19"/>
    <mergeCell ref="VFQ19:VFT19"/>
    <mergeCell ref="VFU19:VFX19"/>
    <mergeCell ref="VFY19:VGB19"/>
    <mergeCell ref="VEO19:VER19"/>
    <mergeCell ref="VES19:VEV19"/>
    <mergeCell ref="VEW19:VEZ19"/>
    <mergeCell ref="VFA19:VFD19"/>
    <mergeCell ref="VFE19:VFH19"/>
    <mergeCell ref="VDU19:VDX19"/>
    <mergeCell ref="VDY19:VEB19"/>
    <mergeCell ref="VEC19:VEF19"/>
    <mergeCell ref="VEG19:VEJ19"/>
    <mergeCell ref="VEK19:VEN19"/>
    <mergeCell ref="VDA19:VDD19"/>
    <mergeCell ref="VDE19:VDH19"/>
    <mergeCell ref="VDI19:VDL19"/>
    <mergeCell ref="VDM19:VDP19"/>
    <mergeCell ref="VDQ19:VDT19"/>
    <mergeCell ref="VCG19:VCJ19"/>
    <mergeCell ref="VCK19:VCN19"/>
    <mergeCell ref="VCO19:VCR19"/>
    <mergeCell ref="VCS19:VCV19"/>
    <mergeCell ref="VCW19:VCZ19"/>
    <mergeCell ref="VBM19:VBP19"/>
    <mergeCell ref="VBQ19:VBT19"/>
    <mergeCell ref="VBU19:VBX19"/>
    <mergeCell ref="VBY19:VCB19"/>
    <mergeCell ref="VCC19:VCF19"/>
    <mergeCell ref="VAS19:VAV19"/>
    <mergeCell ref="VAW19:VAZ19"/>
    <mergeCell ref="VBA19:VBD19"/>
    <mergeCell ref="VBE19:VBH19"/>
    <mergeCell ref="VBI19:VBL19"/>
    <mergeCell ref="VKS19:VKV19"/>
    <mergeCell ref="VKW19:VKZ19"/>
    <mergeCell ref="VLA19:VLD19"/>
    <mergeCell ref="VLE19:VLH19"/>
    <mergeCell ref="VLI19:VLL19"/>
    <mergeCell ref="VJY19:VKB19"/>
    <mergeCell ref="VKC19:VKF19"/>
    <mergeCell ref="VKG19:VKJ19"/>
    <mergeCell ref="VKK19:VKN19"/>
    <mergeCell ref="VKO19:VKR19"/>
    <mergeCell ref="VJE19:VJH19"/>
    <mergeCell ref="VJI19:VJL19"/>
    <mergeCell ref="VJM19:VJP19"/>
    <mergeCell ref="VJQ19:VJT19"/>
    <mergeCell ref="VJU19:VJX19"/>
    <mergeCell ref="VIK19:VIN19"/>
    <mergeCell ref="VIO19:VIR19"/>
    <mergeCell ref="VIS19:VIV19"/>
    <mergeCell ref="VIW19:VIZ19"/>
    <mergeCell ref="VJA19:VJD19"/>
    <mergeCell ref="VHQ19:VHT19"/>
    <mergeCell ref="VHU19:VHX19"/>
    <mergeCell ref="VHY19:VIB19"/>
    <mergeCell ref="VIC19:VIF19"/>
    <mergeCell ref="VIG19:VIJ19"/>
    <mergeCell ref="VGW19:VGZ19"/>
    <mergeCell ref="VHA19:VHD19"/>
    <mergeCell ref="VHE19:VHH19"/>
    <mergeCell ref="VHI19:VHL19"/>
    <mergeCell ref="VHM19:VHP19"/>
    <mergeCell ref="VGC19:VGF19"/>
    <mergeCell ref="VGG19:VGJ19"/>
    <mergeCell ref="VGK19:VGN19"/>
    <mergeCell ref="VGO19:VGR19"/>
    <mergeCell ref="VGS19:VGV19"/>
    <mergeCell ref="VQC19:VQF19"/>
    <mergeCell ref="VQG19:VQJ19"/>
    <mergeCell ref="VQK19:VQN19"/>
    <mergeCell ref="VQO19:VQR19"/>
    <mergeCell ref="VQS19:VQV19"/>
    <mergeCell ref="VPI19:VPL19"/>
    <mergeCell ref="VPM19:VPP19"/>
    <mergeCell ref="VPQ19:VPT19"/>
    <mergeCell ref="VPU19:VPX19"/>
    <mergeCell ref="VPY19:VQB19"/>
    <mergeCell ref="VOO19:VOR19"/>
    <mergeCell ref="VOS19:VOV19"/>
    <mergeCell ref="VOW19:VOZ19"/>
    <mergeCell ref="VPA19:VPD19"/>
    <mergeCell ref="VPE19:VPH19"/>
    <mergeCell ref="VNU19:VNX19"/>
    <mergeCell ref="VNY19:VOB19"/>
    <mergeCell ref="VOC19:VOF19"/>
    <mergeCell ref="VOG19:VOJ19"/>
    <mergeCell ref="VOK19:VON19"/>
    <mergeCell ref="VNA19:VND19"/>
    <mergeCell ref="VNE19:VNH19"/>
    <mergeCell ref="VNI19:VNL19"/>
    <mergeCell ref="VNM19:VNP19"/>
    <mergeCell ref="VNQ19:VNT19"/>
    <mergeCell ref="VMG19:VMJ19"/>
    <mergeCell ref="VMK19:VMN19"/>
    <mergeCell ref="VMO19:VMR19"/>
    <mergeCell ref="VMS19:VMV19"/>
    <mergeCell ref="VMW19:VMZ19"/>
    <mergeCell ref="VLM19:VLP19"/>
    <mergeCell ref="VLQ19:VLT19"/>
    <mergeCell ref="VLU19:VLX19"/>
    <mergeCell ref="VLY19:VMB19"/>
    <mergeCell ref="VMC19:VMF19"/>
    <mergeCell ref="VVM19:VVP19"/>
    <mergeCell ref="VVQ19:VVT19"/>
    <mergeCell ref="VVU19:VVX19"/>
    <mergeCell ref="VVY19:VWB19"/>
    <mergeCell ref="VWC19:VWF19"/>
    <mergeCell ref="VUS19:VUV19"/>
    <mergeCell ref="VUW19:VUZ19"/>
    <mergeCell ref="VVA19:VVD19"/>
    <mergeCell ref="VVE19:VVH19"/>
    <mergeCell ref="VVI19:VVL19"/>
    <mergeCell ref="VTY19:VUB19"/>
    <mergeCell ref="VUC19:VUF19"/>
    <mergeCell ref="VUG19:VUJ19"/>
    <mergeCell ref="VUK19:VUN19"/>
    <mergeCell ref="VUO19:VUR19"/>
    <mergeCell ref="VTE19:VTH19"/>
    <mergeCell ref="VTI19:VTL19"/>
    <mergeCell ref="VTM19:VTP19"/>
    <mergeCell ref="VTQ19:VTT19"/>
    <mergeCell ref="VTU19:VTX19"/>
    <mergeCell ref="VSK19:VSN19"/>
    <mergeCell ref="VSO19:VSR19"/>
    <mergeCell ref="VSS19:VSV19"/>
    <mergeCell ref="VSW19:VSZ19"/>
    <mergeCell ref="VTA19:VTD19"/>
    <mergeCell ref="VRQ19:VRT19"/>
    <mergeCell ref="VRU19:VRX19"/>
    <mergeCell ref="VRY19:VSB19"/>
    <mergeCell ref="VSC19:VSF19"/>
    <mergeCell ref="VSG19:VSJ19"/>
    <mergeCell ref="VQW19:VQZ19"/>
    <mergeCell ref="VRA19:VRD19"/>
    <mergeCell ref="VRE19:VRH19"/>
    <mergeCell ref="VRI19:VRL19"/>
    <mergeCell ref="VRM19:VRP19"/>
    <mergeCell ref="WAW19:WAZ19"/>
    <mergeCell ref="WBA19:WBD19"/>
    <mergeCell ref="WBE19:WBH19"/>
    <mergeCell ref="WBI19:WBL19"/>
    <mergeCell ref="WBM19:WBP19"/>
    <mergeCell ref="WAC19:WAF19"/>
    <mergeCell ref="WAG19:WAJ19"/>
    <mergeCell ref="WAK19:WAN19"/>
    <mergeCell ref="WAO19:WAR19"/>
    <mergeCell ref="WAS19:WAV19"/>
    <mergeCell ref="VZI19:VZL19"/>
    <mergeCell ref="VZM19:VZP19"/>
    <mergeCell ref="VZQ19:VZT19"/>
    <mergeCell ref="VZU19:VZX19"/>
    <mergeCell ref="VZY19:WAB19"/>
    <mergeCell ref="VYO19:VYR19"/>
    <mergeCell ref="VYS19:VYV19"/>
    <mergeCell ref="VYW19:VYZ19"/>
    <mergeCell ref="VZA19:VZD19"/>
    <mergeCell ref="VZE19:VZH19"/>
    <mergeCell ref="VXU19:VXX19"/>
    <mergeCell ref="VXY19:VYB19"/>
    <mergeCell ref="VYC19:VYF19"/>
    <mergeCell ref="VYG19:VYJ19"/>
    <mergeCell ref="VYK19:VYN19"/>
    <mergeCell ref="VXA19:VXD19"/>
    <mergeCell ref="VXE19:VXH19"/>
    <mergeCell ref="VXI19:VXL19"/>
    <mergeCell ref="VXM19:VXP19"/>
    <mergeCell ref="VXQ19:VXT19"/>
    <mergeCell ref="VWG19:VWJ19"/>
    <mergeCell ref="VWK19:VWN19"/>
    <mergeCell ref="VWO19:VWR19"/>
    <mergeCell ref="VWS19:VWV19"/>
    <mergeCell ref="VWW19:VWZ19"/>
    <mergeCell ref="WGG19:WGJ19"/>
    <mergeCell ref="WGK19:WGN19"/>
    <mergeCell ref="WGO19:WGR19"/>
    <mergeCell ref="WGS19:WGV19"/>
    <mergeCell ref="WGW19:WGZ19"/>
    <mergeCell ref="WFM19:WFP19"/>
    <mergeCell ref="WFQ19:WFT19"/>
    <mergeCell ref="WFU19:WFX19"/>
    <mergeCell ref="WFY19:WGB19"/>
    <mergeCell ref="WGC19:WGF19"/>
    <mergeCell ref="WES19:WEV19"/>
    <mergeCell ref="WEW19:WEZ19"/>
    <mergeCell ref="WFA19:WFD19"/>
    <mergeCell ref="WFE19:WFH19"/>
    <mergeCell ref="WFI19:WFL19"/>
    <mergeCell ref="WDY19:WEB19"/>
    <mergeCell ref="WEC19:WEF19"/>
    <mergeCell ref="WEG19:WEJ19"/>
    <mergeCell ref="WEK19:WEN19"/>
    <mergeCell ref="WEO19:WER19"/>
    <mergeCell ref="WDE19:WDH19"/>
    <mergeCell ref="WDI19:WDL19"/>
    <mergeCell ref="WDM19:WDP19"/>
    <mergeCell ref="WDQ19:WDT19"/>
    <mergeCell ref="WDU19:WDX19"/>
    <mergeCell ref="WCK19:WCN19"/>
    <mergeCell ref="WCO19:WCR19"/>
    <mergeCell ref="WCS19:WCV19"/>
    <mergeCell ref="WCW19:WCZ19"/>
    <mergeCell ref="WDA19:WDD19"/>
    <mergeCell ref="WBQ19:WBT19"/>
    <mergeCell ref="WBU19:WBX19"/>
    <mergeCell ref="WBY19:WCB19"/>
    <mergeCell ref="WCC19:WCF19"/>
    <mergeCell ref="WCG19:WCJ19"/>
    <mergeCell ref="WLQ19:WLT19"/>
    <mergeCell ref="WLU19:WLX19"/>
    <mergeCell ref="WLY19:WMB19"/>
    <mergeCell ref="WMC19:WMF19"/>
    <mergeCell ref="WMG19:WMJ19"/>
    <mergeCell ref="WKW19:WKZ19"/>
    <mergeCell ref="WLA19:WLD19"/>
    <mergeCell ref="WLE19:WLH19"/>
    <mergeCell ref="WLI19:WLL19"/>
    <mergeCell ref="WLM19:WLP19"/>
    <mergeCell ref="WKC19:WKF19"/>
    <mergeCell ref="WKG19:WKJ19"/>
    <mergeCell ref="WKK19:WKN19"/>
    <mergeCell ref="WKO19:WKR19"/>
    <mergeCell ref="WKS19:WKV19"/>
    <mergeCell ref="WJI19:WJL19"/>
    <mergeCell ref="WJM19:WJP19"/>
    <mergeCell ref="WJQ19:WJT19"/>
    <mergeCell ref="WJU19:WJX19"/>
    <mergeCell ref="WJY19:WKB19"/>
    <mergeCell ref="WIO19:WIR19"/>
    <mergeCell ref="WIS19:WIV19"/>
    <mergeCell ref="WIW19:WIZ19"/>
    <mergeCell ref="WJA19:WJD19"/>
    <mergeCell ref="WJE19:WJH19"/>
    <mergeCell ref="WHU19:WHX19"/>
    <mergeCell ref="WHY19:WIB19"/>
    <mergeCell ref="WIC19:WIF19"/>
    <mergeCell ref="WIG19:WIJ19"/>
    <mergeCell ref="WIK19:WIN19"/>
    <mergeCell ref="WHA19:WHD19"/>
    <mergeCell ref="WHE19:WHH19"/>
    <mergeCell ref="WHI19:WHL19"/>
    <mergeCell ref="WHM19:WHP19"/>
    <mergeCell ref="WHQ19:WHT19"/>
    <mergeCell ref="WRA19:WRD19"/>
    <mergeCell ref="WRE19:WRH19"/>
    <mergeCell ref="WRI19:WRL19"/>
    <mergeCell ref="WRM19:WRP19"/>
    <mergeCell ref="WRQ19:WRT19"/>
    <mergeCell ref="WQG19:WQJ19"/>
    <mergeCell ref="WQK19:WQN19"/>
    <mergeCell ref="WQO19:WQR19"/>
    <mergeCell ref="WQS19:WQV19"/>
    <mergeCell ref="WQW19:WQZ19"/>
    <mergeCell ref="WPM19:WPP19"/>
    <mergeCell ref="WPQ19:WPT19"/>
    <mergeCell ref="WPU19:WPX19"/>
    <mergeCell ref="WPY19:WQB19"/>
    <mergeCell ref="WQC19:WQF19"/>
    <mergeCell ref="WOS19:WOV19"/>
    <mergeCell ref="WOW19:WOZ19"/>
    <mergeCell ref="WPA19:WPD19"/>
    <mergeCell ref="WPE19:WPH19"/>
    <mergeCell ref="WPI19:WPL19"/>
    <mergeCell ref="WNY19:WOB19"/>
    <mergeCell ref="WOC19:WOF19"/>
    <mergeCell ref="WOG19:WOJ19"/>
    <mergeCell ref="WOK19:WON19"/>
    <mergeCell ref="WOO19:WOR19"/>
    <mergeCell ref="WNE19:WNH19"/>
    <mergeCell ref="WNI19:WNL19"/>
    <mergeCell ref="WNM19:WNP19"/>
    <mergeCell ref="WNQ19:WNT19"/>
    <mergeCell ref="WNU19:WNX19"/>
    <mergeCell ref="WMK19:WMN19"/>
    <mergeCell ref="WMO19:WMR19"/>
    <mergeCell ref="WMS19:WMV19"/>
    <mergeCell ref="WMW19:WMZ19"/>
    <mergeCell ref="WNA19:WND19"/>
    <mergeCell ref="WXQ19:WXT19"/>
    <mergeCell ref="WXU19:WXX19"/>
    <mergeCell ref="WWK19:WWN19"/>
    <mergeCell ref="WWO19:WWR19"/>
    <mergeCell ref="WWS19:WWV19"/>
    <mergeCell ref="WWW19:WWZ19"/>
    <mergeCell ref="WXA19:WXD19"/>
    <mergeCell ref="WVQ19:WVT19"/>
    <mergeCell ref="WVU19:WVX19"/>
    <mergeCell ref="WVY19:WWB19"/>
    <mergeCell ref="WWC19:WWF19"/>
    <mergeCell ref="WWG19:WWJ19"/>
    <mergeCell ref="WUW19:WUZ19"/>
    <mergeCell ref="WVA19:WVD19"/>
    <mergeCell ref="WVE19:WVH19"/>
    <mergeCell ref="WVI19:WVL19"/>
    <mergeCell ref="WVM19:WVP19"/>
    <mergeCell ref="WUC19:WUF19"/>
    <mergeCell ref="WUG19:WUJ19"/>
    <mergeCell ref="WUK19:WUN19"/>
    <mergeCell ref="WUO19:WUR19"/>
    <mergeCell ref="WUS19:WUV19"/>
    <mergeCell ref="WTI19:WTL19"/>
    <mergeCell ref="WTM19:WTP19"/>
    <mergeCell ref="WTQ19:WTT19"/>
    <mergeCell ref="WTU19:WTX19"/>
    <mergeCell ref="WTY19:WUB19"/>
    <mergeCell ref="WSO19:WSR19"/>
    <mergeCell ref="WSS19:WSV19"/>
    <mergeCell ref="WSW19:WSZ19"/>
    <mergeCell ref="WTA19:WTD19"/>
    <mergeCell ref="WTE19:WTH19"/>
    <mergeCell ref="WRU19:WRX19"/>
    <mergeCell ref="WRY19:WSB19"/>
    <mergeCell ref="WSC19:WSF19"/>
    <mergeCell ref="WSG19:WSJ19"/>
    <mergeCell ref="WSK19:WSN19"/>
    <mergeCell ref="XEW19:XEZ19"/>
    <mergeCell ref="XFA19:XFD19"/>
    <mergeCell ref="B27:E27"/>
    <mergeCell ref="F27:I27"/>
    <mergeCell ref="J27:M27"/>
    <mergeCell ref="N27:P27"/>
    <mergeCell ref="Q27:T27"/>
    <mergeCell ref="U27:X27"/>
    <mergeCell ref="Y27:AB27"/>
    <mergeCell ref="AC27:AF27"/>
    <mergeCell ref="AG27:AJ27"/>
    <mergeCell ref="AK27:AN27"/>
    <mergeCell ref="AO27:AR27"/>
    <mergeCell ref="AS27:AV27"/>
    <mergeCell ref="AW27:AZ27"/>
    <mergeCell ref="BA27:BD27"/>
    <mergeCell ref="XEC19:XEF19"/>
    <mergeCell ref="XEG19:XEJ19"/>
    <mergeCell ref="XEK19:XEN19"/>
    <mergeCell ref="XEO19:XER19"/>
    <mergeCell ref="XES19:XEV19"/>
    <mergeCell ref="XDI19:XDL19"/>
    <mergeCell ref="XDM19:XDP19"/>
    <mergeCell ref="XDQ19:XDT19"/>
    <mergeCell ref="XDU19:XDX19"/>
    <mergeCell ref="XDY19:XEB19"/>
    <mergeCell ref="XCO19:XCR19"/>
    <mergeCell ref="XCS19:XCV19"/>
    <mergeCell ref="XCW19:XCZ19"/>
    <mergeCell ref="XDA19:XDD19"/>
    <mergeCell ref="XDE19:XDH19"/>
    <mergeCell ref="XBU19:XBX19"/>
    <mergeCell ref="XBY19:XCB19"/>
    <mergeCell ref="XCC19:XCF19"/>
    <mergeCell ref="XCG19:XCJ19"/>
    <mergeCell ref="XCK19:XCN19"/>
    <mergeCell ref="XBA19:XBD19"/>
    <mergeCell ref="XBE19:XBH19"/>
    <mergeCell ref="XBI19:XBL19"/>
    <mergeCell ref="XBM19:XBP19"/>
    <mergeCell ref="XBQ19:XBT19"/>
    <mergeCell ref="XAG19:XAJ19"/>
    <mergeCell ref="XAK19:XAN19"/>
    <mergeCell ref="XAO19:XAR19"/>
    <mergeCell ref="XAS19:XAV19"/>
    <mergeCell ref="XAW19:XAZ19"/>
    <mergeCell ref="WZM19:WZP19"/>
    <mergeCell ref="WZQ19:WZT19"/>
    <mergeCell ref="WZU19:WZX19"/>
    <mergeCell ref="WZY19:XAB19"/>
    <mergeCell ref="XAC19:XAF19"/>
    <mergeCell ref="WYS19:WYV19"/>
    <mergeCell ref="WYW19:WYZ19"/>
    <mergeCell ref="WZA19:WZD19"/>
    <mergeCell ref="WZE19:WZH19"/>
    <mergeCell ref="WZI19:WZL19"/>
    <mergeCell ref="WXY19:WYB19"/>
    <mergeCell ref="WYC19:WYF19"/>
    <mergeCell ref="WYG19:WYJ19"/>
    <mergeCell ref="WYK19:WYN19"/>
    <mergeCell ref="WYO19:WYR19"/>
    <mergeCell ref="WXE19:WXH19"/>
    <mergeCell ref="WXI19:WXL19"/>
    <mergeCell ref="WXM19:WXP19"/>
    <mergeCell ref="FU27:FX27"/>
    <mergeCell ref="FY27:GB27"/>
    <mergeCell ref="GC27:GF27"/>
    <mergeCell ref="GG27:GJ27"/>
    <mergeCell ref="GK27:GN27"/>
    <mergeCell ref="FA27:FD27"/>
    <mergeCell ref="FE27:FH27"/>
    <mergeCell ref="FI27:FL27"/>
    <mergeCell ref="FM27:FP27"/>
    <mergeCell ref="FQ27:FT27"/>
    <mergeCell ref="EG27:EJ27"/>
    <mergeCell ref="EK27:EN27"/>
    <mergeCell ref="EO27:ER27"/>
    <mergeCell ref="ES27:EV27"/>
    <mergeCell ref="EW27:EZ27"/>
    <mergeCell ref="DM27:DP27"/>
    <mergeCell ref="DQ27:DT27"/>
    <mergeCell ref="DU27:DX27"/>
    <mergeCell ref="DY27:EB27"/>
    <mergeCell ref="EC27:EF27"/>
    <mergeCell ref="CS27:CV27"/>
    <mergeCell ref="CW27:CZ27"/>
    <mergeCell ref="DA27:DD27"/>
    <mergeCell ref="DE27:DH27"/>
    <mergeCell ref="DI27:DL27"/>
    <mergeCell ref="BY27:CB27"/>
    <mergeCell ref="CC27:CF27"/>
    <mergeCell ref="CG27:CJ27"/>
    <mergeCell ref="CK27:CN27"/>
    <mergeCell ref="CO27:CR27"/>
    <mergeCell ref="BE27:BH27"/>
    <mergeCell ref="BI27:BL27"/>
    <mergeCell ref="BM27:BP27"/>
    <mergeCell ref="BQ27:BT27"/>
    <mergeCell ref="BU27:BX27"/>
    <mergeCell ref="LE27:LH27"/>
    <mergeCell ref="LI27:LL27"/>
    <mergeCell ref="LM27:LP27"/>
    <mergeCell ref="LQ27:LT27"/>
    <mergeCell ref="LU27:LX27"/>
    <mergeCell ref="KK27:KN27"/>
    <mergeCell ref="KO27:KR27"/>
    <mergeCell ref="KS27:KV27"/>
    <mergeCell ref="KW27:KZ27"/>
    <mergeCell ref="LA27:LD27"/>
    <mergeCell ref="JQ27:JT27"/>
    <mergeCell ref="JU27:JX27"/>
    <mergeCell ref="JY27:KB27"/>
    <mergeCell ref="KC27:KF27"/>
    <mergeCell ref="KG27:KJ27"/>
    <mergeCell ref="IW27:IZ27"/>
    <mergeCell ref="JA27:JD27"/>
    <mergeCell ref="JE27:JH27"/>
    <mergeCell ref="JI27:JL27"/>
    <mergeCell ref="JM27:JP27"/>
    <mergeCell ref="IC27:IF27"/>
    <mergeCell ref="IG27:IJ27"/>
    <mergeCell ref="IK27:IN27"/>
    <mergeCell ref="IO27:IR27"/>
    <mergeCell ref="IS27:IV27"/>
    <mergeCell ref="HI27:HL27"/>
    <mergeCell ref="HM27:HP27"/>
    <mergeCell ref="HQ27:HT27"/>
    <mergeCell ref="HU27:HX27"/>
    <mergeCell ref="HY27:IB27"/>
    <mergeCell ref="GO27:GR27"/>
    <mergeCell ref="GS27:GV27"/>
    <mergeCell ref="GW27:GZ27"/>
    <mergeCell ref="HA27:HD27"/>
    <mergeCell ref="HE27:HH27"/>
    <mergeCell ref="QO27:QR27"/>
    <mergeCell ref="QS27:QV27"/>
    <mergeCell ref="QW27:QZ27"/>
    <mergeCell ref="RA27:RD27"/>
    <mergeCell ref="RE27:RH27"/>
    <mergeCell ref="PU27:PX27"/>
    <mergeCell ref="PY27:QB27"/>
    <mergeCell ref="QC27:QF27"/>
    <mergeCell ref="QG27:QJ27"/>
    <mergeCell ref="QK27:QN27"/>
    <mergeCell ref="PA27:PD27"/>
    <mergeCell ref="PE27:PH27"/>
    <mergeCell ref="PI27:PL27"/>
    <mergeCell ref="PM27:PP27"/>
    <mergeCell ref="PQ27:PT27"/>
    <mergeCell ref="OG27:OJ27"/>
    <mergeCell ref="OK27:ON27"/>
    <mergeCell ref="OO27:OR27"/>
    <mergeCell ref="OS27:OV27"/>
    <mergeCell ref="OW27:OZ27"/>
    <mergeCell ref="NM27:NP27"/>
    <mergeCell ref="NQ27:NT27"/>
    <mergeCell ref="NU27:NX27"/>
    <mergeCell ref="NY27:OB27"/>
    <mergeCell ref="OC27:OF27"/>
    <mergeCell ref="MS27:MV27"/>
    <mergeCell ref="MW27:MZ27"/>
    <mergeCell ref="NA27:ND27"/>
    <mergeCell ref="NE27:NH27"/>
    <mergeCell ref="NI27:NL27"/>
    <mergeCell ref="LY27:MB27"/>
    <mergeCell ref="MC27:MF27"/>
    <mergeCell ref="MG27:MJ27"/>
    <mergeCell ref="MK27:MN27"/>
    <mergeCell ref="MO27:MR27"/>
    <mergeCell ref="VY27:WB27"/>
    <mergeCell ref="WC27:WF27"/>
    <mergeCell ref="WG27:WJ27"/>
    <mergeCell ref="WK27:WN27"/>
    <mergeCell ref="WO27:WR27"/>
    <mergeCell ref="VE27:VH27"/>
    <mergeCell ref="VI27:VL27"/>
    <mergeCell ref="VM27:VP27"/>
    <mergeCell ref="VQ27:VT27"/>
    <mergeCell ref="VU27:VX27"/>
    <mergeCell ref="UK27:UN27"/>
    <mergeCell ref="UO27:UR27"/>
    <mergeCell ref="US27:UV27"/>
    <mergeCell ref="UW27:UZ27"/>
    <mergeCell ref="VA27:VD27"/>
    <mergeCell ref="TQ27:TT27"/>
    <mergeCell ref="TU27:TX27"/>
    <mergeCell ref="TY27:UB27"/>
    <mergeCell ref="UC27:UF27"/>
    <mergeCell ref="UG27:UJ27"/>
    <mergeCell ref="SW27:SZ27"/>
    <mergeCell ref="TA27:TD27"/>
    <mergeCell ref="TE27:TH27"/>
    <mergeCell ref="TI27:TL27"/>
    <mergeCell ref="TM27:TP27"/>
    <mergeCell ref="SC27:SF27"/>
    <mergeCell ref="SG27:SJ27"/>
    <mergeCell ref="SK27:SN27"/>
    <mergeCell ref="SO27:SR27"/>
    <mergeCell ref="SS27:SV27"/>
    <mergeCell ref="RI27:RL27"/>
    <mergeCell ref="RM27:RP27"/>
    <mergeCell ref="RQ27:RT27"/>
    <mergeCell ref="RU27:RX27"/>
    <mergeCell ref="RY27:SB27"/>
    <mergeCell ref="ABI27:ABL27"/>
    <mergeCell ref="ABM27:ABP27"/>
    <mergeCell ref="ABQ27:ABT27"/>
    <mergeCell ref="ABU27:ABX27"/>
    <mergeCell ref="ABY27:ACB27"/>
    <mergeCell ref="AAO27:AAR27"/>
    <mergeCell ref="AAS27:AAV27"/>
    <mergeCell ref="AAW27:AAZ27"/>
    <mergeCell ref="ABA27:ABD27"/>
    <mergeCell ref="ABE27:ABH27"/>
    <mergeCell ref="ZU27:ZX27"/>
    <mergeCell ref="ZY27:AAB27"/>
    <mergeCell ref="AAC27:AAF27"/>
    <mergeCell ref="AAG27:AAJ27"/>
    <mergeCell ref="AAK27:AAN27"/>
    <mergeCell ref="ZA27:ZD27"/>
    <mergeCell ref="ZE27:ZH27"/>
    <mergeCell ref="ZI27:ZL27"/>
    <mergeCell ref="ZM27:ZP27"/>
    <mergeCell ref="ZQ27:ZT27"/>
    <mergeCell ref="YG27:YJ27"/>
    <mergeCell ref="YK27:YN27"/>
    <mergeCell ref="YO27:YR27"/>
    <mergeCell ref="YS27:YV27"/>
    <mergeCell ref="YW27:YZ27"/>
    <mergeCell ref="XM27:XP27"/>
    <mergeCell ref="XQ27:XT27"/>
    <mergeCell ref="XU27:XX27"/>
    <mergeCell ref="XY27:YB27"/>
    <mergeCell ref="YC27:YF27"/>
    <mergeCell ref="WS27:WV27"/>
    <mergeCell ref="WW27:WZ27"/>
    <mergeCell ref="XA27:XD27"/>
    <mergeCell ref="XE27:XH27"/>
    <mergeCell ref="XI27:XL27"/>
    <mergeCell ref="AGS27:AGV27"/>
    <mergeCell ref="AGW27:AGZ27"/>
    <mergeCell ref="AHA27:AHD27"/>
    <mergeCell ref="AHE27:AHH27"/>
    <mergeCell ref="AHI27:AHL27"/>
    <mergeCell ref="AFY27:AGB27"/>
    <mergeCell ref="AGC27:AGF27"/>
    <mergeCell ref="AGG27:AGJ27"/>
    <mergeCell ref="AGK27:AGN27"/>
    <mergeCell ref="AGO27:AGR27"/>
    <mergeCell ref="AFE27:AFH27"/>
    <mergeCell ref="AFI27:AFL27"/>
    <mergeCell ref="AFM27:AFP27"/>
    <mergeCell ref="AFQ27:AFT27"/>
    <mergeCell ref="AFU27:AFX27"/>
    <mergeCell ref="AEK27:AEN27"/>
    <mergeCell ref="AEO27:AER27"/>
    <mergeCell ref="AES27:AEV27"/>
    <mergeCell ref="AEW27:AEZ27"/>
    <mergeCell ref="AFA27:AFD27"/>
    <mergeCell ref="ADQ27:ADT27"/>
    <mergeCell ref="ADU27:ADX27"/>
    <mergeCell ref="ADY27:AEB27"/>
    <mergeCell ref="AEC27:AEF27"/>
    <mergeCell ref="AEG27:AEJ27"/>
    <mergeCell ref="ACW27:ACZ27"/>
    <mergeCell ref="ADA27:ADD27"/>
    <mergeCell ref="ADE27:ADH27"/>
    <mergeCell ref="ADI27:ADL27"/>
    <mergeCell ref="ADM27:ADP27"/>
    <mergeCell ref="ACC27:ACF27"/>
    <mergeCell ref="ACG27:ACJ27"/>
    <mergeCell ref="ACK27:ACN27"/>
    <mergeCell ref="ACO27:ACR27"/>
    <mergeCell ref="ACS27:ACV27"/>
    <mergeCell ref="AMC27:AMF27"/>
    <mergeCell ref="AMG27:AMJ27"/>
    <mergeCell ref="AMK27:AMN27"/>
    <mergeCell ref="AMO27:AMR27"/>
    <mergeCell ref="AMS27:AMV27"/>
    <mergeCell ref="ALI27:ALL27"/>
    <mergeCell ref="ALM27:ALP27"/>
    <mergeCell ref="ALQ27:ALT27"/>
    <mergeCell ref="ALU27:ALX27"/>
    <mergeCell ref="ALY27:AMB27"/>
    <mergeCell ref="AKO27:AKR27"/>
    <mergeCell ref="AKS27:AKV27"/>
    <mergeCell ref="AKW27:AKZ27"/>
    <mergeCell ref="ALA27:ALD27"/>
    <mergeCell ref="ALE27:ALH27"/>
    <mergeCell ref="AJU27:AJX27"/>
    <mergeCell ref="AJY27:AKB27"/>
    <mergeCell ref="AKC27:AKF27"/>
    <mergeCell ref="AKG27:AKJ27"/>
    <mergeCell ref="AKK27:AKN27"/>
    <mergeCell ref="AJA27:AJD27"/>
    <mergeCell ref="AJE27:AJH27"/>
    <mergeCell ref="AJI27:AJL27"/>
    <mergeCell ref="AJM27:AJP27"/>
    <mergeCell ref="AJQ27:AJT27"/>
    <mergeCell ref="AIG27:AIJ27"/>
    <mergeCell ref="AIK27:AIN27"/>
    <mergeCell ref="AIO27:AIR27"/>
    <mergeCell ref="AIS27:AIV27"/>
    <mergeCell ref="AIW27:AIZ27"/>
    <mergeCell ref="AHM27:AHP27"/>
    <mergeCell ref="AHQ27:AHT27"/>
    <mergeCell ref="AHU27:AHX27"/>
    <mergeCell ref="AHY27:AIB27"/>
    <mergeCell ref="AIC27:AIF27"/>
    <mergeCell ref="ARM27:ARP27"/>
    <mergeCell ref="ARQ27:ART27"/>
    <mergeCell ref="ARU27:ARX27"/>
    <mergeCell ref="ARY27:ASB27"/>
    <mergeCell ref="ASC27:ASF27"/>
    <mergeCell ref="AQS27:AQV27"/>
    <mergeCell ref="AQW27:AQZ27"/>
    <mergeCell ref="ARA27:ARD27"/>
    <mergeCell ref="ARE27:ARH27"/>
    <mergeCell ref="ARI27:ARL27"/>
    <mergeCell ref="APY27:AQB27"/>
    <mergeCell ref="AQC27:AQF27"/>
    <mergeCell ref="AQG27:AQJ27"/>
    <mergeCell ref="AQK27:AQN27"/>
    <mergeCell ref="AQO27:AQR27"/>
    <mergeCell ref="APE27:APH27"/>
    <mergeCell ref="API27:APL27"/>
    <mergeCell ref="APM27:APP27"/>
    <mergeCell ref="APQ27:APT27"/>
    <mergeCell ref="APU27:APX27"/>
    <mergeCell ref="AOK27:AON27"/>
    <mergeCell ref="AOO27:AOR27"/>
    <mergeCell ref="AOS27:AOV27"/>
    <mergeCell ref="AOW27:AOZ27"/>
    <mergeCell ref="APA27:APD27"/>
    <mergeCell ref="ANQ27:ANT27"/>
    <mergeCell ref="ANU27:ANX27"/>
    <mergeCell ref="ANY27:AOB27"/>
    <mergeCell ref="AOC27:AOF27"/>
    <mergeCell ref="AOG27:AOJ27"/>
    <mergeCell ref="AMW27:AMZ27"/>
    <mergeCell ref="ANA27:AND27"/>
    <mergeCell ref="ANE27:ANH27"/>
    <mergeCell ref="ANI27:ANL27"/>
    <mergeCell ref="ANM27:ANP27"/>
    <mergeCell ref="AWW27:AWZ27"/>
    <mergeCell ref="AXA27:AXD27"/>
    <mergeCell ref="AXE27:AXH27"/>
    <mergeCell ref="AXI27:AXL27"/>
    <mergeCell ref="AXM27:AXP27"/>
    <mergeCell ref="AWC27:AWF27"/>
    <mergeCell ref="AWG27:AWJ27"/>
    <mergeCell ref="AWK27:AWN27"/>
    <mergeCell ref="AWO27:AWR27"/>
    <mergeCell ref="AWS27:AWV27"/>
    <mergeCell ref="AVI27:AVL27"/>
    <mergeCell ref="AVM27:AVP27"/>
    <mergeCell ref="AVQ27:AVT27"/>
    <mergeCell ref="AVU27:AVX27"/>
    <mergeCell ref="AVY27:AWB27"/>
    <mergeCell ref="AUO27:AUR27"/>
    <mergeCell ref="AUS27:AUV27"/>
    <mergeCell ref="AUW27:AUZ27"/>
    <mergeCell ref="AVA27:AVD27"/>
    <mergeCell ref="AVE27:AVH27"/>
    <mergeCell ref="ATU27:ATX27"/>
    <mergeCell ref="ATY27:AUB27"/>
    <mergeCell ref="AUC27:AUF27"/>
    <mergeCell ref="AUG27:AUJ27"/>
    <mergeCell ref="AUK27:AUN27"/>
    <mergeCell ref="ATA27:ATD27"/>
    <mergeCell ref="ATE27:ATH27"/>
    <mergeCell ref="ATI27:ATL27"/>
    <mergeCell ref="ATM27:ATP27"/>
    <mergeCell ref="ATQ27:ATT27"/>
    <mergeCell ref="ASG27:ASJ27"/>
    <mergeCell ref="ASK27:ASN27"/>
    <mergeCell ref="ASO27:ASR27"/>
    <mergeCell ref="ASS27:ASV27"/>
    <mergeCell ref="ASW27:ASZ27"/>
    <mergeCell ref="BCG27:BCJ27"/>
    <mergeCell ref="BCK27:BCN27"/>
    <mergeCell ref="BCO27:BCR27"/>
    <mergeCell ref="BCS27:BCV27"/>
    <mergeCell ref="BCW27:BCZ27"/>
    <mergeCell ref="BBM27:BBP27"/>
    <mergeCell ref="BBQ27:BBT27"/>
    <mergeCell ref="BBU27:BBX27"/>
    <mergeCell ref="BBY27:BCB27"/>
    <mergeCell ref="BCC27:BCF27"/>
    <mergeCell ref="BAS27:BAV27"/>
    <mergeCell ref="BAW27:BAZ27"/>
    <mergeCell ref="BBA27:BBD27"/>
    <mergeCell ref="BBE27:BBH27"/>
    <mergeCell ref="BBI27:BBL27"/>
    <mergeCell ref="AZY27:BAB27"/>
    <mergeCell ref="BAC27:BAF27"/>
    <mergeCell ref="BAG27:BAJ27"/>
    <mergeCell ref="BAK27:BAN27"/>
    <mergeCell ref="BAO27:BAR27"/>
    <mergeCell ref="AZE27:AZH27"/>
    <mergeCell ref="AZI27:AZL27"/>
    <mergeCell ref="AZM27:AZP27"/>
    <mergeCell ref="AZQ27:AZT27"/>
    <mergeCell ref="AZU27:AZX27"/>
    <mergeCell ref="AYK27:AYN27"/>
    <mergeCell ref="AYO27:AYR27"/>
    <mergeCell ref="AYS27:AYV27"/>
    <mergeCell ref="AYW27:AYZ27"/>
    <mergeCell ref="AZA27:AZD27"/>
    <mergeCell ref="AXQ27:AXT27"/>
    <mergeCell ref="AXU27:AXX27"/>
    <mergeCell ref="AXY27:AYB27"/>
    <mergeCell ref="AYC27:AYF27"/>
    <mergeCell ref="AYG27:AYJ27"/>
    <mergeCell ref="BHQ27:BHT27"/>
    <mergeCell ref="BHU27:BHX27"/>
    <mergeCell ref="BHY27:BIB27"/>
    <mergeCell ref="BIC27:BIF27"/>
    <mergeCell ref="BIG27:BIJ27"/>
    <mergeCell ref="BGW27:BGZ27"/>
    <mergeCell ref="BHA27:BHD27"/>
    <mergeCell ref="BHE27:BHH27"/>
    <mergeCell ref="BHI27:BHL27"/>
    <mergeCell ref="BHM27:BHP27"/>
    <mergeCell ref="BGC27:BGF27"/>
    <mergeCell ref="BGG27:BGJ27"/>
    <mergeCell ref="BGK27:BGN27"/>
    <mergeCell ref="BGO27:BGR27"/>
    <mergeCell ref="BGS27:BGV27"/>
    <mergeCell ref="BFI27:BFL27"/>
    <mergeCell ref="BFM27:BFP27"/>
    <mergeCell ref="BFQ27:BFT27"/>
    <mergeCell ref="BFU27:BFX27"/>
    <mergeCell ref="BFY27:BGB27"/>
    <mergeCell ref="BEO27:BER27"/>
    <mergeCell ref="BES27:BEV27"/>
    <mergeCell ref="BEW27:BEZ27"/>
    <mergeCell ref="BFA27:BFD27"/>
    <mergeCell ref="BFE27:BFH27"/>
    <mergeCell ref="BDU27:BDX27"/>
    <mergeCell ref="BDY27:BEB27"/>
    <mergeCell ref="BEC27:BEF27"/>
    <mergeCell ref="BEG27:BEJ27"/>
    <mergeCell ref="BEK27:BEN27"/>
    <mergeCell ref="BDA27:BDD27"/>
    <mergeCell ref="BDE27:BDH27"/>
    <mergeCell ref="BDI27:BDL27"/>
    <mergeCell ref="BDM27:BDP27"/>
    <mergeCell ref="BDQ27:BDT27"/>
    <mergeCell ref="BNA27:BND27"/>
    <mergeCell ref="BNE27:BNH27"/>
    <mergeCell ref="BNI27:BNL27"/>
    <mergeCell ref="BNM27:BNP27"/>
    <mergeCell ref="BNQ27:BNT27"/>
    <mergeCell ref="BMG27:BMJ27"/>
    <mergeCell ref="BMK27:BMN27"/>
    <mergeCell ref="BMO27:BMR27"/>
    <mergeCell ref="BMS27:BMV27"/>
    <mergeCell ref="BMW27:BMZ27"/>
    <mergeCell ref="BLM27:BLP27"/>
    <mergeCell ref="BLQ27:BLT27"/>
    <mergeCell ref="BLU27:BLX27"/>
    <mergeCell ref="BLY27:BMB27"/>
    <mergeCell ref="BMC27:BMF27"/>
    <mergeCell ref="BKS27:BKV27"/>
    <mergeCell ref="BKW27:BKZ27"/>
    <mergeCell ref="BLA27:BLD27"/>
    <mergeCell ref="BLE27:BLH27"/>
    <mergeCell ref="BLI27:BLL27"/>
    <mergeCell ref="BJY27:BKB27"/>
    <mergeCell ref="BKC27:BKF27"/>
    <mergeCell ref="BKG27:BKJ27"/>
    <mergeCell ref="BKK27:BKN27"/>
    <mergeCell ref="BKO27:BKR27"/>
    <mergeCell ref="BJE27:BJH27"/>
    <mergeCell ref="BJI27:BJL27"/>
    <mergeCell ref="BJM27:BJP27"/>
    <mergeCell ref="BJQ27:BJT27"/>
    <mergeCell ref="BJU27:BJX27"/>
    <mergeCell ref="BIK27:BIN27"/>
    <mergeCell ref="BIO27:BIR27"/>
    <mergeCell ref="BIS27:BIV27"/>
    <mergeCell ref="BIW27:BIZ27"/>
    <mergeCell ref="BJA27:BJD27"/>
    <mergeCell ref="BSK27:BSN27"/>
    <mergeCell ref="BSO27:BSR27"/>
    <mergeCell ref="BSS27:BSV27"/>
    <mergeCell ref="BSW27:BSZ27"/>
    <mergeCell ref="BTA27:BTD27"/>
    <mergeCell ref="BRQ27:BRT27"/>
    <mergeCell ref="BRU27:BRX27"/>
    <mergeCell ref="BRY27:BSB27"/>
    <mergeCell ref="BSC27:BSF27"/>
    <mergeCell ref="BSG27:BSJ27"/>
    <mergeCell ref="BQW27:BQZ27"/>
    <mergeCell ref="BRA27:BRD27"/>
    <mergeCell ref="BRE27:BRH27"/>
    <mergeCell ref="BRI27:BRL27"/>
    <mergeCell ref="BRM27:BRP27"/>
    <mergeCell ref="BQC27:BQF27"/>
    <mergeCell ref="BQG27:BQJ27"/>
    <mergeCell ref="BQK27:BQN27"/>
    <mergeCell ref="BQO27:BQR27"/>
    <mergeCell ref="BQS27:BQV27"/>
    <mergeCell ref="BPI27:BPL27"/>
    <mergeCell ref="BPM27:BPP27"/>
    <mergeCell ref="BPQ27:BPT27"/>
    <mergeCell ref="BPU27:BPX27"/>
    <mergeCell ref="BPY27:BQB27"/>
    <mergeCell ref="BOO27:BOR27"/>
    <mergeCell ref="BOS27:BOV27"/>
    <mergeCell ref="BOW27:BOZ27"/>
    <mergeCell ref="BPA27:BPD27"/>
    <mergeCell ref="BPE27:BPH27"/>
    <mergeCell ref="BNU27:BNX27"/>
    <mergeCell ref="BNY27:BOB27"/>
    <mergeCell ref="BOC27:BOF27"/>
    <mergeCell ref="BOG27:BOJ27"/>
    <mergeCell ref="BOK27:BON27"/>
    <mergeCell ref="BXU27:BXX27"/>
    <mergeCell ref="BXY27:BYB27"/>
    <mergeCell ref="BYC27:BYF27"/>
    <mergeCell ref="BYG27:BYJ27"/>
    <mergeCell ref="BYK27:BYN27"/>
    <mergeCell ref="BXA27:BXD27"/>
    <mergeCell ref="BXE27:BXH27"/>
    <mergeCell ref="BXI27:BXL27"/>
    <mergeCell ref="BXM27:BXP27"/>
    <mergeCell ref="BXQ27:BXT27"/>
    <mergeCell ref="BWG27:BWJ27"/>
    <mergeCell ref="BWK27:BWN27"/>
    <mergeCell ref="BWO27:BWR27"/>
    <mergeCell ref="BWS27:BWV27"/>
    <mergeCell ref="BWW27:BWZ27"/>
    <mergeCell ref="BVM27:BVP27"/>
    <mergeCell ref="BVQ27:BVT27"/>
    <mergeCell ref="BVU27:BVX27"/>
    <mergeCell ref="BVY27:BWB27"/>
    <mergeCell ref="BWC27:BWF27"/>
    <mergeCell ref="BUS27:BUV27"/>
    <mergeCell ref="BUW27:BUZ27"/>
    <mergeCell ref="BVA27:BVD27"/>
    <mergeCell ref="BVE27:BVH27"/>
    <mergeCell ref="BVI27:BVL27"/>
    <mergeCell ref="BTY27:BUB27"/>
    <mergeCell ref="BUC27:BUF27"/>
    <mergeCell ref="BUG27:BUJ27"/>
    <mergeCell ref="BUK27:BUN27"/>
    <mergeCell ref="BUO27:BUR27"/>
    <mergeCell ref="BTE27:BTH27"/>
    <mergeCell ref="BTI27:BTL27"/>
    <mergeCell ref="BTM27:BTP27"/>
    <mergeCell ref="BTQ27:BTT27"/>
    <mergeCell ref="BTU27:BTX27"/>
    <mergeCell ref="CDE27:CDH27"/>
    <mergeCell ref="CDI27:CDL27"/>
    <mergeCell ref="CDM27:CDP27"/>
    <mergeCell ref="CDQ27:CDT27"/>
    <mergeCell ref="CDU27:CDX27"/>
    <mergeCell ref="CCK27:CCN27"/>
    <mergeCell ref="CCO27:CCR27"/>
    <mergeCell ref="CCS27:CCV27"/>
    <mergeCell ref="CCW27:CCZ27"/>
    <mergeCell ref="CDA27:CDD27"/>
    <mergeCell ref="CBQ27:CBT27"/>
    <mergeCell ref="CBU27:CBX27"/>
    <mergeCell ref="CBY27:CCB27"/>
    <mergeCell ref="CCC27:CCF27"/>
    <mergeCell ref="CCG27:CCJ27"/>
    <mergeCell ref="CAW27:CAZ27"/>
    <mergeCell ref="CBA27:CBD27"/>
    <mergeCell ref="CBE27:CBH27"/>
    <mergeCell ref="CBI27:CBL27"/>
    <mergeCell ref="CBM27:CBP27"/>
    <mergeCell ref="CAC27:CAF27"/>
    <mergeCell ref="CAG27:CAJ27"/>
    <mergeCell ref="CAK27:CAN27"/>
    <mergeCell ref="CAO27:CAR27"/>
    <mergeCell ref="CAS27:CAV27"/>
    <mergeCell ref="BZI27:BZL27"/>
    <mergeCell ref="BZM27:BZP27"/>
    <mergeCell ref="BZQ27:BZT27"/>
    <mergeCell ref="BZU27:BZX27"/>
    <mergeCell ref="BZY27:CAB27"/>
    <mergeCell ref="BYO27:BYR27"/>
    <mergeCell ref="BYS27:BYV27"/>
    <mergeCell ref="BYW27:BYZ27"/>
    <mergeCell ref="BZA27:BZD27"/>
    <mergeCell ref="BZE27:BZH27"/>
    <mergeCell ref="CIO27:CIR27"/>
    <mergeCell ref="CIS27:CIV27"/>
    <mergeCell ref="CIW27:CIZ27"/>
    <mergeCell ref="CJA27:CJD27"/>
    <mergeCell ref="CJE27:CJH27"/>
    <mergeCell ref="CHU27:CHX27"/>
    <mergeCell ref="CHY27:CIB27"/>
    <mergeCell ref="CIC27:CIF27"/>
    <mergeCell ref="CIG27:CIJ27"/>
    <mergeCell ref="CIK27:CIN27"/>
    <mergeCell ref="CHA27:CHD27"/>
    <mergeCell ref="CHE27:CHH27"/>
    <mergeCell ref="CHI27:CHL27"/>
    <mergeCell ref="CHM27:CHP27"/>
    <mergeCell ref="CHQ27:CHT27"/>
    <mergeCell ref="CGG27:CGJ27"/>
    <mergeCell ref="CGK27:CGN27"/>
    <mergeCell ref="CGO27:CGR27"/>
    <mergeCell ref="CGS27:CGV27"/>
    <mergeCell ref="CGW27:CGZ27"/>
    <mergeCell ref="CFM27:CFP27"/>
    <mergeCell ref="CFQ27:CFT27"/>
    <mergeCell ref="CFU27:CFX27"/>
    <mergeCell ref="CFY27:CGB27"/>
    <mergeCell ref="CGC27:CGF27"/>
    <mergeCell ref="CES27:CEV27"/>
    <mergeCell ref="CEW27:CEZ27"/>
    <mergeCell ref="CFA27:CFD27"/>
    <mergeCell ref="CFE27:CFH27"/>
    <mergeCell ref="CFI27:CFL27"/>
    <mergeCell ref="CDY27:CEB27"/>
    <mergeCell ref="CEC27:CEF27"/>
    <mergeCell ref="CEG27:CEJ27"/>
    <mergeCell ref="CEK27:CEN27"/>
    <mergeCell ref="CEO27:CER27"/>
    <mergeCell ref="CNY27:COB27"/>
    <mergeCell ref="COC27:COF27"/>
    <mergeCell ref="COG27:COJ27"/>
    <mergeCell ref="COK27:CON27"/>
    <mergeCell ref="COO27:COR27"/>
    <mergeCell ref="CNE27:CNH27"/>
    <mergeCell ref="CNI27:CNL27"/>
    <mergeCell ref="CNM27:CNP27"/>
    <mergeCell ref="CNQ27:CNT27"/>
    <mergeCell ref="CNU27:CNX27"/>
    <mergeCell ref="CMK27:CMN27"/>
    <mergeCell ref="CMO27:CMR27"/>
    <mergeCell ref="CMS27:CMV27"/>
    <mergeCell ref="CMW27:CMZ27"/>
    <mergeCell ref="CNA27:CND27"/>
    <mergeCell ref="CLQ27:CLT27"/>
    <mergeCell ref="CLU27:CLX27"/>
    <mergeCell ref="CLY27:CMB27"/>
    <mergeCell ref="CMC27:CMF27"/>
    <mergeCell ref="CMG27:CMJ27"/>
    <mergeCell ref="CKW27:CKZ27"/>
    <mergeCell ref="CLA27:CLD27"/>
    <mergeCell ref="CLE27:CLH27"/>
    <mergeCell ref="CLI27:CLL27"/>
    <mergeCell ref="CLM27:CLP27"/>
    <mergeCell ref="CKC27:CKF27"/>
    <mergeCell ref="CKG27:CKJ27"/>
    <mergeCell ref="CKK27:CKN27"/>
    <mergeCell ref="CKO27:CKR27"/>
    <mergeCell ref="CKS27:CKV27"/>
    <mergeCell ref="CJI27:CJL27"/>
    <mergeCell ref="CJM27:CJP27"/>
    <mergeCell ref="CJQ27:CJT27"/>
    <mergeCell ref="CJU27:CJX27"/>
    <mergeCell ref="CJY27:CKB27"/>
    <mergeCell ref="CTI27:CTL27"/>
    <mergeCell ref="CTM27:CTP27"/>
    <mergeCell ref="CTQ27:CTT27"/>
    <mergeCell ref="CTU27:CTX27"/>
    <mergeCell ref="CTY27:CUB27"/>
    <mergeCell ref="CSO27:CSR27"/>
    <mergeCell ref="CSS27:CSV27"/>
    <mergeCell ref="CSW27:CSZ27"/>
    <mergeCell ref="CTA27:CTD27"/>
    <mergeCell ref="CTE27:CTH27"/>
    <mergeCell ref="CRU27:CRX27"/>
    <mergeCell ref="CRY27:CSB27"/>
    <mergeCell ref="CSC27:CSF27"/>
    <mergeCell ref="CSG27:CSJ27"/>
    <mergeCell ref="CSK27:CSN27"/>
    <mergeCell ref="CRA27:CRD27"/>
    <mergeCell ref="CRE27:CRH27"/>
    <mergeCell ref="CRI27:CRL27"/>
    <mergeCell ref="CRM27:CRP27"/>
    <mergeCell ref="CRQ27:CRT27"/>
    <mergeCell ref="CQG27:CQJ27"/>
    <mergeCell ref="CQK27:CQN27"/>
    <mergeCell ref="CQO27:CQR27"/>
    <mergeCell ref="CQS27:CQV27"/>
    <mergeCell ref="CQW27:CQZ27"/>
    <mergeCell ref="CPM27:CPP27"/>
    <mergeCell ref="CPQ27:CPT27"/>
    <mergeCell ref="CPU27:CPX27"/>
    <mergeCell ref="CPY27:CQB27"/>
    <mergeCell ref="CQC27:CQF27"/>
    <mergeCell ref="COS27:COV27"/>
    <mergeCell ref="COW27:COZ27"/>
    <mergeCell ref="CPA27:CPD27"/>
    <mergeCell ref="CPE27:CPH27"/>
    <mergeCell ref="CPI27:CPL27"/>
    <mergeCell ref="CYS27:CYV27"/>
    <mergeCell ref="CYW27:CYZ27"/>
    <mergeCell ref="CZA27:CZD27"/>
    <mergeCell ref="CZE27:CZH27"/>
    <mergeCell ref="CZI27:CZL27"/>
    <mergeCell ref="CXY27:CYB27"/>
    <mergeCell ref="CYC27:CYF27"/>
    <mergeCell ref="CYG27:CYJ27"/>
    <mergeCell ref="CYK27:CYN27"/>
    <mergeCell ref="CYO27:CYR27"/>
    <mergeCell ref="CXE27:CXH27"/>
    <mergeCell ref="CXI27:CXL27"/>
    <mergeCell ref="CXM27:CXP27"/>
    <mergeCell ref="CXQ27:CXT27"/>
    <mergeCell ref="CXU27:CXX27"/>
    <mergeCell ref="CWK27:CWN27"/>
    <mergeCell ref="CWO27:CWR27"/>
    <mergeCell ref="CWS27:CWV27"/>
    <mergeCell ref="CWW27:CWZ27"/>
    <mergeCell ref="CXA27:CXD27"/>
    <mergeCell ref="CVQ27:CVT27"/>
    <mergeCell ref="CVU27:CVX27"/>
    <mergeCell ref="CVY27:CWB27"/>
    <mergeCell ref="CWC27:CWF27"/>
    <mergeCell ref="CWG27:CWJ27"/>
    <mergeCell ref="CUW27:CUZ27"/>
    <mergeCell ref="CVA27:CVD27"/>
    <mergeCell ref="CVE27:CVH27"/>
    <mergeCell ref="CVI27:CVL27"/>
    <mergeCell ref="CVM27:CVP27"/>
    <mergeCell ref="CUC27:CUF27"/>
    <mergeCell ref="CUG27:CUJ27"/>
    <mergeCell ref="CUK27:CUN27"/>
    <mergeCell ref="CUO27:CUR27"/>
    <mergeCell ref="CUS27:CUV27"/>
    <mergeCell ref="DEC27:DEF27"/>
    <mergeCell ref="DEG27:DEJ27"/>
    <mergeCell ref="DEK27:DEN27"/>
    <mergeCell ref="DEO27:DER27"/>
    <mergeCell ref="DES27:DEV27"/>
    <mergeCell ref="DDI27:DDL27"/>
    <mergeCell ref="DDM27:DDP27"/>
    <mergeCell ref="DDQ27:DDT27"/>
    <mergeCell ref="DDU27:DDX27"/>
    <mergeCell ref="DDY27:DEB27"/>
    <mergeCell ref="DCO27:DCR27"/>
    <mergeCell ref="DCS27:DCV27"/>
    <mergeCell ref="DCW27:DCZ27"/>
    <mergeCell ref="DDA27:DDD27"/>
    <mergeCell ref="DDE27:DDH27"/>
    <mergeCell ref="DBU27:DBX27"/>
    <mergeCell ref="DBY27:DCB27"/>
    <mergeCell ref="DCC27:DCF27"/>
    <mergeCell ref="DCG27:DCJ27"/>
    <mergeCell ref="DCK27:DCN27"/>
    <mergeCell ref="DBA27:DBD27"/>
    <mergeCell ref="DBE27:DBH27"/>
    <mergeCell ref="DBI27:DBL27"/>
    <mergeCell ref="DBM27:DBP27"/>
    <mergeCell ref="DBQ27:DBT27"/>
    <mergeCell ref="DAG27:DAJ27"/>
    <mergeCell ref="DAK27:DAN27"/>
    <mergeCell ref="DAO27:DAR27"/>
    <mergeCell ref="DAS27:DAV27"/>
    <mergeCell ref="DAW27:DAZ27"/>
    <mergeCell ref="CZM27:CZP27"/>
    <mergeCell ref="CZQ27:CZT27"/>
    <mergeCell ref="CZU27:CZX27"/>
    <mergeCell ref="CZY27:DAB27"/>
    <mergeCell ref="DAC27:DAF27"/>
    <mergeCell ref="DJM27:DJP27"/>
    <mergeCell ref="DJQ27:DJT27"/>
    <mergeCell ref="DJU27:DJX27"/>
    <mergeCell ref="DJY27:DKB27"/>
    <mergeCell ref="DKC27:DKF27"/>
    <mergeCell ref="DIS27:DIV27"/>
    <mergeCell ref="DIW27:DIZ27"/>
    <mergeCell ref="DJA27:DJD27"/>
    <mergeCell ref="DJE27:DJH27"/>
    <mergeCell ref="DJI27:DJL27"/>
    <mergeCell ref="DHY27:DIB27"/>
    <mergeCell ref="DIC27:DIF27"/>
    <mergeCell ref="DIG27:DIJ27"/>
    <mergeCell ref="DIK27:DIN27"/>
    <mergeCell ref="DIO27:DIR27"/>
    <mergeCell ref="DHE27:DHH27"/>
    <mergeCell ref="DHI27:DHL27"/>
    <mergeCell ref="DHM27:DHP27"/>
    <mergeCell ref="DHQ27:DHT27"/>
    <mergeCell ref="DHU27:DHX27"/>
    <mergeCell ref="DGK27:DGN27"/>
    <mergeCell ref="DGO27:DGR27"/>
    <mergeCell ref="DGS27:DGV27"/>
    <mergeCell ref="DGW27:DGZ27"/>
    <mergeCell ref="DHA27:DHD27"/>
    <mergeCell ref="DFQ27:DFT27"/>
    <mergeCell ref="DFU27:DFX27"/>
    <mergeCell ref="DFY27:DGB27"/>
    <mergeCell ref="DGC27:DGF27"/>
    <mergeCell ref="DGG27:DGJ27"/>
    <mergeCell ref="DEW27:DEZ27"/>
    <mergeCell ref="DFA27:DFD27"/>
    <mergeCell ref="DFE27:DFH27"/>
    <mergeCell ref="DFI27:DFL27"/>
    <mergeCell ref="DFM27:DFP27"/>
    <mergeCell ref="DOW27:DOZ27"/>
    <mergeCell ref="DPA27:DPD27"/>
    <mergeCell ref="DPE27:DPH27"/>
    <mergeCell ref="DPI27:DPL27"/>
    <mergeCell ref="DPM27:DPP27"/>
    <mergeCell ref="DOC27:DOF27"/>
    <mergeCell ref="DOG27:DOJ27"/>
    <mergeCell ref="DOK27:DON27"/>
    <mergeCell ref="DOO27:DOR27"/>
    <mergeCell ref="DOS27:DOV27"/>
    <mergeCell ref="DNI27:DNL27"/>
    <mergeCell ref="DNM27:DNP27"/>
    <mergeCell ref="DNQ27:DNT27"/>
    <mergeCell ref="DNU27:DNX27"/>
    <mergeCell ref="DNY27:DOB27"/>
    <mergeCell ref="DMO27:DMR27"/>
    <mergeCell ref="DMS27:DMV27"/>
    <mergeCell ref="DMW27:DMZ27"/>
    <mergeCell ref="DNA27:DND27"/>
    <mergeCell ref="DNE27:DNH27"/>
    <mergeCell ref="DLU27:DLX27"/>
    <mergeCell ref="DLY27:DMB27"/>
    <mergeCell ref="DMC27:DMF27"/>
    <mergeCell ref="DMG27:DMJ27"/>
    <mergeCell ref="DMK27:DMN27"/>
    <mergeCell ref="DLA27:DLD27"/>
    <mergeCell ref="DLE27:DLH27"/>
    <mergeCell ref="DLI27:DLL27"/>
    <mergeCell ref="DLM27:DLP27"/>
    <mergeCell ref="DLQ27:DLT27"/>
    <mergeCell ref="DKG27:DKJ27"/>
    <mergeCell ref="DKK27:DKN27"/>
    <mergeCell ref="DKO27:DKR27"/>
    <mergeCell ref="DKS27:DKV27"/>
    <mergeCell ref="DKW27:DKZ27"/>
    <mergeCell ref="DUG27:DUJ27"/>
    <mergeCell ref="DUK27:DUN27"/>
    <mergeCell ref="DUO27:DUR27"/>
    <mergeCell ref="DUS27:DUV27"/>
    <mergeCell ref="DUW27:DUZ27"/>
    <mergeCell ref="DTM27:DTP27"/>
    <mergeCell ref="DTQ27:DTT27"/>
    <mergeCell ref="DTU27:DTX27"/>
    <mergeCell ref="DTY27:DUB27"/>
    <mergeCell ref="DUC27:DUF27"/>
    <mergeCell ref="DSS27:DSV27"/>
    <mergeCell ref="DSW27:DSZ27"/>
    <mergeCell ref="DTA27:DTD27"/>
    <mergeCell ref="DTE27:DTH27"/>
    <mergeCell ref="DTI27:DTL27"/>
    <mergeCell ref="DRY27:DSB27"/>
    <mergeCell ref="DSC27:DSF27"/>
    <mergeCell ref="DSG27:DSJ27"/>
    <mergeCell ref="DSK27:DSN27"/>
    <mergeCell ref="DSO27:DSR27"/>
    <mergeCell ref="DRE27:DRH27"/>
    <mergeCell ref="DRI27:DRL27"/>
    <mergeCell ref="DRM27:DRP27"/>
    <mergeCell ref="DRQ27:DRT27"/>
    <mergeCell ref="DRU27:DRX27"/>
    <mergeCell ref="DQK27:DQN27"/>
    <mergeCell ref="DQO27:DQR27"/>
    <mergeCell ref="DQS27:DQV27"/>
    <mergeCell ref="DQW27:DQZ27"/>
    <mergeCell ref="DRA27:DRD27"/>
    <mergeCell ref="DPQ27:DPT27"/>
    <mergeCell ref="DPU27:DPX27"/>
    <mergeCell ref="DPY27:DQB27"/>
    <mergeCell ref="DQC27:DQF27"/>
    <mergeCell ref="DQG27:DQJ27"/>
    <mergeCell ref="DZQ27:DZT27"/>
    <mergeCell ref="DZU27:DZX27"/>
    <mergeCell ref="DZY27:EAB27"/>
    <mergeCell ref="EAC27:EAF27"/>
    <mergeCell ref="EAG27:EAJ27"/>
    <mergeCell ref="DYW27:DYZ27"/>
    <mergeCell ref="DZA27:DZD27"/>
    <mergeCell ref="DZE27:DZH27"/>
    <mergeCell ref="DZI27:DZL27"/>
    <mergeCell ref="DZM27:DZP27"/>
    <mergeCell ref="DYC27:DYF27"/>
    <mergeCell ref="DYG27:DYJ27"/>
    <mergeCell ref="DYK27:DYN27"/>
    <mergeCell ref="DYO27:DYR27"/>
    <mergeCell ref="DYS27:DYV27"/>
    <mergeCell ref="DXI27:DXL27"/>
    <mergeCell ref="DXM27:DXP27"/>
    <mergeCell ref="DXQ27:DXT27"/>
    <mergeCell ref="DXU27:DXX27"/>
    <mergeCell ref="DXY27:DYB27"/>
    <mergeCell ref="DWO27:DWR27"/>
    <mergeCell ref="DWS27:DWV27"/>
    <mergeCell ref="DWW27:DWZ27"/>
    <mergeCell ref="DXA27:DXD27"/>
    <mergeCell ref="DXE27:DXH27"/>
    <mergeCell ref="DVU27:DVX27"/>
    <mergeCell ref="DVY27:DWB27"/>
    <mergeCell ref="DWC27:DWF27"/>
    <mergeCell ref="DWG27:DWJ27"/>
    <mergeCell ref="DWK27:DWN27"/>
    <mergeCell ref="DVA27:DVD27"/>
    <mergeCell ref="DVE27:DVH27"/>
    <mergeCell ref="DVI27:DVL27"/>
    <mergeCell ref="DVM27:DVP27"/>
    <mergeCell ref="DVQ27:DVT27"/>
    <mergeCell ref="EFA27:EFD27"/>
    <mergeCell ref="EFE27:EFH27"/>
    <mergeCell ref="EFI27:EFL27"/>
    <mergeCell ref="EFM27:EFP27"/>
    <mergeCell ref="EFQ27:EFT27"/>
    <mergeCell ref="EEG27:EEJ27"/>
    <mergeCell ref="EEK27:EEN27"/>
    <mergeCell ref="EEO27:EER27"/>
    <mergeCell ref="EES27:EEV27"/>
    <mergeCell ref="EEW27:EEZ27"/>
    <mergeCell ref="EDM27:EDP27"/>
    <mergeCell ref="EDQ27:EDT27"/>
    <mergeCell ref="EDU27:EDX27"/>
    <mergeCell ref="EDY27:EEB27"/>
    <mergeCell ref="EEC27:EEF27"/>
    <mergeCell ref="ECS27:ECV27"/>
    <mergeCell ref="ECW27:ECZ27"/>
    <mergeCell ref="EDA27:EDD27"/>
    <mergeCell ref="EDE27:EDH27"/>
    <mergeCell ref="EDI27:EDL27"/>
    <mergeCell ref="EBY27:ECB27"/>
    <mergeCell ref="ECC27:ECF27"/>
    <mergeCell ref="ECG27:ECJ27"/>
    <mergeCell ref="ECK27:ECN27"/>
    <mergeCell ref="ECO27:ECR27"/>
    <mergeCell ref="EBE27:EBH27"/>
    <mergeCell ref="EBI27:EBL27"/>
    <mergeCell ref="EBM27:EBP27"/>
    <mergeCell ref="EBQ27:EBT27"/>
    <mergeCell ref="EBU27:EBX27"/>
    <mergeCell ref="EAK27:EAN27"/>
    <mergeCell ref="EAO27:EAR27"/>
    <mergeCell ref="EAS27:EAV27"/>
    <mergeCell ref="EAW27:EAZ27"/>
    <mergeCell ref="EBA27:EBD27"/>
    <mergeCell ref="EKK27:EKN27"/>
    <mergeCell ref="EKO27:EKR27"/>
    <mergeCell ref="EKS27:EKV27"/>
    <mergeCell ref="EKW27:EKZ27"/>
    <mergeCell ref="ELA27:ELD27"/>
    <mergeCell ref="EJQ27:EJT27"/>
    <mergeCell ref="EJU27:EJX27"/>
    <mergeCell ref="EJY27:EKB27"/>
    <mergeCell ref="EKC27:EKF27"/>
    <mergeCell ref="EKG27:EKJ27"/>
    <mergeCell ref="EIW27:EIZ27"/>
    <mergeCell ref="EJA27:EJD27"/>
    <mergeCell ref="EJE27:EJH27"/>
    <mergeCell ref="EJI27:EJL27"/>
    <mergeCell ref="EJM27:EJP27"/>
    <mergeCell ref="EIC27:EIF27"/>
    <mergeCell ref="EIG27:EIJ27"/>
    <mergeCell ref="EIK27:EIN27"/>
    <mergeCell ref="EIO27:EIR27"/>
    <mergeCell ref="EIS27:EIV27"/>
    <mergeCell ref="EHI27:EHL27"/>
    <mergeCell ref="EHM27:EHP27"/>
    <mergeCell ref="EHQ27:EHT27"/>
    <mergeCell ref="EHU27:EHX27"/>
    <mergeCell ref="EHY27:EIB27"/>
    <mergeCell ref="EGO27:EGR27"/>
    <mergeCell ref="EGS27:EGV27"/>
    <mergeCell ref="EGW27:EGZ27"/>
    <mergeCell ref="EHA27:EHD27"/>
    <mergeCell ref="EHE27:EHH27"/>
    <mergeCell ref="EFU27:EFX27"/>
    <mergeCell ref="EFY27:EGB27"/>
    <mergeCell ref="EGC27:EGF27"/>
    <mergeCell ref="EGG27:EGJ27"/>
    <mergeCell ref="EGK27:EGN27"/>
    <mergeCell ref="EPU27:EPX27"/>
    <mergeCell ref="EPY27:EQB27"/>
    <mergeCell ref="EQC27:EQF27"/>
    <mergeCell ref="EQG27:EQJ27"/>
    <mergeCell ref="EQK27:EQN27"/>
    <mergeCell ref="EPA27:EPD27"/>
    <mergeCell ref="EPE27:EPH27"/>
    <mergeCell ref="EPI27:EPL27"/>
    <mergeCell ref="EPM27:EPP27"/>
    <mergeCell ref="EPQ27:EPT27"/>
    <mergeCell ref="EOG27:EOJ27"/>
    <mergeCell ref="EOK27:EON27"/>
    <mergeCell ref="EOO27:EOR27"/>
    <mergeCell ref="EOS27:EOV27"/>
    <mergeCell ref="EOW27:EOZ27"/>
    <mergeCell ref="ENM27:ENP27"/>
    <mergeCell ref="ENQ27:ENT27"/>
    <mergeCell ref="ENU27:ENX27"/>
    <mergeCell ref="ENY27:EOB27"/>
    <mergeCell ref="EOC27:EOF27"/>
    <mergeCell ref="EMS27:EMV27"/>
    <mergeCell ref="EMW27:EMZ27"/>
    <mergeCell ref="ENA27:END27"/>
    <mergeCell ref="ENE27:ENH27"/>
    <mergeCell ref="ENI27:ENL27"/>
    <mergeCell ref="ELY27:EMB27"/>
    <mergeCell ref="EMC27:EMF27"/>
    <mergeCell ref="EMG27:EMJ27"/>
    <mergeCell ref="EMK27:EMN27"/>
    <mergeCell ref="EMO27:EMR27"/>
    <mergeCell ref="ELE27:ELH27"/>
    <mergeCell ref="ELI27:ELL27"/>
    <mergeCell ref="ELM27:ELP27"/>
    <mergeCell ref="ELQ27:ELT27"/>
    <mergeCell ref="ELU27:ELX27"/>
    <mergeCell ref="EVE27:EVH27"/>
    <mergeCell ref="EVI27:EVL27"/>
    <mergeCell ref="EVM27:EVP27"/>
    <mergeCell ref="EVQ27:EVT27"/>
    <mergeCell ref="EVU27:EVX27"/>
    <mergeCell ref="EUK27:EUN27"/>
    <mergeCell ref="EUO27:EUR27"/>
    <mergeCell ref="EUS27:EUV27"/>
    <mergeCell ref="EUW27:EUZ27"/>
    <mergeCell ref="EVA27:EVD27"/>
    <mergeCell ref="ETQ27:ETT27"/>
    <mergeCell ref="ETU27:ETX27"/>
    <mergeCell ref="ETY27:EUB27"/>
    <mergeCell ref="EUC27:EUF27"/>
    <mergeCell ref="EUG27:EUJ27"/>
    <mergeCell ref="ESW27:ESZ27"/>
    <mergeCell ref="ETA27:ETD27"/>
    <mergeCell ref="ETE27:ETH27"/>
    <mergeCell ref="ETI27:ETL27"/>
    <mergeCell ref="ETM27:ETP27"/>
    <mergeCell ref="ESC27:ESF27"/>
    <mergeCell ref="ESG27:ESJ27"/>
    <mergeCell ref="ESK27:ESN27"/>
    <mergeCell ref="ESO27:ESR27"/>
    <mergeCell ref="ESS27:ESV27"/>
    <mergeCell ref="ERI27:ERL27"/>
    <mergeCell ref="ERM27:ERP27"/>
    <mergeCell ref="ERQ27:ERT27"/>
    <mergeCell ref="ERU27:ERX27"/>
    <mergeCell ref="ERY27:ESB27"/>
    <mergeCell ref="EQO27:EQR27"/>
    <mergeCell ref="EQS27:EQV27"/>
    <mergeCell ref="EQW27:EQZ27"/>
    <mergeCell ref="ERA27:ERD27"/>
    <mergeCell ref="ERE27:ERH27"/>
    <mergeCell ref="FAO27:FAR27"/>
    <mergeCell ref="FAS27:FAV27"/>
    <mergeCell ref="FAW27:FAZ27"/>
    <mergeCell ref="FBA27:FBD27"/>
    <mergeCell ref="FBE27:FBH27"/>
    <mergeCell ref="EZU27:EZX27"/>
    <mergeCell ref="EZY27:FAB27"/>
    <mergeCell ref="FAC27:FAF27"/>
    <mergeCell ref="FAG27:FAJ27"/>
    <mergeCell ref="FAK27:FAN27"/>
    <mergeCell ref="EZA27:EZD27"/>
    <mergeCell ref="EZE27:EZH27"/>
    <mergeCell ref="EZI27:EZL27"/>
    <mergeCell ref="EZM27:EZP27"/>
    <mergeCell ref="EZQ27:EZT27"/>
    <mergeCell ref="EYG27:EYJ27"/>
    <mergeCell ref="EYK27:EYN27"/>
    <mergeCell ref="EYO27:EYR27"/>
    <mergeCell ref="EYS27:EYV27"/>
    <mergeCell ref="EYW27:EYZ27"/>
    <mergeCell ref="EXM27:EXP27"/>
    <mergeCell ref="EXQ27:EXT27"/>
    <mergeCell ref="EXU27:EXX27"/>
    <mergeCell ref="EXY27:EYB27"/>
    <mergeCell ref="EYC27:EYF27"/>
    <mergeCell ref="EWS27:EWV27"/>
    <mergeCell ref="EWW27:EWZ27"/>
    <mergeCell ref="EXA27:EXD27"/>
    <mergeCell ref="EXE27:EXH27"/>
    <mergeCell ref="EXI27:EXL27"/>
    <mergeCell ref="EVY27:EWB27"/>
    <mergeCell ref="EWC27:EWF27"/>
    <mergeCell ref="EWG27:EWJ27"/>
    <mergeCell ref="EWK27:EWN27"/>
    <mergeCell ref="EWO27:EWR27"/>
    <mergeCell ref="FFY27:FGB27"/>
    <mergeCell ref="FGC27:FGF27"/>
    <mergeCell ref="FGG27:FGJ27"/>
    <mergeCell ref="FGK27:FGN27"/>
    <mergeCell ref="FGO27:FGR27"/>
    <mergeCell ref="FFE27:FFH27"/>
    <mergeCell ref="FFI27:FFL27"/>
    <mergeCell ref="FFM27:FFP27"/>
    <mergeCell ref="FFQ27:FFT27"/>
    <mergeCell ref="FFU27:FFX27"/>
    <mergeCell ref="FEK27:FEN27"/>
    <mergeCell ref="FEO27:FER27"/>
    <mergeCell ref="FES27:FEV27"/>
    <mergeCell ref="FEW27:FEZ27"/>
    <mergeCell ref="FFA27:FFD27"/>
    <mergeCell ref="FDQ27:FDT27"/>
    <mergeCell ref="FDU27:FDX27"/>
    <mergeCell ref="FDY27:FEB27"/>
    <mergeCell ref="FEC27:FEF27"/>
    <mergeCell ref="FEG27:FEJ27"/>
    <mergeCell ref="FCW27:FCZ27"/>
    <mergeCell ref="FDA27:FDD27"/>
    <mergeCell ref="FDE27:FDH27"/>
    <mergeCell ref="FDI27:FDL27"/>
    <mergeCell ref="FDM27:FDP27"/>
    <mergeCell ref="FCC27:FCF27"/>
    <mergeCell ref="FCG27:FCJ27"/>
    <mergeCell ref="FCK27:FCN27"/>
    <mergeCell ref="FCO27:FCR27"/>
    <mergeCell ref="FCS27:FCV27"/>
    <mergeCell ref="FBI27:FBL27"/>
    <mergeCell ref="FBM27:FBP27"/>
    <mergeCell ref="FBQ27:FBT27"/>
    <mergeCell ref="FBU27:FBX27"/>
    <mergeCell ref="FBY27:FCB27"/>
    <mergeCell ref="FLI27:FLL27"/>
    <mergeCell ref="FLM27:FLP27"/>
    <mergeCell ref="FLQ27:FLT27"/>
    <mergeCell ref="FLU27:FLX27"/>
    <mergeCell ref="FLY27:FMB27"/>
    <mergeCell ref="FKO27:FKR27"/>
    <mergeCell ref="FKS27:FKV27"/>
    <mergeCell ref="FKW27:FKZ27"/>
    <mergeCell ref="FLA27:FLD27"/>
    <mergeCell ref="FLE27:FLH27"/>
    <mergeCell ref="FJU27:FJX27"/>
    <mergeCell ref="FJY27:FKB27"/>
    <mergeCell ref="FKC27:FKF27"/>
    <mergeCell ref="FKG27:FKJ27"/>
    <mergeCell ref="FKK27:FKN27"/>
    <mergeCell ref="FJA27:FJD27"/>
    <mergeCell ref="FJE27:FJH27"/>
    <mergeCell ref="FJI27:FJL27"/>
    <mergeCell ref="FJM27:FJP27"/>
    <mergeCell ref="FJQ27:FJT27"/>
    <mergeCell ref="FIG27:FIJ27"/>
    <mergeCell ref="FIK27:FIN27"/>
    <mergeCell ref="FIO27:FIR27"/>
    <mergeCell ref="FIS27:FIV27"/>
    <mergeCell ref="FIW27:FIZ27"/>
    <mergeCell ref="FHM27:FHP27"/>
    <mergeCell ref="FHQ27:FHT27"/>
    <mergeCell ref="FHU27:FHX27"/>
    <mergeCell ref="FHY27:FIB27"/>
    <mergeCell ref="FIC27:FIF27"/>
    <mergeCell ref="FGS27:FGV27"/>
    <mergeCell ref="FGW27:FGZ27"/>
    <mergeCell ref="FHA27:FHD27"/>
    <mergeCell ref="FHE27:FHH27"/>
    <mergeCell ref="FHI27:FHL27"/>
    <mergeCell ref="FQS27:FQV27"/>
    <mergeCell ref="FQW27:FQZ27"/>
    <mergeCell ref="FRA27:FRD27"/>
    <mergeCell ref="FRE27:FRH27"/>
    <mergeCell ref="FRI27:FRL27"/>
    <mergeCell ref="FPY27:FQB27"/>
    <mergeCell ref="FQC27:FQF27"/>
    <mergeCell ref="FQG27:FQJ27"/>
    <mergeCell ref="FQK27:FQN27"/>
    <mergeCell ref="FQO27:FQR27"/>
    <mergeCell ref="FPE27:FPH27"/>
    <mergeCell ref="FPI27:FPL27"/>
    <mergeCell ref="FPM27:FPP27"/>
    <mergeCell ref="FPQ27:FPT27"/>
    <mergeCell ref="FPU27:FPX27"/>
    <mergeCell ref="FOK27:FON27"/>
    <mergeCell ref="FOO27:FOR27"/>
    <mergeCell ref="FOS27:FOV27"/>
    <mergeCell ref="FOW27:FOZ27"/>
    <mergeCell ref="FPA27:FPD27"/>
    <mergeCell ref="FNQ27:FNT27"/>
    <mergeCell ref="FNU27:FNX27"/>
    <mergeCell ref="FNY27:FOB27"/>
    <mergeCell ref="FOC27:FOF27"/>
    <mergeCell ref="FOG27:FOJ27"/>
    <mergeCell ref="FMW27:FMZ27"/>
    <mergeCell ref="FNA27:FND27"/>
    <mergeCell ref="FNE27:FNH27"/>
    <mergeCell ref="FNI27:FNL27"/>
    <mergeCell ref="FNM27:FNP27"/>
    <mergeCell ref="FMC27:FMF27"/>
    <mergeCell ref="FMG27:FMJ27"/>
    <mergeCell ref="FMK27:FMN27"/>
    <mergeCell ref="FMO27:FMR27"/>
    <mergeCell ref="FMS27:FMV27"/>
    <mergeCell ref="FWC27:FWF27"/>
    <mergeCell ref="FWG27:FWJ27"/>
    <mergeCell ref="FWK27:FWN27"/>
    <mergeCell ref="FWO27:FWR27"/>
    <mergeCell ref="FWS27:FWV27"/>
    <mergeCell ref="FVI27:FVL27"/>
    <mergeCell ref="FVM27:FVP27"/>
    <mergeCell ref="FVQ27:FVT27"/>
    <mergeCell ref="FVU27:FVX27"/>
    <mergeCell ref="FVY27:FWB27"/>
    <mergeCell ref="FUO27:FUR27"/>
    <mergeCell ref="FUS27:FUV27"/>
    <mergeCell ref="FUW27:FUZ27"/>
    <mergeCell ref="FVA27:FVD27"/>
    <mergeCell ref="FVE27:FVH27"/>
    <mergeCell ref="FTU27:FTX27"/>
    <mergeCell ref="FTY27:FUB27"/>
    <mergeCell ref="FUC27:FUF27"/>
    <mergeCell ref="FUG27:FUJ27"/>
    <mergeCell ref="FUK27:FUN27"/>
    <mergeCell ref="FTA27:FTD27"/>
    <mergeCell ref="FTE27:FTH27"/>
    <mergeCell ref="FTI27:FTL27"/>
    <mergeCell ref="FTM27:FTP27"/>
    <mergeCell ref="FTQ27:FTT27"/>
    <mergeCell ref="FSG27:FSJ27"/>
    <mergeCell ref="FSK27:FSN27"/>
    <mergeCell ref="FSO27:FSR27"/>
    <mergeCell ref="FSS27:FSV27"/>
    <mergeCell ref="FSW27:FSZ27"/>
    <mergeCell ref="FRM27:FRP27"/>
    <mergeCell ref="FRQ27:FRT27"/>
    <mergeCell ref="FRU27:FRX27"/>
    <mergeCell ref="FRY27:FSB27"/>
    <mergeCell ref="FSC27:FSF27"/>
    <mergeCell ref="GBM27:GBP27"/>
    <mergeCell ref="GBQ27:GBT27"/>
    <mergeCell ref="GBU27:GBX27"/>
    <mergeCell ref="GBY27:GCB27"/>
    <mergeCell ref="GCC27:GCF27"/>
    <mergeCell ref="GAS27:GAV27"/>
    <mergeCell ref="GAW27:GAZ27"/>
    <mergeCell ref="GBA27:GBD27"/>
    <mergeCell ref="GBE27:GBH27"/>
    <mergeCell ref="GBI27:GBL27"/>
    <mergeCell ref="FZY27:GAB27"/>
    <mergeCell ref="GAC27:GAF27"/>
    <mergeCell ref="GAG27:GAJ27"/>
    <mergeCell ref="GAK27:GAN27"/>
    <mergeCell ref="GAO27:GAR27"/>
    <mergeCell ref="FZE27:FZH27"/>
    <mergeCell ref="FZI27:FZL27"/>
    <mergeCell ref="FZM27:FZP27"/>
    <mergeCell ref="FZQ27:FZT27"/>
    <mergeCell ref="FZU27:FZX27"/>
    <mergeCell ref="FYK27:FYN27"/>
    <mergeCell ref="FYO27:FYR27"/>
    <mergeCell ref="FYS27:FYV27"/>
    <mergeCell ref="FYW27:FYZ27"/>
    <mergeCell ref="FZA27:FZD27"/>
    <mergeCell ref="FXQ27:FXT27"/>
    <mergeCell ref="FXU27:FXX27"/>
    <mergeCell ref="FXY27:FYB27"/>
    <mergeCell ref="FYC27:FYF27"/>
    <mergeCell ref="FYG27:FYJ27"/>
    <mergeCell ref="FWW27:FWZ27"/>
    <mergeCell ref="FXA27:FXD27"/>
    <mergeCell ref="FXE27:FXH27"/>
    <mergeCell ref="FXI27:FXL27"/>
    <mergeCell ref="FXM27:FXP27"/>
    <mergeCell ref="GGW27:GGZ27"/>
    <mergeCell ref="GHA27:GHD27"/>
    <mergeCell ref="GHE27:GHH27"/>
    <mergeCell ref="GHI27:GHL27"/>
    <mergeCell ref="GHM27:GHP27"/>
    <mergeCell ref="GGC27:GGF27"/>
    <mergeCell ref="GGG27:GGJ27"/>
    <mergeCell ref="GGK27:GGN27"/>
    <mergeCell ref="GGO27:GGR27"/>
    <mergeCell ref="GGS27:GGV27"/>
    <mergeCell ref="GFI27:GFL27"/>
    <mergeCell ref="GFM27:GFP27"/>
    <mergeCell ref="GFQ27:GFT27"/>
    <mergeCell ref="GFU27:GFX27"/>
    <mergeCell ref="GFY27:GGB27"/>
    <mergeCell ref="GEO27:GER27"/>
    <mergeCell ref="GES27:GEV27"/>
    <mergeCell ref="GEW27:GEZ27"/>
    <mergeCell ref="GFA27:GFD27"/>
    <mergeCell ref="GFE27:GFH27"/>
    <mergeCell ref="GDU27:GDX27"/>
    <mergeCell ref="GDY27:GEB27"/>
    <mergeCell ref="GEC27:GEF27"/>
    <mergeCell ref="GEG27:GEJ27"/>
    <mergeCell ref="GEK27:GEN27"/>
    <mergeCell ref="GDA27:GDD27"/>
    <mergeCell ref="GDE27:GDH27"/>
    <mergeCell ref="GDI27:GDL27"/>
    <mergeCell ref="GDM27:GDP27"/>
    <mergeCell ref="GDQ27:GDT27"/>
    <mergeCell ref="GCG27:GCJ27"/>
    <mergeCell ref="GCK27:GCN27"/>
    <mergeCell ref="GCO27:GCR27"/>
    <mergeCell ref="GCS27:GCV27"/>
    <mergeCell ref="GCW27:GCZ27"/>
    <mergeCell ref="GMG27:GMJ27"/>
    <mergeCell ref="GMK27:GMN27"/>
    <mergeCell ref="GMO27:GMR27"/>
    <mergeCell ref="GMS27:GMV27"/>
    <mergeCell ref="GMW27:GMZ27"/>
    <mergeCell ref="GLM27:GLP27"/>
    <mergeCell ref="GLQ27:GLT27"/>
    <mergeCell ref="GLU27:GLX27"/>
    <mergeCell ref="GLY27:GMB27"/>
    <mergeCell ref="GMC27:GMF27"/>
    <mergeCell ref="GKS27:GKV27"/>
    <mergeCell ref="GKW27:GKZ27"/>
    <mergeCell ref="GLA27:GLD27"/>
    <mergeCell ref="GLE27:GLH27"/>
    <mergeCell ref="GLI27:GLL27"/>
    <mergeCell ref="GJY27:GKB27"/>
    <mergeCell ref="GKC27:GKF27"/>
    <mergeCell ref="GKG27:GKJ27"/>
    <mergeCell ref="GKK27:GKN27"/>
    <mergeCell ref="GKO27:GKR27"/>
    <mergeCell ref="GJE27:GJH27"/>
    <mergeCell ref="GJI27:GJL27"/>
    <mergeCell ref="GJM27:GJP27"/>
    <mergeCell ref="GJQ27:GJT27"/>
    <mergeCell ref="GJU27:GJX27"/>
    <mergeCell ref="GIK27:GIN27"/>
    <mergeCell ref="GIO27:GIR27"/>
    <mergeCell ref="GIS27:GIV27"/>
    <mergeCell ref="GIW27:GIZ27"/>
    <mergeCell ref="GJA27:GJD27"/>
    <mergeCell ref="GHQ27:GHT27"/>
    <mergeCell ref="GHU27:GHX27"/>
    <mergeCell ref="GHY27:GIB27"/>
    <mergeCell ref="GIC27:GIF27"/>
    <mergeCell ref="GIG27:GIJ27"/>
    <mergeCell ref="GRQ27:GRT27"/>
    <mergeCell ref="GRU27:GRX27"/>
    <mergeCell ref="GRY27:GSB27"/>
    <mergeCell ref="GSC27:GSF27"/>
    <mergeCell ref="GSG27:GSJ27"/>
    <mergeCell ref="GQW27:GQZ27"/>
    <mergeCell ref="GRA27:GRD27"/>
    <mergeCell ref="GRE27:GRH27"/>
    <mergeCell ref="GRI27:GRL27"/>
    <mergeCell ref="GRM27:GRP27"/>
    <mergeCell ref="GQC27:GQF27"/>
    <mergeCell ref="GQG27:GQJ27"/>
    <mergeCell ref="GQK27:GQN27"/>
    <mergeCell ref="GQO27:GQR27"/>
    <mergeCell ref="GQS27:GQV27"/>
    <mergeCell ref="GPI27:GPL27"/>
    <mergeCell ref="GPM27:GPP27"/>
    <mergeCell ref="GPQ27:GPT27"/>
    <mergeCell ref="GPU27:GPX27"/>
    <mergeCell ref="GPY27:GQB27"/>
    <mergeCell ref="GOO27:GOR27"/>
    <mergeCell ref="GOS27:GOV27"/>
    <mergeCell ref="GOW27:GOZ27"/>
    <mergeCell ref="GPA27:GPD27"/>
    <mergeCell ref="GPE27:GPH27"/>
    <mergeCell ref="GNU27:GNX27"/>
    <mergeCell ref="GNY27:GOB27"/>
    <mergeCell ref="GOC27:GOF27"/>
    <mergeCell ref="GOG27:GOJ27"/>
    <mergeCell ref="GOK27:GON27"/>
    <mergeCell ref="GNA27:GND27"/>
    <mergeCell ref="GNE27:GNH27"/>
    <mergeCell ref="GNI27:GNL27"/>
    <mergeCell ref="GNM27:GNP27"/>
    <mergeCell ref="GNQ27:GNT27"/>
    <mergeCell ref="GXA27:GXD27"/>
    <mergeCell ref="GXE27:GXH27"/>
    <mergeCell ref="GXI27:GXL27"/>
    <mergeCell ref="GXM27:GXP27"/>
    <mergeCell ref="GXQ27:GXT27"/>
    <mergeCell ref="GWG27:GWJ27"/>
    <mergeCell ref="GWK27:GWN27"/>
    <mergeCell ref="GWO27:GWR27"/>
    <mergeCell ref="GWS27:GWV27"/>
    <mergeCell ref="GWW27:GWZ27"/>
    <mergeCell ref="GVM27:GVP27"/>
    <mergeCell ref="GVQ27:GVT27"/>
    <mergeCell ref="GVU27:GVX27"/>
    <mergeCell ref="GVY27:GWB27"/>
    <mergeCell ref="GWC27:GWF27"/>
    <mergeCell ref="GUS27:GUV27"/>
    <mergeCell ref="GUW27:GUZ27"/>
    <mergeCell ref="GVA27:GVD27"/>
    <mergeCell ref="GVE27:GVH27"/>
    <mergeCell ref="GVI27:GVL27"/>
    <mergeCell ref="GTY27:GUB27"/>
    <mergeCell ref="GUC27:GUF27"/>
    <mergeCell ref="GUG27:GUJ27"/>
    <mergeCell ref="GUK27:GUN27"/>
    <mergeCell ref="GUO27:GUR27"/>
    <mergeCell ref="GTE27:GTH27"/>
    <mergeCell ref="GTI27:GTL27"/>
    <mergeCell ref="GTM27:GTP27"/>
    <mergeCell ref="GTQ27:GTT27"/>
    <mergeCell ref="GTU27:GTX27"/>
    <mergeCell ref="GSK27:GSN27"/>
    <mergeCell ref="GSO27:GSR27"/>
    <mergeCell ref="GSS27:GSV27"/>
    <mergeCell ref="GSW27:GSZ27"/>
    <mergeCell ref="GTA27:GTD27"/>
    <mergeCell ref="HCK27:HCN27"/>
    <mergeCell ref="HCO27:HCR27"/>
    <mergeCell ref="HCS27:HCV27"/>
    <mergeCell ref="HCW27:HCZ27"/>
    <mergeCell ref="HDA27:HDD27"/>
    <mergeCell ref="HBQ27:HBT27"/>
    <mergeCell ref="HBU27:HBX27"/>
    <mergeCell ref="HBY27:HCB27"/>
    <mergeCell ref="HCC27:HCF27"/>
    <mergeCell ref="HCG27:HCJ27"/>
    <mergeCell ref="HAW27:HAZ27"/>
    <mergeCell ref="HBA27:HBD27"/>
    <mergeCell ref="HBE27:HBH27"/>
    <mergeCell ref="HBI27:HBL27"/>
    <mergeCell ref="HBM27:HBP27"/>
    <mergeCell ref="HAC27:HAF27"/>
    <mergeCell ref="HAG27:HAJ27"/>
    <mergeCell ref="HAK27:HAN27"/>
    <mergeCell ref="HAO27:HAR27"/>
    <mergeCell ref="HAS27:HAV27"/>
    <mergeCell ref="GZI27:GZL27"/>
    <mergeCell ref="GZM27:GZP27"/>
    <mergeCell ref="GZQ27:GZT27"/>
    <mergeCell ref="GZU27:GZX27"/>
    <mergeCell ref="GZY27:HAB27"/>
    <mergeCell ref="GYO27:GYR27"/>
    <mergeCell ref="GYS27:GYV27"/>
    <mergeCell ref="GYW27:GYZ27"/>
    <mergeCell ref="GZA27:GZD27"/>
    <mergeCell ref="GZE27:GZH27"/>
    <mergeCell ref="GXU27:GXX27"/>
    <mergeCell ref="GXY27:GYB27"/>
    <mergeCell ref="GYC27:GYF27"/>
    <mergeCell ref="GYG27:GYJ27"/>
    <mergeCell ref="GYK27:GYN27"/>
    <mergeCell ref="HHU27:HHX27"/>
    <mergeCell ref="HHY27:HIB27"/>
    <mergeCell ref="HIC27:HIF27"/>
    <mergeCell ref="HIG27:HIJ27"/>
    <mergeCell ref="HIK27:HIN27"/>
    <mergeCell ref="HHA27:HHD27"/>
    <mergeCell ref="HHE27:HHH27"/>
    <mergeCell ref="HHI27:HHL27"/>
    <mergeCell ref="HHM27:HHP27"/>
    <mergeCell ref="HHQ27:HHT27"/>
    <mergeCell ref="HGG27:HGJ27"/>
    <mergeCell ref="HGK27:HGN27"/>
    <mergeCell ref="HGO27:HGR27"/>
    <mergeCell ref="HGS27:HGV27"/>
    <mergeCell ref="HGW27:HGZ27"/>
    <mergeCell ref="HFM27:HFP27"/>
    <mergeCell ref="HFQ27:HFT27"/>
    <mergeCell ref="HFU27:HFX27"/>
    <mergeCell ref="HFY27:HGB27"/>
    <mergeCell ref="HGC27:HGF27"/>
    <mergeCell ref="HES27:HEV27"/>
    <mergeCell ref="HEW27:HEZ27"/>
    <mergeCell ref="HFA27:HFD27"/>
    <mergeCell ref="HFE27:HFH27"/>
    <mergeCell ref="HFI27:HFL27"/>
    <mergeCell ref="HDY27:HEB27"/>
    <mergeCell ref="HEC27:HEF27"/>
    <mergeCell ref="HEG27:HEJ27"/>
    <mergeCell ref="HEK27:HEN27"/>
    <mergeCell ref="HEO27:HER27"/>
    <mergeCell ref="HDE27:HDH27"/>
    <mergeCell ref="HDI27:HDL27"/>
    <mergeCell ref="HDM27:HDP27"/>
    <mergeCell ref="HDQ27:HDT27"/>
    <mergeCell ref="HDU27:HDX27"/>
    <mergeCell ref="HNE27:HNH27"/>
    <mergeCell ref="HNI27:HNL27"/>
    <mergeCell ref="HNM27:HNP27"/>
    <mergeCell ref="HNQ27:HNT27"/>
    <mergeCell ref="HNU27:HNX27"/>
    <mergeCell ref="HMK27:HMN27"/>
    <mergeCell ref="HMO27:HMR27"/>
    <mergeCell ref="HMS27:HMV27"/>
    <mergeCell ref="HMW27:HMZ27"/>
    <mergeCell ref="HNA27:HND27"/>
    <mergeCell ref="HLQ27:HLT27"/>
    <mergeCell ref="HLU27:HLX27"/>
    <mergeCell ref="HLY27:HMB27"/>
    <mergeCell ref="HMC27:HMF27"/>
    <mergeCell ref="HMG27:HMJ27"/>
    <mergeCell ref="HKW27:HKZ27"/>
    <mergeCell ref="HLA27:HLD27"/>
    <mergeCell ref="HLE27:HLH27"/>
    <mergeCell ref="HLI27:HLL27"/>
    <mergeCell ref="HLM27:HLP27"/>
    <mergeCell ref="HKC27:HKF27"/>
    <mergeCell ref="HKG27:HKJ27"/>
    <mergeCell ref="HKK27:HKN27"/>
    <mergeCell ref="HKO27:HKR27"/>
    <mergeCell ref="HKS27:HKV27"/>
    <mergeCell ref="HJI27:HJL27"/>
    <mergeCell ref="HJM27:HJP27"/>
    <mergeCell ref="HJQ27:HJT27"/>
    <mergeCell ref="HJU27:HJX27"/>
    <mergeCell ref="HJY27:HKB27"/>
    <mergeCell ref="HIO27:HIR27"/>
    <mergeCell ref="HIS27:HIV27"/>
    <mergeCell ref="HIW27:HIZ27"/>
    <mergeCell ref="HJA27:HJD27"/>
    <mergeCell ref="HJE27:HJH27"/>
    <mergeCell ref="HSO27:HSR27"/>
    <mergeCell ref="HSS27:HSV27"/>
    <mergeCell ref="HSW27:HSZ27"/>
    <mergeCell ref="HTA27:HTD27"/>
    <mergeCell ref="HTE27:HTH27"/>
    <mergeCell ref="HRU27:HRX27"/>
    <mergeCell ref="HRY27:HSB27"/>
    <mergeCell ref="HSC27:HSF27"/>
    <mergeCell ref="HSG27:HSJ27"/>
    <mergeCell ref="HSK27:HSN27"/>
    <mergeCell ref="HRA27:HRD27"/>
    <mergeCell ref="HRE27:HRH27"/>
    <mergeCell ref="HRI27:HRL27"/>
    <mergeCell ref="HRM27:HRP27"/>
    <mergeCell ref="HRQ27:HRT27"/>
    <mergeCell ref="HQG27:HQJ27"/>
    <mergeCell ref="HQK27:HQN27"/>
    <mergeCell ref="HQO27:HQR27"/>
    <mergeCell ref="HQS27:HQV27"/>
    <mergeCell ref="HQW27:HQZ27"/>
    <mergeCell ref="HPM27:HPP27"/>
    <mergeCell ref="HPQ27:HPT27"/>
    <mergeCell ref="HPU27:HPX27"/>
    <mergeCell ref="HPY27:HQB27"/>
    <mergeCell ref="HQC27:HQF27"/>
    <mergeCell ref="HOS27:HOV27"/>
    <mergeCell ref="HOW27:HOZ27"/>
    <mergeCell ref="HPA27:HPD27"/>
    <mergeCell ref="HPE27:HPH27"/>
    <mergeCell ref="HPI27:HPL27"/>
    <mergeCell ref="HNY27:HOB27"/>
    <mergeCell ref="HOC27:HOF27"/>
    <mergeCell ref="HOG27:HOJ27"/>
    <mergeCell ref="HOK27:HON27"/>
    <mergeCell ref="HOO27:HOR27"/>
    <mergeCell ref="HXY27:HYB27"/>
    <mergeCell ref="HYC27:HYF27"/>
    <mergeCell ref="HYG27:HYJ27"/>
    <mergeCell ref="HYK27:HYN27"/>
    <mergeCell ref="HYO27:HYR27"/>
    <mergeCell ref="HXE27:HXH27"/>
    <mergeCell ref="HXI27:HXL27"/>
    <mergeCell ref="HXM27:HXP27"/>
    <mergeCell ref="HXQ27:HXT27"/>
    <mergeCell ref="HXU27:HXX27"/>
    <mergeCell ref="HWK27:HWN27"/>
    <mergeCell ref="HWO27:HWR27"/>
    <mergeCell ref="HWS27:HWV27"/>
    <mergeCell ref="HWW27:HWZ27"/>
    <mergeCell ref="HXA27:HXD27"/>
    <mergeCell ref="HVQ27:HVT27"/>
    <mergeCell ref="HVU27:HVX27"/>
    <mergeCell ref="HVY27:HWB27"/>
    <mergeCell ref="HWC27:HWF27"/>
    <mergeCell ref="HWG27:HWJ27"/>
    <mergeCell ref="HUW27:HUZ27"/>
    <mergeCell ref="HVA27:HVD27"/>
    <mergeCell ref="HVE27:HVH27"/>
    <mergeCell ref="HVI27:HVL27"/>
    <mergeCell ref="HVM27:HVP27"/>
    <mergeCell ref="HUC27:HUF27"/>
    <mergeCell ref="HUG27:HUJ27"/>
    <mergeCell ref="HUK27:HUN27"/>
    <mergeCell ref="HUO27:HUR27"/>
    <mergeCell ref="HUS27:HUV27"/>
    <mergeCell ref="HTI27:HTL27"/>
    <mergeCell ref="HTM27:HTP27"/>
    <mergeCell ref="HTQ27:HTT27"/>
    <mergeCell ref="HTU27:HTX27"/>
    <mergeCell ref="HTY27:HUB27"/>
    <mergeCell ref="IDI27:IDL27"/>
    <mergeCell ref="IDM27:IDP27"/>
    <mergeCell ref="IDQ27:IDT27"/>
    <mergeCell ref="IDU27:IDX27"/>
    <mergeCell ref="IDY27:IEB27"/>
    <mergeCell ref="ICO27:ICR27"/>
    <mergeCell ref="ICS27:ICV27"/>
    <mergeCell ref="ICW27:ICZ27"/>
    <mergeCell ref="IDA27:IDD27"/>
    <mergeCell ref="IDE27:IDH27"/>
    <mergeCell ref="IBU27:IBX27"/>
    <mergeCell ref="IBY27:ICB27"/>
    <mergeCell ref="ICC27:ICF27"/>
    <mergeCell ref="ICG27:ICJ27"/>
    <mergeCell ref="ICK27:ICN27"/>
    <mergeCell ref="IBA27:IBD27"/>
    <mergeCell ref="IBE27:IBH27"/>
    <mergeCell ref="IBI27:IBL27"/>
    <mergeCell ref="IBM27:IBP27"/>
    <mergeCell ref="IBQ27:IBT27"/>
    <mergeCell ref="IAG27:IAJ27"/>
    <mergeCell ref="IAK27:IAN27"/>
    <mergeCell ref="IAO27:IAR27"/>
    <mergeCell ref="IAS27:IAV27"/>
    <mergeCell ref="IAW27:IAZ27"/>
    <mergeCell ref="HZM27:HZP27"/>
    <mergeCell ref="HZQ27:HZT27"/>
    <mergeCell ref="HZU27:HZX27"/>
    <mergeCell ref="HZY27:IAB27"/>
    <mergeCell ref="IAC27:IAF27"/>
    <mergeCell ref="HYS27:HYV27"/>
    <mergeCell ref="HYW27:HYZ27"/>
    <mergeCell ref="HZA27:HZD27"/>
    <mergeCell ref="HZE27:HZH27"/>
    <mergeCell ref="HZI27:HZL27"/>
    <mergeCell ref="IIS27:IIV27"/>
    <mergeCell ref="IIW27:IIZ27"/>
    <mergeCell ref="IJA27:IJD27"/>
    <mergeCell ref="IJE27:IJH27"/>
    <mergeCell ref="IJI27:IJL27"/>
    <mergeCell ref="IHY27:IIB27"/>
    <mergeCell ref="IIC27:IIF27"/>
    <mergeCell ref="IIG27:IIJ27"/>
    <mergeCell ref="IIK27:IIN27"/>
    <mergeCell ref="IIO27:IIR27"/>
    <mergeCell ref="IHE27:IHH27"/>
    <mergeCell ref="IHI27:IHL27"/>
    <mergeCell ref="IHM27:IHP27"/>
    <mergeCell ref="IHQ27:IHT27"/>
    <mergeCell ref="IHU27:IHX27"/>
    <mergeCell ref="IGK27:IGN27"/>
    <mergeCell ref="IGO27:IGR27"/>
    <mergeCell ref="IGS27:IGV27"/>
    <mergeCell ref="IGW27:IGZ27"/>
    <mergeCell ref="IHA27:IHD27"/>
    <mergeCell ref="IFQ27:IFT27"/>
    <mergeCell ref="IFU27:IFX27"/>
    <mergeCell ref="IFY27:IGB27"/>
    <mergeCell ref="IGC27:IGF27"/>
    <mergeCell ref="IGG27:IGJ27"/>
    <mergeCell ref="IEW27:IEZ27"/>
    <mergeCell ref="IFA27:IFD27"/>
    <mergeCell ref="IFE27:IFH27"/>
    <mergeCell ref="IFI27:IFL27"/>
    <mergeCell ref="IFM27:IFP27"/>
    <mergeCell ref="IEC27:IEF27"/>
    <mergeCell ref="IEG27:IEJ27"/>
    <mergeCell ref="IEK27:IEN27"/>
    <mergeCell ref="IEO27:IER27"/>
    <mergeCell ref="IES27:IEV27"/>
    <mergeCell ref="IOC27:IOF27"/>
    <mergeCell ref="IOG27:IOJ27"/>
    <mergeCell ref="IOK27:ION27"/>
    <mergeCell ref="IOO27:IOR27"/>
    <mergeCell ref="IOS27:IOV27"/>
    <mergeCell ref="INI27:INL27"/>
    <mergeCell ref="INM27:INP27"/>
    <mergeCell ref="INQ27:INT27"/>
    <mergeCell ref="INU27:INX27"/>
    <mergeCell ref="INY27:IOB27"/>
    <mergeCell ref="IMO27:IMR27"/>
    <mergeCell ref="IMS27:IMV27"/>
    <mergeCell ref="IMW27:IMZ27"/>
    <mergeCell ref="INA27:IND27"/>
    <mergeCell ref="INE27:INH27"/>
    <mergeCell ref="ILU27:ILX27"/>
    <mergeCell ref="ILY27:IMB27"/>
    <mergeCell ref="IMC27:IMF27"/>
    <mergeCell ref="IMG27:IMJ27"/>
    <mergeCell ref="IMK27:IMN27"/>
    <mergeCell ref="ILA27:ILD27"/>
    <mergeCell ref="ILE27:ILH27"/>
    <mergeCell ref="ILI27:ILL27"/>
    <mergeCell ref="ILM27:ILP27"/>
    <mergeCell ref="ILQ27:ILT27"/>
    <mergeCell ref="IKG27:IKJ27"/>
    <mergeCell ref="IKK27:IKN27"/>
    <mergeCell ref="IKO27:IKR27"/>
    <mergeCell ref="IKS27:IKV27"/>
    <mergeCell ref="IKW27:IKZ27"/>
    <mergeCell ref="IJM27:IJP27"/>
    <mergeCell ref="IJQ27:IJT27"/>
    <mergeCell ref="IJU27:IJX27"/>
    <mergeCell ref="IJY27:IKB27"/>
    <mergeCell ref="IKC27:IKF27"/>
    <mergeCell ref="ITM27:ITP27"/>
    <mergeCell ref="ITQ27:ITT27"/>
    <mergeCell ref="ITU27:ITX27"/>
    <mergeCell ref="ITY27:IUB27"/>
    <mergeCell ref="IUC27:IUF27"/>
    <mergeCell ref="ISS27:ISV27"/>
    <mergeCell ref="ISW27:ISZ27"/>
    <mergeCell ref="ITA27:ITD27"/>
    <mergeCell ref="ITE27:ITH27"/>
    <mergeCell ref="ITI27:ITL27"/>
    <mergeCell ref="IRY27:ISB27"/>
    <mergeCell ref="ISC27:ISF27"/>
    <mergeCell ref="ISG27:ISJ27"/>
    <mergeCell ref="ISK27:ISN27"/>
    <mergeCell ref="ISO27:ISR27"/>
    <mergeCell ref="IRE27:IRH27"/>
    <mergeCell ref="IRI27:IRL27"/>
    <mergeCell ref="IRM27:IRP27"/>
    <mergeCell ref="IRQ27:IRT27"/>
    <mergeCell ref="IRU27:IRX27"/>
    <mergeCell ref="IQK27:IQN27"/>
    <mergeCell ref="IQO27:IQR27"/>
    <mergeCell ref="IQS27:IQV27"/>
    <mergeCell ref="IQW27:IQZ27"/>
    <mergeCell ref="IRA27:IRD27"/>
    <mergeCell ref="IPQ27:IPT27"/>
    <mergeCell ref="IPU27:IPX27"/>
    <mergeCell ref="IPY27:IQB27"/>
    <mergeCell ref="IQC27:IQF27"/>
    <mergeCell ref="IQG27:IQJ27"/>
    <mergeCell ref="IOW27:IOZ27"/>
    <mergeCell ref="IPA27:IPD27"/>
    <mergeCell ref="IPE27:IPH27"/>
    <mergeCell ref="IPI27:IPL27"/>
    <mergeCell ref="IPM27:IPP27"/>
    <mergeCell ref="IYW27:IYZ27"/>
    <mergeCell ref="IZA27:IZD27"/>
    <mergeCell ref="IZE27:IZH27"/>
    <mergeCell ref="IZI27:IZL27"/>
    <mergeCell ref="IZM27:IZP27"/>
    <mergeCell ref="IYC27:IYF27"/>
    <mergeCell ref="IYG27:IYJ27"/>
    <mergeCell ref="IYK27:IYN27"/>
    <mergeCell ref="IYO27:IYR27"/>
    <mergeCell ref="IYS27:IYV27"/>
    <mergeCell ref="IXI27:IXL27"/>
    <mergeCell ref="IXM27:IXP27"/>
    <mergeCell ref="IXQ27:IXT27"/>
    <mergeCell ref="IXU27:IXX27"/>
    <mergeCell ref="IXY27:IYB27"/>
    <mergeCell ref="IWO27:IWR27"/>
    <mergeCell ref="IWS27:IWV27"/>
    <mergeCell ref="IWW27:IWZ27"/>
    <mergeCell ref="IXA27:IXD27"/>
    <mergeCell ref="IXE27:IXH27"/>
    <mergeCell ref="IVU27:IVX27"/>
    <mergeCell ref="IVY27:IWB27"/>
    <mergeCell ref="IWC27:IWF27"/>
    <mergeCell ref="IWG27:IWJ27"/>
    <mergeCell ref="IWK27:IWN27"/>
    <mergeCell ref="IVA27:IVD27"/>
    <mergeCell ref="IVE27:IVH27"/>
    <mergeCell ref="IVI27:IVL27"/>
    <mergeCell ref="IVM27:IVP27"/>
    <mergeCell ref="IVQ27:IVT27"/>
    <mergeCell ref="IUG27:IUJ27"/>
    <mergeCell ref="IUK27:IUN27"/>
    <mergeCell ref="IUO27:IUR27"/>
    <mergeCell ref="IUS27:IUV27"/>
    <mergeCell ref="IUW27:IUZ27"/>
    <mergeCell ref="JEG27:JEJ27"/>
    <mergeCell ref="JEK27:JEN27"/>
    <mergeCell ref="JEO27:JER27"/>
    <mergeCell ref="JES27:JEV27"/>
    <mergeCell ref="JEW27:JEZ27"/>
    <mergeCell ref="JDM27:JDP27"/>
    <mergeCell ref="JDQ27:JDT27"/>
    <mergeCell ref="JDU27:JDX27"/>
    <mergeCell ref="JDY27:JEB27"/>
    <mergeCell ref="JEC27:JEF27"/>
    <mergeCell ref="JCS27:JCV27"/>
    <mergeCell ref="JCW27:JCZ27"/>
    <mergeCell ref="JDA27:JDD27"/>
    <mergeCell ref="JDE27:JDH27"/>
    <mergeCell ref="JDI27:JDL27"/>
    <mergeCell ref="JBY27:JCB27"/>
    <mergeCell ref="JCC27:JCF27"/>
    <mergeCell ref="JCG27:JCJ27"/>
    <mergeCell ref="JCK27:JCN27"/>
    <mergeCell ref="JCO27:JCR27"/>
    <mergeCell ref="JBE27:JBH27"/>
    <mergeCell ref="JBI27:JBL27"/>
    <mergeCell ref="JBM27:JBP27"/>
    <mergeCell ref="JBQ27:JBT27"/>
    <mergeCell ref="JBU27:JBX27"/>
    <mergeCell ref="JAK27:JAN27"/>
    <mergeCell ref="JAO27:JAR27"/>
    <mergeCell ref="JAS27:JAV27"/>
    <mergeCell ref="JAW27:JAZ27"/>
    <mergeCell ref="JBA27:JBD27"/>
    <mergeCell ref="IZQ27:IZT27"/>
    <mergeCell ref="IZU27:IZX27"/>
    <mergeCell ref="IZY27:JAB27"/>
    <mergeCell ref="JAC27:JAF27"/>
    <mergeCell ref="JAG27:JAJ27"/>
    <mergeCell ref="JJQ27:JJT27"/>
    <mergeCell ref="JJU27:JJX27"/>
    <mergeCell ref="JJY27:JKB27"/>
    <mergeCell ref="JKC27:JKF27"/>
    <mergeCell ref="JKG27:JKJ27"/>
    <mergeCell ref="JIW27:JIZ27"/>
    <mergeCell ref="JJA27:JJD27"/>
    <mergeCell ref="JJE27:JJH27"/>
    <mergeCell ref="JJI27:JJL27"/>
    <mergeCell ref="JJM27:JJP27"/>
    <mergeCell ref="JIC27:JIF27"/>
    <mergeCell ref="JIG27:JIJ27"/>
    <mergeCell ref="JIK27:JIN27"/>
    <mergeCell ref="JIO27:JIR27"/>
    <mergeCell ref="JIS27:JIV27"/>
    <mergeCell ref="JHI27:JHL27"/>
    <mergeCell ref="JHM27:JHP27"/>
    <mergeCell ref="JHQ27:JHT27"/>
    <mergeCell ref="JHU27:JHX27"/>
    <mergeCell ref="JHY27:JIB27"/>
    <mergeCell ref="JGO27:JGR27"/>
    <mergeCell ref="JGS27:JGV27"/>
    <mergeCell ref="JGW27:JGZ27"/>
    <mergeCell ref="JHA27:JHD27"/>
    <mergeCell ref="JHE27:JHH27"/>
    <mergeCell ref="JFU27:JFX27"/>
    <mergeCell ref="JFY27:JGB27"/>
    <mergeCell ref="JGC27:JGF27"/>
    <mergeCell ref="JGG27:JGJ27"/>
    <mergeCell ref="JGK27:JGN27"/>
    <mergeCell ref="JFA27:JFD27"/>
    <mergeCell ref="JFE27:JFH27"/>
    <mergeCell ref="JFI27:JFL27"/>
    <mergeCell ref="JFM27:JFP27"/>
    <mergeCell ref="JFQ27:JFT27"/>
    <mergeCell ref="JPA27:JPD27"/>
    <mergeCell ref="JPE27:JPH27"/>
    <mergeCell ref="JPI27:JPL27"/>
    <mergeCell ref="JPM27:JPP27"/>
    <mergeCell ref="JPQ27:JPT27"/>
    <mergeCell ref="JOG27:JOJ27"/>
    <mergeCell ref="JOK27:JON27"/>
    <mergeCell ref="JOO27:JOR27"/>
    <mergeCell ref="JOS27:JOV27"/>
    <mergeCell ref="JOW27:JOZ27"/>
    <mergeCell ref="JNM27:JNP27"/>
    <mergeCell ref="JNQ27:JNT27"/>
    <mergeCell ref="JNU27:JNX27"/>
    <mergeCell ref="JNY27:JOB27"/>
    <mergeCell ref="JOC27:JOF27"/>
    <mergeCell ref="JMS27:JMV27"/>
    <mergeCell ref="JMW27:JMZ27"/>
    <mergeCell ref="JNA27:JND27"/>
    <mergeCell ref="JNE27:JNH27"/>
    <mergeCell ref="JNI27:JNL27"/>
    <mergeCell ref="JLY27:JMB27"/>
    <mergeCell ref="JMC27:JMF27"/>
    <mergeCell ref="JMG27:JMJ27"/>
    <mergeCell ref="JMK27:JMN27"/>
    <mergeCell ref="JMO27:JMR27"/>
    <mergeCell ref="JLE27:JLH27"/>
    <mergeCell ref="JLI27:JLL27"/>
    <mergeCell ref="JLM27:JLP27"/>
    <mergeCell ref="JLQ27:JLT27"/>
    <mergeCell ref="JLU27:JLX27"/>
    <mergeCell ref="JKK27:JKN27"/>
    <mergeCell ref="JKO27:JKR27"/>
    <mergeCell ref="JKS27:JKV27"/>
    <mergeCell ref="JKW27:JKZ27"/>
    <mergeCell ref="JLA27:JLD27"/>
    <mergeCell ref="JUK27:JUN27"/>
    <mergeCell ref="JUO27:JUR27"/>
    <mergeCell ref="JUS27:JUV27"/>
    <mergeCell ref="JUW27:JUZ27"/>
    <mergeCell ref="JVA27:JVD27"/>
    <mergeCell ref="JTQ27:JTT27"/>
    <mergeCell ref="JTU27:JTX27"/>
    <mergeCell ref="JTY27:JUB27"/>
    <mergeCell ref="JUC27:JUF27"/>
    <mergeCell ref="JUG27:JUJ27"/>
    <mergeCell ref="JSW27:JSZ27"/>
    <mergeCell ref="JTA27:JTD27"/>
    <mergeCell ref="JTE27:JTH27"/>
    <mergeCell ref="JTI27:JTL27"/>
    <mergeCell ref="JTM27:JTP27"/>
    <mergeCell ref="JSC27:JSF27"/>
    <mergeCell ref="JSG27:JSJ27"/>
    <mergeCell ref="JSK27:JSN27"/>
    <mergeCell ref="JSO27:JSR27"/>
    <mergeCell ref="JSS27:JSV27"/>
    <mergeCell ref="JRI27:JRL27"/>
    <mergeCell ref="JRM27:JRP27"/>
    <mergeCell ref="JRQ27:JRT27"/>
    <mergeCell ref="JRU27:JRX27"/>
    <mergeCell ref="JRY27:JSB27"/>
    <mergeCell ref="JQO27:JQR27"/>
    <mergeCell ref="JQS27:JQV27"/>
    <mergeCell ref="JQW27:JQZ27"/>
    <mergeCell ref="JRA27:JRD27"/>
    <mergeCell ref="JRE27:JRH27"/>
    <mergeCell ref="JPU27:JPX27"/>
    <mergeCell ref="JPY27:JQB27"/>
    <mergeCell ref="JQC27:JQF27"/>
    <mergeCell ref="JQG27:JQJ27"/>
    <mergeCell ref="JQK27:JQN27"/>
    <mergeCell ref="JZU27:JZX27"/>
    <mergeCell ref="JZY27:KAB27"/>
    <mergeCell ref="KAC27:KAF27"/>
    <mergeCell ref="KAG27:KAJ27"/>
    <mergeCell ref="KAK27:KAN27"/>
    <mergeCell ref="JZA27:JZD27"/>
    <mergeCell ref="JZE27:JZH27"/>
    <mergeCell ref="JZI27:JZL27"/>
    <mergeCell ref="JZM27:JZP27"/>
    <mergeCell ref="JZQ27:JZT27"/>
    <mergeCell ref="JYG27:JYJ27"/>
    <mergeCell ref="JYK27:JYN27"/>
    <mergeCell ref="JYO27:JYR27"/>
    <mergeCell ref="JYS27:JYV27"/>
    <mergeCell ref="JYW27:JYZ27"/>
    <mergeCell ref="JXM27:JXP27"/>
    <mergeCell ref="JXQ27:JXT27"/>
    <mergeCell ref="JXU27:JXX27"/>
    <mergeCell ref="JXY27:JYB27"/>
    <mergeCell ref="JYC27:JYF27"/>
    <mergeCell ref="JWS27:JWV27"/>
    <mergeCell ref="JWW27:JWZ27"/>
    <mergeCell ref="JXA27:JXD27"/>
    <mergeCell ref="JXE27:JXH27"/>
    <mergeCell ref="JXI27:JXL27"/>
    <mergeCell ref="JVY27:JWB27"/>
    <mergeCell ref="JWC27:JWF27"/>
    <mergeCell ref="JWG27:JWJ27"/>
    <mergeCell ref="JWK27:JWN27"/>
    <mergeCell ref="JWO27:JWR27"/>
    <mergeCell ref="JVE27:JVH27"/>
    <mergeCell ref="JVI27:JVL27"/>
    <mergeCell ref="JVM27:JVP27"/>
    <mergeCell ref="JVQ27:JVT27"/>
    <mergeCell ref="JVU27:JVX27"/>
    <mergeCell ref="KFE27:KFH27"/>
    <mergeCell ref="KFI27:KFL27"/>
    <mergeCell ref="KFM27:KFP27"/>
    <mergeCell ref="KFQ27:KFT27"/>
    <mergeCell ref="KFU27:KFX27"/>
    <mergeCell ref="KEK27:KEN27"/>
    <mergeCell ref="KEO27:KER27"/>
    <mergeCell ref="KES27:KEV27"/>
    <mergeCell ref="KEW27:KEZ27"/>
    <mergeCell ref="KFA27:KFD27"/>
    <mergeCell ref="KDQ27:KDT27"/>
    <mergeCell ref="KDU27:KDX27"/>
    <mergeCell ref="KDY27:KEB27"/>
    <mergeCell ref="KEC27:KEF27"/>
    <mergeCell ref="KEG27:KEJ27"/>
    <mergeCell ref="KCW27:KCZ27"/>
    <mergeCell ref="KDA27:KDD27"/>
    <mergeCell ref="KDE27:KDH27"/>
    <mergeCell ref="KDI27:KDL27"/>
    <mergeCell ref="KDM27:KDP27"/>
    <mergeCell ref="KCC27:KCF27"/>
    <mergeCell ref="KCG27:KCJ27"/>
    <mergeCell ref="KCK27:KCN27"/>
    <mergeCell ref="KCO27:KCR27"/>
    <mergeCell ref="KCS27:KCV27"/>
    <mergeCell ref="KBI27:KBL27"/>
    <mergeCell ref="KBM27:KBP27"/>
    <mergeCell ref="KBQ27:KBT27"/>
    <mergeCell ref="KBU27:KBX27"/>
    <mergeCell ref="KBY27:KCB27"/>
    <mergeCell ref="KAO27:KAR27"/>
    <mergeCell ref="KAS27:KAV27"/>
    <mergeCell ref="KAW27:KAZ27"/>
    <mergeCell ref="KBA27:KBD27"/>
    <mergeCell ref="KBE27:KBH27"/>
    <mergeCell ref="KKO27:KKR27"/>
    <mergeCell ref="KKS27:KKV27"/>
    <mergeCell ref="KKW27:KKZ27"/>
    <mergeCell ref="KLA27:KLD27"/>
    <mergeCell ref="KLE27:KLH27"/>
    <mergeCell ref="KJU27:KJX27"/>
    <mergeCell ref="KJY27:KKB27"/>
    <mergeCell ref="KKC27:KKF27"/>
    <mergeCell ref="KKG27:KKJ27"/>
    <mergeCell ref="KKK27:KKN27"/>
    <mergeCell ref="KJA27:KJD27"/>
    <mergeCell ref="KJE27:KJH27"/>
    <mergeCell ref="KJI27:KJL27"/>
    <mergeCell ref="KJM27:KJP27"/>
    <mergeCell ref="KJQ27:KJT27"/>
    <mergeCell ref="KIG27:KIJ27"/>
    <mergeCell ref="KIK27:KIN27"/>
    <mergeCell ref="KIO27:KIR27"/>
    <mergeCell ref="KIS27:KIV27"/>
    <mergeCell ref="KIW27:KIZ27"/>
    <mergeCell ref="KHM27:KHP27"/>
    <mergeCell ref="KHQ27:KHT27"/>
    <mergeCell ref="KHU27:KHX27"/>
    <mergeCell ref="KHY27:KIB27"/>
    <mergeCell ref="KIC27:KIF27"/>
    <mergeCell ref="KGS27:KGV27"/>
    <mergeCell ref="KGW27:KGZ27"/>
    <mergeCell ref="KHA27:KHD27"/>
    <mergeCell ref="KHE27:KHH27"/>
    <mergeCell ref="KHI27:KHL27"/>
    <mergeCell ref="KFY27:KGB27"/>
    <mergeCell ref="KGC27:KGF27"/>
    <mergeCell ref="KGG27:KGJ27"/>
    <mergeCell ref="KGK27:KGN27"/>
    <mergeCell ref="KGO27:KGR27"/>
    <mergeCell ref="KPY27:KQB27"/>
    <mergeCell ref="KQC27:KQF27"/>
    <mergeCell ref="KQG27:KQJ27"/>
    <mergeCell ref="KQK27:KQN27"/>
    <mergeCell ref="KQO27:KQR27"/>
    <mergeCell ref="KPE27:KPH27"/>
    <mergeCell ref="KPI27:KPL27"/>
    <mergeCell ref="KPM27:KPP27"/>
    <mergeCell ref="KPQ27:KPT27"/>
    <mergeCell ref="KPU27:KPX27"/>
    <mergeCell ref="KOK27:KON27"/>
    <mergeCell ref="KOO27:KOR27"/>
    <mergeCell ref="KOS27:KOV27"/>
    <mergeCell ref="KOW27:KOZ27"/>
    <mergeCell ref="KPA27:KPD27"/>
    <mergeCell ref="KNQ27:KNT27"/>
    <mergeCell ref="KNU27:KNX27"/>
    <mergeCell ref="KNY27:KOB27"/>
    <mergeCell ref="KOC27:KOF27"/>
    <mergeCell ref="KOG27:KOJ27"/>
    <mergeCell ref="KMW27:KMZ27"/>
    <mergeCell ref="KNA27:KND27"/>
    <mergeCell ref="KNE27:KNH27"/>
    <mergeCell ref="KNI27:KNL27"/>
    <mergeCell ref="KNM27:KNP27"/>
    <mergeCell ref="KMC27:KMF27"/>
    <mergeCell ref="KMG27:KMJ27"/>
    <mergeCell ref="KMK27:KMN27"/>
    <mergeCell ref="KMO27:KMR27"/>
    <mergeCell ref="KMS27:KMV27"/>
    <mergeCell ref="KLI27:KLL27"/>
    <mergeCell ref="KLM27:KLP27"/>
    <mergeCell ref="KLQ27:KLT27"/>
    <mergeCell ref="KLU27:KLX27"/>
    <mergeCell ref="KLY27:KMB27"/>
    <mergeCell ref="KVI27:KVL27"/>
    <mergeCell ref="KVM27:KVP27"/>
    <mergeCell ref="KVQ27:KVT27"/>
    <mergeCell ref="KVU27:KVX27"/>
    <mergeCell ref="KVY27:KWB27"/>
    <mergeCell ref="KUO27:KUR27"/>
    <mergeCell ref="KUS27:KUV27"/>
    <mergeCell ref="KUW27:KUZ27"/>
    <mergeCell ref="KVA27:KVD27"/>
    <mergeCell ref="KVE27:KVH27"/>
    <mergeCell ref="KTU27:KTX27"/>
    <mergeCell ref="KTY27:KUB27"/>
    <mergeCell ref="KUC27:KUF27"/>
    <mergeCell ref="KUG27:KUJ27"/>
    <mergeCell ref="KUK27:KUN27"/>
    <mergeCell ref="KTA27:KTD27"/>
    <mergeCell ref="KTE27:KTH27"/>
    <mergeCell ref="KTI27:KTL27"/>
    <mergeCell ref="KTM27:KTP27"/>
    <mergeCell ref="KTQ27:KTT27"/>
    <mergeCell ref="KSG27:KSJ27"/>
    <mergeCell ref="KSK27:KSN27"/>
    <mergeCell ref="KSO27:KSR27"/>
    <mergeCell ref="KSS27:KSV27"/>
    <mergeCell ref="KSW27:KSZ27"/>
    <mergeCell ref="KRM27:KRP27"/>
    <mergeCell ref="KRQ27:KRT27"/>
    <mergeCell ref="KRU27:KRX27"/>
    <mergeCell ref="KRY27:KSB27"/>
    <mergeCell ref="KSC27:KSF27"/>
    <mergeCell ref="KQS27:KQV27"/>
    <mergeCell ref="KQW27:KQZ27"/>
    <mergeCell ref="KRA27:KRD27"/>
    <mergeCell ref="KRE27:KRH27"/>
    <mergeCell ref="KRI27:KRL27"/>
    <mergeCell ref="LAS27:LAV27"/>
    <mergeCell ref="LAW27:LAZ27"/>
    <mergeCell ref="LBA27:LBD27"/>
    <mergeCell ref="LBE27:LBH27"/>
    <mergeCell ref="LBI27:LBL27"/>
    <mergeCell ref="KZY27:LAB27"/>
    <mergeCell ref="LAC27:LAF27"/>
    <mergeCell ref="LAG27:LAJ27"/>
    <mergeCell ref="LAK27:LAN27"/>
    <mergeCell ref="LAO27:LAR27"/>
    <mergeCell ref="KZE27:KZH27"/>
    <mergeCell ref="KZI27:KZL27"/>
    <mergeCell ref="KZM27:KZP27"/>
    <mergeCell ref="KZQ27:KZT27"/>
    <mergeCell ref="KZU27:KZX27"/>
    <mergeCell ref="KYK27:KYN27"/>
    <mergeCell ref="KYO27:KYR27"/>
    <mergeCell ref="KYS27:KYV27"/>
    <mergeCell ref="KYW27:KYZ27"/>
    <mergeCell ref="KZA27:KZD27"/>
    <mergeCell ref="KXQ27:KXT27"/>
    <mergeCell ref="KXU27:KXX27"/>
    <mergeCell ref="KXY27:KYB27"/>
    <mergeCell ref="KYC27:KYF27"/>
    <mergeCell ref="KYG27:KYJ27"/>
    <mergeCell ref="KWW27:KWZ27"/>
    <mergeCell ref="KXA27:KXD27"/>
    <mergeCell ref="KXE27:KXH27"/>
    <mergeCell ref="KXI27:KXL27"/>
    <mergeCell ref="KXM27:KXP27"/>
    <mergeCell ref="KWC27:KWF27"/>
    <mergeCell ref="KWG27:KWJ27"/>
    <mergeCell ref="KWK27:KWN27"/>
    <mergeCell ref="KWO27:KWR27"/>
    <mergeCell ref="KWS27:KWV27"/>
    <mergeCell ref="LGC27:LGF27"/>
    <mergeCell ref="LGG27:LGJ27"/>
    <mergeCell ref="LGK27:LGN27"/>
    <mergeCell ref="LGO27:LGR27"/>
    <mergeCell ref="LGS27:LGV27"/>
    <mergeCell ref="LFI27:LFL27"/>
    <mergeCell ref="LFM27:LFP27"/>
    <mergeCell ref="LFQ27:LFT27"/>
    <mergeCell ref="LFU27:LFX27"/>
    <mergeCell ref="LFY27:LGB27"/>
    <mergeCell ref="LEO27:LER27"/>
    <mergeCell ref="LES27:LEV27"/>
    <mergeCell ref="LEW27:LEZ27"/>
    <mergeCell ref="LFA27:LFD27"/>
    <mergeCell ref="LFE27:LFH27"/>
    <mergeCell ref="LDU27:LDX27"/>
    <mergeCell ref="LDY27:LEB27"/>
    <mergeCell ref="LEC27:LEF27"/>
    <mergeCell ref="LEG27:LEJ27"/>
    <mergeCell ref="LEK27:LEN27"/>
    <mergeCell ref="LDA27:LDD27"/>
    <mergeCell ref="LDE27:LDH27"/>
    <mergeCell ref="LDI27:LDL27"/>
    <mergeCell ref="LDM27:LDP27"/>
    <mergeCell ref="LDQ27:LDT27"/>
    <mergeCell ref="LCG27:LCJ27"/>
    <mergeCell ref="LCK27:LCN27"/>
    <mergeCell ref="LCO27:LCR27"/>
    <mergeCell ref="LCS27:LCV27"/>
    <mergeCell ref="LCW27:LCZ27"/>
    <mergeCell ref="LBM27:LBP27"/>
    <mergeCell ref="LBQ27:LBT27"/>
    <mergeCell ref="LBU27:LBX27"/>
    <mergeCell ref="LBY27:LCB27"/>
    <mergeCell ref="LCC27:LCF27"/>
    <mergeCell ref="LLM27:LLP27"/>
    <mergeCell ref="LLQ27:LLT27"/>
    <mergeCell ref="LLU27:LLX27"/>
    <mergeCell ref="LLY27:LMB27"/>
    <mergeCell ref="LMC27:LMF27"/>
    <mergeCell ref="LKS27:LKV27"/>
    <mergeCell ref="LKW27:LKZ27"/>
    <mergeCell ref="LLA27:LLD27"/>
    <mergeCell ref="LLE27:LLH27"/>
    <mergeCell ref="LLI27:LLL27"/>
    <mergeCell ref="LJY27:LKB27"/>
    <mergeCell ref="LKC27:LKF27"/>
    <mergeCell ref="LKG27:LKJ27"/>
    <mergeCell ref="LKK27:LKN27"/>
    <mergeCell ref="LKO27:LKR27"/>
    <mergeCell ref="LJE27:LJH27"/>
    <mergeCell ref="LJI27:LJL27"/>
    <mergeCell ref="LJM27:LJP27"/>
    <mergeCell ref="LJQ27:LJT27"/>
    <mergeCell ref="LJU27:LJX27"/>
    <mergeCell ref="LIK27:LIN27"/>
    <mergeCell ref="LIO27:LIR27"/>
    <mergeCell ref="LIS27:LIV27"/>
    <mergeCell ref="LIW27:LIZ27"/>
    <mergeCell ref="LJA27:LJD27"/>
    <mergeCell ref="LHQ27:LHT27"/>
    <mergeCell ref="LHU27:LHX27"/>
    <mergeCell ref="LHY27:LIB27"/>
    <mergeCell ref="LIC27:LIF27"/>
    <mergeCell ref="LIG27:LIJ27"/>
    <mergeCell ref="LGW27:LGZ27"/>
    <mergeCell ref="LHA27:LHD27"/>
    <mergeCell ref="LHE27:LHH27"/>
    <mergeCell ref="LHI27:LHL27"/>
    <mergeCell ref="LHM27:LHP27"/>
    <mergeCell ref="LQW27:LQZ27"/>
    <mergeCell ref="LRA27:LRD27"/>
    <mergeCell ref="LRE27:LRH27"/>
    <mergeCell ref="LRI27:LRL27"/>
    <mergeCell ref="LRM27:LRP27"/>
    <mergeCell ref="LQC27:LQF27"/>
    <mergeCell ref="LQG27:LQJ27"/>
    <mergeCell ref="LQK27:LQN27"/>
    <mergeCell ref="LQO27:LQR27"/>
    <mergeCell ref="LQS27:LQV27"/>
    <mergeCell ref="LPI27:LPL27"/>
    <mergeCell ref="LPM27:LPP27"/>
    <mergeCell ref="LPQ27:LPT27"/>
    <mergeCell ref="LPU27:LPX27"/>
    <mergeCell ref="LPY27:LQB27"/>
    <mergeCell ref="LOO27:LOR27"/>
    <mergeCell ref="LOS27:LOV27"/>
    <mergeCell ref="LOW27:LOZ27"/>
    <mergeCell ref="LPA27:LPD27"/>
    <mergeCell ref="LPE27:LPH27"/>
    <mergeCell ref="LNU27:LNX27"/>
    <mergeCell ref="LNY27:LOB27"/>
    <mergeCell ref="LOC27:LOF27"/>
    <mergeCell ref="LOG27:LOJ27"/>
    <mergeCell ref="LOK27:LON27"/>
    <mergeCell ref="LNA27:LND27"/>
    <mergeCell ref="LNE27:LNH27"/>
    <mergeCell ref="LNI27:LNL27"/>
    <mergeCell ref="LNM27:LNP27"/>
    <mergeCell ref="LNQ27:LNT27"/>
    <mergeCell ref="LMG27:LMJ27"/>
    <mergeCell ref="LMK27:LMN27"/>
    <mergeCell ref="LMO27:LMR27"/>
    <mergeCell ref="LMS27:LMV27"/>
    <mergeCell ref="LMW27:LMZ27"/>
    <mergeCell ref="LWG27:LWJ27"/>
    <mergeCell ref="LWK27:LWN27"/>
    <mergeCell ref="LWO27:LWR27"/>
    <mergeCell ref="LWS27:LWV27"/>
    <mergeCell ref="LWW27:LWZ27"/>
    <mergeCell ref="LVM27:LVP27"/>
    <mergeCell ref="LVQ27:LVT27"/>
    <mergeCell ref="LVU27:LVX27"/>
    <mergeCell ref="LVY27:LWB27"/>
    <mergeCell ref="LWC27:LWF27"/>
    <mergeCell ref="LUS27:LUV27"/>
    <mergeCell ref="LUW27:LUZ27"/>
    <mergeCell ref="LVA27:LVD27"/>
    <mergeCell ref="LVE27:LVH27"/>
    <mergeCell ref="LVI27:LVL27"/>
    <mergeCell ref="LTY27:LUB27"/>
    <mergeCell ref="LUC27:LUF27"/>
    <mergeCell ref="LUG27:LUJ27"/>
    <mergeCell ref="LUK27:LUN27"/>
    <mergeCell ref="LUO27:LUR27"/>
    <mergeCell ref="LTE27:LTH27"/>
    <mergeCell ref="LTI27:LTL27"/>
    <mergeCell ref="LTM27:LTP27"/>
    <mergeCell ref="LTQ27:LTT27"/>
    <mergeCell ref="LTU27:LTX27"/>
    <mergeCell ref="LSK27:LSN27"/>
    <mergeCell ref="LSO27:LSR27"/>
    <mergeCell ref="LSS27:LSV27"/>
    <mergeCell ref="LSW27:LSZ27"/>
    <mergeCell ref="LTA27:LTD27"/>
    <mergeCell ref="LRQ27:LRT27"/>
    <mergeCell ref="LRU27:LRX27"/>
    <mergeCell ref="LRY27:LSB27"/>
    <mergeCell ref="LSC27:LSF27"/>
    <mergeCell ref="LSG27:LSJ27"/>
    <mergeCell ref="MBQ27:MBT27"/>
    <mergeCell ref="MBU27:MBX27"/>
    <mergeCell ref="MBY27:MCB27"/>
    <mergeCell ref="MCC27:MCF27"/>
    <mergeCell ref="MCG27:MCJ27"/>
    <mergeCell ref="MAW27:MAZ27"/>
    <mergeCell ref="MBA27:MBD27"/>
    <mergeCell ref="MBE27:MBH27"/>
    <mergeCell ref="MBI27:MBL27"/>
    <mergeCell ref="MBM27:MBP27"/>
    <mergeCell ref="MAC27:MAF27"/>
    <mergeCell ref="MAG27:MAJ27"/>
    <mergeCell ref="MAK27:MAN27"/>
    <mergeCell ref="MAO27:MAR27"/>
    <mergeCell ref="MAS27:MAV27"/>
    <mergeCell ref="LZI27:LZL27"/>
    <mergeCell ref="LZM27:LZP27"/>
    <mergeCell ref="LZQ27:LZT27"/>
    <mergeCell ref="LZU27:LZX27"/>
    <mergeCell ref="LZY27:MAB27"/>
    <mergeCell ref="LYO27:LYR27"/>
    <mergeCell ref="LYS27:LYV27"/>
    <mergeCell ref="LYW27:LYZ27"/>
    <mergeCell ref="LZA27:LZD27"/>
    <mergeCell ref="LZE27:LZH27"/>
    <mergeCell ref="LXU27:LXX27"/>
    <mergeCell ref="LXY27:LYB27"/>
    <mergeCell ref="LYC27:LYF27"/>
    <mergeCell ref="LYG27:LYJ27"/>
    <mergeCell ref="LYK27:LYN27"/>
    <mergeCell ref="LXA27:LXD27"/>
    <mergeCell ref="LXE27:LXH27"/>
    <mergeCell ref="LXI27:LXL27"/>
    <mergeCell ref="LXM27:LXP27"/>
    <mergeCell ref="LXQ27:LXT27"/>
    <mergeCell ref="MHA27:MHD27"/>
    <mergeCell ref="MHE27:MHH27"/>
    <mergeCell ref="MHI27:MHL27"/>
    <mergeCell ref="MHM27:MHP27"/>
    <mergeCell ref="MHQ27:MHT27"/>
    <mergeCell ref="MGG27:MGJ27"/>
    <mergeCell ref="MGK27:MGN27"/>
    <mergeCell ref="MGO27:MGR27"/>
    <mergeCell ref="MGS27:MGV27"/>
    <mergeCell ref="MGW27:MGZ27"/>
    <mergeCell ref="MFM27:MFP27"/>
    <mergeCell ref="MFQ27:MFT27"/>
    <mergeCell ref="MFU27:MFX27"/>
    <mergeCell ref="MFY27:MGB27"/>
    <mergeCell ref="MGC27:MGF27"/>
    <mergeCell ref="MES27:MEV27"/>
    <mergeCell ref="MEW27:MEZ27"/>
    <mergeCell ref="MFA27:MFD27"/>
    <mergeCell ref="MFE27:MFH27"/>
    <mergeCell ref="MFI27:MFL27"/>
    <mergeCell ref="MDY27:MEB27"/>
    <mergeCell ref="MEC27:MEF27"/>
    <mergeCell ref="MEG27:MEJ27"/>
    <mergeCell ref="MEK27:MEN27"/>
    <mergeCell ref="MEO27:MER27"/>
    <mergeCell ref="MDE27:MDH27"/>
    <mergeCell ref="MDI27:MDL27"/>
    <mergeCell ref="MDM27:MDP27"/>
    <mergeCell ref="MDQ27:MDT27"/>
    <mergeCell ref="MDU27:MDX27"/>
    <mergeCell ref="MCK27:MCN27"/>
    <mergeCell ref="MCO27:MCR27"/>
    <mergeCell ref="MCS27:MCV27"/>
    <mergeCell ref="MCW27:MCZ27"/>
    <mergeCell ref="MDA27:MDD27"/>
    <mergeCell ref="MMK27:MMN27"/>
    <mergeCell ref="MMO27:MMR27"/>
    <mergeCell ref="MMS27:MMV27"/>
    <mergeCell ref="MMW27:MMZ27"/>
    <mergeCell ref="MNA27:MND27"/>
    <mergeCell ref="MLQ27:MLT27"/>
    <mergeCell ref="MLU27:MLX27"/>
    <mergeCell ref="MLY27:MMB27"/>
    <mergeCell ref="MMC27:MMF27"/>
    <mergeCell ref="MMG27:MMJ27"/>
    <mergeCell ref="MKW27:MKZ27"/>
    <mergeCell ref="MLA27:MLD27"/>
    <mergeCell ref="MLE27:MLH27"/>
    <mergeCell ref="MLI27:MLL27"/>
    <mergeCell ref="MLM27:MLP27"/>
    <mergeCell ref="MKC27:MKF27"/>
    <mergeCell ref="MKG27:MKJ27"/>
    <mergeCell ref="MKK27:MKN27"/>
    <mergeCell ref="MKO27:MKR27"/>
    <mergeCell ref="MKS27:MKV27"/>
    <mergeCell ref="MJI27:MJL27"/>
    <mergeCell ref="MJM27:MJP27"/>
    <mergeCell ref="MJQ27:MJT27"/>
    <mergeCell ref="MJU27:MJX27"/>
    <mergeCell ref="MJY27:MKB27"/>
    <mergeCell ref="MIO27:MIR27"/>
    <mergeCell ref="MIS27:MIV27"/>
    <mergeCell ref="MIW27:MIZ27"/>
    <mergeCell ref="MJA27:MJD27"/>
    <mergeCell ref="MJE27:MJH27"/>
    <mergeCell ref="MHU27:MHX27"/>
    <mergeCell ref="MHY27:MIB27"/>
    <mergeCell ref="MIC27:MIF27"/>
    <mergeCell ref="MIG27:MIJ27"/>
    <mergeCell ref="MIK27:MIN27"/>
    <mergeCell ref="MRU27:MRX27"/>
    <mergeCell ref="MRY27:MSB27"/>
    <mergeCell ref="MSC27:MSF27"/>
    <mergeCell ref="MSG27:MSJ27"/>
    <mergeCell ref="MSK27:MSN27"/>
    <mergeCell ref="MRA27:MRD27"/>
    <mergeCell ref="MRE27:MRH27"/>
    <mergeCell ref="MRI27:MRL27"/>
    <mergeCell ref="MRM27:MRP27"/>
    <mergeCell ref="MRQ27:MRT27"/>
    <mergeCell ref="MQG27:MQJ27"/>
    <mergeCell ref="MQK27:MQN27"/>
    <mergeCell ref="MQO27:MQR27"/>
    <mergeCell ref="MQS27:MQV27"/>
    <mergeCell ref="MQW27:MQZ27"/>
    <mergeCell ref="MPM27:MPP27"/>
    <mergeCell ref="MPQ27:MPT27"/>
    <mergeCell ref="MPU27:MPX27"/>
    <mergeCell ref="MPY27:MQB27"/>
    <mergeCell ref="MQC27:MQF27"/>
    <mergeCell ref="MOS27:MOV27"/>
    <mergeCell ref="MOW27:MOZ27"/>
    <mergeCell ref="MPA27:MPD27"/>
    <mergeCell ref="MPE27:MPH27"/>
    <mergeCell ref="MPI27:MPL27"/>
    <mergeCell ref="MNY27:MOB27"/>
    <mergeCell ref="MOC27:MOF27"/>
    <mergeCell ref="MOG27:MOJ27"/>
    <mergeCell ref="MOK27:MON27"/>
    <mergeCell ref="MOO27:MOR27"/>
    <mergeCell ref="MNE27:MNH27"/>
    <mergeCell ref="MNI27:MNL27"/>
    <mergeCell ref="MNM27:MNP27"/>
    <mergeCell ref="MNQ27:MNT27"/>
    <mergeCell ref="MNU27:MNX27"/>
    <mergeCell ref="MXE27:MXH27"/>
    <mergeCell ref="MXI27:MXL27"/>
    <mergeCell ref="MXM27:MXP27"/>
    <mergeCell ref="MXQ27:MXT27"/>
    <mergeCell ref="MXU27:MXX27"/>
    <mergeCell ref="MWK27:MWN27"/>
    <mergeCell ref="MWO27:MWR27"/>
    <mergeCell ref="MWS27:MWV27"/>
    <mergeCell ref="MWW27:MWZ27"/>
    <mergeCell ref="MXA27:MXD27"/>
    <mergeCell ref="MVQ27:MVT27"/>
    <mergeCell ref="MVU27:MVX27"/>
    <mergeCell ref="MVY27:MWB27"/>
    <mergeCell ref="MWC27:MWF27"/>
    <mergeCell ref="MWG27:MWJ27"/>
    <mergeCell ref="MUW27:MUZ27"/>
    <mergeCell ref="MVA27:MVD27"/>
    <mergeCell ref="MVE27:MVH27"/>
    <mergeCell ref="MVI27:MVL27"/>
    <mergeCell ref="MVM27:MVP27"/>
    <mergeCell ref="MUC27:MUF27"/>
    <mergeCell ref="MUG27:MUJ27"/>
    <mergeCell ref="MUK27:MUN27"/>
    <mergeCell ref="MUO27:MUR27"/>
    <mergeCell ref="MUS27:MUV27"/>
    <mergeCell ref="MTI27:MTL27"/>
    <mergeCell ref="MTM27:MTP27"/>
    <mergeCell ref="MTQ27:MTT27"/>
    <mergeCell ref="MTU27:MTX27"/>
    <mergeCell ref="MTY27:MUB27"/>
    <mergeCell ref="MSO27:MSR27"/>
    <mergeCell ref="MSS27:MSV27"/>
    <mergeCell ref="MSW27:MSZ27"/>
    <mergeCell ref="MTA27:MTD27"/>
    <mergeCell ref="MTE27:MTH27"/>
    <mergeCell ref="NCO27:NCR27"/>
    <mergeCell ref="NCS27:NCV27"/>
    <mergeCell ref="NCW27:NCZ27"/>
    <mergeCell ref="NDA27:NDD27"/>
    <mergeCell ref="NDE27:NDH27"/>
    <mergeCell ref="NBU27:NBX27"/>
    <mergeCell ref="NBY27:NCB27"/>
    <mergeCell ref="NCC27:NCF27"/>
    <mergeCell ref="NCG27:NCJ27"/>
    <mergeCell ref="NCK27:NCN27"/>
    <mergeCell ref="NBA27:NBD27"/>
    <mergeCell ref="NBE27:NBH27"/>
    <mergeCell ref="NBI27:NBL27"/>
    <mergeCell ref="NBM27:NBP27"/>
    <mergeCell ref="NBQ27:NBT27"/>
    <mergeCell ref="NAG27:NAJ27"/>
    <mergeCell ref="NAK27:NAN27"/>
    <mergeCell ref="NAO27:NAR27"/>
    <mergeCell ref="NAS27:NAV27"/>
    <mergeCell ref="NAW27:NAZ27"/>
    <mergeCell ref="MZM27:MZP27"/>
    <mergeCell ref="MZQ27:MZT27"/>
    <mergeCell ref="MZU27:MZX27"/>
    <mergeCell ref="MZY27:NAB27"/>
    <mergeCell ref="NAC27:NAF27"/>
    <mergeCell ref="MYS27:MYV27"/>
    <mergeCell ref="MYW27:MYZ27"/>
    <mergeCell ref="MZA27:MZD27"/>
    <mergeCell ref="MZE27:MZH27"/>
    <mergeCell ref="MZI27:MZL27"/>
    <mergeCell ref="MXY27:MYB27"/>
    <mergeCell ref="MYC27:MYF27"/>
    <mergeCell ref="MYG27:MYJ27"/>
    <mergeCell ref="MYK27:MYN27"/>
    <mergeCell ref="MYO27:MYR27"/>
    <mergeCell ref="NHY27:NIB27"/>
    <mergeCell ref="NIC27:NIF27"/>
    <mergeCell ref="NIG27:NIJ27"/>
    <mergeCell ref="NIK27:NIN27"/>
    <mergeCell ref="NIO27:NIR27"/>
    <mergeCell ref="NHE27:NHH27"/>
    <mergeCell ref="NHI27:NHL27"/>
    <mergeCell ref="NHM27:NHP27"/>
    <mergeCell ref="NHQ27:NHT27"/>
    <mergeCell ref="NHU27:NHX27"/>
    <mergeCell ref="NGK27:NGN27"/>
    <mergeCell ref="NGO27:NGR27"/>
    <mergeCell ref="NGS27:NGV27"/>
    <mergeCell ref="NGW27:NGZ27"/>
    <mergeCell ref="NHA27:NHD27"/>
    <mergeCell ref="NFQ27:NFT27"/>
    <mergeCell ref="NFU27:NFX27"/>
    <mergeCell ref="NFY27:NGB27"/>
    <mergeCell ref="NGC27:NGF27"/>
    <mergeCell ref="NGG27:NGJ27"/>
    <mergeCell ref="NEW27:NEZ27"/>
    <mergeCell ref="NFA27:NFD27"/>
    <mergeCell ref="NFE27:NFH27"/>
    <mergeCell ref="NFI27:NFL27"/>
    <mergeCell ref="NFM27:NFP27"/>
    <mergeCell ref="NEC27:NEF27"/>
    <mergeCell ref="NEG27:NEJ27"/>
    <mergeCell ref="NEK27:NEN27"/>
    <mergeCell ref="NEO27:NER27"/>
    <mergeCell ref="NES27:NEV27"/>
    <mergeCell ref="NDI27:NDL27"/>
    <mergeCell ref="NDM27:NDP27"/>
    <mergeCell ref="NDQ27:NDT27"/>
    <mergeCell ref="NDU27:NDX27"/>
    <mergeCell ref="NDY27:NEB27"/>
    <mergeCell ref="NNI27:NNL27"/>
    <mergeCell ref="NNM27:NNP27"/>
    <mergeCell ref="NNQ27:NNT27"/>
    <mergeCell ref="NNU27:NNX27"/>
    <mergeCell ref="NNY27:NOB27"/>
    <mergeCell ref="NMO27:NMR27"/>
    <mergeCell ref="NMS27:NMV27"/>
    <mergeCell ref="NMW27:NMZ27"/>
    <mergeCell ref="NNA27:NND27"/>
    <mergeCell ref="NNE27:NNH27"/>
    <mergeCell ref="NLU27:NLX27"/>
    <mergeCell ref="NLY27:NMB27"/>
    <mergeCell ref="NMC27:NMF27"/>
    <mergeCell ref="NMG27:NMJ27"/>
    <mergeCell ref="NMK27:NMN27"/>
    <mergeCell ref="NLA27:NLD27"/>
    <mergeCell ref="NLE27:NLH27"/>
    <mergeCell ref="NLI27:NLL27"/>
    <mergeCell ref="NLM27:NLP27"/>
    <mergeCell ref="NLQ27:NLT27"/>
    <mergeCell ref="NKG27:NKJ27"/>
    <mergeCell ref="NKK27:NKN27"/>
    <mergeCell ref="NKO27:NKR27"/>
    <mergeCell ref="NKS27:NKV27"/>
    <mergeCell ref="NKW27:NKZ27"/>
    <mergeCell ref="NJM27:NJP27"/>
    <mergeCell ref="NJQ27:NJT27"/>
    <mergeCell ref="NJU27:NJX27"/>
    <mergeCell ref="NJY27:NKB27"/>
    <mergeCell ref="NKC27:NKF27"/>
    <mergeCell ref="NIS27:NIV27"/>
    <mergeCell ref="NIW27:NIZ27"/>
    <mergeCell ref="NJA27:NJD27"/>
    <mergeCell ref="NJE27:NJH27"/>
    <mergeCell ref="NJI27:NJL27"/>
    <mergeCell ref="NSS27:NSV27"/>
    <mergeCell ref="NSW27:NSZ27"/>
    <mergeCell ref="NTA27:NTD27"/>
    <mergeCell ref="NTE27:NTH27"/>
    <mergeCell ref="NTI27:NTL27"/>
    <mergeCell ref="NRY27:NSB27"/>
    <mergeCell ref="NSC27:NSF27"/>
    <mergeCell ref="NSG27:NSJ27"/>
    <mergeCell ref="NSK27:NSN27"/>
    <mergeCell ref="NSO27:NSR27"/>
    <mergeCell ref="NRE27:NRH27"/>
    <mergeCell ref="NRI27:NRL27"/>
    <mergeCell ref="NRM27:NRP27"/>
    <mergeCell ref="NRQ27:NRT27"/>
    <mergeCell ref="NRU27:NRX27"/>
    <mergeCell ref="NQK27:NQN27"/>
    <mergeCell ref="NQO27:NQR27"/>
    <mergeCell ref="NQS27:NQV27"/>
    <mergeCell ref="NQW27:NQZ27"/>
    <mergeCell ref="NRA27:NRD27"/>
    <mergeCell ref="NPQ27:NPT27"/>
    <mergeCell ref="NPU27:NPX27"/>
    <mergeCell ref="NPY27:NQB27"/>
    <mergeCell ref="NQC27:NQF27"/>
    <mergeCell ref="NQG27:NQJ27"/>
    <mergeCell ref="NOW27:NOZ27"/>
    <mergeCell ref="NPA27:NPD27"/>
    <mergeCell ref="NPE27:NPH27"/>
    <mergeCell ref="NPI27:NPL27"/>
    <mergeCell ref="NPM27:NPP27"/>
    <mergeCell ref="NOC27:NOF27"/>
    <mergeCell ref="NOG27:NOJ27"/>
    <mergeCell ref="NOK27:NON27"/>
    <mergeCell ref="NOO27:NOR27"/>
    <mergeCell ref="NOS27:NOV27"/>
    <mergeCell ref="NYC27:NYF27"/>
    <mergeCell ref="NYG27:NYJ27"/>
    <mergeCell ref="NYK27:NYN27"/>
    <mergeCell ref="NYO27:NYR27"/>
    <mergeCell ref="NYS27:NYV27"/>
    <mergeCell ref="NXI27:NXL27"/>
    <mergeCell ref="NXM27:NXP27"/>
    <mergeCell ref="NXQ27:NXT27"/>
    <mergeCell ref="NXU27:NXX27"/>
    <mergeCell ref="NXY27:NYB27"/>
    <mergeCell ref="NWO27:NWR27"/>
    <mergeCell ref="NWS27:NWV27"/>
    <mergeCell ref="NWW27:NWZ27"/>
    <mergeCell ref="NXA27:NXD27"/>
    <mergeCell ref="NXE27:NXH27"/>
    <mergeCell ref="NVU27:NVX27"/>
    <mergeCell ref="NVY27:NWB27"/>
    <mergeCell ref="NWC27:NWF27"/>
    <mergeCell ref="NWG27:NWJ27"/>
    <mergeCell ref="NWK27:NWN27"/>
    <mergeCell ref="NVA27:NVD27"/>
    <mergeCell ref="NVE27:NVH27"/>
    <mergeCell ref="NVI27:NVL27"/>
    <mergeCell ref="NVM27:NVP27"/>
    <mergeCell ref="NVQ27:NVT27"/>
    <mergeCell ref="NUG27:NUJ27"/>
    <mergeCell ref="NUK27:NUN27"/>
    <mergeCell ref="NUO27:NUR27"/>
    <mergeCell ref="NUS27:NUV27"/>
    <mergeCell ref="NUW27:NUZ27"/>
    <mergeCell ref="NTM27:NTP27"/>
    <mergeCell ref="NTQ27:NTT27"/>
    <mergeCell ref="NTU27:NTX27"/>
    <mergeCell ref="NTY27:NUB27"/>
    <mergeCell ref="NUC27:NUF27"/>
    <mergeCell ref="ODM27:ODP27"/>
    <mergeCell ref="ODQ27:ODT27"/>
    <mergeCell ref="ODU27:ODX27"/>
    <mergeCell ref="ODY27:OEB27"/>
    <mergeCell ref="OEC27:OEF27"/>
    <mergeCell ref="OCS27:OCV27"/>
    <mergeCell ref="OCW27:OCZ27"/>
    <mergeCell ref="ODA27:ODD27"/>
    <mergeCell ref="ODE27:ODH27"/>
    <mergeCell ref="ODI27:ODL27"/>
    <mergeCell ref="OBY27:OCB27"/>
    <mergeCell ref="OCC27:OCF27"/>
    <mergeCell ref="OCG27:OCJ27"/>
    <mergeCell ref="OCK27:OCN27"/>
    <mergeCell ref="OCO27:OCR27"/>
    <mergeCell ref="OBE27:OBH27"/>
    <mergeCell ref="OBI27:OBL27"/>
    <mergeCell ref="OBM27:OBP27"/>
    <mergeCell ref="OBQ27:OBT27"/>
    <mergeCell ref="OBU27:OBX27"/>
    <mergeCell ref="OAK27:OAN27"/>
    <mergeCell ref="OAO27:OAR27"/>
    <mergeCell ref="OAS27:OAV27"/>
    <mergeCell ref="OAW27:OAZ27"/>
    <mergeCell ref="OBA27:OBD27"/>
    <mergeCell ref="NZQ27:NZT27"/>
    <mergeCell ref="NZU27:NZX27"/>
    <mergeCell ref="NZY27:OAB27"/>
    <mergeCell ref="OAC27:OAF27"/>
    <mergeCell ref="OAG27:OAJ27"/>
    <mergeCell ref="NYW27:NYZ27"/>
    <mergeCell ref="NZA27:NZD27"/>
    <mergeCell ref="NZE27:NZH27"/>
    <mergeCell ref="NZI27:NZL27"/>
    <mergeCell ref="NZM27:NZP27"/>
    <mergeCell ref="OIW27:OIZ27"/>
    <mergeCell ref="OJA27:OJD27"/>
    <mergeCell ref="OJE27:OJH27"/>
    <mergeCell ref="OJI27:OJL27"/>
    <mergeCell ref="OJM27:OJP27"/>
    <mergeCell ref="OIC27:OIF27"/>
    <mergeCell ref="OIG27:OIJ27"/>
    <mergeCell ref="OIK27:OIN27"/>
    <mergeCell ref="OIO27:OIR27"/>
    <mergeCell ref="OIS27:OIV27"/>
    <mergeCell ref="OHI27:OHL27"/>
    <mergeCell ref="OHM27:OHP27"/>
    <mergeCell ref="OHQ27:OHT27"/>
    <mergeCell ref="OHU27:OHX27"/>
    <mergeCell ref="OHY27:OIB27"/>
    <mergeCell ref="OGO27:OGR27"/>
    <mergeCell ref="OGS27:OGV27"/>
    <mergeCell ref="OGW27:OGZ27"/>
    <mergeCell ref="OHA27:OHD27"/>
    <mergeCell ref="OHE27:OHH27"/>
    <mergeCell ref="OFU27:OFX27"/>
    <mergeCell ref="OFY27:OGB27"/>
    <mergeCell ref="OGC27:OGF27"/>
    <mergeCell ref="OGG27:OGJ27"/>
    <mergeCell ref="OGK27:OGN27"/>
    <mergeCell ref="OFA27:OFD27"/>
    <mergeCell ref="OFE27:OFH27"/>
    <mergeCell ref="OFI27:OFL27"/>
    <mergeCell ref="OFM27:OFP27"/>
    <mergeCell ref="OFQ27:OFT27"/>
    <mergeCell ref="OEG27:OEJ27"/>
    <mergeCell ref="OEK27:OEN27"/>
    <mergeCell ref="OEO27:OER27"/>
    <mergeCell ref="OES27:OEV27"/>
    <mergeCell ref="OEW27:OEZ27"/>
    <mergeCell ref="OOG27:OOJ27"/>
    <mergeCell ref="OOK27:OON27"/>
    <mergeCell ref="OOO27:OOR27"/>
    <mergeCell ref="OOS27:OOV27"/>
    <mergeCell ref="OOW27:OOZ27"/>
    <mergeCell ref="ONM27:ONP27"/>
    <mergeCell ref="ONQ27:ONT27"/>
    <mergeCell ref="ONU27:ONX27"/>
    <mergeCell ref="ONY27:OOB27"/>
    <mergeCell ref="OOC27:OOF27"/>
    <mergeCell ref="OMS27:OMV27"/>
    <mergeCell ref="OMW27:OMZ27"/>
    <mergeCell ref="ONA27:OND27"/>
    <mergeCell ref="ONE27:ONH27"/>
    <mergeCell ref="ONI27:ONL27"/>
    <mergeCell ref="OLY27:OMB27"/>
    <mergeCell ref="OMC27:OMF27"/>
    <mergeCell ref="OMG27:OMJ27"/>
    <mergeCell ref="OMK27:OMN27"/>
    <mergeCell ref="OMO27:OMR27"/>
    <mergeCell ref="OLE27:OLH27"/>
    <mergeCell ref="OLI27:OLL27"/>
    <mergeCell ref="OLM27:OLP27"/>
    <mergeCell ref="OLQ27:OLT27"/>
    <mergeCell ref="OLU27:OLX27"/>
    <mergeCell ref="OKK27:OKN27"/>
    <mergeCell ref="OKO27:OKR27"/>
    <mergeCell ref="OKS27:OKV27"/>
    <mergeCell ref="OKW27:OKZ27"/>
    <mergeCell ref="OLA27:OLD27"/>
    <mergeCell ref="OJQ27:OJT27"/>
    <mergeCell ref="OJU27:OJX27"/>
    <mergeCell ref="OJY27:OKB27"/>
    <mergeCell ref="OKC27:OKF27"/>
    <mergeCell ref="OKG27:OKJ27"/>
    <mergeCell ref="OTQ27:OTT27"/>
    <mergeCell ref="OTU27:OTX27"/>
    <mergeCell ref="OTY27:OUB27"/>
    <mergeCell ref="OUC27:OUF27"/>
    <mergeCell ref="OUG27:OUJ27"/>
    <mergeCell ref="OSW27:OSZ27"/>
    <mergeCell ref="OTA27:OTD27"/>
    <mergeCell ref="OTE27:OTH27"/>
    <mergeCell ref="OTI27:OTL27"/>
    <mergeCell ref="OTM27:OTP27"/>
    <mergeCell ref="OSC27:OSF27"/>
    <mergeCell ref="OSG27:OSJ27"/>
    <mergeCell ref="OSK27:OSN27"/>
    <mergeCell ref="OSO27:OSR27"/>
    <mergeCell ref="OSS27:OSV27"/>
    <mergeCell ref="ORI27:ORL27"/>
    <mergeCell ref="ORM27:ORP27"/>
    <mergeCell ref="ORQ27:ORT27"/>
    <mergeCell ref="ORU27:ORX27"/>
    <mergeCell ref="ORY27:OSB27"/>
    <mergeCell ref="OQO27:OQR27"/>
    <mergeCell ref="OQS27:OQV27"/>
    <mergeCell ref="OQW27:OQZ27"/>
    <mergeCell ref="ORA27:ORD27"/>
    <mergeCell ref="ORE27:ORH27"/>
    <mergeCell ref="OPU27:OPX27"/>
    <mergeCell ref="OPY27:OQB27"/>
    <mergeCell ref="OQC27:OQF27"/>
    <mergeCell ref="OQG27:OQJ27"/>
    <mergeCell ref="OQK27:OQN27"/>
    <mergeCell ref="OPA27:OPD27"/>
    <mergeCell ref="OPE27:OPH27"/>
    <mergeCell ref="OPI27:OPL27"/>
    <mergeCell ref="OPM27:OPP27"/>
    <mergeCell ref="OPQ27:OPT27"/>
    <mergeCell ref="OZA27:OZD27"/>
    <mergeCell ref="OZE27:OZH27"/>
    <mergeCell ref="OZI27:OZL27"/>
    <mergeCell ref="OZM27:OZP27"/>
    <mergeCell ref="OZQ27:OZT27"/>
    <mergeCell ref="OYG27:OYJ27"/>
    <mergeCell ref="OYK27:OYN27"/>
    <mergeCell ref="OYO27:OYR27"/>
    <mergeCell ref="OYS27:OYV27"/>
    <mergeCell ref="OYW27:OYZ27"/>
    <mergeCell ref="OXM27:OXP27"/>
    <mergeCell ref="OXQ27:OXT27"/>
    <mergeCell ref="OXU27:OXX27"/>
    <mergeCell ref="OXY27:OYB27"/>
    <mergeCell ref="OYC27:OYF27"/>
    <mergeCell ref="OWS27:OWV27"/>
    <mergeCell ref="OWW27:OWZ27"/>
    <mergeCell ref="OXA27:OXD27"/>
    <mergeCell ref="OXE27:OXH27"/>
    <mergeCell ref="OXI27:OXL27"/>
    <mergeCell ref="OVY27:OWB27"/>
    <mergeCell ref="OWC27:OWF27"/>
    <mergeCell ref="OWG27:OWJ27"/>
    <mergeCell ref="OWK27:OWN27"/>
    <mergeCell ref="OWO27:OWR27"/>
    <mergeCell ref="OVE27:OVH27"/>
    <mergeCell ref="OVI27:OVL27"/>
    <mergeCell ref="OVM27:OVP27"/>
    <mergeCell ref="OVQ27:OVT27"/>
    <mergeCell ref="OVU27:OVX27"/>
    <mergeCell ref="OUK27:OUN27"/>
    <mergeCell ref="OUO27:OUR27"/>
    <mergeCell ref="OUS27:OUV27"/>
    <mergeCell ref="OUW27:OUZ27"/>
    <mergeCell ref="OVA27:OVD27"/>
    <mergeCell ref="PEK27:PEN27"/>
    <mergeCell ref="PEO27:PER27"/>
    <mergeCell ref="PES27:PEV27"/>
    <mergeCell ref="PEW27:PEZ27"/>
    <mergeCell ref="PFA27:PFD27"/>
    <mergeCell ref="PDQ27:PDT27"/>
    <mergeCell ref="PDU27:PDX27"/>
    <mergeCell ref="PDY27:PEB27"/>
    <mergeCell ref="PEC27:PEF27"/>
    <mergeCell ref="PEG27:PEJ27"/>
    <mergeCell ref="PCW27:PCZ27"/>
    <mergeCell ref="PDA27:PDD27"/>
    <mergeCell ref="PDE27:PDH27"/>
    <mergeCell ref="PDI27:PDL27"/>
    <mergeCell ref="PDM27:PDP27"/>
    <mergeCell ref="PCC27:PCF27"/>
    <mergeCell ref="PCG27:PCJ27"/>
    <mergeCell ref="PCK27:PCN27"/>
    <mergeCell ref="PCO27:PCR27"/>
    <mergeCell ref="PCS27:PCV27"/>
    <mergeCell ref="PBI27:PBL27"/>
    <mergeCell ref="PBM27:PBP27"/>
    <mergeCell ref="PBQ27:PBT27"/>
    <mergeCell ref="PBU27:PBX27"/>
    <mergeCell ref="PBY27:PCB27"/>
    <mergeCell ref="PAO27:PAR27"/>
    <mergeCell ref="PAS27:PAV27"/>
    <mergeCell ref="PAW27:PAZ27"/>
    <mergeCell ref="PBA27:PBD27"/>
    <mergeCell ref="PBE27:PBH27"/>
    <mergeCell ref="OZU27:OZX27"/>
    <mergeCell ref="OZY27:PAB27"/>
    <mergeCell ref="PAC27:PAF27"/>
    <mergeCell ref="PAG27:PAJ27"/>
    <mergeCell ref="PAK27:PAN27"/>
    <mergeCell ref="PJU27:PJX27"/>
    <mergeCell ref="PJY27:PKB27"/>
    <mergeCell ref="PKC27:PKF27"/>
    <mergeCell ref="PKG27:PKJ27"/>
    <mergeCell ref="PKK27:PKN27"/>
    <mergeCell ref="PJA27:PJD27"/>
    <mergeCell ref="PJE27:PJH27"/>
    <mergeCell ref="PJI27:PJL27"/>
    <mergeCell ref="PJM27:PJP27"/>
    <mergeCell ref="PJQ27:PJT27"/>
    <mergeCell ref="PIG27:PIJ27"/>
    <mergeCell ref="PIK27:PIN27"/>
    <mergeCell ref="PIO27:PIR27"/>
    <mergeCell ref="PIS27:PIV27"/>
    <mergeCell ref="PIW27:PIZ27"/>
    <mergeCell ref="PHM27:PHP27"/>
    <mergeCell ref="PHQ27:PHT27"/>
    <mergeCell ref="PHU27:PHX27"/>
    <mergeCell ref="PHY27:PIB27"/>
    <mergeCell ref="PIC27:PIF27"/>
    <mergeCell ref="PGS27:PGV27"/>
    <mergeCell ref="PGW27:PGZ27"/>
    <mergeCell ref="PHA27:PHD27"/>
    <mergeCell ref="PHE27:PHH27"/>
    <mergeCell ref="PHI27:PHL27"/>
    <mergeCell ref="PFY27:PGB27"/>
    <mergeCell ref="PGC27:PGF27"/>
    <mergeCell ref="PGG27:PGJ27"/>
    <mergeCell ref="PGK27:PGN27"/>
    <mergeCell ref="PGO27:PGR27"/>
    <mergeCell ref="PFE27:PFH27"/>
    <mergeCell ref="PFI27:PFL27"/>
    <mergeCell ref="PFM27:PFP27"/>
    <mergeCell ref="PFQ27:PFT27"/>
    <mergeCell ref="PFU27:PFX27"/>
    <mergeCell ref="PPE27:PPH27"/>
    <mergeCell ref="PPI27:PPL27"/>
    <mergeCell ref="PPM27:PPP27"/>
    <mergeCell ref="PPQ27:PPT27"/>
    <mergeCell ref="PPU27:PPX27"/>
    <mergeCell ref="POK27:PON27"/>
    <mergeCell ref="POO27:POR27"/>
    <mergeCell ref="POS27:POV27"/>
    <mergeCell ref="POW27:POZ27"/>
    <mergeCell ref="PPA27:PPD27"/>
    <mergeCell ref="PNQ27:PNT27"/>
    <mergeCell ref="PNU27:PNX27"/>
    <mergeCell ref="PNY27:POB27"/>
    <mergeCell ref="POC27:POF27"/>
    <mergeCell ref="POG27:POJ27"/>
    <mergeCell ref="PMW27:PMZ27"/>
    <mergeCell ref="PNA27:PND27"/>
    <mergeCell ref="PNE27:PNH27"/>
    <mergeCell ref="PNI27:PNL27"/>
    <mergeCell ref="PNM27:PNP27"/>
    <mergeCell ref="PMC27:PMF27"/>
    <mergeCell ref="PMG27:PMJ27"/>
    <mergeCell ref="PMK27:PMN27"/>
    <mergeCell ref="PMO27:PMR27"/>
    <mergeCell ref="PMS27:PMV27"/>
    <mergeCell ref="PLI27:PLL27"/>
    <mergeCell ref="PLM27:PLP27"/>
    <mergeCell ref="PLQ27:PLT27"/>
    <mergeCell ref="PLU27:PLX27"/>
    <mergeCell ref="PLY27:PMB27"/>
    <mergeCell ref="PKO27:PKR27"/>
    <mergeCell ref="PKS27:PKV27"/>
    <mergeCell ref="PKW27:PKZ27"/>
    <mergeCell ref="PLA27:PLD27"/>
    <mergeCell ref="PLE27:PLH27"/>
    <mergeCell ref="PUO27:PUR27"/>
    <mergeCell ref="PUS27:PUV27"/>
    <mergeCell ref="PUW27:PUZ27"/>
    <mergeCell ref="PVA27:PVD27"/>
    <mergeCell ref="PVE27:PVH27"/>
    <mergeCell ref="PTU27:PTX27"/>
    <mergeCell ref="PTY27:PUB27"/>
    <mergeCell ref="PUC27:PUF27"/>
    <mergeCell ref="PUG27:PUJ27"/>
    <mergeCell ref="PUK27:PUN27"/>
    <mergeCell ref="PTA27:PTD27"/>
    <mergeCell ref="PTE27:PTH27"/>
    <mergeCell ref="PTI27:PTL27"/>
    <mergeCell ref="PTM27:PTP27"/>
    <mergeCell ref="PTQ27:PTT27"/>
    <mergeCell ref="PSG27:PSJ27"/>
    <mergeCell ref="PSK27:PSN27"/>
    <mergeCell ref="PSO27:PSR27"/>
    <mergeCell ref="PSS27:PSV27"/>
    <mergeCell ref="PSW27:PSZ27"/>
    <mergeCell ref="PRM27:PRP27"/>
    <mergeCell ref="PRQ27:PRT27"/>
    <mergeCell ref="PRU27:PRX27"/>
    <mergeCell ref="PRY27:PSB27"/>
    <mergeCell ref="PSC27:PSF27"/>
    <mergeCell ref="PQS27:PQV27"/>
    <mergeCell ref="PQW27:PQZ27"/>
    <mergeCell ref="PRA27:PRD27"/>
    <mergeCell ref="PRE27:PRH27"/>
    <mergeCell ref="PRI27:PRL27"/>
    <mergeCell ref="PPY27:PQB27"/>
    <mergeCell ref="PQC27:PQF27"/>
    <mergeCell ref="PQG27:PQJ27"/>
    <mergeCell ref="PQK27:PQN27"/>
    <mergeCell ref="PQO27:PQR27"/>
    <mergeCell ref="PZY27:QAB27"/>
    <mergeCell ref="QAC27:QAF27"/>
    <mergeCell ref="QAG27:QAJ27"/>
    <mergeCell ref="QAK27:QAN27"/>
    <mergeCell ref="QAO27:QAR27"/>
    <mergeCell ref="PZE27:PZH27"/>
    <mergeCell ref="PZI27:PZL27"/>
    <mergeCell ref="PZM27:PZP27"/>
    <mergeCell ref="PZQ27:PZT27"/>
    <mergeCell ref="PZU27:PZX27"/>
    <mergeCell ref="PYK27:PYN27"/>
    <mergeCell ref="PYO27:PYR27"/>
    <mergeCell ref="PYS27:PYV27"/>
    <mergeCell ref="PYW27:PYZ27"/>
    <mergeCell ref="PZA27:PZD27"/>
    <mergeCell ref="PXQ27:PXT27"/>
    <mergeCell ref="PXU27:PXX27"/>
    <mergeCell ref="PXY27:PYB27"/>
    <mergeCell ref="PYC27:PYF27"/>
    <mergeCell ref="PYG27:PYJ27"/>
    <mergeCell ref="PWW27:PWZ27"/>
    <mergeCell ref="PXA27:PXD27"/>
    <mergeCell ref="PXE27:PXH27"/>
    <mergeCell ref="PXI27:PXL27"/>
    <mergeCell ref="PXM27:PXP27"/>
    <mergeCell ref="PWC27:PWF27"/>
    <mergeCell ref="PWG27:PWJ27"/>
    <mergeCell ref="PWK27:PWN27"/>
    <mergeCell ref="PWO27:PWR27"/>
    <mergeCell ref="PWS27:PWV27"/>
    <mergeCell ref="PVI27:PVL27"/>
    <mergeCell ref="PVM27:PVP27"/>
    <mergeCell ref="PVQ27:PVT27"/>
    <mergeCell ref="PVU27:PVX27"/>
    <mergeCell ref="PVY27:PWB27"/>
    <mergeCell ref="QFI27:QFL27"/>
    <mergeCell ref="QFM27:QFP27"/>
    <mergeCell ref="QFQ27:QFT27"/>
    <mergeCell ref="QFU27:QFX27"/>
    <mergeCell ref="QFY27:QGB27"/>
    <mergeCell ref="QEO27:QER27"/>
    <mergeCell ref="QES27:QEV27"/>
    <mergeCell ref="QEW27:QEZ27"/>
    <mergeCell ref="QFA27:QFD27"/>
    <mergeCell ref="QFE27:QFH27"/>
    <mergeCell ref="QDU27:QDX27"/>
    <mergeCell ref="QDY27:QEB27"/>
    <mergeCell ref="QEC27:QEF27"/>
    <mergeCell ref="QEG27:QEJ27"/>
    <mergeCell ref="QEK27:QEN27"/>
    <mergeCell ref="QDA27:QDD27"/>
    <mergeCell ref="QDE27:QDH27"/>
    <mergeCell ref="QDI27:QDL27"/>
    <mergeCell ref="QDM27:QDP27"/>
    <mergeCell ref="QDQ27:QDT27"/>
    <mergeCell ref="QCG27:QCJ27"/>
    <mergeCell ref="QCK27:QCN27"/>
    <mergeCell ref="QCO27:QCR27"/>
    <mergeCell ref="QCS27:QCV27"/>
    <mergeCell ref="QCW27:QCZ27"/>
    <mergeCell ref="QBM27:QBP27"/>
    <mergeCell ref="QBQ27:QBT27"/>
    <mergeCell ref="QBU27:QBX27"/>
    <mergeCell ref="QBY27:QCB27"/>
    <mergeCell ref="QCC27:QCF27"/>
    <mergeCell ref="QAS27:QAV27"/>
    <mergeCell ref="QAW27:QAZ27"/>
    <mergeCell ref="QBA27:QBD27"/>
    <mergeCell ref="QBE27:QBH27"/>
    <mergeCell ref="QBI27:QBL27"/>
    <mergeCell ref="QKS27:QKV27"/>
    <mergeCell ref="QKW27:QKZ27"/>
    <mergeCell ref="QLA27:QLD27"/>
    <mergeCell ref="QLE27:QLH27"/>
    <mergeCell ref="QLI27:QLL27"/>
    <mergeCell ref="QJY27:QKB27"/>
    <mergeCell ref="QKC27:QKF27"/>
    <mergeCell ref="QKG27:QKJ27"/>
    <mergeCell ref="QKK27:QKN27"/>
    <mergeCell ref="QKO27:QKR27"/>
    <mergeCell ref="QJE27:QJH27"/>
    <mergeCell ref="QJI27:QJL27"/>
    <mergeCell ref="QJM27:QJP27"/>
    <mergeCell ref="QJQ27:QJT27"/>
    <mergeCell ref="QJU27:QJX27"/>
    <mergeCell ref="QIK27:QIN27"/>
    <mergeCell ref="QIO27:QIR27"/>
    <mergeCell ref="QIS27:QIV27"/>
    <mergeCell ref="QIW27:QIZ27"/>
    <mergeCell ref="QJA27:QJD27"/>
    <mergeCell ref="QHQ27:QHT27"/>
    <mergeCell ref="QHU27:QHX27"/>
    <mergeCell ref="QHY27:QIB27"/>
    <mergeCell ref="QIC27:QIF27"/>
    <mergeCell ref="QIG27:QIJ27"/>
    <mergeCell ref="QGW27:QGZ27"/>
    <mergeCell ref="QHA27:QHD27"/>
    <mergeCell ref="QHE27:QHH27"/>
    <mergeCell ref="QHI27:QHL27"/>
    <mergeCell ref="QHM27:QHP27"/>
    <mergeCell ref="QGC27:QGF27"/>
    <mergeCell ref="QGG27:QGJ27"/>
    <mergeCell ref="QGK27:QGN27"/>
    <mergeCell ref="QGO27:QGR27"/>
    <mergeCell ref="QGS27:QGV27"/>
    <mergeCell ref="QQC27:QQF27"/>
    <mergeCell ref="QQG27:QQJ27"/>
    <mergeCell ref="QQK27:QQN27"/>
    <mergeCell ref="QQO27:QQR27"/>
    <mergeCell ref="QQS27:QQV27"/>
    <mergeCell ref="QPI27:QPL27"/>
    <mergeCell ref="QPM27:QPP27"/>
    <mergeCell ref="QPQ27:QPT27"/>
    <mergeCell ref="QPU27:QPX27"/>
    <mergeCell ref="QPY27:QQB27"/>
    <mergeCell ref="QOO27:QOR27"/>
    <mergeCell ref="QOS27:QOV27"/>
    <mergeCell ref="QOW27:QOZ27"/>
    <mergeCell ref="QPA27:QPD27"/>
    <mergeCell ref="QPE27:QPH27"/>
    <mergeCell ref="QNU27:QNX27"/>
    <mergeCell ref="QNY27:QOB27"/>
    <mergeCell ref="QOC27:QOF27"/>
    <mergeCell ref="QOG27:QOJ27"/>
    <mergeCell ref="QOK27:QON27"/>
    <mergeCell ref="QNA27:QND27"/>
    <mergeCell ref="QNE27:QNH27"/>
    <mergeCell ref="QNI27:QNL27"/>
    <mergeCell ref="QNM27:QNP27"/>
    <mergeCell ref="QNQ27:QNT27"/>
    <mergeCell ref="QMG27:QMJ27"/>
    <mergeCell ref="QMK27:QMN27"/>
    <mergeCell ref="QMO27:QMR27"/>
    <mergeCell ref="QMS27:QMV27"/>
    <mergeCell ref="QMW27:QMZ27"/>
    <mergeCell ref="QLM27:QLP27"/>
    <mergeCell ref="QLQ27:QLT27"/>
    <mergeCell ref="QLU27:QLX27"/>
    <mergeCell ref="QLY27:QMB27"/>
    <mergeCell ref="QMC27:QMF27"/>
    <mergeCell ref="QVM27:QVP27"/>
    <mergeCell ref="QVQ27:QVT27"/>
    <mergeCell ref="QVU27:QVX27"/>
    <mergeCell ref="QVY27:QWB27"/>
    <mergeCell ref="QWC27:QWF27"/>
    <mergeCell ref="QUS27:QUV27"/>
    <mergeCell ref="QUW27:QUZ27"/>
    <mergeCell ref="QVA27:QVD27"/>
    <mergeCell ref="QVE27:QVH27"/>
    <mergeCell ref="QVI27:QVL27"/>
    <mergeCell ref="QTY27:QUB27"/>
    <mergeCell ref="QUC27:QUF27"/>
    <mergeCell ref="QUG27:QUJ27"/>
    <mergeCell ref="QUK27:QUN27"/>
    <mergeCell ref="QUO27:QUR27"/>
    <mergeCell ref="QTE27:QTH27"/>
    <mergeCell ref="QTI27:QTL27"/>
    <mergeCell ref="QTM27:QTP27"/>
    <mergeCell ref="QTQ27:QTT27"/>
    <mergeCell ref="QTU27:QTX27"/>
    <mergeCell ref="QSK27:QSN27"/>
    <mergeCell ref="QSO27:QSR27"/>
    <mergeCell ref="QSS27:QSV27"/>
    <mergeCell ref="QSW27:QSZ27"/>
    <mergeCell ref="QTA27:QTD27"/>
    <mergeCell ref="QRQ27:QRT27"/>
    <mergeCell ref="QRU27:QRX27"/>
    <mergeCell ref="QRY27:QSB27"/>
    <mergeCell ref="QSC27:QSF27"/>
    <mergeCell ref="QSG27:QSJ27"/>
    <mergeCell ref="QQW27:QQZ27"/>
    <mergeCell ref="QRA27:QRD27"/>
    <mergeCell ref="QRE27:QRH27"/>
    <mergeCell ref="QRI27:QRL27"/>
    <mergeCell ref="QRM27:QRP27"/>
    <mergeCell ref="RAW27:RAZ27"/>
    <mergeCell ref="RBA27:RBD27"/>
    <mergeCell ref="RBE27:RBH27"/>
    <mergeCell ref="RBI27:RBL27"/>
    <mergeCell ref="RBM27:RBP27"/>
    <mergeCell ref="RAC27:RAF27"/>
    <mergeCell ref="RAG27:RAJ27"/>
    <mergeCell ref="RAK27:RAN27"/>
    <mergeCell ref="RAO27:RAR27"/>
    <mergeCell ref="RAS27:RAV27"/>
    <mergeCell ref="QZI27:QZL27"/>
    <mergeCell ref="QZM27:QZP27"/>
    <mergeCell ref="QZQ27:QZT27"/>
    <mergeCell ref="QZU27:QZX27"/>
    <mergeCell ref="QZY27:RAB27"/>
    <mergeCell ref="QYO27:QYR27"/>
    <mergeCell ref="QYS27:QYV27"/>
    <mergeCell ref="QYW27:QYZ27"/>
    <mergeCell ref="QZA27:QZD27"/>
    <mergeCell ref="QZE27:QZH27"/>
    <mergeCell ref="QXU27:QXX27"/>
    <mergeCell ref="QXY27:QYB27"/>
    <mergeCell ref="QYC27:QYF27"/>
    <mergeCell ref="QYG27:QYJ27"/>
    <mergeCell ref="QYK27:QYN27"/>
    <mergeCell ref="QXA27:QXD27"/>
    <mergeCell ref="QXE27:QXH27"/>
    <mergeCell ref="QXI27:QXL27"/>
    <mergeCell ref="QXM27:QXP27"/>
    <mergeCell ref="QXQ27:QXT27"/>
    <mergeCell ref="QWG27:QWJ27"/>
    <mergeCell ref="QWK27:QWN27"/>
    <mergeCell ref="QWO27:QWR27"/>
    <mergeCell ref="QWS27:QWV27"/>
    <mergeCell ref="QWW27:QWZ27"/>
    <mergeCell ref="RGG27:RGJ27"/>
    <mergeCell ref="RGK27:RGN27"/>
    <mergeCell ref="RGO27:RGR27"/>
    <mergeCell ref="RGS27:RGV27"/>
    <mergeCell ref="RGW27:RGZ27"/>
    <mergeCell ref="RFM27:RFP27"/>
    <mergeCell ref="RFQ27:RFT27"/>
    <mergeCell ref="RFU27:RFX27"/>
    <mergeCell ref="RFY27:RGB27"/>
    <mergeCell ref="RGC27:RGF27"/>
    <mergeCell ref="RES27:REV27"/>
    <mergeCell ref="REW27:REZ27"/>
    <mergeCell ref="RFA27:RFD27"/>
    <mergeCell ref="RFE27:RFH27"/>
    <mergeCell ref="RFI27:RFL27"/>
    <mergeCell ref="RDY27:REB27"/>
    <mergeCell ref="REC27:REF27"/>
    <mergeCell ref="REG27:REJ27"/>
    <mergeCell ref="REK27:REN27"/>
    <mergeCell ref="REO27:RER27"/>
    <mergeCell ref="RDE27:RDH27"/>
    <mergeCell ref="RDI27:RDL27"/>
    <mergeCell ref="RDM27:RDP27"/>
    <mergeCell ref="RDQ27:RDT27"/>
    <mergeCell ref="RDU27:RDX27"/>
    <mergeCell ref="RCK27:RCN27"/>
    <mergeCell ref="RCO27:RCR27"/>
    <mergeCell ref="RCS27:RCV27"/>
    <mergeCell ref="RCW27:RCZ27"/>
    <mergeCell ref="RDA27:RDD27"/>
    <mergeCell ref="RBQ27:RBT27"/>
    <mergeCell ref="RBU27:RBX27"/>
    <mergeCell ref="RBY27:RCB27"/>
    <mergeCell ref="RCC27:RCF27"/>
    <mergeCell ref="RCG27:RCJ27"/>
    <mergeCell ref="RLQ27:RLT27"/>
    <mergeCell ref="RLU27:RLX27"/>
    <mergeCell ref="RLY27:RMB27"/>
    <mergeCell ref="RMC27:RMF27"/>
    <mergeCell ref="RMG27:RMJ27"/>
    <mergeCell ref="RKW27:RKZ27"/>
    <mergeCell ref="RLA27:RLD27"/>
    <mergeCell ref="RLE27:RLH27"/>
    <mergeCell ref="RLI27:RLL27"/>
    <mergeCell ref="RLM27:RLP27"/>
    <mergeCell ref="RKC27:RKF27"/>
    <mergeCell ref="RKG27:RKJ27"/>
    <mergeCell ref="RKK27:RKN27"/>
    <mergeCell ref="RKO27:RKR27"/>
    <mergeCell ref="RKS27:RKV27"/>
    <mergeCell ref="RJI27:RJL27"/>
    <mergeCell ref="RJM27:RJP27"/>
    <mergeCell ref="RJQ27:RJT27"/>
    <mergeCell ref="RJU27:RJX27"/>
    <mergeCell ref="RJY27:RKB27"/>
    <mergeCell ref="RIO27:RIR27"/>
    <mergeCell ref="RIS27:RIV27"/>
    <mergeCell ref="RIW27:RIZ27"/>
    <mergeCell ref="RJA27:RJD27"/>
    <mergeCell ref="RJE27:RJH27"/>
    <mergeCell ref="RHU27:RHX27"/>
    <mergeCell ref="RHY27:RIB27"/>
    <mergeCell ref="RIC27:RIF27"/>
    <mergeCell ref="RIG27:RIJ27"/>
    <mergeCell ref="RIK27:RIN27"/>
    <mergeCell ref="RHA27:RHD27"/>
    <mergeCell ref="RHE27:RHH27"/>
    <mergeCell ref="RHI27:RHL27"/>
    <mergeCell ref="RHM27:RHP27"/>
    <mergeCell ref="RHQ27:RHT27"/>
    <mergeCell ref="RRA27:RRD27"/>
    <mergeCell ref="RRE27:RRH27"/>
    <mergeCell ref="RRI27:RRL27"/>
    <mergeCell ref="RRM27:RRP27"/>
    <mergeCell ref="RRQ27:RRT27"/>
    <mergeCell ref="RQG27:RQJ27"/>
    <mergeCell ref="RQK27:RQN27"/>
    <mergeCell ref="RQO27:RQR27"/>
    <mergeCell ref="RQS27:RQV27"/>
    <mergeCell ref="RQW27:RQZ27"/>
    <mergeCell ref="RPM27:RPP27"/>
    <mergeCell ref="RPQ27:RPT27"/>
    <mergeCell ref="RPU27:RPX27"/>
    <mergeCell ref="RPY27:RQB27"/>
    <mergeCell ref="RQC27:RQF27"/>
    <mergeCell ref="ROS27:ROV27"/>
    <mergeCell ref="ROW27:ROZ27"/>
    <mergeCell ref="RPA27:RPD27"/>
    <mergeCell ref="RPE27:RPH27"/>
    <mergeCell ref="RPI27:RPL27"/>
    <mergeCell ref="RNY27:ROB27"/>
    <mergeCell ref="ROC27:ROF27"/>
    <mergeCell ref="ROG27:ROJ27"/>
    <mergeCell ref="ROK27:RON27"/>
    <mergeCell ref="ROO27:ROR27"/>
    <mergeCell ref="RNE27:RNH27"/>
    <mergeCell ref="RNI27:RNL27"/>
    <mergeCell ref="RNM27:RNP27"/>
    <mergeCell ref="RNQ27:RNT27"/>
    <mergeCell ref="RNU27:RNX27"/>
    <mergeCell ref="RMK27:RMN27"/>
    <mergeCell ref="RMO27:RMR27"/>
    <mergeCell ref="RMS27:RMV27"/>
    <mergeCell ref="RMW27:RMZ27"/>
    <mergeCell ref="RNA27:RND27"/>
    <mergeCell ref="RWK27:RWN27"/>
    <mergeCell ref="RWO27:RWR27"/>
    <mergeCell ref="RWS27:RWV27"/>
    <mergeCell ref="RWW27:RWZ27"/>
    <mergeCell ref="RXA27:RXD27"/>
    <mergeCell ref="RVQ27:RVT27"/>
    <mergeCell ref="RVU27:RVX27"/>
    <mergeCell ref="RVY27:RWB27"/>
    <mergeCell ref="RWC27:RWF27"/>
    <mergeCell ref="RWG27:RWJ27"/>
    <mergeCell ref="RUW27:RUZ27"/>
    <mergeCell ref="RVA27:RVD27"/>
    <mergeCell ref="RVE27:RVH27"/>
    <mergeCell ref="RVI27:RVL27"/>
    <mergeCell ref="RVM27:RVP27"/>
    <mergeCell ref="RUC27:RUF27"/>
    <mergeCell ref="RUG27:RUJ27"/>
    <mergeCell ref="RUK27:RUN27"/>
    <mergeCell ref="RUO27:RUR27"/>
    <mergeCell ref="RUS27:RUV27"/>
    <mergeCell ref="RTI27:RTL27"/>
    <mergeCell ref="RTM27:RTP27"/>
    <mergeCell ref="RTQ27:RTT27"/>
    <mergeCell ref="RTU27:RTX27"/>
    <mergeCell ref="RTY27:RUB27"/>
    <mergeCell ref="RSO27:RSR27"/>
    <mergeCell ref="RSS27:RSV27"/>
    <mergeCell ref="RSW27:RSZ27"/>
    <mergeCell ref="RTA27:RTD27"/>
    <mergeCell ref="RTE27:RTH27"/>
    <mergeCell ref="RRU27:RRX27"/>
    <mergeCell ref="RRY27:RSB27"/>
    <mergeCell ref="RSC27:RSF27"/>
    <mergeCell ref="RSG27:RSJ27"/>
    <mergeCell ref="RSK27:RSN27"/>
    <mergeCell ref="SBU27:SBX27"/>
    <mergeCell ref="SBY27:SCB27"/>
    <mergeCell ref="SCC27:SCF27"/>
    <mergeCell ref="SCG27:SCJ27"/>
    <mergeCell ref="SCK27:SCN27"/>
    <mergeCell ref="SBA27:SBD27"/>
    <mergeCell ref="SBE27:SBH27"/>
    <mergeCell ref="SBI27:SBL27"/>
    <mergeCell ref="SBM27:SBP27"/>
    <mergeCell ref="SBQ27:SBT27"/>
    <mergeCell ref="SAG27:SAJ27"/>
    <mergeCell ref="SAK27:SAN27"/>
    <mergeCell ref="SAO27:SAR27"/>
    <mergeCell ref="SAS27:SAV27"/>
    <mergeCell ref="SAW27:SAZ27"/>
    <mergeCell ref="RZM27:RZP27"/>
    <mergeCell ref="RZQ27:RZT27"/>
    <mergeCell ref="RZU27:RZX27"/>
    <mergeCell ref="RZY27:SAB27"/>
    <mergeCell ref="SAC27:SAF27"/>
    <mergeCell ref="RYS27:RYV27"/>
    <mergeCell ref="RYW27:RYZ27"/>
    <mergeCell ref="RZA27:RZD27"/>
    <mergeCell ref="RZE27:RZH27"/>
    <mergeCell ref="RZI27:RZL27"/>
    <mergeCell ref="RXY27:RYB27"/>
    <mergeCell ref="RYC27:RYF27"/>
    <mergeCell ref="RYG27:RYJ27"/>
    <mergeCell ref="RYK27:RYN27"/>
    <mergeCell ref="RYO27:RYR27"/>
    <mergeCell ref="RXE27:RXH27"/>
    <mergeCell ref="RXI27:RXL27"/>
    <mergeCell ref="RXM27:RXP27"/>
    <mergeCell ref="RXQ27:RXT27"/>
    <mergeCell ref="RXU27:RXX27"/>
    <mergeCell ref="SHE27:SHH27"/>
    <mergeCell ref="SHI27:SHL27"/>
    <mergeCell ref="SHM27:SHP27"/>
    <mergeCell ref="SHQ27:SHT27"/>
    <mergeCell ref="SHU27:SHX27"/>
    <mergeCell ref="SGK27:SGN27"/>
    <mergeCell ref="SGO27:SGR27"/>
    <mergeCell ref="SGS27:SGV27"/>
    <mergeCell ref="SGW27:SGZ27"/>
    <mergeCell ref="SHA27:SHD27"/>
    <mergeCell ref="SFQ27:SFT27"/>
    <mergeCell ref="SFU27:SFX27"/>
    <mergeCell ref="SFY27:SGB27"/>
    <mergeCell ref="SGC27:SGF27"/>
    <mergeCell ref="SGG27:SGJ27"/>
    <mergeCell ref="SEW27:SEZ27"/>
    <mergeCell ref="SFA27:SFD27"/>
    <mergeCell ref="SFE27:SFH27"/>
    <mergeCell ref="SFI27:SFL27"/>
    <mergeCell ref="SFM27:SFP27"/>
    <mergeCell ref="SEC27:SEF27"/>
    <mergeCell ref="SEG27:SEJ27"/>
    <mergeCell ref="SEK27:SEN27"/>
    <mergeCell ref="SEO27:SER27"/>
    <mergeCell ref="SES27:SEV27"/>
    <mergeCell ref="SDI27:SDL27"/>
    <mergeCell ref="SDM27:SDP27"/>
    <mergeCell ref="SDQ27:SDT27"/>
    <mergeCell ref="SDU27:SDX27"/>
    <mergeCell ref="SDY27:SEB27"/>
    <mergeCell ref="SCO27:SCR27"/>
    <mergeCell ref="SCS27:SCV27"/>
    <mergeCell ref="SCW27:SCZ27"/>
    <mergeCell ref="SDA27:SDD27"/>
    <mergeCell ref="SDE27:SDH27"/>
    <mergeCell ref="SMO27:SMR27"/>
    <mergeCell ref="SMS27:SMV27"/>
    <mergeCell ref="SMW27:SMZ27"/>
    <mergeCell ref="SNA27:SND27"/>
    <mergeCell ref="SNE27:SNH27"/>
    <mergeCell ref="SLU27:SLX27"/>
    <mergeCell ref="SLY27:SMB27"/>
    <mergeCell ref="SMC27:SMF27"/>
    <mergeCell ref="SMG27:SMJ27"/>
    <mergeCell ref="SMK27:SMN27"/>
    <mergeCell ref="SLA27:SLD27"/>
    <mergeCell ref="SLE27:SLH27"/>
    <mergeCell ref="SLI27:SLL27"/>
    <mergeCell ref="SLM27:SLP27"/>
    <mergeCell ref="SLQ27:SLT27"/>
    <mergeCell ref="SKG27:SKJ27"/>
    <mergeCell ref="SKK27:SKN27"/>
    <mergeCell ref="SKO27:SKR27"/>
    <mergeCell ref="SKS27:SKV27"/>
    <mergeCell ref="SKW27:SKZ27"/>
    <mergeCell ref="SJM27:SJP27"/>
    <mergeCell ref="SJQ27:SJT27"/>
    <mergeCell ref="SJU27:SJX27"/>
    <mergeCell ref="SJY27:SKB27"/>
    <mergeCell ref="SKC27:SKF27"/>
    <mergeCell ref="SIS27:SIV27"/>
    <mergeCell ref="SIW27:SIZ27"/>
    <mergeCell ref="SJA27:SJD27"/>
    <mergeCell ref="SJE27:SJH27"/>
    <mergeCell ref="SJI27:SJL27"/>
    <mergeCell ref="SHY27:SIB27"/>
    <mergeCell ref="SIC27:SIF27"/>
    <mergeCell ref="SIG27:SIJ27"/>
    <mergeCell ref="SIK27:SIN27"/>
    <mergeCell ref="SIO27:SIR27"/>
    <mergeCell ref="SRY27:SSB27"/>
    <mergeCell ref="SSC27:SSF27"/>
    <mergeCell ref="SSG27:SSJ27"/>
    <mergeCell ref="SSK27:SSN27"/>
    <mergeCell ref="SSO27:SSR27"/>
    <mergeCell ref="SRE27:SRH27"/>
    <mergeCell ref="SRI27:SRL27"/>
    <mergeCell ref="SRM27:SRP27"/>
    <mergeCell ref="SRQ27:SRT27"/>
    <mergeCell ref="SRU27:SRX27"/>
    <mergeCell ref="SQK27:SQN27"/>
    <mergeCell ref="SQO27:SQR27"/>
    <mergeCell ref="SQS27:SQV27"/>
    <mergeCell ref="SQW27:SQZ27"/>
    <mergeCell ref="SRA27:SRD27"/>
    <mergeCell ref="SPQ27:SPT27"/>
    <mergeCell ref="SPU27:SPX27"/>
    <mergeCell ref="SPY27:SQB27"/>
    <mergeCell ref="SQC27:SQF27"/>
    <mergeCell ref="SQG27:SQJ27"/>
    <mergeCell ref="SOW27:SOZ27"/>
    <mergeCell ref="SPA27:SPD27"/>
    <mergeCell ref="SPE27:SPH27"/>
    <mergeCell ref="SPI27:SPL27"/>
    <mergeCell ref="SPM27:SPP27"/>
    <mergeCell ref="SOC27:SOF27"/>
    <mergeCell ref="SOG27:SOJ27"/>
    <mergeCell ref="SOK27:SON27"/>
    <mergeCell ref="SOO27:SOR27"/>
    <mergeCell ref="SOS27:SOV27"/>
    <mergeCell ref="SNI27:SNL27"/>
    <mergeCell ref="SNM27:SNP27"/>
    <mergeCell ref="SNQ27:SNT27"/>
    <mergeCell ref="SNU27:SNX27"/>
    <mergeCell ref="SNY27:SOB27"/>
    <mergeCell ref="SXI27:SXL27"/>
    <mergeCell ref="SXM27:SXP27"/>
    <mergeCell ref="SXQ27:SXT27"/>
    <mergeCell ref="SXU27:SXX27"/>
    <mergeCell ref="SXY27:SYB27"/>
    <mergeCell ref="SWO27:SWR27"/>
    <mergeCell ref="SWS27:SWV27"/>
    <mergeCell ref="SWW27:SWZ27"/>
    <mergeCell ref="SXA27:SXD27"/>
    <mergeCell ref="SXE27:SXH27"/>
    <mergeCell ref="SVU27:SVX27"/>
    <mergeCell ref="SVY27:SWB27"/>
    <mergeCell ref="SWC27:SWF27"/>
    <mergeCell ref="SWG27:SWJ27"/>
    <mergeCell ref="SWK27:SWN27"/>
    <mergeCell ref="SVA27:SVD27"/>
    <mergeCell ref="SVE27:SVH27"/>
    <mergeCell ref="SVI27:SVL27"/>
    <mergeCell ref="SVM27:SVP27"/>
    <mergeCell ref="SVQ27:SVT27"/>
    <mergeCell ref="SUG27:SUJ27"/>
    <mergeCell ref="SUK27:SUN27"/>
    <mergeCell ref="SUO27:SUR27"/>
    <mergeCell ref="SUS27:SUV27"/>
    <mergeCell ref="SUW27:SUZ27"/>
    <mergeCell ref="STM27:STP27"/>
    <mergeCell ref="STQ27:STT27"/>
    <mergeCell ref="STU27:STX27"/>
    <mergeCell ref="STY27:SUB27"/>
    <mergeCell ref="SUC27:SUF27"/>
    <mergeCell ref="SSS27:SSV27"/>
    <mergeCell ref="SSW27:SSZ27"/>
    <mergeCell ref="STA27:STD27"/>
    <mergeCell ref="STE27:STH27"/>
    <mergeCell ref="STI27:STL27"/>
    <mergeCell ref="TCS27:TCV27"/>
    <mergeCell ref="TCW27:TCZ27"/>
    <mergeCell ref="TDA27:TDD27"/>
    <mergeCell ref="TDE27:TDH27"/>
    <mergeCell ref="TDI27:TDL27"/>
    <mergeCell ref="TBY27:TCB27"/>
    <mergeCell ref="TCC27:TCF27"/>
    <mergeCell ref="TCG27:TCJ27"/>
    <mergeCell ref="TCK27:TCN27"/>
    <mergeCell ref="TCO27:TCR27"/>
    <mergeCell ref="TBE27:TBH27"/>
    <mergeCell ref="TBI27:TBL27"/>
    <mergeCell ref="TBM27:TBP27"/>
    <mergeCell ref="TBQ27:TBT27"/>
    <mergeCell ref="TBU27:TBX27"/>
    <mergeCell ref="TAK27:TAN27"/>
    <mergeCell ref="TAO27:TAR27"/>
    <mergeCell ref="TAS27:TAV27"/>
    <mergeCell ref="TAW27:TAZ27"/>
    <mergeCell ref="TBA27:TBD27"/>
    <mergeCell ref="SZQ27:SZT27"/>
    <mergeCell ref="SZU27:SZX27"/>
    <mergeCell ref="SZY27:TAB27"/>
    <mergeCell ref="TAC27:TAF27"/>
    <mergeCell ref="TAG27:TAJ27"/>
    <mergeCell ref="SYW27:SYZ27"/>
    <mergeCell ref="SZA27:SZD27"/>
    <mergeCell ref="SZE27:SZH27"/>
    <mergeCell ref="SZI27:SZL27"/>
    <mergeCell ref="SZM27:SZP27"/>
    <mergeCell ref="SYC27:SYF27"/>
    <mergeCell ref="SYG27:SYJ27"/>
    <mergeCell ref="SYK27:SYN27"/>
    <mergeCell ref="SYO27:SYR27"/>
    <mergeCell ref="SYS27:SYV27"/>
    <mergeCell ref="TIC27:TIF27"/>
    <mergeCell ref="TIG27:TIJ27"/>
    <mergeCell ref="TIK27:TIN27"/>
    <mergeCell ref="TIO27:TIR27"/>
    <mergeCell ref="TIS27:TIV27"/>
    <mergeCell ref="THI27:THL27"/>
    <mergeCell ref="THM27:THP27"/>
    <mergeCell ref="THQ27:THT27"/>
    <mergeCell ref="THU27:THX27"/>
    <mergeCell ref="THY27:TIB27"/>
    <mergeCell ref="TGO27:TGR27"/>
    <mergeCell ref="TGS27:TGV27"/>
    <mergeCell ref="TGW27:TGZ27"/>
    <mergeCell ref="THA27:THD27"/>
    <mergeCell ref="THE27:THH27"/>
    <mergeCell ref="TFU27:TFX27"/>
    <mergeCell ref="TFY27:TGB27"/>
    <mergeCell ref="TGC27:TGF27"/>
    <mergeCell ref="TGG27:TGJ27"/>
    <mergeCell ref="TGK27:TGN27"/>
    <mergeCell ref="TFA27:TFD27"/>
    <mergeCell ref="TFE27:TFH27"/>
    <mergeCell ref="TFI27:TFL27"/>
    <mergeCell ref="TFM27:TFP27"/>
    <mergeCell ref="TFQ27:TFT27"/>
    <mergeCell ref="TEG27:TEJ27"/>
    <mergeCell ref="TEK27:TEN27"/>
    <mergeCell ref="TEO27:TER27"/>
    <mergeCell ref="TES27:TEV27"/>
    <mergeCell ref="TEW27:TEZ27"/>
    <mergeCell ref="TDM27:TDP27"/>
    <mergeCell ref="TDQ27:TDT27"/>
    <mergeCell ref="TDU27:TDX27"/>
    <mergeCell ref="TDY27:TEB27"/>
    <mergeCell ref="TEC27:TEF27"/>
    <mergeCell ref="TNM27:TNP27"/>
    <mergeCell ref="TNQ27:TNT27"/>
    <mergeCell ref="TNU27:TNX27"/>
    <mergeCell ref="TNY27:TOB27"/>
    <mergeCell ref="TOC27:TOF27"/>
    <mergeCell ref="TMS27:TMV27"/>
    <mergeCell ref="TMW27:TMZ27"/>
    <mergeCell ref="TNA27:TND27"/>
    <mergeCell ref="TNE27:TNH27"/>
    <mergeCell ref="TNI27:TNL27"/>
    <mergeCell ref="TLY27:TMB27"/>
    <mergeCell ref="TMC27:TMF27"/>
    <mergeCell ref="TMG27:TMJ27"/>
    <mergeCell ref="TMK27:TMN27"/>
    <mergeCell ref="TMO27:TMR27"/>
    <mergeCell ref="TLE27:TLH27"/>
    <mergeCell ref="TLI27:TLL27"/>
    <mergeCell ref="TLM27:TLP27"/>
    <mergeCell ref="TLQ27:TLT27"/>
    <mergeCell ref="TLU27:TLX27"/>
    <mergeCell ref="TKK27:TKN27"/>
    <mergeCell ref="TKO27:TKR27"/>
    <mergeCell ref="TKS27:TKV27"/>
    <mergeCell ref="TKW27:TKZ27"/>
    <mergeCell ref="TLA27:TLD27"/>
    <mergeCell ref="TJQ27:TJT27"/>
    <mergeCell ref="TJU27:TJX27"/>
    <mergeCell ref="TJY27:TKB27"/>
    <mergeCell ref="TKC27:TKF27"/>
    <mergeCell ref="TKG27:TKJ27"/>
    <mergeCell ref="TIW27:TIZ27"/>
    <mergeCell ref="TJA27:TJD27"/>
    <mergeCell ref="TJE27:TJH27"/>
    <mergeCell ref="TJI27:TJL27"/>
    <mergeCell ref="TJM27:TJP27"/>
    <mergeCell ref="TSW27:TSZ27"/>
    <mergeCell ref="TTA27:TTD27"/>
    <mergeCell ref="TTE27:TTH27"/>
    <mergeCell ref="TTI27:TTL27"/>
    <mergeCell ref="TTM27:TTP27"/>
    <mergeCell ref="TSC27:TSF27"/>
    <mergeCell ref="TSG27:TSJ27"/>
    <mergeCell ref="TSK27:TSN27"/>
    <mergeCell ref="TSO27:TSR27"/>
    <mergeCell ref="TSS27:TSV27"/>
    <mergeCell ref="TRI27:TRL27"/>
    <mergeCell ref="TRM27:TRP27"/>
    <mergeCell ref="TRQ27:TRT27"/>
    <mergeCell ref="TRU27:TRX27"/>
    <mergeCell ref="TRY27:TSB27"/>
    <mergeCell ref="TQO27:TQR27"/>
    <mergeCell ref="TQS27:TQV27"/>
    <mergeCell ref="TQW27:TQZ27"/>
    <mergeCell ref="TRA27:TRD27"/>
    <mergeCell ref="TRE27:TRH27"/>
    <mergeCell ref="TPU27:TPX27"/>
    <mergeCell ref="TPY27:TQB27"/>
    <mergeCell ref="TQC27:TQF27"/>
    <mergeCell ref="TQG27:TQJ27"/>
    <mergeCell ref="TQK27:TQN27"/>
    <mergeCell ref="TPA27:TPD27"/>
    <mergeCell ref="TPE27:TPH27"/>
    <mergeCell ref="TPI27:TPL27"/>
    <mergeCell ref="TPM27:TPP27"/>
    <mergeCell ref="TPQ27:TPT27"/>
    <mergeCell ref="TOG27:TOJ27"/>
    <mergeCell ref="TOK27:TON27"/>
    <mergeCell ref="TOO27:TOR27"/>
    <mergeCell ref="TOS27:TOV27"/>
    <mergeCell ref="TOW27:TOZ27"/>
    <mergeCell ref="TYG27:TYJ27"/>
    <mergeCell ref="TYK27:TYN27"/>
    <mergeCell ref="TYO27:TYR27"/>
    <mergeCell ref="TYS27:TYV27"/>
    <mergeCell ref="TYW27:TYZ27"/>
    <mergeCell ref="TXM27:TXP27"/>
    <mergeCell ref="TXQ27:TXT27"/>
    <mergeCell ref="TXU27:TXX27"/>
    <mergeCell ref="TXY27:TYB27"/>
    <mergeCell ref="TYC27:TYF27"/>
    <mergeCell ref="TWS27:TWV27"/>
    <mergeCell ref="TWW27:TWZ27"/>
    <mergeCell ref="TXA27:TXD27"/>
    <mergeCell ref="TXE27:TXH27"/>
    <mergeCell ref="TXI27:TXL27"/>
    <mergeCell ref="TVY27:TWB27"/>
    <mergeCell ref="TWC27:TWF27"/>
    <mergeCell ref="TWG27:TWJ27"/>
    <mergeCell ref="TWK27:TWN27"/>
    <mergeCell ref="TWO27:TWR27"/>
    <mergeCell ref="TVE27:TVH27"/>
    <mergeCell ref="TVI27:TVL27"/>
    <mergeCell ref="TVM27:TVP27"/>
    <mergeCell ref="TVQ27:TVT27"/>
    <mergeCell ref="TVU27:TVX27"/>
    <mergeCell ref="TUK27:TUN27"/>
    <mergeCell ref="TUO27:TUR27"/>
    <mergeCell ref="TUS27:TUV27"/>
    <mergeCell ref="TUW27:TUZ27"/>
    <mergeCell ref="TVA27:TVD27"/>
    <mergeCell ref="TTQ27:TTT27"/>
    <mergeCell ref="TTU27:TTX27"/>
    <mergeCell ref="TTY27:TUB27"/>
    <mergeCell ref="TUC27:TUF27"/>
    <mergeCell ref="TUG27:TUJ27"/>
    <mergeCell ref="UDQ27:UDT27"/>
    <mergeCell ref="UDU27:UDX27"/>
    <mergeCell ref="UDY27:UEB27"/>
    <mergeCell ref="UEC27:UEF27"/>
    <mergeCell ref="UEG27:UEJ27"/>
    <mergeCell ref="UCW27:UCZ27"/>
    <mergeCell ref="UDA27:UDD27"/>
    <mergeCell ref="UDE27:UDH27"/>
    <mergeCell ref="UDI27:UDL27"/>
    <mergeCell ref="UDM27:UDP27"/>
    <mergeCell ref="UCC27:UCF27"/>
    <mergeCell ref="UCG27:UCJ27"/>
    <mergeCell ref="UCK27:UCN27"/>
    <mergeCell ref="UCO27:UCR27"/>
    <mergeCell ref="UCS27:UCV27"/>
    <mergeCell ref="UBI27:UBL27"/>
    <mergeCell ref="UBM27:UBP27"/>
    <mergeCell ref="UBQ27:UBT27"/>
    <mergeCell ref="UBU27:UBX27"/>
    <mergeCell ref="UBY27:UCB27"/>
    <mergeCell ref="UAO27:UAR27"/>
    <mergeCell ref="UAS27:UAV27"/>
    <mergeCell ref="UAW27:UAZ27"/>
    <mergeCell ref="UBA27:UBD27"/>
    <mergeCell ref="UBE27:UBH27"/>
    <mergeCell ref="TZU27:TZX27"/>
    <mergeCell ref="TZY27:UAB27"/>
    <mergeCell ref="UAC27:UAF27"/>
    <mergeCell ref="UAG27:UAJ27"/>
    <mergeCell ref="UAK27:UAN27"/>
    <mergeCell ref="TZA27:TZD27"/>
    <mergeCell ref="TZE27:TZH27"/>
    <mergeCell ref="TZI27:TZL27"/>
    <mergeCell ref="TZM27:TZP27"/>
    <mergeCell ref="TZQ27:TZT27"/>
    <mergeCell ref="UJA27:UJD27"/>
    <mergeCell ref="UJE27:UJH27"/>
    <mergeCell ref="UJI27:UJL27"/>
    <mergeCell ref="UJM27:UJP27"/>
    <mergeCell ref="UJQ27:UJT27"/>
    <mergeCell ref="UIG27:UIJ27"/>
    <mergeCell ref="UIK27:UIN27"/>
    <mergeCell ref="UIO27:UIR27"/>
    <mergeCell ref="UIS27:UIV27"/>
    <mergeCell ref="UIW27:UIZ27"/>
    <mergeCell ref="UHM27:UHP27"/>
    <mergeCell ref="UHQ27:UHT27"/>
    <mergeCell ref="UHU27:UHX27"/>
    <mergeCell ref="UHY27:UIB27"/>
    <mergeCell ref="UIC27:UIF27"/>
    <mergeCell ref="UGS27:UGV27"/>
    <mergeCell ref="UGW27:UGZ27"/>
    <mergeCell ref="UHA27:UHD27"/>
    <mergeCell ref="UHE27:UHH27"/>
    <mergeCell ref="UHI27:UHL27"/>
    <mergeCell ref="UFY27:UGB27"/>
    <mergeCell ref="UGC27:UGF27"/>
    <mergeCell ref="UGG27:UGJ27"/>
    <mergeCell ref="UGK27:UGN27"/>
    <mergeCell ref="UGO27:UGR27"/>
    <mergeCell ref="UFE27:UFH27"/>
    <mergeCell ref="UFI27:UFL27"/>
    <mergeCell ref="UFM27:UFP27"/>
    <mergeCell ref="UFQ27:UFT27"/>
    <mergeCell ref="UFU27:UFX27"/>
    <mergeCell ref="UEK27:UEN27"/>
    <mergeCell ref="UEO27:UER27"/>
    <mergeCell ref="UES27:UEV27"/>
    <mergeCell ref="UEW27:UEZ27"/>
    <mergeCell ref="UFA27:UFD27"/>
    <mergeCell ref="UOK27:UON27"/>
    <mergeCell ref="UOO27:UOR27"/>
    <mergeCell ref="UOS27:UOV27"/>
    <mergeCell ref="UOW27:UOZ27"/>
    <mergeCell ref="UPA27:UPD27"/>
    <mergeCell ref="UNQ27:UNT27"/>
    <mergeCell ref="UNU27:UNX27"/>
    <mergeCell ref="UNY27:UOB27"/>
    <mergeCell ref="UOC27:UOF27"/>
    <mergeCell ref="UOG27:UOJ27"/>
    <mergeCell ref="UMW27:UMZ27"/>
    <mergeCell ref="UNA27:UND27"/>
    <mergeCell ref="UNE27:UNH27"/>
    <mergeCell ref="UNI27:UNL27"/>
    <mergeCell ref="UNM27:UNP27"/>
    <mergeCell ref="UMC27:UMF27"/>
    <mergeCell ref="UMG27:UMJ27"/>
    <mergeCell ref="UMK27:UMN27"/>
    <mergeCell ref="UMO27:UMR27"/>
    <mergeCell ref="UMS27:UMV27"/>
    <mergeCell ref="ULI27:ULL27"/>
    <mergeCell ref="ULM27:ULP27"/>
    <mergeCell ref="ULQ27:ULT27"/>
    <mergeCell ref="ULU27:ULX27"/>
    <mergeCell ref="ULY27:UMB27"/>
    <mergeCell ref="UKO27:UKR27"/>
    <mergeCell ref="UKS27:UKV27"/>
    <mergeCell ref="UKW27:UKZ27"/>
    <mergeCell ref="ULA27:ULD27"/>
    <mergeCell ref="ULE27:ULH27"/>
    <mergeCell ref="UJU27:UJX27"/>
    <mergeCell ref="UJY27:UKB27"/>
    <mergeCell ref="UKC27:UKF27"/>
    <mergeCell ref="UKG27:UKJ27"/>
    <mergeCell ref="UKK27:UKN27"/>
    <mergeCell ref="UTU27:UTX27"/>
    <mergeCell ref="UTY27:UUB27"/>
    <mergeCell ref="UUC27:UUF27"/>
    <mergeCell ref="UUG27:UUJ27"/>
    <mergeCell ref="UUK27:UUN27"/>
    <mergeCell ref="UTA27:UTD27"/>
    <mergeCell ref="UTE27:UTH27"/>
    <mergeCell ref="UTI27:UTL27"/>
    <mergeCell ref="UTM27:UTP27"/>
    <mergeCell ref="UTQ27:UTT27"/>
    <mergeCell ref="USG27:USJ27"/>
    <mergeCell ref="USK27:USN27"/>
    <mergeCell ref="USO27:USR27"/>
    <mergeCell ref="USS27:USV27"/>
    <mergeCell ref="USW27:USZ27"/>
    <mergeCell ref="URM27:URP27"/>
    <mergeCell ref="URQ27:URT27"/>
    <mergeCell ref="URU27:URX27"/>
    <mergeCell ref="URY27:USB27"/>
    <mergeCell ref="USC27:USF27"/>
    <mergeCell ref="UQS27:UQV27"/>
    <mergeCell ref="UQW27:UQZ27"/>
    <mergeCell ref="URA27:URD27"/>
    <mergeCell ref="URE27:URH27"/>
    <mergeCell ref="URI27:URL27"/>
    <mergeCell ref="UPY27:UQB27"/>
    <mergeCell ref="UQC27:UQF27"/>
    <mergeCell ref="UQG27:UQJ27"/>
    <mergeCell ref="UQK27:UQN27"/>
    <mergeCell ref="UQO27:UQR27"/>
    <mergeCell ref="UPE27:UPH27"/>
    <mergeCell ref="UPI27:UPL27"/>
    <mergeCell ref="UPM27:UPP27"/>
    <mergeCell ref="UPQ27:UPT27"/>
    <mergeCell ref="UPU27:UPX27"/>
    <mergeCell ref="UZE27:UZH27"/>
    <mergeCell ref="UZI27:UZL27"/>
    <mergeCell ref="UZM27:UZP27"/>
    <mergeCell ref="UZQ27:UZT27"/>
    <mergeCell ref="UZU27:UZX27"/>
    <mergeCell ref="UYK27:UYN27"/>
    <mergeCell ref="UYO27:UYR27"/>
    <mergeCell ref="UYS27:UYV27"/>
    <mergeCell ref="UYW27:UYZ27"/>
    <mergeCell ref="UZA27:UZD27"/>
    <mergeCell ref="UXQ27:UXT27"/>
    <mergeCell ref="UXU27:UXX27"/>
    <mergeCell ref="UXY27:UYB27"/>
    <mergeCell ref="UYC27:UYF27"/>
    <mergeCell ref="UYG27:UYJ27"/>
    <mergeCell ref="UWW27:UWZ27"/>
    <mergeCell ref="UXA27:UXD27"/>
    <mergeCell ref="UXE27:UXH27"/>
    <mergeCell ref="UXI27:UXL27"/>
    <mergeCell ref="UXM27:UXP27"/>
    <mergeCell ref="UWC27:UWF27"/>
    <mergeCell ref="UWG27:UWJ27"/>
    <mergeCell ref="UWK27:UWN27"/>
    <mergeCell ref="UWO27:UWR27"/>
    <mergeCell ref="UWS27:UWV27"/>
    <mergeCell ref="UVI27:UVL27"/>
    <mergeCell ref="UVM27:UVP27"/>
    <mergeCell ref="UVQ27:UVT27"/>
    <mergeCell ref="UVU27:UVX27"/>
    <mergeCell ref="UVY27:UWB27"/>
    <mergeCell ref="UUO27:UUR27"/>
    <mergeCell ref="UUS27:UUV27"/>
    <mergeCell ref="UUW27:UUZ27"/>
    <mergeCell ref="UVA27:UVD27"/>
    <mergeCell ref="UVE27:UVH27"/>
    <mergeCell ref="VEO27:VER27"/>
    <mergeCell ref="VES27:VEV27"/>
    <mergeCell ref="VEW27:VEZ27"/>
    <mergeCell ref="VFA27:VFD27"/>
    <mergeCell ref="VFE27:VFH27"/>
    <mergeCell ref="VDU27:VDX27"/>
    <mergeCell ref="VDY27:VEB27"/>
    <mergeCell ref="VEC27:VEF27"/>
    <mergeCell ref="VEG27:VEJ27"/>
    <mergeCell ref="VEK27:VEN27"/>
    <mergeCell ref="VDA27:VDD27"/>
    <mergeCell ref="VDE27:VDH27"/>
    <mergeCell ref="VDI27:VDL27"/>
    <mergeCell ref="VDM27:VDP27"/>
    <mergeCell ref="VDQ27:VDT27"/>
    <mergeCell ref="VCG27:VCJ27"/>
    <mergeCell ref="VCK27:VCN27"/>
    <mergeCell ref="VCO27:VCR27"/>
    <mergeCell ref="VCS27:VCV27"/>
    <mergeCell ref="VCW27:VCZ27"/>
    <mergeCell ref="VBM27:VBP27"/>
    <mergeCell ref="VBQ27:VBT27"/>
    <mergeCell ref="VBU27:VBX27"/>
    <mergeCell ref="VBY27:VCB27"/>
    <mergeCell ref="VCC27:VCF27"/>
    <mergeCell ref="VAS27:VAV27"/>
    <mergeCell ref="VAW27:VAZ27"/>
    <mergeCell ref="VBA27:VBD27"/>
    <mergeCell ref="VBE27:VBH27"/>
    <mergeCell ref="VBI27:VBL27"/>
    <mergeCell ref="UZY27:VAB27"/>
    <mergeCell ref="VAC27:VAF27"/>
    <mergeCell ref="VAG27:VAJ27"/>
    <mergeCell ref="VAK27:VAN27"/>
    <mergeCell ref="VAO27:VAR27"/>
    <mergeCell ref="VJY27:VKB27"/>
    <mergeCell ref="VKC27:VKF27"/>
    <mergeCell ref="VKG27:VKJ27"/>
    <mergeCell ref="VKK27:VKN27"/>
    <mergeCell ref="VKO27:VKR27"/>
    <mergeCell ref="VJE27:VJH27"/>
    <mergeCell ref="VJI27:VJL27"/>
    <mergeCell ref="VJM27:VJP27"/>
    <mergeCell ref="VJQ27:VJT27"/>
    <mergeCell ref="VJU27:VJX27"/>
    <mergeCell ref="VIK27:VIN27"/>
    <mergeCell ref="VIO27:VIR27"/>
    <mergeCell ref="VIS27:VIV27"/>
    <mergeCell ref="VIW27:VIZ27"/>
    <mergeCell ref="VJA27:VJD27"/>
    <mergeCell ref="VHQ27:VHT27"/>
    <mergeCell ref="VHU27:VHX27"/>
    <mergeCell ref="VHY27:VIB27"/>
    <mergeCell ref="VIC27:VIF27"/>
    <mergeCell ref="VIG27:VIJ27"/>
    <mergeCell ref="VGW27:VGZ27"/>
    <mergeCell ref="VHA27:VHD27"/>
    <mergeCell ref="VHE27:VHH27"/>
    <mergeCell ref="VHI27:VHL27"/>
    <mergeCell ref="VHM27:VHP27"/>
    <mergeCell ref="VGC27:VGF27"/>
    <mergeCell ref="VGG27:VGJ27"/>
    <mergeCell ref="VGK27:VGN27"/>
    <mergeCell ref="VGO27:VGR27"/>
    <mergeCell ref="VGS27:VGV27"/>
    <mergeCell ref="VFI27:VFL27"/>
    <mergeCell ref="VFM27:VFP27"/>
    <mergeCell ref="VFQ27:VFT27"/>
    <mergeCell ref="VFU27:VFX27"/>
    <mergeCell ref="VFY27:VGB27"/>
    <mergeCell ref="VPI27:VPL27"/>
    <mergeCell ref="VPM27:VPP27"/>
    <mergeCell ref="VPQ27:VPT27"/>
    <mergeCell ref="VPU27:VPX27"/>
    <mergeCell ref="VPY27:VQB27"/>
    <mergeCell ref="VOO27:VOR27"/>
    <mergeCell ref="VOS27:VOV27"/>
    <mergeCell ref="VOW27:VOZ27"/>
    <mergeCell ref="VPA27:VPD27"/>
    <mergeCell ref="VPE27:VPH27"/>
    <mergeCell ref="VNU27:VNX27"/>
    <mergeCell ref="VNY27:VOB27"/>
    <mergeCell ref="VOC27:VOF27"/>
    <mergeCell ref="VOG27:VOJ27"/>
    <mergeCell ref="VOK27:VON27"/>
    <mergeCell ref="VNA27:VND27"/>
    <mergeCell ref="VNE27:VNH27"/>
    <mergeCell ref="VNI27:VNL27"/>
    <mergeCell ref="VNM27:VNP27"/>
    <mergeCell ref="VNQ27:VNT27"/>
    <mergeCell ref="VMG27:VMJ27"/>
    <mergeCell ref="VMK27:VMN27"/>
    <mergeCell ref="VMO27:VMR27"/>
    <mergeCell ref="VMS27:VMV27"/>
    <mergeCell ref="VMW27:VMZ27"/>
    <mergeCell ref="VLM27:VLP27"/>
    <mergeCell ref="VLQ27:VLT27"/>
    <mergeCell ref="VLU27:VLX27"/>
    <mergeCell ref="VLY27:VMB27"/>
    <mergeCell ref="VMC27:VMF27"/>
    <mergeCell ref="VKS27:VKV27"/>
    <mergeCell ref="VKW27:VKZ27"/>
    <mergeCell ref="VLA27:VLD27"/>
    <mergeCell ref="VLE27:VLH27"/>
    <mergeCell ref="VLI27:VLL27"/>
    <mergeCell ref="VUS27:VUV27"/>
    <mergeCell ref="VUW27:VUZ27"/>
    <mergeCell ref="VVA27:VVD27"/>
    <mergeCell ref="VVE27:VVH27"/>
    <mergeCell ref="VVI27:VVL27"/>
    <mergeCell ref="VTY27:VUB27"/>
    <mergeCell ref="VUC27:VUF27"/>
    <mergeCell ref="VUG27:VUJ27"/>
    <mergeCell ref="VUK27:VUN27"/>
    <mergeCell ref="VUO27:VUR27"/>
    <mergeCell ref="VTE27:VTH27"/>
    <mergeCell ref="VTI27:VTL27"/>
    <mergeCell ref="VTM27:VTP27"/>
    <mergeCell ref="VTQ27:VTT27"/>
    <mergeCell ref="VTU27:VTX27"/>
    <mergeCell ref="VSK27:VSN27"/>
    <mergeCell ref="VSO27:VSR27"/>
    <mergeCell ref="VSS27:VSV27"/>
    <mergeCell ref="VSW27:VSZ27"/>
    <mergeCell ref="VTA27:VTD27"/>
    <mergeCell ref="VRQ27:VRT27"/>
    <mergeCell ref="VRU27:VRX27"/>
    <mergeCell ref="VRY27:VSB27"/>
    <mergeCell ref="VSC27:VSF27"/>
    <mergeCell ref="VSG27:VSJ27"/>
    <mergeCell ref="VQW27:VQZ27"/>
    <mergeCell ref="VRA27:VRD27"/>
    <mergeCell ref="VRE27:VRH27"/>
    <mergeCell ref="VRI27:VRL27"/>
    <mergeCell ref="VRM27:VRP27"/>
    <mergeCell ref="VQC27:VQF27"/>
    <mergeCell ref="VQG27:VQJ27"/>
    <mergeCell ref="VQK27:VQN27"/>
    <mergeCell ref="VQO27:VQR27"/>
    <mergeCell ref="VQS27:VQV27"/>
    <mergeCell ref="WAC27:WAF27"/>
    <mergeCell ref="WAG27:WAJ27"/>
    <mergeCell ref="WAK27:WAN27"/>
    <mergeCell ref="WAO27:WAR27"/>
    <mergeCell ref="WAS27:WAV27"/>
    <mergeCell ref="VZI27:VZL27"/>
    <mergeCell ref="VZM27:VZP27"/>
    <mergeCell ref="VZQ27:VZT27"/>
    <mergeCell ref="VZU27:VZX27"/>
    <mergeCell ref="VZY27:WAB27"/>
    <mergeCell ref="VYO27:VYR27"/>
    <mergeCell ref="VYS27:VYV27"/>
    <mergeCell ref="VYW27:VYZ27"/>
    <mergeCell ref="VZA27:VZD27"/>
    <mergeCell ref="VZE27:VZH27"/>
    <mergeCell ref="VXU27:VXX27"/>
    <mergeCell ref="VXY27:VYB27"/>
    <mergeCell ref="VYC27:VYF27"/>
    <mergeCell ref="VYG27:VYJ27"/>
    <mergeCell ref="VYK27:VYN27"/>
    <mergeCell ref="VXA27:VXD27"/>
    <mergeCell ref="VXE27:VXH27"/>
    <mergeCell ref="VXI27:VXL27"/>
    <mergeCell ref="VXM27:VXP27"/>
    <mergeCell ref="VXQ27:VXT27"/>
    <mergeCell ref="VWG27:VWJ27"/>
    <mergeCell ref="VWK27:VWN27"/>
    <mergeCell ref="VWO27:VWR27"/>
    <mergeCell ref="VWS27:VWV27"/>
    <mergeCell ref="VWW27:VWZ27"/>
    <mergeCell ref="VVM27:VVP27"/>
    <mergeCell ref="VVQ27:VVT27"/>
    <mergeCell ref="VVU27:VVX27"/>
    <mergeCell ref="VVY27:VWB27"/>
    <mergeCell ref="VWC27:VWF27"/>
    <mergeCell ref="WFM27:WFP27"/>
    <mergeCell ref="WFQ27:WFT27"/>
    <mergeCell ref="WFU27:WFX27"/>
    <mergeCell ref="WFY27:WGB27"/>
    <mergeCell ref="WGC27:WGF27"/>
    <mergeCell ref="WES27:WEV27"/>
    <mergeCell ref="WEW27:WEZ27"/>
    <mergeCell ref="WFA27:WFD27"/>
    <mergeCell ref="WFE27:WFH27"/>
    <mergeCell ref="WFI27:WFL27"/>
    <mergeCell ref="WDY27:WEB27"/>
    <mergeCell ref="WEC27:WEF27"/>
    <mergeCell ref="WEG27:WEJ27"/>
    <mergeCell ref="WEK27:WEN27"/>
    <mergeCell ref="WEO27:WER27"/>
    <mergeCell ref="WDE27:WDH27"/>
    <mergeCell ref="WDI27:WDL27"/>
    <mergeCell ref="WDM27:WDP27"/>
    <mergeCell ref="WDQ27:WDT27"/>
    <mergeCell ref="WDU27:WDX27"/>
    <mergeCell ref="WCK27:WCN27"/>
    <mergeCell ref="WCO27:WCR27"/>
    <mergeCell ref="WCS27:WCV27"/>
    <mergeCell ref="WCW27:WCZ27"/>
    <mergeCell ref="WDA27:WDD27"/>
    <mergeCell ref="WBQ27:WBT27"/>
    <mergeCell ref="WBU27:WBX27"/>
    <mergeCell ref="WBY27:WCB27"/>
    <mergeCell ref="WCC27:WCF27"/>
    <mergeCell ref="WCG27:WCJ27"/>
    <mergeCell ref="WAW27:WAZ27"/>
    <mergeCell ref="WBA27:WBD27"/>
    <mergeCell ref="WBE27:WBH27"/>
    <mergeCell ref="WBI27:WBL27"/>
    <mergeCell ref="WBM27:WBP27"/>
    <mergeCell ref="WKW27:WKZ27"/>
    <mergeCell ref="WLA27:WLD27"/>
    <mergeCell ref="WLE27:WLH27"/>
    <mergeCell ref="WLI27:WLL27"/>
    <mergeCell ref="WLM27:WLP27"/>
    <mergeCell ref="WKC27:WKF27"/>
    <mergeCell ref="WKG27:WKJ27"/>
    <mergeCell ref="WKK27:WKN27"/>
    <mergeCell ref="WKO27:WKR27"/>
    <mergeCell ref="WKS27:WKV27"/>
    <mergeCell ref="WJI27:WJL27"/>
    <mergeCell ref="WJM27:WJP27"/>
    <mergeCell ref="WJQ27:WJT27"/>
    <mergeCell ref="WJU27:WJX27"/>
    <mergeCell ref="WJY27:WKB27"/>
    <mergeCell ref="WIO27:WIR27"/>
    <mergeCell ref="WIS27:WIV27"/>
    <mergeCell ref="WIW27:WIZ27"/>
    <mergeCell ref="WJA27:WJD27"/>
    <mergeCell ref="WJE27:WJH27"/>
    <mergeCell ref="WHU27:WHX27"/>
    <mergeCell ref="WHY27:WIB27"/>
    <mergeCell ref="WIC27:WIF27"/>
    <mergeCell ref="WIG27:WIJ27"/>
    <mergeCell ref="WIK27:WIN27"/>
    <mergeCell ref="WHA27:WHD27"/>
    <mergeCell ref="WHE27:WHH27"/>
    <mergeCell ref="WHI27:WHL27"/>
    <mergeCell ref="WHM27:WHP27"/>
    <mergeCell ref="WHQ27:WHT27"/>
    <mergeCell ref="WGG27:WGJ27"/>
    <mergeCell ref="WGK27:WGN27"/>
    <mergeCell ref="WGO27:WGR27"/>
    <mergeCell ref="WGS27:WGV27"/>
    <mergeCell ref="WGW27:WGZ27"/>
    <mergeCell ref="WQG27:WQJ27"/>
    <mergeCell ref="WQK27:WQN27"/>
    <mergeCell ref="WQO27:WQR27"/>
    <mergeCell ref="WQS27:WQV27"/>
    <mergeCell ref="WQW27:WQZ27"/>
    <mergeCell ref="WPM27:WPP27"/>
    <mergeCell ref="WPQ27:WPT27"/>
    <mergeCell ref="WPU27:WPX27"/>
    <mergeCell ref="WPY27:WQB27"/>
    <mergeCell ref="WQC27:WQF27"/>
    <mergeCell ref="WOS27:WOV27"/>
    <mergeCell ref="WOW27:WOZ27"/>
    <mergeCell ref="WPA27:WPD27"/>
    <mergeCell ref="WPE27:WPH27"/>
    <mergeCell ref="WPI27:WPL27"/>
    <mergeCell ref="WNY27:WOB27"/>
    <mergeCell ref="WOC27:WOF27"/>
    <mergeCell ref="WOG27:WOJ27"/>
    <mergeCell ref="WOK27:WON27"/>
    <mergeCell ref="WOO27:WOR27"/>
    <mergeCell ref="WNE27:WNH27"/>
    <mergeCell ref="WNI27:WNL27"/>
    <mergeCell ref="WNM27:WNP27"/>
    <mergeCell ref="WNQ27:WNT27"/>
    <mergeCell ref="WNU27:WNX27"/>
    <mergeCell ref="WMK27:WMN27"/>
    <mergeCell ref="WMO27:WMR27"/>
    <mergeCell ref="WMS27:WMV27"/>
    <mergeCell ref="WMW27:WMZ27"/>
    <mergeCell ref="WNA27:WND27"/>
    <mergeCell ref="WLQ27:WLT27"/>
    <mergeCell ref="WLU27:WLX27"/>
    <mergeCell ref="WLY27:WMB27"/>
    <mergeCell ref="WMC27:WMF27"/>
    <mergeCell ref="WMG27:WMJ27"/>
    <mergeCell ref="WVQ27:WVT27"/>
    <mergeCell ref="WVU27:WVX27"/>
    <mergeCell ref="WVY27:WWB27"/>
    <mergeCell ref="WWC27:WWF27"/>
    <mergeCell ref="WWG27:WWJ27"/>
    <mergeCell ref="WUW27:WUZ27"/>
    <mergeCell ref="WVA27:WVD27"/>
    <mergeCell ref="WVE27:WVH27"/>
    <mergeCell ref="WVI27:WVL27"/>
    <mergeCell ref="WVM27:WVP27"/>
    <mergeCell ref="WUC27:WUF27"/>
    <mergeCell ref="WUG27:WUJ27"/>
    <mergeCell ref="WUK27:WUN27"/>
    <mergeCell ref="WUO27:WUR27"/>
    <mergeCell ref="WUS27:WUV27"/>
    <mergeCell ref="WTI27:WTL27"/>
    <mergeCell ref="WTM27:WTP27"/>
    <mergeCell ref="WTQ27:WTT27"/>
    <mergeCell ref="WTU27:WTX27"/>
    <mergeCell ref="WTY27:WUB27"/>
    <mergeCell ref="WSO27:WSR27"/>
    <mergeCell ref="WSS27:WSV27"/>
    <mergeCell ref="WSW27:WSZ27"/>
    <mergeCell ref="WTA27:WTD27"/>
    <mergeCell ref="WTE27:WTH27"/>
    <mergeCell ref="WRU27:WRX27"/>
    <mergeCell ref="WRY27:WSB27"/>
    <mergeCell ref="WSC27:WSF27"/>
    <mergeCell ref="WSG27:WSJ27"/>
    <mergeCell ref="WSK27:WSN27"/>
    <mergeCell ref="WRA27:WRD27"/>
    <mergeCell ref="WRE27:WRH27"/>
    <mergeCell ref="WRI27:WRL27"/>
    <mergeCell ref="WRM27:WRP27"/>
    <mergeCell ref="WRQ27:WRT27"/>
    <mergeCell ref="XCG27:XCJ27"/>
    <mergeCell ref="XCK27:XCN27"/>
    <mergeCell ref="XBA27:XBD27"/>
    <mergeCell ref="XBE27:XBH27"/>
    <mergeCell ref="XBI27:XBL27"/>
    <mergeCell ref="XBM27:XBP27"/>
    <mergeCell ref="XBQ27:XBT27"/>
    <mergeCell ref="XAG27:XAJ27"/>
    <mergeCell ref="XAK27:XAN27"/>
    <mergeCell ref="XAO27:XAR27"/>
    <mergeCell ref="XAS27:XAV27"/>
    <mergeCell ref="XAW27:XAZ27"/>
    <mergeCell ref="WZM27:WZP27"/>
    <mergeCell ref="WZQ27:WZT27"/>
    <mergeCell ref="WZU27:WZX27"/>
    <mergeCell ref="WZY27:XAB27"/>
    <mergeCell ref="XAC27:XAF27"/>
    <mergeCell ref="WYS27:WYV27"/>
    <mergeCell ref="WYW27:WYZ27"/>
    <mergeCell ref="WZA27:WZD27"/>
    <mergeCell ref="WZE27:WZH27"/>
    <mergeCell ref="WZI27:WZL27"/>
    <mergeCell ref="WXY27:WYB27"/>
    <mergeCell ref="WYC27:WYF27"/>
    <mergeCell ref="WYG27:WYJ27"/>
    <mergeCell ref="WYK27:WYN27"/>
    <mergeCell ref="WYO27:WYR27"/>
    <mergeCell ref="WXE27:WXH27"/>
    <mergeCell ref="WXI27:WXL27"/>
    <mergeCell ref="WXM27:WXP27"/>
    <mergeCell ref="WXQ27:WXT27"/>
    <mergeCell ref="WXU27:WXX27"/>
    <mergeCell ref="WWK27:WWN27"/>
    <mergeCell ref="WWO27:WWR27"/>
    <mergeCell ref="WWS27:WWV27"/>
    <mergeCell ref="WWW27:WWZ27"/>
    <mergeCell ref="WXA27:WXD27"/>
    <mergeCell ref="FA23:FD23"/>
    <mergeCell ref="FE23:FH23"/>
    <mergeCell ref="FI23:FL23"/>
    <mergeCell ref="FM23:FP23"/>
    <mergeCell ref="FQ23:FT23"/>
    <mergeCell ref="EG23:EJ23"/>
    <mergeCell ref="EK23:EN23"/>
    <mergeCell ref="EO23:ER23"/>
    <mergeCell ref="ES23:EV23"/>
    <mergeCell ref="EW23:EZ23"/>
    <mergeCell ref="DM23:DP23"/>
    <mergeCell ref="DQ23:DT23"/>
    <mergeCell ref="DU23:DX23"/>
    <mergeCell ref="DY23:EB23"/>
    <mergeCell ref="EC23:EF23"/>
    <mergeCell ref="CS23:CV23"/>
    <mergeCell ref="CW23:CZ23"/>
    <mergeCell ref="DA23:DD23"/>
    <mergeCell ref="DE23:DH23"/>
    <mergeCell ref="DI23:DL23"/>
    <mergeCell ref="BY23:CB23"/>
    <mergeCell ref="CC23:CF23"/>
    <mergeCell ref="CG23:CJ23"/>
    <mergeCell ref="CK23:CN23"/>
    <mergeCell ref="CO23:CR23"/>
    <mergeCell ref="BE23:BH23"/>
    <mergeCell ref="BI23:BL23"/>
    <mergeCell ref="BM23:BP23"/>
    <mergeCell ref="BQ23:BT23"/>
    <mergeCell ref="BU23:BX23"/>
    <mergeCell ref="XEW27:XEZ27"/>
    <mergeCell ref="XFA27:XFD27"/>
    <mergeCell ref="B23:E23"/>
    <mergeCell ref="F23:I23"/>
    <mergeCell ref="J23:M23"/>
    <mergeCell ref="N23:P23"/>
    <mergeCell ref="Q23:T23"/>
    <mergeCell ref="U23:X23"/>
    <mergeCell ref="Y23:AB23"/>
    <mergeCell ref="AC23:AF23"/>
    <mergeCell ref="AG23:AJ23"/>
    <mergeCell ref="AK23:AN23"/>
    <mergeCell ref="AO23:AR23"/>
    <mergeCell ref="AS23:AV23"/>
    <mergeCell ref="AW23:AZ23"/>
    <mergeCell ref="BA23:BD23"/>
    <mergeCell ref="XEC27:XEF27"/>
    <mergeCell ref="XEG27:XEJ27"/>
    <mergeCell ref="XEK27:XEN27"/>
    <mergeCell ref="XEO27:XER27"/>
    <mergeCell ref="XES27:XEV27"/>
    <mergeCell ref="XDI27:XDL27"/>
    <mergeCell ref="XDM27:XDP27"/>
    <mergeCell ref="XDQ27:XDT27"/>
    <mergeCell ref="XDU27:XDX27"/>
    <mergeCell ref="XDY27:XEB27"/>
    <mergeCell ref="XCO27:XCR27"/>
    <mergeCell ref="XCS27:XCV27"/>
    <mergeCell ref="XCW27:XCZ27"/>
    <mergeCell ref="XDA27:XDD27"/>
    <mergeCell ref="XDE27:XDH27"/>
    <mergeCell ref="XBU27:XBX27"/>
    <mergeCell ref="XBY27:XCB27"/>
    <mergeCell ref="XCC27:XCF27"/>
    <mergeCell ref="KK23:KN23"/>
    <mergeCell ref="KO23:KR23"/>
    <mergeCell ref="KS23:KV23"/>
    <mergeCell ref="KW23:KZ23"/>
    <mergeCell ref="LA23:LD23"/>
    <mergeCell ref="JQ23:JT23"/>
    <mergeCell ref="JU23:JX23"/>
    <mergeCell ref="JY23:KB23"/>
    <mergeCell ref="KC23:KF23"/>
    <mergeCell ref="KG23:KJ23"/>
    <mergeCell ref="IW23:IZ23"/>
    <mergeCell ref="JA23:JD23"/>
    <mergeCell ref="JE23:JH23"/>
    <mergeCell ref="JI23:JL23"/>
    <mergeCell ref="JM23:JP23"/>
    <mergeCell ref="IC23:IF23"/>
    <mergeCell ref="IG23:IJ23"/>
    <mergeCell ref="IK23:IN23"/>
    <mergeCell ref="IO23:IR23"/>
    <mergeCell ref="IS23:IV23"/>
    <mergeCell ref="HI23:HL23"/>
    <mergeCell ref="HM23:HP23"/>
    <mergeCell ref="HQ23:HT23"/>
    <mergeCell ref="HU23:HX23"/>
    <mergeCell ref="HY23:IB23"/>
    <mergeCell ref="GO23:GR23"/>
    <mergeCell ref="GS23:GV23"/>
    <mergeCell ref="GW23:GZ23"/>
    <mergeCell ref="HA23:HD23"/>
    <mergeCell ref="HE23:HH23"/>
    <mergeCell ref="FU23:FX23"/>
    <mergeCell ref="FY23:GB23"/>
    <mergeCell ref="GC23:GF23"/>
    <mergeCell ref="GG23:GJ23"/>
    <mergeCell ref="GK23:GN23"/>
    <mergeCell ref="PU23:PX23"/>
    <mergeCell ref="PY23:QB23"/>
    <mergeCell ref="QC23:QF23"/>
    <mergeCell ref="QG23:QJ23"/>
    <mergeCell ref="QK23:QN23"/>
    <mergeCell ref="PA23:PD23"/>
    <mergeCell ref="PE23:PH23"/>
    <mergeCell ref="PI23:PL23"/>
    <mergeCell ref="PM23:PP23"/>
    <mergeCell ref="PQ23:PT23"/>
    <mergeCell ref="OG23:OJ23"/>
    <mergeCell ref="OK23:ON23"/>
    <mergeCell ref="OO23:OR23"/>
    <mergeCell ref="OS23:OV23"/>
    <mergeCell ref="OW23:OZ23"/>
    <mergeCell ref="NM23:NP23"/>
    <mergeCell ref="NQ23:NT23"/>
    <mergeCell ref="NU23:NX23"/>
    <mergeCell ref="NY23:OB23"/>
    <mergeCell ref="OC23:OF23"/>
    <mergeCell ref="MS23:MV23"/>
    <mergeCell ref="MW23:MZ23"/>
    <mergeCell ref="NA23:ND23"/>
    <mergeCell ref="NE23:NH23"/>
    <mergeCell ref="NI23:NL23"/>
    <mergeCell ref="LY23:MB23"/>
    <mergeCell ref="MC23:MF23"/>
    <mergeCell ref="MG23:MJ23"/>
    <mergeCell ref="MK23:MN23"/>
    <mergeCell ref="MO23:MR23"/>
    <mergeCell ref="LE23:LH23"/>
    <mergeCell ref="LI23:LL23"/>
    <mergeCell ref="LM23:LP23"/>
    <mergeCell ref="LQ23:LT23"/>
    <mergeCell ref="LU23:LX23"/>
    <mergeCell ref="VE23:VH23"/>
    <mergeCell ref="VI23:VL23"/>
    <mergeCell ref="VM23:VP23"/>
    <mergeCell ref="VQ23:VT23"/>
    <mergeCell ref="VU23:VX23"/>
    <mergeCell ref="UK23:UN23"/>
    <mergeCell ref="UO23:UR23"/>
    <mergeCell ref="US23:UV23"/>
    <mergeCell ref="UW23:UZ23"/>
    <mergeCell ref="VA23:VD23"/>
    <mergeCell ref="TQ23:TT23"/>
    <mergeCell ref="TU23:TX23"/>
    <mergeCell ref="TY23:UB23"/>
    <mergeCell ref="UC23:UF23"/>
    <mergeCell ref="UG23:UJ23"/>
    <mergeCell ref="SW23:SZ23"/>
    <mergeCell ref="TA23:TD23"/>
    <mergeCell ref="TE23:TH23"/>
    <mergeCell ref="TI23:TL23"/>
    <mergeCell ref="TM23:TP23"/>
    <mergeCell ref="SC23:SF23"/>
    <mergeCell ref="SG23:SJ23"/>
    <mergeCell ref="SK23:SN23"/>
    <mergeCell ref="SO23:SR23"/>
    <mergeCell ref="SS23:SV23"/>
    <mergeCell ref="RI23:RL23"/>
    <mergeCell ref="RM23:RP23"/>
    <mergeCell ref="RQ23:RT23"/>
    <mergeCell ref="RU23:RX23"/>
    <mergeCell ref="RY23:SB23"/>
    <mergeCell ref="QO23:QR23"/>
    <mergeCell ref="QS23:QV23"/>
    <mergeCell ref="QW23:QZ23"/>
    <mergeCell ref="RA23:RD23"/>
    <mergeCell ref="RE23:RH23"/>
    <mergeCell ref="AAO23:AAR23"/>
    <mergeCell ref="AAS23:AAV23"/>
    <mergeCell ref="AAW23:AAZ23"/>
    <mergeCell ref="ABA23:ABD23"/>
    <mergeCell ref="ABE23:ABH23"/>
    <mergeCell ref="ZU23:ZX23"/>
    <mergeCell ref="ZY23:AAB23"/>
    <mergeCell ref="AAC23:AAF23"/>
    <mergeCell ref="AAG23:AAJ23"/>
    <mergeCell ref="AAK23:AAN23"/>
    <mergeCell ref="ZA23:ZD23"/>
    <mergeCell ref="ZE23:ZH23"/>
    <mergeCell ref="ZI23:ZL23"/>
    <mergeCell ref="ZM23:ZP23"/>
    <mergeCell ref="ZQ23:ZT23"/>
    <mergeCell ref="YG23:YJ23"/>
    <mergeCell ref="YK23:YN23"/>
    <mergeCell ref="YO23:YR23"/>
    <mergeCell ref="YS23:YV23"/>
    <mergeCell ref="YW23:YZ23"/>
    <mergeCell ref="XM23:XP23"/>
    <mergeCell ref="XQ23:XT23"/>
    <mergeCell ref="XU23:XX23"/>
    <mergeCell ref="XY23:YB23"/>
    <mergeCell ref="YC23:YF23"/>
    <mergeCell ref="WS23:WV23"/>
    <mergeCell ref="WW23:WZ23"/>
    <mergeCell ref="XA23:XD23"/>
    <mergeCell ref="XE23:XH23"/>
    <mergeCell ref="XI23:XL23"/>
    <mergeCell ref="VY23:WB23"/>
    <mergeCell ref="WC23:WF23"/>
    <mergeCell ref="WG23:WJ23"/>
    <mergeCell ref="WK23:WN23"/>
    <mergeCell ref="WO23:WR23"/>
    <mergeCell ref="AFY23:AGB23"/>
    <mergeCell ref="AGC23:AGF23"/>
    <mergeCell ref="AGG23:AGJ23"/>
    <mergeCell ref="AGK23:AGN23"/>
    <mergeCell ref="AGO23:AGR23"/>
    <mergeCell ref="AFE23:AFH23"/>
    <mergeCell ref="AFI23:AFL23"/>
    <mergeCell ref="AFM23:AFP23"/>
    <mergeCell ref="AFQ23:AFT23"/>
    <mergeCell ref="AFU23:AFX23"/>
    <mergeCell ref="AEK23:AEN23"/>
    <mergeCell ref="AEO23:AER23"/>
    <mergeCell ref="AES23:AEV23"/>
    <mergeCell ref="AEW23:AEZ23"/>
    <mergeCell ref="AFA23:AFD23"/>
    <mergeCell ref="ADQ23:ADT23"/>
    <mergeCell ref="ADU23:ADX23"/>
    <mergeCell ref="ADY23:AEB23"/>
    <mergeCell ref="AEC23:AEF23"/>
    <mergeCell ref="AEG23:AEJ23"/>
    <mergeCell ref="ACW23:ACZ23"/>
    <mergeCell ref="ADA23:ADD23"/>
    <mergeCell ref="ADE23:ADH23"/>
    <mergeCell ref="ADI23:ADL23"/>
    <mergeCell ref="ADM23:ADP23"/>
    <mergeCell ref="ACC23:ACF23"/>
    <mergeCell ref="ACG23:ACJ23"/>
    <mergeCell ref="ACK23:ACN23"/>
    <mergeCell ref="ACO23:ACR23"/>
    <mergeCell ref="ACS23:ACV23"/>
    <mergeCell ref="ABI23:ABL23"/>
    <mergeCell ref="ABM23:ABP23"/>
    <mergeCell ref="ABQ23:ABT23"/>
    <mergeCell ref="ABU23:ABX23"/>
    <mergeCell ref="ABY23:ACB23"/>
    <mergeCell ref="ALI23:ALL23"/>
    <mergeCell ref="ALM23:ALP23"/>
    <mergeCell ref="ALQ23:ALT23"/>
    <mergeCell ref="ALU23:ALX23"/>
    <mergeCell ref="ALY23:AMB23"/>
    <mergeCell ref="AKO23:AKR23"/>
    <mergeCell ref="AKS23:AKV23"/>
    <mergeCell ref="AKW23:AKZ23"/>
    <mergeCell ref="ALA23:ALD23"/>
    <mergeCell ref="ALE23:ALH23"/>
    <mergeCell ref="AJU23:AJX23"/>
    <mergeCell ref="AJY23:AKB23"/>
    <mergeCell ref="AKC23:AKF23"/>
    <mergeCell ref="AKG23:AKJ23"/>
    <mergeCell ref="AKK23:AKN23"/>
    <mergeCell ref="AJA23:AJD23"/>
    <mergeCell ref="AJE23:AJH23"/>
    <mergeCell ref="AJI23:AJL23"/>
    <mergeCell ref="AJM23:AJP23"/>
    <mergeCell ref="AJQ23:AJT23"/>
    <mergeCell ref="AIG23:AIJ23"/>
    <mergeCell ref="AIK23:AIN23"/>
    <mergeCell ref="AIO23:AIR23"/>
    <mergeCell ref="AIS23:AIV23"/>
    <mergeCell ref="AIW23:AIZ23"/>
    <mergeCell ref="AHM23:AHP23"/>
    <mergeCell ref="AHQ23:AHT23"/>
    <mergeCell ref="AHU23:AHX23"/>
    <mergeCell ref="AHY23:AIB23"/>
    <mergeCell ref="AIC23:AIF23"/>
    <mergeCell ref="AGS23:AGV23"/>
    <mergeCell ref="AGW23:AGZ23"/>
    <mergeCell ref="AHA23:AHD23"/>
    <mergeCell ref="AHE23:AHH23"/>
    <mergeCell ref="AHI23:AHL23"/>
    <mergeCell ref="AQS23:AQV23"/>
    <mergeCell ref="AQW23:AQZ23"/>
    <mergeCell ref="ARA23:ARD23"/>
    <mergeCell ref="ARE23:ARH23"/>
    <mergeCell ref="ARI23:ARL23"/>
    <mergeCell ref="APY23:AQB23"/>
    <mergeCell ref="AQC23:AQF23"/>
    <mergeCell ref="AQG23:AQJ23"/>
    <mergeCell ref="AQK23:AQN23"/>
    <mergeCell ref="AQO23:AQR23"/>
    <mergeCell ref="APE23:APH23"/>
    <mergeCell ref="API23:APL23"/>
    <mergeCell ref="APM23:APP23"/>
    <mergeCell ref="APQ23:APT23"/>
    <mergeCell ref="APU23:APX23"/>
    <mergeCell ref="AOK23:AON23"/>
    <mergeCell ref="AOO23:AOR23"/>
    <mergeCell ref="AOS23:AOV23"/>
    <mergeCell ref="AOW23:AOZ23"/>
    <mergeCell ref="APA23:APD23"/>
    <mergeCell ref="ANQ23:ANT23"/>
    <mergeCell ref="ANU23:ANX23"/>
    <mergeCell ref="ANY23:AOB23"/>
    <mergeCell ref="AOC23:AOF23"/>
    <mergeCell ref="AOG23:AOJ23"/>
    <mergeCell ref="AMW23:AMZ23"/>
    <mergeCell ref="ANA23:AND23"/>
    <mergeCell ref="ANE23:ANH23"/>
    <mergeCell ref="ANI23:ANL23"/>
    <mergeCell ref="ANM23:ANP23"/>
    <mergeCell ref="AMC23:AMF23"/>
    <mergeCell ref="AMG23:AMJ23"/>
    <mergeCell ref="AMK23:AMN23"/>
    <mergeCell ref="AMO23:AMR23"/>
    <mergeCell ref="AMS23:AMV23"/>
    <mergeCell ref="AWC23:AWF23"/>
    <mergeCell ref="AWG23:AWJ23"/>
    <mergeCell ref="AWK23:AWN23"/>
    <mergeCell ref="AWO23:AWR23"/>
    <mergeCell ref="AWS23:AWV23"/>
    <mergeCell ref="AVI23:AVL23"/>
    <mergeCell ref="AVM23:AVP23"/>
    <mergeCell ref="AVQ23:AVT23"/>
    <mergeCell ref="AVU23:AVX23"/>
    <mergeCell ref="AVY23:AWB23"/>
    <mergeCell ref="AUO23:AUR23"/>
    <mergeCell ref="AUS23:AUV23"/>
    <mergeCell ref="AUW23:AUZ23"/>
    <mergeCell ref="AVA23:AVD23"/>
    <mergeCell ref="AVE23:AVH23"/>
    <mergeCell ref="ATU23:ATX23"/>
    <mergeCell ref="ATY23:AUB23"/>
    <mergeCell ref="AUC23:AUF23"/>
    <mergeCell ref="AUG23:AUJ23"/>
    <mergeCell ref="AUK23:AUN23"/>
    <mergeCell ref="ATA23:ATD23"/>
    <mergeCell ref="ATE23:ATH23"/>
    <mergeCell ref="ATI23:ATL23"/>
    <mergeCell ref="ATM23:ATP23"/>
    <mergeCell ref="ATQ23:ATT23"/>
    <mergeCell ref="ASG23:ASJ23"/>
    <mergeCell ref="ASK23:ASN23"/>
    <mergeCell ref="ASO23:ASR23"/>
    <mergeCell ref="ASS23:ASV23"/>
    <mergeCell ref="ASW23:ASZ23"/>
    <mergeCell ref="ARM23:ARP23"/>
    <mergeCell ref="ARQ23:ART23"/>
    <mergeCell ref="ARU23:ARX23"/>
    <mergeCell ref="ARY23:ASB23"/>
    <mergeCell ref="ASC23:ASF23"/>
    <mergeCell ref="BBM23:BBP23"/>
    <mergeCell ref="BBQ23:BBT23"/>
    <mergeCell ref="BBU23:BBX23"/>
    <mergeCell ref="BBY23:BCB23"/>
    <mergeCell ref="BCC23:BCF23"/>
    <mergeCell ref="BAS23:BAV23"/>
    <mergeCell ref="BAW23:BAZ23"/>
    <mergeCell ref="BBA23:BBD23"/>
    <mergeCell ref="BBE23:BBH23"/>
    <mergeCell ref="BBI23:BBL23"/>
    <mergeCell ref="AZY23:BAB23"/>
    <mergeCell ref="BAC23:BAF23"/>
    <mergeCell ref="BAG23:BAJ23"/>
    <mergeCell ref="BAK23:BAN23"/>
    <mergeCell ref="BAO23:BAR23"/>
    <mergeCell ref="AZE23:AZH23"/>
    <mergeCell ref="AZI23:AZL23"/>
    <mergeCell ref="AZM23:AZP23"/>
    <mergeCell ref="AZQ23:AZT23"/>
    <mergeCell ref="AZU23:AZX23"/>
    <mergeCell ref="AYK23:AYN23"/>
    <mergeCell ref="AYO23:AYR23"/>
    <mergeCell ref="AYS23:AYV23"/>
    <mergeCell ref="AYW23:AYZ23"/>
    <mergeCell ref="AZA23:AZD23"/>
    <mergeCell ref="AXQ23:AXT23"/>
    <mergeCell ref="AXU23:AXX23"/>
    <mergeCell ref="AXY23:AYB23"/>
    <mergeCell ref="AYC23:AYF23"/>
    <mergeCell ref="AYG23:AYJ23"/>
    <mergeCell ref="AWW23:AWZ23"/>
    <mergeCell ref="AXA23:AXD23"/>
    <mergeCell ref="AXE23:AXH23"/>
    <mergeCell ref="AXI23:AXL23"/>
    <mergeCell ref="AXM23:AXP23"/>
    <mergeCell ref="BGW23:BGZ23"/>
    <mergeCell ref="BHA23:BHD23"/>
    <mergeCell ref="BHE23:BHH23"/>
    <mergeCell ref="BHI23:BHL23"/>
    <mergeCell ref="BHM23:BHP23"/>
    <mergeCell ref="BGC23:BGF23"/>
    <mergeCell ref="BGG23:BGJ23"/>
    <mergeCell ref="BGK23:BGN23"/>
    <mergeCell ref="BGO23:BGR23"/>
    <mergeCell ref="BGS23:BGV23"/>
    <mergeCell ref="BFI23:BFL23"/>
    <mergeCell ref="BFM23:BFP23"/>
    <mergeCell ref="BFQ23:BFT23"/>
    <mergeCell ref="BFU23:BFX23"/>
    <mergeCell ref="BFY23:BGB23"/>
    <mergeCell ref="BEO23:BER23"/>
    <mergeCell ref="BES23:BEV23"/>
    <mergeCell ref="BEW23:BEZ23"/>
    <mergeCell ref="BFA23:BFD23"/>
    <mergeCell ref="BFE23:BFH23"/>
    <mergeCell ref="BDU23:BDX23"/>
    <mergeCell ref="BDY23:BEB23"/>
    <mergeCell ref="BEC23:BEF23"/>
    <mergeCell ref="BEG23:BEJ23"/>
    <mergeCell ref="BEK23:BEN23"/>
    <mergeCell ref="BDA23:BDD23"/>
    <mergeCell ref="BDE23:BDH23"/>
    <mergeCell ref="BDI23:BDL23"/>
    <mergeCell ref="BDM23:BDP23"/>
    <mergeCell ref="BDQ23:BDT23"/>
    <mergeCell ref="BCG23:BCJ23"/>
    <mergeCell ref="BCK23:BCN23"/>
    <mergeCell ref="BCO23:BCR23"/>
    <mergeCell ref="BCS23:BCV23"/>
    <mergeCell ref="BCW23:BCZ23"/>
    <mergeCell ref="BMG23:BMJ23"/>
    <mergeCell ref="BMK23:BMN23"/>
    <mergeCell ref="BMO23:BMR23"/>
    <mergeCell ref="BMS23:BMV23"/>
    <mergeCell ref="BMW23:BMZ23"/>
    <mergeCell ref="BLM23:BLP23"/>
    <mergeCell ref="BLQ23:BLT23"/>
    <mergeCell ref="BLU23:BLX23"/>
    <mergeCell ref="BLY23:BMB23"/>
    <mergeCell ref="BMC23:BMF23"/>
    <mergeCell ref="BKS23:BKV23"/>
    <mergeCell ref="BKW23:BKZ23"/>
    <mergeCell ref="BLA23:BLD23"/>
    <mergeCell ref="BLE23:BLH23"/>
    <mergeCell ref="BLI23:BLL23"/>
    <mergeCell ref="BJY23:BKB23"/>
    <mergeCell ref="BKC23:BKF23"/>
    <mergeCell ref="BKG23:BKJ23"/>
    <mergeCell ref="BKK23:BKN23"/>
    <mergeCell ref="BKO23:BKR23"/>
    <mergeCell ref="BJE23:BJH23"/>
    <mergeCell ref="BJI23:BJL23"/>
    <mergeCell ref="BJM23:BJP23"/>
    <mergeCell ref="BJQ23:BJT23"/>
    <mergeCell ref="BJU23:BJX23"/>
    <mergeCell ref="BIK23:BIN23"/>
    <mergeCell ref="BIO23:BIR23"/>
    <mergeCell ref="BIS23:BIV23"/>
    <mergeCell ref="BIW23:BIZ23"/>
    <mergeCell ref="BJA23:BJD23"/>
    <mergeCell ref="BHQ23:BHT23"/>
    <mergeCell ref="BHU23:BHX23"/>
    <mergeCell ref="BHY23:BIB23"/>
    <mergeCell ref="BIC23:BIF23"/>
    <mergeCell ref="BIG23:BIJ23"/>
    <mergeCell ref="BRQ23:BRT23"/>
    <mergeCell ref="BRU23:BRX23"/>
    <mergeCell ref="BRY23:BSB23"/>
    <mergeCell ref="BSC23:BSF23"/>
    <mergeCell ref="BSG23:BSJ23"/>
    <mergeCell ref="BQW23:BQZ23"/>
    <mergeCell ref="BRA23:BRD23"/>
    <mergeCell ref="BRE23:BRH23"/>
    <mergeCell ref="BRI23:BRL23"/>
    <mergeCell ref="BRM23:BRP23"/>
    <mergeCell ref="BQC23:BQF23"/>
    <mergeCell ref="BQG23:BQJ23"/>
    <mergeCell ref="BQK23:BQN23"/>
    <mergeCell ref="BQO23:BQR23"/>
    <mergeCell ref="BQS23:BQV23"/>
    <mergeCell ref="BPI23:BPL23"/>
    <mergeCell ref="BPM23:BPP23"/>
    <mergeCell ref="BPQ23:BPT23"/>
    <mergeCell ref="BPU23:BPX23"/>
    <mergeCell ref="BPY23:BQB23"/>
    <mergeCell ref="BOO23:BOR23"/>
    <mergeCell ref="BOS23:BOV23"/>
    <mergeCell ref="BOW23:BOZ23"/>
    <mergeCell ref="BPA23:BPD23"/>
    <mergeCell ref="BPE23:BPH23"/>
    <mergeCell ref="BNU23:BNX23"/>
    <mergeCell ref="BNY23:BOB23"/>
    <mergeCell ref="BOC23:BOF23"/>
    <mergeCell ref="BOG23:BOJ23"/>
    <mergeCell ref="BOK23:BON23"/>
    <mergeCell ref="BNA23:BND23"/>
    <mergeCell ref="BNE23:BNH23"/>
    <mergeCell ref="BNI23:BNL23"/>
    <mergeCell ref="BNM23:BNP23"/>
    <mergeCell ref="BNQ23:BNT23"/>
    <mergeCell ref="BXA23:BXD23"/>
    <mergeCell ref="BXE23:BXH23"/>
    <mergeCell ref="BXI23:BXL23"/>
    <mergeCell ref="BXM23:BXP23"/>
    <mergeCell ref="BXQ23:BXT23"/>
    <mergeCell ref="BWG23:BWJ23"/>
    <mergeCell ref="BWK23:BWN23"/>
    <mergeCell ref="BWO23:BWR23"/>
    <mergeCell ref="BWS23:BWV23"/>
    <mergeCell ref="BWW23:BWZ23"/>
    <mergeCell ref="BVM23:BVP23"/>
    <mergeCell ref="BVQ23:BVT23"/>
    <mergeCell ref="BVU23:BVX23"/>
    <mergeCell ref="BVY23:BWB23"/>
    <mergeCell ref="BWC23:BWF23"/>
    <mergeCell ref="BUS23:BUV23"/>
    <mergeCell ref="BUW23:BUZ23"/>
    <mergeCell ref="BVA23:BVD23"/>
    <mergeCell ref="BVE23:BVH23"/>
    <mergeCell ref="BVI23:BVL23"/>
    <mergeCell ref="BTY23:BUB23"/>
    <mergeCell ref="BUC23:BUF23"/>
    <mergeCell ref="BUG23:BUJ23"/>
    <mergeCell ref="BUK23:BUN23"/>
    <mergeCell ref="BUO23:BUR23"/>
    <mergeCell ref="BTE23:BTH23"/>
    <mergeCell ref="BTI23:BTL23"/>
    <mergeCell ref="BTM23:BTP23"/>
    <mergeCell ref="BTQ23:BTT23"/>
    <mergeCell ref="BTU23:BTX23"/>
    <mergeCell ref="BSK23:BSN23"/>
    <mergeCell ref="BSO23:BSR23"/>
    <mergeCell ref="BSS23:BSV23"/>
    <mergeCell ref="BSW23:BSZ23"/>
    <mergeCell ref="BTA23:BTD23"/>
    <mergeCell ref="CCK23:CCN23"/>
    <mergeCell ref="CCO23:CCR23"/>
    <mergeCell ref="CCS23:CCV23"/>
    <mergeCell ref="CCW23:CCZ23"/>
    <mergeCell ref="CDA23:CDD23"/>
    <mergeCell ref="CBQ23:CBT23"/>
    <mergeCell ref="CBU23:CBX23"/>
    <mergeCell ref="CBY23:CCB23"/>
    <mergeCell ref="CCC23:CCF23"/>
    <mergeCell ref="CCG23:CCJ23"/>
    <mergeCell ref="CAW23:CAZ23"/>
    <mergeCell ref="CBA23:CBD23"/>
    <mergeCell ref="CBE23:CBH23"/>
    <mergeCell ref="CBI23:CBL23"/>
    <mergeCell ref="CBM23:CBP23"/>
    <mergeCell ref="CAC23:CAF23"/>
    <mergeCell ref="CAG23:CAJ23"/>
    <mergeCell ref="CAK23:CAN23"/>
    <mergeCell ref="CAO23:CAR23"/>
    <mergeCell ref="CAS23:CAV23"/>
    <mergeCell ref="BZI23:BZL23"/>
    <mergeCell ref="BZM23:BZP23"/>
    <mergeCell ref="BZQ23:BZT23"/>
    <mergeCell ref="BZU23:BZX23"/>
    <mergeCell ref="BZY23:CAB23"/>
    <mergeCell ref="BYO23:BYR23"/>
    <mergeCell ref="BYS23:BYV23"/>
    <mergeCell ref="BYW23:BYZ23"/>
    <mergeCell ref="BZA23:BZD23"/>
    <mergeCell ref="BZE23:BZH23"/>
    <mergeCell ref="BXU23:BXX23"/>
    <mergeCell ref="BXY23:BYB23"/>
    <mergeCell ref="BYC23:BYF23"/>
    <mergeCell ref="BYG23:BYJ23"/>
    <mergeCell ref="BYK23:BYN23"/>
    <mergeCell ref="CHU23:CHX23"/>
    <mergeCell ref="CHY23:CIB23"/>
    <mergeCell ref="CIC23:CIF23"/>
    <mergeCell ref="CIG23:CIJ23"/>
    <mergeCell ref="CIK23:CIN23"/>
    <mergeCell ref="CHA23:CHD23"/>
    <mergeCell ref="CHE23:CHH23"/>
    <mergeCell ref="CHI23:CHL23"/>
    <mergeCell ref="CHM23:CHP23"/>
    <mergeCell ref="CHQ23:CHT23"/>
    <mergeCell ref="CGG23:CGJ23"/>
    <mergeCell ref="CGK23:CGN23"/>
    <mergeCell ref="CGO23:CGR23"/>
    <mergeCell ref="CGS23:CGV23"/>
    <mergeCell ref="CGW23:CGZ23"/>
    <mergeCell ref="CFM23:CFP23"/>
    <mergeCell ref="CFQ23:CFT23"/>
    <mergeCell ref="CFU23:CFX23"/>
    <mergeCell ref="CFY23:CGB23"/>
    <mergeCell ref="CGC23:CGF23"/>
    <mergeCell ref="CES23:CEV23"/>
    <mergeCell ref="CEW23:CEZ23"/>
    <mergeCell ref="CFA23:CFD23"/>
    <mergeCell ref="CFE23:CFH23"/>
    <mergeCell ref="CFI23:CFL23"/>
    <mergeCell ref="CDY23:CEB23"/>
    <mergeCell ref="CEC23:CEF23"/>
    <mergeCell ref="CEG23:CEJ23"/>
    <mergeCell ref="CEK23:CEN23"/>
    <mergeCell ref="CEO23:CER23"/>
    <mergeCell ref="CDE23:CDH23"/>
    <mergeCell ref="CDI23:CDL23"/>
    <mergeCell ref="CDM23:CDP23"/>
    <mergeCell ref="CDQ23:CDT23"/>
    <mergeCell ref="CDU23:CDX23"/>
    <mergeCell ref="CNE23:CNH23"/>
    <mergeCell ref="CNI23:CNL23"/>
    <mergeCell ref="CNM23:CNP23"/>
    <mergeCell ref="CNQ23:CNT23"/>
    <mergeCell ref="CNU23:CNX23"/>
    <mergeCell ref="CMK23:CMN23"/>
    <mergeCell ref="CMO23:CMR23"/>
    <mergeCell ref="CMS23:CMV23"/>
    <mergeCell ref="CMW23:CMZ23"/>
    <mergeCell ref="CNA23:CND23"/>
    <mergeCell ref="CLQ23:CLT23"/>
    <mergeCell ref="CLU23:CLX23"/>
    <mergeCell ref="CLY23:CMB23"/>
    <mergeCell ref="CMC23:CMF23"/>
    <mergeCell ref="CMG23:CMJ23"/>
    <mergeCell ref="CKW23:CKZ23"/>
    <mergeCell ref="CLA23:CLD23"/>
    <mergeCell ref="CLE23:CLH23"/>
    <mergeCell ref="CLI23:CLL23"/>
    <mergeCell ref="CLM23:CLP23"/>
    <mergeCell ref="CKC23:CKF23"/>
    <mergeCell ref="CKG23:CKJ23"/>
    <mergeCell ref="CKK23:CKN23"/>
    <mergeCell ref="CKO23:CKR23"/>
    <mergeCell ref="CKS23:CKV23"/>
    <mergeCell ref="CJI23:CJL23"/>
    <mergeCell ref="CJM23:CJP23"/>
    <mergeCell ref="CJQ23:CJT23"/>
    <mergeCell ref="CJU23:CJX23"/>
    <mergeCell ref="CJY23:CKB23"/>
    <mergeCell ref="CIO23:CIR23"/>
    <mergeCell ref="CIS23:CIV23"/>
    <mergeCell ref="CIW23:CIZ23"/>
    <mergeCell ref="CJA23:CJD23"/>
    <mergeCell ref="CJE23:CJH23"/>
    <mergeCell ref="CSO23:CSR23"/>
    <mergeCell ref="CSS23:CSV23"/>
    <mergeCell ref="CSW23:CSZ23"/>
    <mergeCell ref="CTA23:CTD23"/>
    <mergeCell ref="CTE23:CTH23"/>
    <mergeCell ref="CRU23:CRX23"/>
    <mergeCell ref="CRY23:CSB23"/>
    <mergeCell ref="CSC23:CSF23"/>
    <mergeCell ref="CSG23:CSJ23"/>
    <mergeCell ref="CSK23:CSN23"/>
    <mergeCell ref="CRA23:CRD23"/>
    <mergeCell ref="CRE23:CRH23"/>
    <mergeCell ref="CRI23:CRL23"/>
    <mergeCell ref="CRM23:CRP23"/>
    <mergeCell ref="CRQ23:CRT23"/>
    <mergeCell ref="CQG23:CQJ23"/>
    <mergeCell ref="CQK23:CQN23"/>
    <mergeCell ref="CQO23:CQR23"/>
    <mergeCell ref="CQS23:CQV23"/>
    <mergeCell ref="CQW23:CQZ23"/>
    <mergeCell ref="CPM23:CPP23"/>
    <mergeCell ref="CPQ23:CPT23"/>
    <mergeCell ref="CPU23:CPX23"/>
    <mergeCell ref="CPY23:CQB23"/>
    <mergeCell ref="CQC23:CQF23"/>
    <mergeCell ref="COS23:COV23"/>
    <mergeCell ref="COW23:COZ23"/>
    <mergeCell ref="CPA23:CPD23"/>
    <mergeCell ref="CPE23:CPH23"/>
    <mergeCell ref="CPI23:CPL23"/>
    <mergeCell ref="CNY23:COB23"/>
    <mergeCell ref="COC23:COF23"/>
    <mergeCell ref="COG23:COJ23"/>
    <mergeCell ref="COK23:CON23"/>
    <mergeCell ref="COO23:COR23"/>
    <mergeCell ref="CXY23:CYB23"/>
    <mergeCell ref="CYC23:CYF23"/>
    <mergeCell ref="CYG23:CYJ23"/>
    <mergeCell ref="CYK23:CYN23"/>
    <mergeCell ref="CYO23:CYR23"/>
    <mergeCell ref="CXE23:CXH23"/>
    <mergeCell ref="CXI23:CXL23"/>
    <mergeCell ref="CXM23:CXP23"/>
    <mergeCell ref="CXQ23:CXT23"/>
    <mergeCell ref="CXU23:CXX23"/>
    <mergeCell ref="CWK23:CWN23"/>
    <mergeCell ref="CWO23:CWR23"/>
    <mergeCell ref="CWS23:CWV23"/>
    <mergeCell ref="CWW23:CWZ23"/>
    <mergeCell ref="CXA23:CXD23"/>
    <mergeCell ref="CVQ23:CVT23"/>
    <mergeCell ref="CVU23:CVX23"/>
    <mergeCell ref="CVY23:CWB23"/>
    <mergeCell ref="CWC23:CWF23"/>
    <mergeCell ref="CWG23:CWJ23"/>
    <mergeCell ref="CUW23:CUZ23"/>
    <mergeCell ref="CVA23:CVD23"/>
    <mergeCell ref="CVE23:CVH23"/>
    <mergeCell ref="CVI23:CVL23"/>
    <mergeCell ref="CVM23:CVP23"/>
    <mergeCell ref="CUC23:CUF23"/>
    <mergeCell ref="CUG23:CUJ23"/>
    <mergeCell ref="CUK23:CUN23"/>
    <mergeCell ref="CUO23:CUR23"/>
    <mergeCell ref="CUS23:CUV23"/>
    <mergeCell ref="CTI23:CTL23"/>
    <mergeCell ref="CTM23:CTP23"/>
    <mergeCell ref="CTQ23:CTT23"/>
    <mergeCell ref="CTU23:CTX23"/>
    <mergeCell ref="CTY23:CUB23"/>
    <mergeCell ref="DDI23:DDL23"/>
    <mergeCell ref="DDM23:DDP23"/>
    <mergeCell ref="DDQ23:DDT23"/>
    <mergeCell ref="DDU23:DDX23"/>
    <mergeCell ref="DDY23:DEB23"/>
    <mergeCell ref="DCO23:DCR23"/>
    <mergeCell ref="DCS23:DCV23"/>
    <mergeCell ref="DCW23:DCZ23"/>
    <mergeCell ref="DDA23:DDD23"/>
    <mergeCell ref="DDE23:DDH23"/>
    <mergeCell ref="DBU23:DBX23"/>
    <mergeCell ref="DBY23:DCB23"/>
    <mergeCell ref="DCC23:DCF23"/>
    <mergeCell ref="DCG23:DCJ23"/>
    <mergeCell ref="DCK23:DCN23"/>
    <mergeCell ref="DBA23:DBD23"/>
    <mergeCell ref="DBE23:DBH23"/>
    <mergeCell ref="DBI23:DBL23"/>
    <mergeCell ref="DBM23:DBP23"/>
    <mergeCell ref="DBQ23:DBT23"/>
    <mergeCell ref="DAG23:DAJ23"/>
    <mergeCell ref="DAK23:DAN23"/>
    <mergeCell ref="DAO23:DAR23"/>
    <mergeCell ref="DAS23:DAV23"/>
    <mergeCell ref="DAW23:DAZ23"/>
    <mergeCell ref="CZM23:CZP23"/>
    <mergeCell ref="CZQ23:CZT23"/>
    <mergeCell ref="CZU23:CZX23"/>
    <mergeCell ref="CZY23:DAB23"/>
    <mergeCell ref="DAC23:DAF23"/>
    <mergeCell ref="CYS23:CYV23"/>
    <mergeCell ref="CYW23:CYZ23"/>
    <mergeCell ref="CZA23:CZD23"/>
    <mergeCell ref="CZE23:CZH23"/>
    <mergeCell ref="CZI23:CZL23"/>
    <mergeCell ref="DIS23:DIV23"/>
    <mergeCell ref="DIW23:DIZ23"/>
    <mergeCell ref="DJA23:DJD23"/>
    <mergeCell ref="DJE23:DJH23"/>
    <mergeCell ref="DJI23:DJL23"/>
    <mergeCell ref="DHY23:DIB23"/>
    <mergeCell ref="DIC23:DIF23"/>
    <mergeCell ref="DIG23:DIJ23"/>
    <mergeCell ref="DIK23:DIN23"/>
    <mergeCell ref="DIO23:DIR23"/>
    <mergeCell ref="DHE23:DHH23"/>
    <mergeCell ref="DHI23:DHL23"/>
    <mergeCell ref="DHM23:DHP23"/>
    <mergeCell ref="DHQ23:DHT23"/>
    <mergeCell ref="DHU23:DHX23"/>
    <mergeCell ref="DGK23:DGN23"/>
    <mergeCell ref="DGO23:DGR23"/>
    <mergeCell ref="DGS23:DGV23"/>
    <mergeCell ref="DGW23:DGZ23"/>
    <mergeCell ref="DHA23:DHD23"/>
    <mergeCell ref="DFQ23:DFT23"/>
    <mergeCell ref="DFU23:DFX23"/>
    <mergeCell ref="DFY23:DGB23"/>
    <mergeCell ref="DGC23:DGF23"/>
    <mergeCell ref="DGG23:DGJ23"/>
    <mergeCell ref="DEW23:DEZ23"/>
    <mergeCell ref="DFA23:DFD23"/>
    <mergeCell ref="DFE23:DFH23"/>
    <mergeCell ref="DFI23:DFL23"/>
    <mergeCell ref="DFM23:DFP23"/>
    <mergeCell ref="DEC23:DEF23"/>
    <mergeCell ref="DEG23:DEJ23"/>
    <mergeCell ref="DEK23:DEN23"/>
    <mergeCell ref="DEO23:DER23"/>
    <mergeCell ref="DES23:DEV23"/>
    <mergeCell ref="DOC23:DOF23"/>
    <mergeCell ref="DOG23:DOJ23"/>
    <mergeCell ref="DOK23:DON23"/>
    <mergeCell ref="DOO23:DOR23"/>
    <mergeCell ref="DOS23:DOV23"/>
    <mergeCell ref="DNI23:DNL23"/>
    <mergeCell ref="DNM23:DNP23"/>
    <mergeCell ref="DNQ23:DNT23"/>
    <mergeCell ref="DNU23:DNX23"/>
    <mergeCell ref="DNY23:DOB23"/>
    <mergeCell ref="DMO23:DMR23"/>
    <mergeCell ref="DMS23:DMV23"/>
    <mergeCell ref="DMW23:DMZ23"/>
    <mergeCell ref="DNA23:DND23"/>
    <mergeCell ref="DNE23:DNH23"/>
    <mergeCell ref="DLU23:DLX23"/>
    <mergeCell ref="DLY23:DMB23"/>
    <mergeCell ref="DMC23:DMF23"/>
    <mergeCell ref="DMG23:DMJ23"/>
    <mergeCell ref="DMK23:DMN23"/>
    <mergeCell ref="DLA23:DLD23"/>
    <mergeCell ref="DLE23:DLH23"/>
    <mergeCell ref="DLI23:DLL23"/>
    <mergeCell ref="DLM23:DLP23"/>
    <mergeCell ref="DLQ23:DLT23"/>
    <mergeCell ref="DKG23:DKJ23"/>
    <mergeCell ref="DKK23:DKN23"/>
    <mergeCell ref="DKO23:DKR23"/>
    <mergeCell ref="DKS23:DKV23"/>
    <mergeCell ref="DKW23:DKZ23"/>
    <mergeCell ref="DJM23:DJP23"/>
    <mergeCell ref="DJQ23:DJT23"/>
    <mergeCell ref="DJU23:DJX23"/>
    <mergeCell ref="DJY23:DKB23"/>
    <mergeCell ref="DKC23:DKF23"/>
    <mergeCell ref="DTM23:DTP23"/>
    <mergeCell ref="DTQ23:DTT23"/>
    <mergeCell ref="DTU23:DTX23"/>
    <mergeCell ref="DTY23:DUB23"/>
    <mergeCell ref="DUC23:DUF23"/>
    <mergeCell ref="DSS23:DSV23"/>
    <mergeCell ref="DSW23:DSZ23"/>
    <mergeCell ref="DTA23:DTD23"/>
    <mergeCell ref="DTE23:DTH23"/>
    <mergeCell ref="DTI23:DTL23"/>
    <mergeCell ref="DRY23:DSB23"/>
    <mergeCell ref="DSC23:DSF23"/>
    <mergeCell ref="DSG23:DSJ23"/>
    <mergeCell ref="DSK23:DSN23"/>
    <mergeCell ref="DSO23:DSR23"/>
    <mergeCell ref="DRE23:DRH23"/>
    <mergeCell ref="DRI23:DRL23"/>
    <mergeCell ref="DRM23:DRP23"/>
    <mergeCell ref="DRQ23:DRT23"/>
    <mergeCell ref="DRU23:DRX23"/>
    <mergeCell ref="DQK23:DQN23"/>
    <mergeCell ref="DQO23:DQR23"/>
    <mergeCell ref="DQS23:DQV23"/>
    <mergeCell ref="DQW23:DQZ23"/>
    <mergeCell ref="DRA23:DRD23"/>
    <mergeCell ref="DPQ23:DPT23"/>
    <mergeCell ref="DPU23:DPX23"/>
    <mergeCell ref="DPY23:DQB23"/>
    <mergeCell ref="DQC23:DQF23"/>
    <mergeCell ref="DQG23:DQJ23"/>
    <mergeCell ref="DOW23:DOZ23"/>
    <mergeCell ref="DPA23:DPD23"/>
    <mergeCell ref="DPE23:DPH23"/>
    <mergeCell ref="DPI23:DPL23"/>
    <mergeCell ref="DPM23:DPP23"/>
    <mergeCell ref="DYW23:DYZ23"/>
    <mergeCell ref="DZA23:DZD23"/>
    <mergeCell ref="DZE23:DZH23"/>
    <mergeCell ref="DZI23:DZL23"/>
    <mergeCell ref="DZM23:DZP23"/>
    <mergeCell ref="DYC23:DYF23"/>
    <mergeCell ref="DYG23:DYJ23"/>
    <mergeCell ref="DYK23:DYN23"/>
    <mergeCell ref="DYO23:DYR23"/>
    <mergeCell ref="DYS23:DYV23"/>
    <mergeCell ref="DXI23:DXL23"/>
    <mergeCell ref="DXM23:DXP23"/>
    <mergeCell ref="DXQ23:DXT23"/>
    <mergeCell ref="DXU23:DXX23"/>
    <mergeCell ref="DXY23:DYB23"/>
    <mergeCell ref="DWO23:DWR23"/>
    <mergeCell ref="DWS23:DWV23"/>
    <mergeCell ref="DWW23:DWZ23"/>
    <mergeCell ref="DXA23:DXD23"/>
    <mergeCell ref="DXE23:DXH23"/>
    <mergeCell ref="DVU23:DVX23"/>
    <mergeCell ref="DVY23:DWB23"/>
    <mergeCell ref="DWC23:DWF23"/>
    <mergeCell ref="DWG23:DWJ23"/>
    <mergeCell ref="DWK23:DWN23"/>
    <mergeCell ref="DVA23:DVD23"/>
    <mergeCell ref="DVE23:DVH23"/>
    <mergeCell ref="DVI23:DVL23"/>
    <mergeCell ref="DVM23:DVP23"/>
    <mergeCell ref="DVQ23:DVT23"/>
    <mergeCell ref="DUG23:DUJ23"/>
    <mergeCell ref="DUK23:DUN23"/>
    <mergeCell ref="DUO23:DUR23"/>
    <mergeCell ref="DUS23:DUV23"/>
    <mergeCell ref="DUW23:DUZ23"/>
    <mergeCell ref="EEG23:EEJ23"/>
    <mergeCell ref="EEK23:EEN23"/>
    <mergeCell ref="EEO23:EER23"/>
    <mergeCell ref="EES23:EEV23"/>
    <mergeCell ref="EEW23:EEZ23"/>
    <mergeCell ref="EDM23:EDP23"/>
    <mergeCell ref="EDQ23:EDT23"/>
    <mergeCell ref="EDU23:EDX23"/>
    <mergeCell ref="EDY23:EEB23"/>
    <mergeCell ref="EEC23:EEF23"/>
    <mergeCell ref="ECS23:ECV23"/>
    <mergeCell ref="ECW23:ECZ23"/>
    <mergeCell ref="EDA23:EDD23"/>
    <mergeCell ref="EDE23:EDH23"/>
    <mergeCell ref="EDI23:EDL23"/>
    <mergeCell ref="EBY23:ECB23"/>
    <mergeCell ref="ECC23:ECF23"/>
    <mergeCell ref="ECG23:ECJ23"/>
    <mergeCell ref="ECK23:ECN23"/>
    <mergeCell ref="ECO23:ECR23"/>
    <mergeCell ref="EBE23:EBH23"/>
    <mergeCell ref="EBI23:EBL23"/>
    <mergeCell ref="EBM23:EBP23"/>
    <mergeCell ref="EBQ23:EBT23"/>
    <mergeCell ref="EBU23:EBX23"/>
    <mergeCell ref="EAK23:EAN23"/>
    <mergeCell ref="EAO23:EAR23"/>
    <mergeCell ref="EAS23:EAV23"/>
    <mergeCell ref="EAW23:EAZ23"/>
    <mergeCell ref="EBA23:EBD23"/>
    <mergeCell ref="DZQ23:DZT23"/>
    <mergeCell ref="DZU23:DZX23"/>
    <mergeCell ref="DZY23:EAB23"/>
    <mergeCell ref="EAC23:EAF23"/>
    <mergeCell ref="EAG23:EAJ23"/>
    <mergeCell ref="EJQ23:EJT23"/>
    <mergeCell ref="EJU23:EJX23"/>
    <mergeCell ref="EJY23:EKB23"/>
    <mergeCell ref="EKC23:EKF23"/>
    <mergeCell ref="EKG23:EKJ23"/>
    <mergeCell ref="EIW23:EIZ23"/>
    <mergeCell ref="EJA23:EJD23"/>
    <mergeCell ref="EJE23:EJH23"/>
    <mergeCell ref="EJI23:EJL23"/>
    <mergeCell ref="EJM23:EJP23"/>
    <mergeCell ref="EIC23:EIF23"/>
    <mergeCell ref="EIG23:EIJ23"/>
    <mergeCell ref="EIK23:EIN23"/>
    <mergeCell ref="EIO23:EIR23"/>
    <mergeCell ref="EIS23:EIV23"/>
    <mergeCell ref="EHI23:EHL23"/>
    <mergeCell ref="EHM23:EHP23"/>
    <mergeCell ref="EHQ23:EHT23"/>
    <mergeCell ref="EHU23:EHX23"/>
    <mergeCell ref="EHY23:EIB23"/>
    <mergeCell ref="EGO23:EGR23"/>
    <mergeCell ref="EGS23:EGV23"/>
    <mergeCell ref="EGW23:EGZ23"/>
    <mergeCell ref="EHA23:EHD23"/>
    <mergeCell ref="EHE23:EHH23"/>
    <mergeCell ref="EFU23:EFX23"/>
    <mergeCell ref="EFY23:EGB23"/>
    <mergeCell ref="EGC23:EGF23"/>
    <mergeCell ref="EGG23:EGJ23"/>
    <mergeCell ref="EGK23:EGN23"/>
    <mergeCell ref="EFA23:EFD23"/>
    <mergeCell ref="EFE23:EFH23"/>
    <mergeCell ref="EFI23:EFL23"/>
    <mergeCell ref="EFM23:EFP23"/>
    <mergeCell ref="EFQ23:EFT23"/>
    <mergeCell ref="EPA23:EPD23"/>
    <mergeCell ref="EPE23:EPH23"/>
    <mergeCell ref="EPI23:EPL23"/>
    <mergeCell ref="EPM23:EPP23"/>
    <mergeCell ref="EPQ23:EPT23"/>
    <mergeCell ref="EOG23:EOJ23"/>
    <mergeCell ref="EOK23:EON23"/>
    <mergeCell ref="EOO23:EOR23"/>
    <mergeCell ref="EOS23:EOV23"/>
    <mergeCell ref="EOW23:EOZ23"/>
    <mergeCell ref="ENM23:ENP23"/>
    <mergeCell ref="ENQ23:ENT23"/>
    <mergeCell ref="ENU23:ENX23"/>
    <mergeCell ref="ENY23:EOB23"/>
    <mergeCell ref="EOC23:EOF23"/>
    <mergeCell ref="EMS23:EMV23"/>
    <mergeCell ref="EMW23:EMZ23"/>
    <mergeCell ref="ENA23:END23"/>
    <mergeCell ref="ENE23:ENH23"/>
    <mergeCell ref="ENI23:ENL23"/>
    <mergeCell ref="ELY23:EMB23"/>
    <mergeCell ref="EMC23:EMF23"/>
    <mergeCell ref="EMG23:EMJ23"/>
    <mergeCell ref="EMK23:EMN23"/>
    <mergeCell ref="EMO23:EMR23"/>
    <mergeCell ref="ELE23:ELH23"/>
    <mergeCell ref="ELI23:ELL23"/>
    <mergeCell ref="ELM23:ELP23"/>
    <mergeCell ref="ELQ23:ELT23"/>
    <mergeCell ref="ELU23:ELX23"/>
    <mergeCell ref="EKK23:EKN23"/>
    <mergeCell ref="EKO23:EKR23"/>
    <mergeCell ref="EKS23:EKV23"/>
    <mergeCell ref="EKW23:EKZ23"/>
    <mergeCell ref="ELA23:ELD23"/>
    <mergeCell ref="EUK23:EUN23"/>
    <mergeCell ref="EUO23:EUR23"/>
    <mergeCell ref="EUS23:EUV23"/>
    <mergeCell ref="EUW23:EUZ23"/>
    <mergeCell ref="EVA23:EVD23"/>
    <mergeCell ref="ETQ23:ETT23"/>
    <mergeCell ref="ETU23:ETX23"/>
    <mergeCell ref="ETY23:EUB23"/>
    <mergeCell ref="EUC23:EUF23"/>
    <mergeCell ref="EUG23:EUJ23"/>
    <mergeCell ref="ESW23:ESZ23"/>
    <mergeCell ref="ETA23:ETD23"/>
    <mergeCell ref="ETE23:ETH23"/>
    <mergeCell ref="ETI23:ETL23"/>
    <mergeCell ref="ETM23:ETP23"/>
    <mergeCell ref="ESC23:ESF23"/>
    <mergeCell ref="ESG23:ESJ23"/>
    <mergeCell ref="ESK23:ESN23"/>
    <mergeCell ref="ESO23:ESR23"/>
    <mergeCell ref="ESS23:ESV23"/>
    <mergeCell ref="ERI23:ERL23"/>
    <mergeCell ref="ERM23:ERP23"/>
    <mergeCell ref="ERQ23:ERT23"/>
    <mergeCell ref="ERU23:ERX23"/>
    <mergeCell ref="ERY23:ESB23"/>
    <mergeCell ref="EQO23:EQR23"/>
    <mergeCell ref="EQS23:EQV23"/>
    <mergeCell ref="EQW23:EQZ23"/>
    <mergeCell ref="ERA23:ERD23"/>
    <mergeCell ref="ERE23:ERH23"/>
    <mergeCell ref="EPU23:EPX23"/>
    <mergeCell ref="EPY23:EQB23"/>
    <mergeCell ref="EQC23:EQF23"/>
    <mergeCell ref="EQG23:EQJ23"/>
    <mergeCell ref="EQK23:EQN23"/>
    <mergeCell ref="EZU23:EZX23"/>
    <mergeCell ref="EZY23:FAB23"/>
    <mergeCell ref="FAC23:FAF23"/>
    <mergeCell ref="FAG23:FAJ23"/>
    <mergeCell ref="FAK23:FAN23"/>
    <mergeCell ref="EZA23:EZD23"/>
    <mergeCell ref="EZE23:EZH23"/>
    <mergeCell ref="EZI23:EZL23"/>
    <mergeCell ref="EZM23:EZP23"/>
    <mergeCell ref="EZQ23:EZT23"/>
    <mergeCell ref="EYG23:EYJ23"/>
    <mergeCell ref="EYK23:EYN23"/>
    <mergeCell ref="EYO23:EYR23"/>
    <mergeCell ref="EYS23:EYV23"/>
    <mergeCell ref="EYW23:EYZ23"/>
    <mergeCell ref="EXM23:EXP23"/>
    <mergeCell ref="EXQ23:EXT23"/>
    <mergeCell ref="EXU23:EXX23"/>
    <mergeCell ref="EXY23:EYB23"/>
    <mergeCell ref="EYC23:EYF23"/>
    <mergeCell ref="EWS23:EWV23"/>
    <mergeCell ref="EWW23:EWZ23"/>
    <mergeCell ref="EXA23:EXD23"/>
    <mergeCell ref="EXE23:EXH23"/>
    <mergeCell ref="EXI23:EXL23"/>
    <mergeCell ref="EVY23:EWB23"/>
    <mergeCell ref="EWC23:EWF23"/>
    <mergeCell ref="EWG23:EWJ23"/>
    <mergeCell ref="EWK23:EWN23"/>
    <mergeCell ref="EWO23:EWR23"/>
    <mergeCell ref="EVE23:EVH23"/>
    <mergeCell ref="EVI23:EVL23"/>
    <mergeCell ref="EVM23:EVP23"/>
    <mergeCell ref="EVQ23:EVT23"/>
    <mergeCell ref="EVU23:EVX23"/>
    <mergeCell ref="FFE23:FFH23"/>
    <mergeCell ref="FFI23:FFL23"/>
    <mergeCell ref="FFM23:FFP23"/>
    <mergeCell ref="FFQ23:FFT23"/>
    <mergeCell ref="FFU23:FFX23"/>
    <mergeCell ref="FEK23:FEN23"/>
    <mergeCell ref="FEO23:FER23"/>
    <mergeCell ref="FES23:FEV23"/>
    <mergeCell ref="FEW23:FEZ23"/>
    <mergeCell ref="FFA23:FFD23"/>
    <mergeCell ref="FDQ23:FDT23"/>
    <mergeCell ref="FDU23:FDX23"/>
    <mergeCell ref="FDY23:FEB23"/>
    <mergeCell ref="FEC23:FEF23"/>
    <mergeCell ref="FEG23:FEJ23"/>
    <mergeCell ref="FCW23:FCZ23"/>
    <mergeCell ref="FDA23:FDD23"/>
    <mergeCell ref="FDE23:FDH23"/>
    <mergeCell ref="FDI23:FDL23"/>
    <mergeCell ref="FDM23:FDP23"/>
    <mergeCell ref="FCC23:FCF23"/>
    <mergeCell ref="FCG23:FCJ23"/>
    <mergeCell ref="FCK23:FCN23"/>
    <mergeCell ref="FCO23:FCR23"/>
    <mergeCell ref="FCS23:FCV23"/>
    <mergeCell ref="FBI23:FBL23"/>
    <mergeCell ref="FBM23:FBP23"/>
    <mergeCell ref="FBQ23:FBT23"/>
    <mergeCell ref="FBU23:FBX23"/>
    <mergeCell ref="FBY23:FCB23"/>
    <mergeCell ref="FAO23:FAR23"/>
    <mergeCell ref="FAS23:FAV23"/>
    <mergeCell ref="FAW23:FAZ23"/>
    <mergeCell ref="FBA23:FBD23"/>
    <mergeCell ref="FBE23:FBH23"/>
    <mergeCell ref="FKO23:FKR23"/>
    <mergeCell ref="FKS23:FKV23"/>
    <mergeCell ref="FKW23:FKZ23"/>
    <mergeCell ref="FLA23:FLD23"/>
    <mergeCell ref="FLE23:FLH23"/>
    <mergeCell ref="FJU23:FJX23"/>
    <mergeCell ref="FJY23:FKB23"/>
    <mergeCell ref="FKC23:FKF23"/>
    <mergeCell ref="FKG23:FKJ23"/>
    <mergeCell ref="FKK23:FKN23"/>
    <mergeCell ref="FJA23:FJD23"/>
    <mergeCell ref="FJE23:FJH23"/>
    <mergeCell ref="FJI23:FJL23"/>
    <mergeCell ref="FJM23:FJP23"/>
    <mergeCell ref="FJQ23:FJT23"/>
    <mergeCell ref="FIG23:FIJ23"/>
    <mergeCell ref="FIK23:FIN23"/>
    <mergeCell ref="FIO23:FIR23"/>
    <mergeCell ref="FIS23:FIV23"/>
    <mergeCell ref="FIW23:FIZ23"/>
    <mergeCell ref="FHM23:FHP23"/>
    <mergeCell ref="FHQ23:FHT23"/>
    <mergeCell ref="FHU23:FHX23"/>
    <mergeCell ref="FHY23:FIB23"/>
    <mergeCell ref="FIC23:FIF23"/>
    <mergeCell ref="FGS23:FGV23"/>
    <mergeCell ref="FGW23:FGZ23"/>
    <mergeCell ref="FHA23:FHD23"/>
    <mergeCell ref="FHE23:FHH23"/>
    <mergeCell ref="FHI23:FHL23"/>
    <mergeCell ref="FFY23:FGB23"/>
    <mergeCell ref="FGC23:FGF23"/>
    <mergeCell ref="FGG23:FGJ23"/>
    <mergeCell ref="FGK23:FGN23"/>
    <mergeCell ref="FGO23:FGR23"/>
    <mergeCell ref="FPY23:FQB23"/>
    <mergeCell ref="FQC23:FQF23"/>
    <mergeCell ref="FQG23:FQJ23"/>
    <mergeCell ref="FQK23:FQN23"/>
    <mergeCell ref="FQO23:FQR23"/>
    <mergeCell ref="FPE23:FPH23"/>
    <mergeCell ref="FPI23:FPL23"/>
    <mergeCell ref="FPM23:FPP23"/>
    <mergeCell ref="FPQ23:FPT23"/>
    <mergeCell ref="FPU23:FPX23"/>
    <mergeCell ref="FOK23:FON23"/>
    <mergeCell ref="FOO23:FOR23"/>
    <mergeCell ref="FOS23:FOV23"/>
    <mergeCell ref="FOW23:FOZ23"/>
    <mergeCell ref="FPA23:FPD23"/>
    <mergeCell ref="FNQ23:FNT23"/>
    <mergeCell ref="FNU23:FNX23"/>
    <mergeCell ref="FNY23:FOB23"/>
    <mergeCell ref="FOC23:FOF23"/>
    <mergeCell ref="FOG23:FOJ23"/>
    <mergeCell ref="FMW23:FMZ23"/>
    <mergeCell ref="FNA23:FND23"/>
    <mergeCell ref="FNE23:FNH23"/>
    <mergeCell ref="FNI23:FNL23"/>
    <mergeCell ref="FNM23:FNP23"/>
    <mergeCell ref="FMC23:FMF23"/>
    <mergeCell ref="FMG23:FMJ23"/>
    <mergeCell ref="FMK23:FMN23"/>
    <mergeCell ref="FMO23:FMR23"/>
    <mergeCell ref="FMS23:FMV23"/>
    <mergeCell ref="FLI23:FLL23"/>
    <mergeCell ref="FLM23:FLP23"/>
    <mergeCell ref="FLQ23:FLT23"/>
    <mergeCell ref="FLU23:FLX23"/>
    <mergeCell ref="FLY23:FMB23"/>
    <mergeCell ref="FVI23:FVL23"/>
    <mergeCell ref="FVM23:FVP23"/>
    <mergeCell ref="FVQ23:FVT23"/>
    <mergeCell ref="FVU23:FVX23"/>
    <mergeCell ref="FVY23:FWB23"/>
    <mergeCell ref="FUO23:FUR23"/>
    <mergeCell ref="FUS23:FUV23"/>
    <mergeCell ref="FUW23:FUZ23"/>
    <mergeCell ref="FVA23:FVD23"/>
    <mergeCell ref="FVE23:FVH23"/>
    <mergeCell ref="FTU23:FTX23"/>
    <mergeCell ref="FTY23:FUB23"/>
    <mergeCell ref="FUC23:FUF23"/>
    <mergeCell ref="FUG23:FUJ23"/>
    <mergeCell ref="FUK23:FUN23"/>
    <mergeCell ref="FTA23:FTD23"/>
    <mergeCell ref="FTE23:FTH23"/>
    <mergeCell ref="FTI23:FTL23"/>
    <mergeCell ref="FTM23:FTP23"/>
    <mergeCell ref="FTQ23:FTT23"/>
    <mergeCell ref="FSG23:FSJ23"/>
    <mergeCell ref="FSK23:FSN23"/>
    <mergeCell ref="FSO23:FSR23"/>
    <mergeCell ref="FSS23:FSV23"/>
    <mergeCell ref="FSW23:FSZ23"/>
    <mergeCell ref="FRM23:FRP23"/>
    <mergeCell ref="FRQ23:FRT23"/>
    <mergeCell ref="FRU23:FRX23"/>
    <mergeCell ref="FRY23:FSB23"/>
    <mergeCell ref="FSC23:FSF23"/>
    <mergeCell ref="FQS23:FQV23"/>
    <mergeCell ref="FQW23:FQZ23"/>
    <mergeCell ref="FRA23:FRD23"/>
    <mergeCell ref="FRE23:FRH23"/>
    <mergeCell ref="FRI23:FRL23"/>
    <mergeCell ref="GAS23:GAV23"/>
    <mergeCell ref="GAW23:GAZ23"/>
    <mergeCell ref="GBA23:GBD23"/>
    <mergeCell ref="GBE23:GBH23"/>
    <mergeCell ref="GBI23:GBL23"/>
    <mergeCell ref="FZY23:GAB23"/>
    <mergeCell ref="GAC23:GAF23"/>
    <mergeCell ref="GAG23:GAJ23"/>
    <mergeCell ref="GAK23:GAN23"/>
    <mergeCell ref="GAO23:GAR23"/>
    <mergeCell ref="FZE23:FZH23"/>
    <mergeCell ref="FZI23:FZL23"/>
    <mergeCell ref="FZM23:FZP23"/>
    <mergeCell ref="FZQ23:FZT23"/>
    <mergeCell ref="FZU23:FZX23"/>
    <mergeCell ref="FYK23:FYN23"/>
    <mergeCell ref="FYO23:FYR23"/>
    <mergeCell ref="FYS23:FYV23"/>
    <mergeCell ref="FYW23:FYZ23"/>
    <mergeCell ref="FZA23:FZD23"/>
    <mergeCell ref="FXQ23:FXT23"/>
    <mergeCell ref="FXU23:FXX23"/>
    <mergeCell ref="FXY23:FYB23"/>
    <mergeCell ref="FYC23:FYF23"/>
    <mergeCell ref="FYG23:FYJ23"/>
    <mergeCell ref="FWW23:FWZ23"/>
    <mergeCell ref="FXA23:FXD23"/>
    <mergeCell ref="FXE23:FXH23"/>
    <mergeCell ref="FXI23:FXL23"/>
    <mergeCell ref="FXM23:FXP23"/>
    <mergeCell ref="FWC23:FWF23"/>
    <mergeCell ref="FWG23:FWJ23"/>
    <mergeCell ref="FWK23:FWN23"/>
    <mergeCell ref="FWO23:FWR23"/>
    <mergeCell ref="FWS23:FWV23"/>
    <mergeCell ref="GGC23:GGF23"/>
    <mergeCell ref="GGG23:GGJ23"/>
    <mergeCell ref="GGK23:GGN23"/>
    <mergeCell ref="GGO23:GGR23"/>
    <mergeCell ref="GGS23:GGV23"/>
    <mergeCell ref="GFI23:GFL23"/>
    <mergeCell ref="GFM23:GFP23"/>
    <mergeCell ref="GFQ23:GFT23"/>
    <mergeCell ref="GFU23:GFX23"/>
    <mergeCell ref="GFY23:GGB23"/>
    <mergeCell ref="GEO23:GER23"/>
    <mergeCell ref="GES23:GEV23"/>
    <mergeCell ref="GEW23:GEZ23"/>
    <mergeCell ref="GFA23:GFD23"/>
    <mergeCell ref="GFE23:GFH23"/>
    <mergeCell ref="GDU23:GDX23"/>
    <mergeCell ref="GDY23:GEB23"/>
    <mergeCell ref="GEC23:GEF23"/>
    <mergeCell ref="GEG23:GEJ23"/>
    <mergeCell ref="GEK23:GEN23"/>
    <mergeCell ref="GDA23:GDD23"/>
    <mergeCell ref="GDE23:GDH23"/>
    <mergeCell ref="GDI23:GDL23"/>
    <mergeCell ref="GDM23:GDP23"/>
    <mergeCell ref="GDQ23:GDT23"/>
    <mergeCell ref="GCG23:GCJ23"/>
    <mergeCell ref="GCK23:GCN23"/>
    <mergeCell ref="GCO23:GCR23"/>
    <mergeCell ref="GCS23:GCV23"/>
    <mergeCell ref="GCW23:GCZ23"/>
    <mergeCell ref="GBM23:GBP23"/>
    <mergeCell ref="GBQ23:GBT23"/>
    <mergeCell ref="GBU23:GBX23"/>
    <mergeCell ref="GBY23:GCB23"/>
    <mergeCell ref="GCC23:GCF23"/>
    <mergeCell ref="GLM23:GLP23"/>
    <mergeCell ref="GLQ23:GLT23"/>
    <mergeCell ref="GLU23:GLX23"/>
    <mergeCell ref="GLY23:GMB23"/>
    <mergeCell ref="GMC23:GMF23"/>
    <mergeCell ref="GKS23:GKV23"/>
    <mergeCell ref="GKW23:GKZ23"/>
    <mergeCell ref="GLA23:GLD23"/>
    <mergeCell ref="GLE23:GLH23"/>
    <mergeCell ref="GLI23:GLL23"/>
    <mergeCell ref="GJY23:GKB23"/>
    <mergeCell ref="GKC23:GKF23"/>
    <mergeCell ref="GKG23:GKJ23"/>
    <mergeCell ref="GKK23:GKN23"/>
    <mergeCell ref="GKO23:GKR23"/>
    <mergeCell ref="GJE23:GJH23"/>
    <mergeCell ref="GJI23:GJL23"/>
    <mergeCell ref="GJM23:GJP23"/>
    <mergeCell ref="GJQ23:GJT23"/>
    <mergeCell ref="GJU23:GJX23"/>
    <mergeCell ref="GIK23:GIN23"/>
    <mergeCell ref="GIO23:GIR23"/>
    <mergeCell ref="GIS23:GIV23"/>
    <mergeCell ref="GIW23:GIZ23"/>
    <mergeCell ref="GJA23:GJD23"/>
    <mergeCell ref="GHQ23:GHT23"/>
    <mergeCell ref="GHU23:GHX23"/>
    <mergeCell ref="GHY23:GIB23"/>
    <mergeCell ref="GIC23:GIF23"/>
    <mergeCell ref="GIG23:GIJ23"/>
    <mergeCell ref="GGW23:GGZ23"/>
    <mergeCell ref="GHA23:GHD23"/>
    <mergeCell ref="GHE23:GHH23"/>
    <mergeCell ref="GHI23:GHL23"/>
    <mergeCell ref="GHM23:GHP23"/>
    <mergeCell ref="GQW23:GQZ23"/>
    <mergeCell ref="GRA23:GRD23"/>
    <mergeCell ref="GRE23:GRH23"/>
    <mergeCell ref="GRI23:GRL23"/>
    <mergeCell ref="GRM23:GRP23"/>
    <mergeCell ref="GQC23:GQF23"/>
    <mergeCell ref="GQG23:GQJ23"/>
    <mergeCell ref="GQK23:GQN23"/>
    <mergeCell ref="GQO23:GQR23"/>
    <mergeCell ref="GQS23:GQV23"/>
    <mergeCell ref="GPI23:GPL23"/>
    <mergeCell ref="GPM23:GPP23"/>
    <mergeCell ref="GPQ23:GPT23"/>
    <mergeCell ref="GPU23:GPX23"/>
    <mergeCell ref="GPY23:GQB23"/>
    <mergeCell ref="GOO23:GOR23"/>
    <mergeCell ref="GOS23:GOV23"/>
    <mergeCell ref="GOW23:GOZ23"/>
    <mergeCell ref="GPA23:GPD23"/>
    <mergeCell ref="GPE23:GPH23"/>
    <mergeCell ref="GNU23:GNX23"/>
    <mergeCell ref="GNY23:GOB23"/>
    <mergeCell ref="GOC23:GOF23"/>
    <mergeCell ref="GOG23:GOJ23"/>
    <mergeCell ref="GOK23:GON23"/>
    <mergeCell ref="GNA23:GND23"/>
    <mergeCell ref="GNE23:GNH23"/>
    <mergeCell ref="GNI23:GNL23"/>
    <mergeCell ref="GNM23:GNP23"/>
    <mergeCell ref="GNQ23:GNT23"/>
    <mergeCell ref="GMG23:GMJ23"/>
    <mergeCell ref="GMK23:GMN23"/>
    <mergeCell ref="GMO23:GMR23"/>
    <mergeCell ref="GMS23:GMV23"/>
    <mergeCell ref="GMW23:GMZ23"/>
    <mergeCell ref="GWG23:GWJ23"/>
    <mergeCell ref="GWK23:GWN23"/>
    <mergeCell ref="GWO23:GWR23"/>
    <mergeCell ref="GWS23:GWV23"/>
    <mergeCell ref="GWW23:GWZ23"/>
    <mergeCell ref="GVM23:GVP23"/>
    <mergeCell ref="GVQ23:GVT23"/>
    <mergeCell ref="GVU23:GVX23"/>
    <mergeCell ref="GVY23:GWB23"/>
    <mergeCell ref="GWC23:GWF23"/>
    <mergeCell ref="GUS23:GUV23"/>
    <mergeCell ref="GUW23:GUZ23"/>
    <mergeCell ref="GVA23:GVD23"/>
    <mergeCell ref="GVE23:GVH23"/>
    <mergeCell ref="GVI23:GVL23"/>
    <mergeCell ref="GTY23:GUB23"/>
    <mergeCell ref="GUC23:GUF23"/>
    <mergeCell ref="GUG23:GUJ23"/>
    <mergeCell ref="GUK23:GUN23"/>
    <mergeCell ref="GUO23:GUR23"/>
    <mergeCell ref="GTE23:GTH23"/>
    <mergeCell ref="GTI23:GTL23"/>
    <mergeCell ref="GTM23:GTP23"/>
    <mergeCell ref="GTQ23:GTT23"/>
    <mergeCell ref="GTU23:GTX23"/>
    <mergeCell ref="GSK23:GSN23"/>
    <mergeCell ref="GSO23:GSR23"/>
    <mergeCell ref="GSS23:GSV23"/>
    <mergeCell ref="GSW23:GSZ23"/>
    <mergeCell ref="GTA23:GTD23"/>
    <mergeCell ref="GRQ23:GRT23"/>
    <mergeCell ref="GRU23:GRX23"/>
    <mergeCell ref="GRY23:GSB23"/>
    <mergeCell ref="GSC23:GSF23"/>
    <mergeCell ref="GSG23:GSJ23"/>
    <mergeCell ref="HBQ23:HBT23"/>
    <mergeCell ref="HBU23:HBX23"/>
    <mergeCell ref="HBY23:HCB23"/>
    <mergeCell ref="HCC23:HCF23"/>
    <mergeCell ref="HCG23:HCJ23"/>
    <mergeCell ref="HAW23:HAZ23"/>
    <mergeCell ref="HBA23:HBD23"/>
    <mergeCell ref="HBE23:HBH23"/>
    <mergeCell ref="HBI23:HBL23"/>
    <mergeCell ref="HBM23:HBP23"/>
    <mergeCell ref="HAC23:HAF23"/>
    <mergeCell ref="HAG23:HAJ23"/>
    <mergeCell ref="HAK23:HAN23"/>
    <mergeCell ref="HAO23:HAR23"/>
    <mergeCell ref="HAS23:HAV23"/>
    <mergeCell ref="GZI23:GZL23"/>
    <mergeCell ref="GZM23:GZP23"/>
    <mergeCell ref="GZQ23:GZT23"/>
    <mergeCell ref="GZU23:GZX23"/>
    <mergeCell ref="GZY23:HAB23"/>
    <mergeCell ref="GYO23:GYR23"/>
    <mergeCell ref="GYS23:GYV23"/>
    <mergeCell ref="GYW23:GYZ23"/>
    <mergeCell ref="GZA23:GZD23"/>
    <mergeCell ref="GZE23:GZH23"/>
    <mergeCell ref="GXU23:GXX23"/>
    <mergeCell ref="GXY23:GYB23"/>
    <mergeCell ref="GYC23:GYF23"/>
    <mergeCell ref="GYG23:GYJ23"/>
    <mergeCell ref="GYK23:GYN23"/>
    <mergeCell ref="GXA23:GXD23"/>
    <mergeCell ref="GXE23:GXH23"/>
    <mergeCell ref="GXI23:GXL23"/>
    <mergeCell ref="GXM23:GXP23"/>
    <mergeCell ref="GXQ23:GXT23"/>
    <mergeCell ref="HHA23:HHD23"/>
    <mergeCell ref="HHE23:HHH23"/>
    <mergeCell ref="HHI23:HHL23"/>
    <mergeCell ref="HHM23:HHP23"/>
    <mergeCell ref="HHQ23:HHT23"/>
    <mergeCell ref="HGG23:HGJ23"/>
    <mergeCell ref="HGK23:HGN23"/>
    <mergeCell ref="HGO23:HGR23"/>
    <mergeCell ref="HGS23:HGV23"/>
    <mergeCell ref="HGW23:HGZ23"/>
    <mergeCell ref="HFM23:HFP23"/>
    <mergeCell ref="HFQ23:HFT23"/>
    <mergeCell ref="HFU23:HFX23"/>
    <mergeCell ref="HFY23:HGB23"/>
    <mergeCell ref="HGC23:HGF23"/>
    <mergeCell ref="HES23:HEV23"/>
    <mergeCell ref="HEW23:HEZ23"/>
    <mergeCell ref="HFA23:HFD23"/>
    <mergeCell ref="HFE23:HFH23"/>
    <mergeCell ref="HFI23:HFL23"/>
    <mergeCell ref="HDY23:HEB23"/>
    <mergeCell ref="HEC23:HEF23"/>
    <mergeCell ref="HEG23:HEJ23"/>
    <mergeCell ref="HEK23:HEN23"/>
    <mergeCell ref="HEO23:HER23"/>
    <mergeCell ref="HDE23:HDH23"/>
    <mergeCell ref="HDI23:HDL23"/>
    <mergeCell ref="HDM23:HDP23"/>
    <mergeCell ref="HDQ23:HDT23"/>
    <mergeCell ref="HDU23:HDX23"/>
    <mergeCell ref="HCK23:HCN23"/>
    <mergeCell ref="HCO23:HCR23"/>
    <mergeCell ref="HCS23:HCV23"/>
    <mergeCell ref="HCW23:HCZ23"/>
    <mergeCell ref="HDA23:HDD23"/>
    <mergeCell ref="HMK23:HMN23"/>
    <mergeCell ref="HMO23:HMR23"/>
    <mergeCell ref="HMS23:HMV23"/>
    <mergeCell ref="HMW23:HMZ23"/>
    <mergeCell ref="HNA23:HND23"/>
    <mergeCell ref="HLQ23:HLT23"/>
    <mergeCell ref="HLU23:HLX23"/>
    <mergeCell ref="HLY23:HMB23"/>
    <mergeCell ref="HMC23:HMF23"/>
    <mergeCell ref="HMG23:HMJ23"/>
    <mergeCell ref="HKW23:HKZ23"/>
    <mergeCell ref="HLA23:HLD23"/>
    <mergeCell ref="HLE23:HLH23"/>
    <mergeCell ref="HLI23:HLL23"/>
    <mergeCell ref="HLM23:HLP23"/>
    <mergeCell ref="HKC23:HKF23"/>
    <mergeCell ref="HKG23:HKJ23"/>
    <mergeCell ref="HKK23:HKN23"/>
    <mergeCell ref="HKO23:HKR23"/>
    <mergeCell ref="HKS23:HKV23"/>
    <mergeCell ref="HJI23:HJL23"/>
    <mergeCell ref="HJM23:HJP23"/>
    <mergeCell ref="HJQ23:HJT23"/>
    <mergeCell ref="HJU23:HJX23"/>
    <mergeCell ref="HJY23:HKB23"/>
    <mergeCell ref="HIO23:HIR23"/>
    <mergeCell ref="HIS23:HIV23"/>
    <mergeCell ref="HIW23:HIZ23"/>
    <mergeCell ref="HJA23:HJD23"/>
    <mergeCell ref="HJE23:HJH23"/>
    <mergeCell ref="HHU23:HHX23"/>
    <mergeCell ref="HHY23:HIB23"/>
    <mergeCell ref="HIC23:HIF23"/>
    <mergeCell ref="HIG23:HIJ23"/>
    <mergeCell ref="HIK23:HIN23"/>
    <mergeCell ref="HRU23:HRX23"/>
    <mergeCell ref="HRY23:HSB23"/>
    <mergeCell ref="HSC23:HSF23"/>
    <mergeCell ref="HSG23:HSJ23"/>
    <mergeCell ref="HSK23:HSN23"/>
    <mergeCell ref="HRA23:HRD23"/>
    <mergeCell ref="HRE23:HRH23"/>
    <mergeCell ref="HRI23:HRL23"/>
    <mergeCell ref="HRM23:HRP23"/>
    <mergeCell ref="HRQ23:HRT23"/>
    <mergeCell ref="HQG23:HQJ23"/>
    <mergeCell ref="HQK23:HQN23"/>
    <mergeCell ref="HQO23:HQR23"/>
    <mergeCell ref="HQS23:HQV23"/>
    <mergeCell ref="HQW23:HQZ23"/>
    <mergeCell ref="HPM23:HPP23"/>
    <mergeCell ref="HPQ23:HPT23"/>
    <mergeCell ref="HPU23:HPX23"/>
    <mergeCell ref="HPY23:HQB23"/>
    <mergeCell ref="HQC23:HQF23"/>
    <mergeCell ref="HOS23:HOV23"/>
    <mergeCell ref="HOW23:HOZ23"/>
    <mergeCell ref="HPA23:HPD23"/>
    <mergeCell ref="HPE23:HPH23"/>
    <mergeCell ref="HPI23:HPL23"/>
    <mergeCell ref="HNY23:HOB23"/>
    <mergeCell ref="HOC23:HOF23"/>
    <mergeCell ref="HOG23:HOJ23"/>
    <mergeCell ref="HOK23:HON23"/>
    <mergeCell ref="HOO23:HOR23"/>
    <mergeCell ref="HNE23:HNH23"/>
    <mergeCell ref="HNI23:HNL23"/>
    <mergeCell ref="HNM23:HNP23"/>
    <mergeCell ref="HNQ23:HNT23"/>
    <mergeCell ref="HNU23:HNX23"/>
    <mergeCell ref="HXE23:HXH23"/>
    <mergeCell ref="HXI23:HXL23"/>
    <mergeCell ref="HXM23:HXP23"/>
    <mergeCell ref="HXQ23:HXT23"/>
    <mergeCell ref="HXU23:HXX23"/>
    <mergeCell ref="HWK23:HWN23"/>
    <mergeCell ref="HWO23:HWR23"/>
    <mergeCell ref="HWS23:HWV23"/>
    <mergeCell ref="HWW23:HWZ23"/>
    <mergeCell ref="HXA23:HXD23"/>
    <mergeCell ref="HVQ23:HVT23"/>
    <mergeCell ref="HVU23:HVX23"/>
    <mergeCell ref="HVY23:HWB23"/>
    <mergeCell ref="HWC23:HWF23"/>
    <mergeCell ref="HWG23:HWJ23"/>
    <mergeCell ref="HUW23:HUZ23"/>
    <mergeCell ref="HVA23:HVD23"/>
    <mergeCell ref="HVE23:HVH23"/>
    <mergeCell ref="HVI23:HVL23"/>
    <mergeCell ref="HVM23:HVP23"/>
    <mergeCell ref="HUC23:HUF23"/>
    <mergeCell ref="HUG23:HUJ23"/>
    <mergeCell ref="HUK23:HUN23"/>
    <mergeCell ref="HUO23:HUR23"/>
    <mergeCell ref="HUS23:HUV23"/>
    <mergeCell ref="HTI23:HTL23"/>
    <mergeCell ref="HTM23:HTP23"/>
    <mergeCell ref="HTQ23:HTT23"/>
    <mergeCell ref="HTU23:HTX23"/>
    <mergeCell ref="HTY23:HUB23"/>
    <mergeCell ref="HSO23:HSR23"/>
    <mergeCell ref="HSS23:HSV23"/>
    <mergeCell ref="HSW23:HSZ23"/>
    <mergeCell ref="HTA23:HTD23"/>
    <mergeCell ref="HTE23:HTH23"/>
    <mergeCell ref="ICO23:ICR23"/>
    <mergeCell ref="ICS23:ICV23"/>
    <mergeCell ref="ICW23:ICZ23"/>
    <mergeCell ref="IDA23:IDD23"/>
    <mergeCell ref="IDE23:IDH23"/>
    <mergeCell ref="IBU23:IBX23"/>
    <mergeCell ref="IBY23:ICB23"/>
    <mergeCell ref="ICC23:ICF23"/>
    <mergeCell ref="ICG23:ICJ23"/>
    <mergeCell ref="ICK23:ICN23"/>
    <mergeCell ref="IBA23:IBD23"/>
    <mergeCell ref="IBE23:IBH23"/>
    <mergeCell ref="IBI23:IBL23"/>
    <mergeCell ref="IBM23:IBP23"/>
    <mergeCell ref="IBQ23:IBT23"/>
    <mergeCell ref="IAG23:IAJ23"/>
    <mergeCell ref="IAK23:IAN23"/>
    <mergeCell ref="IAO23:IAR23"/>
    <mergeCell ref="IAS23:IAV23"/>
    <mergeCell ref="IAW23:IAZ23"/>
    <mergeCell ref="HZM23:HZP23"/>
    <mergeCell ref="HZQ23:HZT23"/>
    <mergeCell ref="HZU23:HZX23"/>
    <mergeCell ref="HZY23:IAB23"/>
    <mergeCell ref="IAC23:IAF23"/>
    <mergeCell ref="HYS23:HYV23"/>
    <mergeCell ref="HYW23:HYZ23"/>
    <mergeCell ref="HZA23:HZD23"/>
    <mergeCell ref="HZE23:HZH23"/>
    <mergeCell ref="HZI23:HZL23"/>
    <mergeCell ref="HXY23:HYB23"/>
    <mergeCell ref="HYC23:HYF23"/>
    <mergeCell ref="HYG23:HYJ23"/>
    <mergeCell ref="HYK23:HYN23"/>
    <mergeCell ref="HYO23:HYR23"/>
    <mergeCell ref="IHY23:IIB23"/>
    <mergeCell ref="IIC23:IIF23"/>
    <mergeCell ref="IIG23:IIJ23"/>
    <mergeCell ref="IIK23:IIN23"/>
    <mergeCell ref="IIO23:IIR23"/>
    <mergeCell ref="IHE23:IHH23"/>
    <mergeCell ref="IHI23:IHL23"/>
    <mergeCell ref="IHM23:IHP23"/>
    <mergeCell ref="IHQ23:IHT23"/>
    <mergeCell ref="IHU23:IHX23"/>
    <mergeCell ref="IGK23:IGN23"/>
    <mergeCell ref="IGO23:IGR23"/>
    <mergeCell ref="IGS23:IGV23"/>
    <mergeCell ref="IGW23:IGZ23"/>
    <mergeCell ref="IHA23:IHD23"/>
    <mergeCell ref="IFQ23:IFT23"/>
    <mergeCell ref="IFU23:IFX23"/>
    <mergeCell ref="IFY23:IGB23"/>
    <mergeCell ref="IGC23:IGF23"/>
    <mergeCell ref="IGG23:IGJ23"/>
    <mergeCell ref="IEW23:IEZ23"/>
    <mergeCell ref="IFA23:IFD23"/>
    <mergeCell ref="IFE23:IFH23"/>
    <mergeCell ref="IFI23:IFL23"/>
    <mergeCell ref="IFM23:IFP23"/>
    <mergeCell ref="IEC23:IEF23"/>
    <mergeCell ref="IEG23:IEJ23"/>
    <mergeCell ref="IEK23:IEN23"/>
    <mergeCell ref="IEO23:IER23"/>
    <mergeCell ref="IES23:IEV23"/>
    <mergeCell ref="IDI23:IDL23"/>
    <mergeCell ref="IDM23:IDP23"/>
    <mergeCell ref="IDQ23:IDT23"/>
    <mergeCell ref="IDU23:IDX23"/>
    <mergeCell ref="IDY23:IEB23"/>
    <mergeCell ref="INI23:INL23"/>
    <mergeCell ref="INM23:INP23"/>
    <mergeCell ref="INQ23:INT23"/>
    <mergeCell ref="INU23:INX23"/>
    <mergeCell ref="INY23:IOB23"/>
    <mergeCell ref="IMO23:IMR23"/>
    <mergeCell ref="IMS23:IMV23"/>
    <mergeCell ref="IMW23:IMZ23"/>
    <mergeCell ref="INA23:IND23"/>
    <mergeCell ref="INE23:INH23"/>
    <mergeCell ref="ILU23:ILX23"/>
    <mergeCell ref="ILY23:IMB23"/>
    <mergeCell ref="IMC23:IMF23"/>
    <mergeCell ref="IMG23:IMJ23"/>
    <mergeCell ref="IMK23:IMN23"/>
    <mergeCell ref="ILA23:ILD23"/>
    <mergeCell ref="ILE23:ILH23"/>
    <mergeCell ref="ILI23:ILL23"/>
    <mergeCell ref="ILM23:ILP23"/>
    <mergeCell ref="ILQ23:ILT23"/>
    <mergeCell ref="IKG23:IKJ23"/>
    <mergeCell ref="IKK23:IKN23"/>
    <mergeCell ref="IKO23:IKR23"/>
    <mergeCell ref="IKS23:IKV23"/>
    <mergeCell ref="IKW23:IKZ23"/>
    <mergeCell ref="IJM23:IJP23"/>
    <mergeCell ref="IJQ23:IJT23"/>
    <mergeCell ref="IJU23:IJX23"/>
    <mergeCell ref="IJY23:IKB23"/>
    <mergeCell ref="IKC23:IKF23"/>
    <mergeCell ref="IIS23:IIV23"/>
    <mergeCell ref="IIW23:IIZ23"/>
    <mergeCell ref="IJA23:IJD23"/>
    <mergeCell ref="IJE23:IJH23"/>
    <mergeCell ref="IJI23:IJL23"/>
    <mergeCell ref="ISS23:ISV23"/>
    <mergeCell ref="ISW23:ISZ23"/>
    <mergeCell ref="ITA23:ITD23"/>
    <mergeCell ref="ITE23:ITH23"/>
    <mergeCell ref="ITI23:ITL23"/>
    <mergeCell ref="IRY23:ISB23"/>
    <mergeCell ref="ISC23:ISF23"/>
    <mergeCell ref="ISG23:ISJ23"/>
    <mergeCell ref="ISK23:ISN23"/>
    <mergeCell ref="ISO23:ISR23"/>
    <mergeCell ref="IRE23:IRH23"/>
    <mergeCell ref="IRI23:IRL23"/>
    <mergeCell ref="IRM23:IRP23"/>
    <mergeCell ref="IRQ23:IRT23"/>
    <mergeCell ref="IRU23:IRX23"/>
    <mergeCell ref="IQK23:IQN23"/>
    <mergeCell ref="IQO23:IQR23"/>
    <mergeCell ref="IQS23:IQV23"/>
    <mergeCell ref="IQW23:IQZ23"/>
    <mergeCell ref="IRA23:IRD23"/>
    <mergeCell ref="IPQ23:IPT23"/>
    <mergeCell ref="IPU23:IPX23"/>
    <mergeCell ref="IPY23:IQB23"/>
    <mergeCell ref="IQC23:IQF23"/>
    <mergeCell ref="IQG23:IQJ23"/>
    <mergeCell ref="IOW23:IOZ23"/>
    <mergeCell ref="IPA23:IPD23"/>
    <mergeCell ref="IPE23:IPH23"/>
    <mergeCell ref="IPI23:IPL23"/>
    <mergeCell ref="IPM23:IPP23"/>
    <mergeCell ref="IOC23:IOF23"/>
    <mergeCell ref="IOG23:IOJ23"/>
    <mergeCell ref="IOK23:ION23"/>
    <mergeCell ref="IOO23:IOR23"/>
    <mergeCell ref="IOS23:IOV23"/>
    <mergeCell ref="IYC23:IYF23"/>
    <mergeCell ref="IYG23:IYJ23"/>
    <mergeCell ref="IYK23:IYN23"/>
    <mergeCell ref="IYO23:IYR23"/>
    <mergeCell ref="IYS23:IYV23"/>
    <mergeCell ref="IXI23:IXL23"/>
    <mergeCell ref="IXM23:IXP23"/>
    <mergeCell ref="IXQ23:IXT23"/>
    <mergeCell ref="IXU23:IXX23"/>
    <mergeCell ref="IXY23:IYB23"/>
    <mergeCell ref="IWO23:IWR23"/>
    <mergeCell ref="IWS23:IWV23"/>
    <mergeCell ref="IWW23:IWZ23"/>
    <mergeCell ref="IXA23:IXD23"/>
    <mergeCell ref="IXE23:IXH23"/>
    <mergeCell ref="IVU23:IVX23"/>
    <mergeCell ref="IVY23:IWB23"/>
    <mergeCell ref="IWC23:IWF23"/>
    <mergeCell ref="IWG23:IWJ23"/>
    <mergeCell ref="IWK23:IWN23"/>
    <mergeCell ref="IVA23:IVD23"/>
    <mergeCell ref="IVE23:IVH23"/>
    <mergeCell ref="IVI23:IVL23"/>
    <mergeCell ref="IVM23:IVP23"/>
    <mergeCell ref="IVQ23:IVT23"/>
    <mergeCell ref="IUG23:IUJ23"/>
    <mergeCell ref="IUK23:IUN23"/>
    <mergeCell ref="IUO23:IUR23"/>
    <mergeCell ref="IUS23:IUV23"/>
    <mergeCell ref="IUW23:IUZ23"/>
    <mergeCell ref="ITM23:ITP23"/>
    <mergeCell ref="ITQ23:ITT23"/>
    <mergeCell ref="ITU23:ITX23"/>
    <mergeCell ref="ITY23:IUB23"/>
    <mergeCell ref="IUC23:IUF23"/>
    <mergeCell ref="JDM23:JDP23"/>
    <mergeCell ref="JDQ23:JDT23"/>
    <mergeCell ref="JDU23:JDX23"/>
    <mergeCell ref="JDY23:JEB23"/>
    <mergeCell ref="JEC23:JEF23"/>
    <mergeCell ref="JCS23:JCV23"/>
    <mergeCell ref="JCW23:JCZ23"/>
    <mergeCell ref="JDA23:JDD23"/>
    <mergeCell ref="JDE23:JDH23"/>
    <mergeCell ref="JDI23:JDL23"/>
    <mergeCell ref="JBY23:JCB23"/>
    <mergeCell ref="JCC23:JCF23"/>
    <mergeCell ref="JCG23:JCJ23"/>
    <mergeCell ref="JCK23:JCN23"/>
    <mergeCell ref="JCO23:JCR23"/>
    <mergeCell ref="JBE23:JBH23"/>
    <mergeCell ref="JBI23:JBL23"/>
    <mergeCell ref="JBM23:JBP23"/>
    <mergeCell ref="JBQ23:JBT23"/>
    <mergeCell ref="JBU23:JBX23"/>
    <mergeCell ref="JAK23:JAN23"/>
    <mergeCell ref="JAO23:JAR23"/>
    <mergeCell ref="JAS23:JAV23"/>
    <mergeCell ref="JAW23:JAZ23"/>
    <mergeCell ref="JBA23:JBD23"/>
    <mergeCell ref="IZQ23:IZT23"/>
    <mergeCell ref="IZU23:IZX23"/>
    <mergeCell ref="IZY23:JAB23"/>
    <mergeCell ref="JAC23:JAF23"/>
    <mergeCell ref="JAG23:JAJ23"/>
    <mergeCell ref="IYW23:IYZ23"/>
    <mergeCell ref="IZA23:IZD23"/>
    <mergeCell ref="IZE23:IZH23"/>
    <mergeCell ref="IZI23:IZL23"/>
    <mergeCell ref="IZM23:IZP23"/>
    <mergeCell ref="JIW23:JIZ23"/>
    <mergeCell ref="JJA23:JJD23"/>
    <mergeCell ref="JJE23:JJH23"/>
    <mergeCell ref="JJI23:JJL23"/>
    <mergeCell ref="JJM23:JJP23"/>
    <mergeCell ref="JIC23:JIF23"/>
    <mergeCell ref="JIG23:JIJ23"/>
    <mergeCell ref="JIK23:JIN23"/>
    <mergeCell ref="JIO23:JIR23"/>
    <mergeCell ref="JIS23:JIV23"/>
    <mergeCell ref="JHI23:JHL23"/>
    <mergeCell ref="JHM23:JHP23"/>
    <mergeCell ref="JHQ23:JHT23"/>
    <mergeCell ref="JHU23:JHX23"/>
    <mergeCell ref="JHY23:JIB23"/>
    <mergeCell ref="JGO23:JGR23"/>
    <mergeCell ref="JGS23:JGV23"/>
    <mergeCell ref="JGW23:JGZ23"/>
    <mergeCell ref="JHA23:JHD23"/>
    <mergeCell ref="JHE23:JHH23"/>
    <mergeCell ref="JFU23:JFX23"/>
    <mergeCell ref="JFY23:JGB23"/>
    <mergeCell ref="JGC23:JGF23"/>
    <mergeCell ref="JGG23:JGJ23"/>
    <mergeCell ref="JGK23:JGN23"/>
    <mergeCell ref="JFA23:JFD23"/>
    <mergeCell ref="JFE23:JFH23"/>
    <mergeCell ref="JFI23:JFL23"/>
    <mergeCell ref="JFM23:JFP23"/>
    <mergeCell ref="JFQ23:JFT23"/>
    <mergeCell ref="JEG23:JEJ23"/>
    <mergeCell ref="JEK23:JEN23"/>
    <mergeCell ref="JEO23:JER23"/>
    <mergeCell ref="JES23:JEV23"/>
    <mergeCell ref="JEW23:JEZ23"/>
    <mergeCell ref="JOG23:JOJ23"/>
    <mergeCell ref="JOK23:JON23"/>
    <mergeCell ref="JOO23:JOR23"/>
    <mergeCell ref="JOS23:JOV23"/>
    <mergeCell ref="JOW23:JOZ23"/>
    <mergeCell ref="JNM23:JNP23"/>
    <mergeCell ref="JNQ23:JNT23"/>
    <mergeCell ref="JNU23:JNX23"/>
    <mergeCell ref="JNY23:JOB23"/>
    <mergeCell ref="JOC23:JOF23"/>
    <mergeCell ref="JMS23:JMV23"/>
    <mergeCell ref="JMW23:JMZ23"/>
    <mergeCell ref="JNA23:JND23"/>
    <mergeCell ref="JNE23:JNH23"/>
    <mergeCell ref="JNI23:JNL23"/>
    <mergeCell ref="JLY23:JMB23"/>
    <mergeCell ref="JMC23:JMF23"/>
    <mergeCell ref="JMG23:JMJ23"/>
    <mergeCell ref="JMK23:JMN23"/>
    <mergeCell ref="JMO23:JMR23"/>
    <mergeCell ref="JLE23:JLH23"/>
    <mergeCell ref="JLI23:JLL23"/>
    <mergeCell ref="JLM23:JLP23"/>
    <mergeCell ref="JLQ23:JLT23"/>
    <mergeCell ref="JLU23:JLX23"/>
    <mergeCell ref="JKK23:JKN23"/>
    <mergeCell ref="JKO23:JKR23"/>
    <mergeCell ref="JKS23:JKV23"/>
    <mergeCell ref="JKW23:JKZ23"/>
    <mergeCell ref="JLA23:JLD23"/>
    <mergeCell ref="JJQ23:JJT23"/>
    <mergeCell ref="JJU23:JJX23"/>
    <mergeCell ref="JJY23:JKB23"/>
    <mergeCell ref="JKC23:JKF23"/>
    <mergeCell ref="JKG23:JKJ23"/>
    <mergeCell ref="JTQ23:JTT23"/>
    <mergeCell ref="JTU23:JTX23"/>
    <mergeCell ref="JTY23:JUB23"/>
    <mergeCell ref="JUC23:JUF23"/>
    <mergeCell ref="JUG23:JUJ23"/>
    <mergeCell ref="JSW23:JSZ23"/>
    <mergeCell ref="JTA23:JTD23"/>
    <mergeCell ref="JTE23:JTH23"/>
    <mergeCell ref="JTI23:JTL23"/>
    <mergeCell ref="JTM23:JTP23"/>
    <mergeCell ref="JSC23:JSF23"/>
    <mergeCell ref="JSG23:JSJ23"/>
    <mergeCell ref="JSK23:JSN23"/>
    <mergeCell ref="JSO23:JSR23"/>
    <mergeCell ref="JSS23:JSV23"/>
    <mergeCell ref="JRI23:JRL23"/>
    <mergeCell ref="JRM23:JRP23"/>
    <mergeCell ref="JRQ23:JRT23"/>
    <mergeCell ref="JRU23:JRX23"/>
    <mergeCell ref="JRY23:JSB23"/>
    <mergeCell ref="JQO23:JQR23"/>
    <mergeCell ref="JQS23:JQV23"/>
    <mergeCell ref="JQW23:JQZ23"/>
    <mergeCell ref="JRA23:JRD23"/>
    <mergeCell ref="JRE23:JRH23"/>
    <mergeCell ref="JPU23:JPX23"/>
    <mergeCell ref="JPY23:JQB23"/>
    <mergeCell ref="JQC23:JQF23"/>
    <mergeCell ref="JQG23:JQJ23"/>
    <mergeCell ref="JQK23:JQN23"/>
    <mergeCell ref="JPA23:JPD23"/>
    <mergeCell ref="JPE23:JPH23"/>
    <mergeCell ref="JPI23:JPL23"/>
    <mergeCell ref="JPM23:JPP23"/>
    <mergeCell ref="JPQ23:JPT23"/>
    <mergeCell ref="JZA23:JZD23"/>
    <mergeCell ref="JZE23:JZH23"/>
    <mergeCell ref="JZI23:JZL23"/>
    <mergeCell ref="JZM23:JZP23"/>
    <mergeCell ref="JZQ23:JZT23"/>
    <mergeCell ref="JYG23:JYJ23"/>
    <mergeCell ref="JYK23:JYN23"/>
    <mergeCell ref="JYO23:JYR23"/>
    <mergeCell ref="JYS23:JYV23"/>
    <mergeCell ref="JYW23:JYZ23"/>
    <mergeCell ref="JXM23:JXP23"/>
    <mergeCell ref="JXQ23:JXT23"/>
    <mergeCell ref="JXU23:JXX23"/>
    <mergeCell ref="JXY23:JYB23"/>
    <mergeCell ref="JYC23:JYF23"/>
    <mergeCell ref="JWS23:JWV23"/>
    <mergeCell ref="JWW23:JWZ23"/>
    <mergeCell ref="JXA23:JXD23"/>
    <mergeCell ref="JXE23:JXH23"/>
    <mergeCell ref="JXI23:JXL23"/>
    <mergeCell ref="JVY23:JWB23"/>
    <mergeCell ref="JWC23:JWF23"/>
    <mergeCell ref="JWG23:JWJ23"/>
    <mergeCell ref="JWK23:JWN23"/>
    <mergeCell ref="JWO23:JWR23"/>
    <mergeCell ref="JVE23:JVH23"/>
    <mergeCell ref="JVI23:JVL23"/>
    <mergeCell ref="JVM23:JVP23"/>
    <mergeCell ref="JVQ23:JVT23"/>
    <mergeCell ref="JVU23:JVX23"/>
    <mergeCell ref="JUK23:JUN23"/>
    <mergeCell ref="JUO23:JUR23"/>
    <mergeCell ref="JUS23:JUV23"/>
    <mergeCell ref="JUW23:JUZ23"/>
    <mergeCell ref="JVA23:JVD23"/>
    <mergeCell ref="KEK23:KEN23"/>
    <mergeCell ref="KEO23:KER23"/>
    <mergeCell ref="KES23:KEV23"/>
    <mergeCell ref="KEW23:KEZ23"/>
    <mergeCell ref="KFA23:KFD23"/>
    <mergeCell ref="KDQ23:KDT23"/>
    <mergeCell ref="KDU23:KDX23"/>
    <mergeCell ref="KDY23:KEB23"/>
    <mergeCell ref="KEC23:KEF23"/>
    <mergeCell ref="KEG23:KEJ23"/>
    <mergeCell ref="KCW23:KCZ23"/>
    <mergeCell ref="KDA23:KDD23"/>
    <mergeCell ref="KDE23:KDH23"/>
    <mergeCell ref="KDI23:KDL23"/>
    <mergeCell ref="KDM23:KDP23"/>
    <mergeCell ref="KCC23:KCF23"/>
    <mergeCell ref="KCG23:KCJ23"/>
    <mergeCell ref="KCK23:KCN23"/>
    <mergeCell ref="KCO23:KCR23"/>
    <mergeCell ref="KCS23:KCV23"/>
    <mergeCell ref="KBI23:KBL23"/>
    <mergeCell ref="KBM23:KBP23"/>
    <mergeCell ref="KBQ23:KBT23"/>
    <mergeCell ref="KBU23:KBX23"/>
    <mergeCell ref="KBY23:KCB23"/>
    <mergeCell ref="KAO23:KAR23"/>
    <mergeCell ref="KAS23:KAV23"/>
    <mergeCell ref="KAW23:KAZ23"/>
    <mergeCell ref="KBA23:KBD23"/>
    <mergeCell ref="KBE23:KBH23"/>
    <mergeCell ref="JZU23:JZX23"/>
    <mergeCell ref="JZY23:KAB23"/>
    <mergeCell ref="KAC23:KAF23"/>
    <mergeCell ref="KAG23:KAJ23"/>
    <mergeCell ref="KAK23:KAN23"/>
    <mergeCell ref="KJU23:KJX23"/>
    <mergeCell ref="KJY23:KKB23"/>
    <mergeCell ref="KKC23:KKF23"/>
    <mergeCell ref="KKG23:KKJ23"/>
    <mergeCell ref="KKK23:KKN23"/>
    <mergeCell ref="KJA23:KJD23"/>
    <mergeCell ref="KJE23:KJH23"/>
    <mergeCell ref="KJI23:KJL23"/>
    <mergeCell ref="KJM23:KJP23"/>
    <mergeCell ref="KJQ23:KJT23"/>
    <mergeCell ref="KIG23:KIJ23"/>
    <mergeCell ref="KIK23:KIN23"/>
    <mergeCell ref="KIO23:KIR23"/>
    <mergeCell ref="KIS23:KIV23"/>
    <mergeCell ref="KIW23:KIZ23"/>
    <mergeCell ref="KHM23:KHP23"/>
    <mergeCell ref="KHQ23:KHT23"/>
    <mergeCell ref="KHU23:KHX23"/>
    <mergeCell ref="KHY23:KIB23"/>
    <mergeCell ref="KIC23:KIF23"/>
    <mergeCell ref="KGS23:KGV23"/>
    <mergeCell ref="KGW23:KGZ23"/>
    <mergeCell ref="KHA23:KHD23"/>
    <mergeCell ref="KHE23:KHH23"/>
    <mergeCell ref="KHI23:KHL23"/>
    <mergeCell ref="KFY23:KGB23"/>
    <mergeCell ref="KGC23:KGF23"/>
    <mergeCell ref="KGG23:KGJ23"/>
    <mergeCell ref="KGK23:KGN23"/>
    <mergeCell ref="KGO23:KGR23"/>
    <mergeCell ref="KFE23:KFH23"/>
    <mergeCell ref="KFI23:KFL23"/>
    <mergeCell ref="KFM23:KFP23"/>
    <mergeCell ref="KFQ23:KFT23"/>
    <mergeCell ref="KFU23:KFX23"/>
    <mergeCell ref="KPE23:KPH23"/>
    <mergeCell ref="KPI23:KPL23"/>
    <mergeCell ref="KPM23:KPP23"/>
    <mergeCell ref="KPQ23:KPT23"/>
    <mergeCell ref="KPU23:KPX23"/>
    <mergeCell ref="KOK23:KON23"/>
    <mergeCell ref="KOO23:KOR23"/>
    <mergeCell ref="KOS23:KOV23"/>
    <mergeCell ref="KOW23:KOZ23"/>
    <mergeCell ref="KPA23:KPD23"/>
    <mergeCell ref="KNQ23:KNT23"/>
    <mergeCell ref="KNU23:KNX23"/>
    <mergeCell ref="KNY23:KOB23"/>
    <mergeCell ref="KOC23:KOF23"/>
    <mergeCell ref="KOG23:KOJ23"/>
    <mergeCell ref="KMW23:KMZ23"/>
    <mergeCell ref="KNA23:KND23"/>
    <mergeCell ref="KNE23:KNH23"/>
    <mergeCell ref="KNI23:KNL23"/>
    <mergeCell ref="KNM23:KNP23"/>
    <mergeCell ref="KMC23:KMF23"/>
    <mergeCell ref="KMG23:KMJ23"/>
    <mergeCell ref="KMK23:KMN23"/>
    <mergeCell ref="KMO23:KMR23"/>
    <mergeCell ref="KMS23:KMV23"/>
    <mergeCell ref="KLI23:KLL23"/>
    <mergeCell ref="KLM23:KLP23"/>
    <mergeCell ref="KLQ23:KLT23"/>
    <mergeCell ref="KLU23:KLX23"/>
    <mergeCell ref="KLY23:KMB23"/>
    <mergeCell ref="KKO23:KKR23"/>
    <mergeCell ref="KKS23:KKV23"/>
    <mergeCell ref="KKW23:KKZ23"/>
    <mergeCell ref="KLA23:KLD23"/>
    <mergeCell ref="KLE23:KLH23"/>
    <mergeCell ref="KUO23:KUR23"/>
    <mergeCell ref="KUS23:KUV23"/>
    <mergeCell ref="KUW23:KUZ23"/>
    <mergeCell ref="KVA23:KVD23"/>
    <mergeCell ref="KVE23:KVH23"/>
    <mergeCell ref="KTU23:KTX23"/>
    <mergeCell ref="KTY23:KUB23"/>
    <mergeCell ref="KUC23:KUF23"/>
    <mergeCell ref="KUG23:KUJ23"/>
    <mergeCell ref="KUK23:KUN23"/>
    <mergeCell ref="KTA23:KTD23"/>
    <mergeCell ref="KTE23:KTH23"/>
    <mergeCell ref="KTI23:KTL23"/>
    <mergeCell ref="KTM23:KTP23"/>
    <mergeCell ref="KTQ23:KTT23"/>
    <mergeCell ref="KSG23:KSJ23"/>
    <mergeCell ref="KSK23:KSN23"/>
    <mergeCell ref="KSO23:KSR23"/>
    <mergeCell ref="KSS23:KSV23"/>
    <mergeCell ref="KSW23:KSZ23"/>
    <mergeCell ref="KRM23:KRP23"/>
    <mergeCell ref="KRQ23:KRT23"/>
    <mergeCell ref="KRU23:KRX23"/>
    <mergeCell ref="KRY23:KSB23"/>
    <mergeCell ref="KSC23:KSF23"/>
    <mergeCell ref="KQS23:KQV23"/>
    <mergeCell ref="KQW23:KQZ23"/>
    <mergeCell ref="KRA23:KRD23"/>
    <mergeCell ref="KRE23:KRH23"/>
    <mergeCell ref="KRI23:KRL23"/>
    <mergeCell ref="KPY23:KQB23"/>
    <mergeCell ref="KQC23:KQF23"/>
    <mergeCell ref="KQG23:KQJ23"/>
    <mergeCell ref="KQK23:KQN23"/>
    <mergeCell ref="KQO23:KQR23"/>
    <mergeCell ref="KZY23:LAB23"/>
    <mergeCell ref="LAC23:LAF23"/>
    <mergeCell ref="LAG23:LAJ23"/>
    <mergeCell ref="LAK23:LAN23"/>
    <mergeCell ref="LAO23:LAR23"/>
    <mergeCell ref="KZE23:KZH23"/>
    <mergeCell ref="KZI23:KZL23"/>
    <mergeCell ref="KZM23:KZP23"/>
    <mergeCell ref="KZQ23:KZT23"/>
    <mergeCell ref="KZU23:KZX23"/>
    <mergeCell ref="KYK23:KYN23"/>
    <mergeCell ref="KYO23:KYR23"/>
    <mergeCell ref="KYS23:KYV23"/>
    <mergeCell ref="KYW23:KYZ23"/>
    <mergeCell ref="KZA23:KZD23"/>
    <mergeCell ref="KXQ23:KXT23"/>
    <mergeCell ref="KXU23:KXX23"/>
    <mergeCell ref="KXY23:KYB23"/>
    <mergeCell ref="KYC23:KYF23"/>
    <mergeCell ref="KYG23:KYJ23"/>
    <mergeCell ref="KWW23:KWZ23"/>
    <mergeCell ref="KXA23:KXD23"/>
    <mergeCell ref="KXE23:KXH23"/>
    <mergeCell ref="KXI23:KXL23"/>
    <mergeCell ref="KXM23:KXP23"/>
    <mergeCell ref="KWC23:KWF23"/>
    <mergeCell ref="KWG23:KWJ23"/>
    <mergeCell ref="KWK23:KWN23"/>
    <mergeCell ref="KWO23:KWR23"/>
    <mergeCell ref="KWS23:KWV23"/>
    <mergeCell ref="KVI23:KVL23"/>
    <mergeCell ref="KVM23:KVP23"/>
    <mergeCell ref="KVQ23:KVT23"/>
    <mergeCell ref="KVU23:KVX23"/>
    <mergeCell ref="KVY23:KWB23"/>
    <mergeCell ref="LFI23:LFL23"/>
    <mergeCell ref="LFM23:LFP23"/>
    <mergeCell ref="LFQ23:LFT23"/>
    <mergeCell ref="LFU23:LFX23"/>
    <mergeCell ref="LFY23:LGB23"/>
    <mergeCell ref="LEO23:LER23"/>
    <mergeCell ref="LES23:LEV23"/>
    <mergeCell ref="LEW23:LEZ23"/>
    <mergeCell ref="LFA23:LFD23"/>
    <mergeCell ref="LFE23:LFH23"/>
    <mergeCell ref="LDU23:LDX23"/>
    <mergeCell ref="LDY23:LEB23"/>
    <mergeCell ref="LEC23:LEF23"/>
    <mergeCell ref="LEG23:LEJ23"/>
    <mergeCell ref="LEK23:LEN23"/>
    <mergeCell ref="LDA23:LDD23"/>
    <mergeCell ref="LDE23:LDH23"/>
    <mergeCell ref="LDI23:LDL23"/>
    <mergeCell ref="LDM23:LDP23"/>
    <mergeCell ref="LDQ23:LDT23"/>
    <mergeCell ref="LCG23:LCJ23"/>
    <mergeCell ref="LCK23:LCN23"/>
    <mergeCell ref="LCO23:LCR23"/>
    <mergeCell ref="LCS23:LCV23"/>
    <mergeCell ref="LCW23:LCZ23"/>
    <mergeCell ref="LBM23:LBP23"/>
    <mergeCell ref="LBQ23:LBT23"/>
    <mergeCell ref="LBU23:LBX23"/>
    <mergeCell ref="LBY23:LCB23"/>
    <mergeCell ref="LCC23:LCF23"/>
    <mergeCell ref="LAS23:LAV23"/>
    <mergeCell ref="LAW23:LAZ23"/>
    <mergeCell ref="LBA23:LBD23"/>
    <mergeCell ref="LBE23:LBH23"/>
    <mergeCell ref="LBI23:LBL23"/>
    <mergeCell ref="LKS23:LKV23"/>
    <mergeCell ref="LKW23:LKZ23"/>
    <mergeCell ref="LLA23:LLD23"/>
    <mergeCell ref="LLE23:LLH23"/>
    <mergeCell ref="LLI23:LLL23"/>
    <mergeCell ref="LJY23:LKB23"/>
    <mergeCell ref="LKC23:LKF23"/>
    <mergeCell ref="LKG23:LKJ23"/>
    <mergeCell ref="LKK23:LKN23"/>
    <mergeCell ref="LKO23:LKR23"/>
    <mergeCell ref="LJE23:LJH23"/>
    <mergeCell ref="LJI23:LJL23"/>
    <mergeCell ref="LJM23:LJP23"/>
    <mergeCell ref="LJQ23:LJT23"/>
    <mergeCell ref="LJU23:LJX23"/>
    <mergeCell ref="LIK23:LIN23"/>
    <mergeCell ref="LIO23:LIR23"/>
    <mergeCell ref="LIS23:LIV23"/>
    <mergeCell ref="LIW23:LIZ23"/>
    <mergeCell ref="LJA23:LJD23"/>
    <mergeCell ref="LHQ23:LHT23"/>
    <mergeCell ref="LHU23:LHX23"/>
    <mergeCell ref="LHY23:LIB23"/>
    <mergeCell ref="LIC23:LIF23"/>
    <mergeCell ref="LIG23:LIJ23"/>
    <mergeCell ref="LGW23:LGZ23"/>
    <mergeCell ref="LHA23:LHD23"/>
    <mergeCell ref="LHE23:LHH23"/>
    <mergeCell ref="LHI23:LHL23"/>
    <mergeCell ref="LHM23:LHP23"/>
    <mergeCell ref="LGC23:LGF23"/>
    <mergeCell ref="LGG23:LGJ23"/>
    <mergeCell ref="LGK23:LGN23"/>
    <mergeCell ref="LGO23:LGR23"/>
    <mergeCell ref="LGS23:LGV23"/>
    <mergeCell ref="LQC23:LQF23"/>
    <mergeCell ref="LQG23:LQJ23"/>
    <mergeCell ref="LQK23:LQN23"/>
    <mergeCell ref="LQO23:LQR23"/>
    <mergeCell ref="LQS23:LQV23"/>
    <mergeCell ref="LPI23:LPL23"/>
    <mergeCell ref="LPM23:LPP23"/>
    <mergeCell ref="LPQ23:LPT23"/>
    <mergeCell ref="LPU23:LPX23"/>
    <mergeCell ref="LPY23:LQB23"/>
    <mergeCell ref="LOO23:LOR23"/>
    <mergeCell ref="LOS23:LOV23"/>
    <mergeCell ref="LOW23:LOZ23"/>
    <mergeCell ref="LPA23:LPD23"/>
    <mergeCell ref="LPE23:LPH23"/>
    <mergeCell ref="LNU23:LNX23"/>
    <mergeCell ref="LNY23:LOB23"/>
    <mergeCell ref="LOC23:LOF23"/>
    <mergeCell ref="LOG23:LOJ23"/>
    <mergeCell ref="LOK23:LON23"/>
    <mergeCell ref="LNA23:LND23"/>
    <mergeCell ref="LNE23:LNH23"/>
    <mergeCell ref="LNI23:LNL23"/>
    <mergeCell ref="LNM23:LNP23"/>
    <mergeCell ref="LNQ23:LNT23"/>
    <mergeCell ref="LMG23:LMJ23"/>
    <mergeCell ref="LMK23:LMN23"/>
    <mergeCell ref="LMO23:LMR23"/>
    <mergeCell ref="LMS23:LMV23"/>
    <mergeCell ref="LMW23:LMZ23"/>
    <mergeCell ref="LLM23:LLP23"/>
    <mergeCell ref="LLQ23:LLT23"/>
    <mergeCell ref="LLU23:LLX23"/>
    <mergeCell ref="LLY23:LMB23"/>
    <mergeCell ref="LMC23:LMF23"/>
    <mergeCell ref="LVM23:LVP23"/>
    <mergeCell ref="LVQ23:LVT23"/>
    <mergeCell ref="LVU23:LVX23"/>
    <mergeCell ref="LVY23:LWB23"/>
    <mergeCell ref="LWC23:LWF23"/>
    <mergeCell ref="LUS23:LUV23"/>
    <mergeCell ref="LUW23:LUZ23"/>
    <mergeCell ref="LVA23:LVD23"/>
    <mergeCell ref="LVE23:LVH23"/>
    <mergeCell ref="LVI23:LVL23"/>
    <mergeCell ref="LTY23:LUB23"/>
    <mergeCell ref="LUC23:LUF23"/>
    <mergeCell ref="LUG23:LUJ23"/>
    <mergeCell ref="LUK23:LUN23"/>
    <mergeCell ref="LUO23:LUR23"/>
    <mergeCell ref="LTE23:LTH23"/>
    <mergeCell ref="LTI23:LTL23"/>
    <mergeCell ref="LTM23:LTP23"/>
    <mergeCell ref="LTQ23:LTT23"/>
    <mergeCell ref="LTU23:LTX23"/>
    <mergeCell ref="LSK23:LSN23"/>
    <mergeCell ref="LSO23:LSR23"/>
    <mergeCell ref="LSS23:LSV23"/>
    <mergeCell ref="LSW23:LSZ23"/>
    <mergeCell ref="LTA23:LTD23"/>
    <mergeCell ref="LRQ23:LRT23"/>
    <mergeCell ref="LRU23:LRX23"/>
    <mergeCell ref="LRY23:LSB23"/>
    <mergeCell ref="LSC23:LSF23"/>
    <mergeCell ref="LSG23:LSJ23"/>
    <mergeCell ref="LQW23:LQZ23"/>
    <mergeCell ref="LRA23:LRD23"/>
    <mergeCell ref="LRE23:LRH23"/>
    <mergeCell ref="LRI23:LRL23"/>
    <mergeCell ref="LRM23:LRP23"/>
    <mergeCell ref="MAW23:MAZ23"/>
    <mergeCell ref="MBA23:MBD23"/>
    <mergeCell ref="MBE23:MBH23"/>
    <mergeCell ref="MBI23:MBL23"/>
    <mergeCell ref="MBM23:MBP23"/>
    <mergeCell ref="MAC23:MAF23"/>
    <mergeCell ref="MAG23:MAJ23"/>
    <mergeCell ref="MAK23:MAN23"/>
    <mergeCell ref="MAO23:MAR23"/>
    <mergeCell ref="MAS23:MAV23"/>
    <mergeCell ref="LZI23:LZL23"/>
    <mergeCell ref="LZM23:LZP23"/>
    <mergeCell ref="LZQ23:LZT23"/>
    <mergeCell ref="LZU23:LZX23"/>
    <mergeCell ref="LZY23:MAB23"/>
    <mergeCell ref="LYO23:LYR23"/>
    <mergeCell ref="LYS23:LYV23"/>
    <mergeCell ref="LYW23:LYZ23"/>
    <mergeCell ref="LZA23:LZD23"/>
    <mergeCell ref="LZE23:LZH23"/>
    <mergeCell ref="LXU23:LXX23"/>
    <mergeCell ref="LXY23:LYB23"/>
    <mergeCell ref="LYC23:LYF23"/>
    <mergeCell ref="LYG23:LYJ23"/>
    <mergeCell ref="LYK23:LYN23"/>
    <mergeCell ref="LXA23:LXD23"/>
    <mergeCell ref="LXE23:LXH23"/>
    <mergeCell ref="LXI23:LXL23"/>
    <mergeCell ref="LXM23:LXP23"/>
    <mergeCell ref="LXQ23:LXT23"/>
    <mergeCell ref="LWG23:LWJ23"/>
    <mergeCell ref="LWK23:LWN23"/>
    <mergeCell ref="LWO23:LWR23"/>
    <mergeCell ref="LWS23:LWV23"/>
    <mergeCell ref="LWW23:LWZ23"/>
    <mergeCell ref="MGG23:MGJ23"/>
    <mergeCell ref="MGK23:MGN23"/>
    <mergeCell ref="MGO23:MGR23"/>
    <mergeCell ref="MGS23:MGV23"/>
    <mergeCell ref="MGW23:MGZ23"/>
    <mergeCell ref="MFM23:MFP23"/>
    <mergeCell ref="MFQ23:MFT23"/>
    <mergeCell ref="MFU23:MFX23"/>
    <mergeCell ref="MFY23:MGB23"/>
    <mergeCell ref="MGC23:MGF23"/>
    <mergeCell ref="MES23:MEV23"/>
    <mergeCell ref="MEW23:MEZ23"/>
    <mergeCell ref="MFA23:MFD23"/>
    <mergeCell ref="MFE23:MFH23"/>
    <mergeCell ref="MFI23:MFL23"/>
    <mergeCell ref="MDY23:MEB23"/>
    <mergeCell ref="MEC23:MEF23"/>
    <mergeCell ref="MEG23:MEJ23"/>
    <mergeCell ref="MEK23:MEN23"/>
    <mergeCell ref="MEO23:MER23"/>
    <mergeCell ref="MDE23:MDH23"/>
    <mergeCell ref="MDI23:MDL23"/>
    <mergeCell ref="MDM23:MDP23"/>
    <mergeCell ref="MDQ23:MDT23"/>
    <mergeCell ref="MDU23:MDX23"/>
    <mergeCell ref="MCK23:MCN23"/>
    <mergeCell ref="MCO23:MCR23"/>
    <mergeCell ref="MCS23:MCV23"/>
    <mergeCell ref="MCW23:MCZ23"/>
    <mergeCell ref="MDA23:MDD23"/>
    <mergeCell ref="MBQ23:MBT23"/>
    <mergeCell ref="MBU23:MBX23"/>
    <mergeCell ref="MBY23:MCB23"/>
    <mergeCell ref="MCC23:MCF23"/>
    <mergeCell ref="MCG23:MCJ23"/>
    <mergeCell ref="MLQ23:MLT23"/>
    <mergeCell ref="MLU23:MLX23"/>
    <mergeCell ref="MLY23:MMB23"/>
    <mergeCell ref="MMC23:MMF23"/>
    <mergeCell ref="MMG23:MMJ23"/>
    <mergeCell ref="MKW23:MKZ23"/>
    <mergeCell ref="MLA23:MLD23"/>
    <mergeCell ref="MLE23:MLH23"/>
    <mergeCell ref="MLI23:MLL23"/>
    <mergeCell ref="MLM23:MLP23"/>
    <mergeCell ref="MKC23:MKF23"/>
    <mergeCell ref="MKG23:MKJ23"/>
    <mergeCell ref="MKK23:MKN23"/>
    <mergeCell ref="MKO23:MKR23"/>
    <mergeCell ref="MKS23:MKV23"/>
    <mergeCell ref="MJI23:MJL23"/>
    <mergeCell ref="MJM23:MJP23"/>
    <mergeCell ref="MJQ23:MJT23"/>
    <mergeCell ref="MJU23:MJX23"/>
    <mergeCell ref="MJY23:MKB23"/>
    <mergeCell ref="MIO23:MIR23"/>
    <mergeCell ref="MIS23:MIV23"/>
    <mergeCell ref="MIW23:MIZ23"/>
    <mergeCell ref="MJA23:MJD23"/>
    <mergeCell ref="MJE23:MJH23"/>
    <mergeCell ref="MHU23:MHX23"/>
    <mergeCell ref="MHY23:MIB23"/>
    <mergeCell ref="MIC23:MIF23"/>
    <mergeCell ref="MIG23:MIJ23"/>
    <mergeCell ref="MIK23:MIN23"/>
    <mergeCell ref="MHA23:MHD23"/>
    <mergeCell ref="MHE23:MHH23"/>
    <mergeCell ref="MHI23:MHL23"/>
    <mergeCell ref="MHM23:MHP23"/>
    <mergeCell ref="MHQ23:MHT23"/>
    <mergeCell ref="MRA23:MRD23"/>
    <mergeCell ref="MRE23:MRH23"/>
    <mergeCell ref="MRI23:MRL23"/>
    <mergeCell ref="MRM23:MRP23"/>
    <mergeCell ref="MRQ23:MRT23"/>
    <mergeCell ref="MQG23:MQJ23"/>
    <mergeCell ref="MQK23:MQN23"/>
    <mergeCell ref="MQO23:MQR23"/>
    <mergeCell ref="MQS23:MQV23"/>
    <mergeCell ref="MQW23:MQZ23"/>
    <mergeCell ref="MPM23:MPP23"/>
    <mergeCell ref="MPQ23:MPT23"/>
    <mergeCell ref="MPU23:MPX23"/>
    <mergeCell ref="MPY23:MQB23"/>
    <mergeCell ref="MQC23:MQF23"/>
    <mergeCell ref="MOS23:MOV23"/>
    <mergeCell ref="MOW23:MOZ23"/>
    <mergeCell ref="MPA23:MPD23"/>
    <mergeCell ref="MPE23:MPH23"/>
    <mergeCell ref="MPI23:MPL23"/>
    <mergeCell ref="MNY23:MOB23"/>
    <mergeCell ref="MOC23:MOF23"/>
    <mergeCell ref="MOG23:MOJ23"/>
    <mergeCell ref="MOK23:MON23"/>
    <mergeCell ref="MOO23:MOR23"/>
    <mergeCell ref="MNE23:MNH23"/>
    <mergeCell ref="MNI23:MNL23"/>
    <mergeCell ref="MNM23:MNP23"/>
    <mergeCell ref="MNQ23:MNT23"/>
    <mergeCell ref="MNU23:MNX23"/>
    <mergeCell ref="MMK23:MMN23"/>
    <mergeCell ref="MMO23:MMR23"/>
    <mergeCell ref="MMS23:MMV23"/>
    <mergeCell ref="MMW23:MMZ23"/>
    <mergeCell ref="MNA23:MND23"/>
    <mergeCell ref="MWK23:MWN23"/>
    <mergeCell ref="MWO23:MWR23"/>
    <mergeCell ref="MWS23:MWV23"/>
    <mergeCell ref="MWW23:MWZ23"/>
    <mergeCell ref="MXA23:MXD23"/>
    <mergeCell ref="MVQ23:MVT23"/>
    <mergeCell ref="MVU23:MVX23"/>
    <mergeCell ref="MVY23:MWB23"/>
    <mergeCell ref="MWC23:MWF23"/>
    <mergeCell ref="MWG23:MWJ23"/>
    <mergeCell ref="MUW23:MUZ23"/>
    <mergeCell ref="MVA23:MVD23"/>
    <mergeCell ref="MVE23:MVH23"/>
    <mergeCell ref="MVI23:MVL23"/>
    <mergeCell ref="MVM23:MVP23"/>
    <mergeCell ref="MUC23:MUF23"/>
    <mergeCell ref="MUG23:MUJ23"/>
    <mergeCell ref="MUK23:MUN23"/>
    <mergeCell ref="MUO23:MUR23"/>
    <mergeCell ref="MUS23:MUV23"/>
    <mergeCell ref="MTI23:MTL23"/>
    <mergeCell ref="MTM23:MTP23"/>
    <mergeCell ref="MTQ23:MTT23"/>
    <mergeCell ref="MTU23:MTX23"/>
    <mergeCell ref="MTY23:MUB23"/>
    <mergeCell ref="MSO23:MSR23"/>
    <mergeCell ref="MSS23:MSV23"/>
    <mergeCell ref="MSW23:MSZ23"/>
    <mergeCell ref="MTA23:MTD23"/>
    <mergeCell ref="MTE23:MTH23"/>
    <mergeCell ref="MRU23:MRX23"/>
    <mergeCell ref="MRY23:MSB23"/>
    <mergeCell ref="MSC23:MSF23"/>
    <mergeCell ref="MSG23:MSJ23"/>
    <mergeCell ref="MSK23:MSN23"/>
    <mergeCell ref="NBU23:NBX23"/>
    <mergeCell ref="NBY23:NCB23"/>
    <mergeCell ref="NCC23:NCF23"/>
    <mergeCell ref="NCG23:NCJ23"/>
    <mergeCell ref="NCK23:NCN23"/>
    <mergeCell ref="NBA23:NBD23"/>
    <mergeCell ref="NBE23:NBH23"/>
    <mergeCell ref="NBI23:NBL23"/>
    <mergeCell ref="NBM23:NBP23"/>
    <mergeCell ref="NBQ23:NBT23"/>
    <mergeCell ref="NAG23:NAJ23"/>
    <mergeCell ref="NAK23:NAN23"/>
    <mergeCell ref="NAO23:NAR23"/>
    <mergeCell ref="NAS23:NAV23"/>
    <mergeCell ref="NAW23:NAZ23"/>
    <mergeCell ref="MZM23:MZP23"/>
    <mergeCell ref="MZQ23:MZT23"/>
    <mergeCell ref="MZU23:MZX23"/>
    <mergeCell ref="MZY23:NAB23"/>
    <mergeCell ref="NAC23:NAF23"/>
    <mergeCell ref="MYS23:MYV23"/>
    <mergeCell ref="MYW23:MYZ23"/>
    <mergeCell ref="MZA23:MZD23"/>
    <mergeCell ref="MZE23:MZH23"/>
    <mergeCell ref="MZI23:MZL23"/>
    <mergeCell ref="MXY23:MYB23"/>
    <mergeCell ref="MYC23:MYF23"/>
    <mergeCell ref="MYG23:MYJ23"/>
    <mergeCell ref="MYK23:MYN23"/>
    <mergeCell ref="MYO23:MYR23"/>
    <mergeCell ref="MXE23:MXH23"/>
    <mergeCell ref="MXI23:MXL23"/>
    <mergeCell ref="MXM23:MXP23"/>
    <mergeCell ref="MXQ23:MXT23"/>
    <mergeCell ref="MXU23:MXX23"/>
    <mergeCell ref="NHE23:NHH23"/>
    <mergeCell ref="NHI23:NHL23"/>
    <mergeCell ref="NHM23:NHP23"/>
    <mergeCell ref="NHQ23:NHT23"/>
    <mergeCell ref="NHU23:NHX23"/>
    <mergeCell ref="NGK23:NGN23"/>
    <mergeCell ref="NGO23:NGR23"/>
    <mergeCell ref="NGS23:NGV23"/>
    <mergeCell ref="NGW23:NGZ23"/>
    <mergeCell ref="NHA23:NHD23"/>
    <mergeCell ref="NFQ23:NFT23"/>
    <mergeCell ref="NFU23:NFX23"/>
    <mergeCell ref="NFY23:NGB23"/>
    <mergeCell ref="NGC23:NGF23"/>
    <mergeCell ref="NGG23:NGJ23"/>
    <mergeCell ref="NEW23:NEZ23"/>
    <mergeCell ref="NFA23:NFD23"/>
    <mergeCell ref="NFE23:NFH23"/>
    <mergeCell ref="NFI23:NFL23"/>
    <mergeCell ref="NFM23:NFP23"/>
    <mergeCell ref="NEC23:NEF23"/>
    <mergeCell ref="NEG23:NEJ23"/>
    <mergeCell ref="NEK23:NEN23"/>
    <mergeCell ref="NEO23:NER23"/>
    <mergeCell ref="NES23:NEV23"/>
    <mergeCell ref="NDI23:NDL23"/>
    <mergeCell ref="NDM23:NDP23"/>
    <mergeCell ref="NDQ23:NDT23"/>
    <mergeCell ref="NDU23:NDX23"/>
    <mergeCell ref="NDY23:NEB23"/>
    <mergeCell ref="NCO23:NCR23"/>
    <mergeCell ref="NCS23:NCV23"/>
    <mergeCell ref="NCW23:NCZ23"/>
    <mergeCell ref="NDA23:NDD23"/>
    <mergeCell ref="NDE23:NDH23"/>
    <mergeCell ref="NMO23:NMR23"/>
    <mergeCell ref="NMS23:NMV23"/>
    <mergeCell ref="NMW23:NMZ23"/>
    <mergeCell ref="NNA23:NND23"/>
    <mergeCell ref="NNE23:NNH23"/>
    <mergeCell ref="NLU23:NLX23"/>
    <mergeCell ref="NLY23:NMB23"/>
    <mergeCell ref="NMC23:NMF23"/>
    <mergeCell ref="NMG23:NMJ23"/>
    <mergeCell ref="NMK23:NMN23"/>
    <mergeCell ref="NLA23:NLD23"/>
    <mergeCell ref="NLE23:NLH23"/>
    <mergeCell ref="NLI23:NLL23"/>
    <mergeCell ref="NLM23:NLP23"/>
    <mergeCell ref="NLQ23:NLT23"/>
    <mergeCell ref="NKG23:NKJ23"/>
    <mergeCell ref="NKK23:NKN23"/>
    <mergeCell ref="NKO23:NKR23"/>
    <mergeCell ref="NKS23:NKV23"/>
    <mergeCell ref="NKW23:NKZ23"/>
    <mergeCell ref="NJM23:NJP23"/>
    <mergeCell ref="NJQ23:NJT23"/>
    <mergeCell ref="NJU23:NJX23"/>
    <mergeCell ref="NJY23:NKB23"/>
    <mergeCell ref="NKC23:NKF23"/>
    <mergeCell ref="NIS23:NIV23"/>
    <mergeCell ref="NIW23:NIZ23"/>
    <mergeCell ref="NJA23:NJD23"/>
    <mergeCell ref="NJE23:NJH23"/>
    <mergeCell ref="NJI23:NJL23"/>
    <mergeCell ref="NHY23:NIB23"/>
    <mergeCell ref="NIC23:NIF23"/>
    <mergeCell ref="NIG23:NIJ23"/>
    <mergeCell ref="NIK23:NIN23"/>
    <mergeCell ref="NIO23:NIR23"/>
    <mergeCell ref="NRY23:NSB23"/>
    <mergeCell ref="NSC23:NSF23"/>
    <mergeCell ref="NSG23:NSJ23"/>
    <mergeCell ref="NSK23:NSN23"/>
    <mergeCell ref="NSO23:NSR23"/>
    <mergeCell ref="NRE23:NRH23"/>
    <mergeCell ref="NRI23:NRL23"/>
    <mergeCell ref="NRM23:NRP23"/>
    <mergeCell ref="NRQ23:NRT23"/>
    <mergeCell ref="NRU23:NRX23"/>
    <mergeCell ref="NQK23:NQN23"/>
    <mergeCell ref="NQO23:NQR23"/>
    <mergeCell ref="NQS23:NQV23"/>
    <mergeCell ref="NQW23:NQZ23"/>
    <mergeCell ref="NRA23:NRD23"/>
    <mergeCell ref="NPQ23:NPT23"/>
    <mergeCell ref="NPU23:NPX23"/>
    <mergeCell ref="NPY23:NQB23"/>
    <mergeCell ref="NQC23:NQF23"/>
    <mergeCell ref="NQG23:NQJ23"/>
    <mergeCell ref="NOW23:NOZ23"/>
    <mergeCell ref="NPA23:NPD23"/>
    <mergeCell ref="NPE23:NPH23"/>
    <mergeCell ref="NPI23:NPL23"/>
    <mergeCell ref="NPM23:NPP23"/>
    <mergeCell ref="NOC23:NOF23"/>
    <mergeCell ref="NOG23:NOJ23"/>
    <mergeCell ref="NOK23:NON23"/>
    <mergeCell ref="NOO23:NOR23"/>
    <mergeCell ref="NOS23:NOV23"/>
    <mergeCell ref="NNI23:NNL23"/>
    <mergeCell ref="NNM23:NNP23"/>
    <mergeCell ref="NNQ23:NNT23"/>
    <mergeCell ref="NNU23:NNX23"/>
    <mergeCell ref="NNY23:NOB23"/>
    <mergeCell ref="NXI23:NXL23"/>
    <mergeCell ref="NXM23:NXP23"/>
    <mergeCell ref="NXQ23:NXT23"/>
    <mergeCell ref="NXU23:NXX23"/>
    <mergeCell ref="NXY23:NYB23"/>
    <mergeCell ref="NWO23:NWR23"/>
    <mergeCell ref="NWS23:NWV23"/>
    <mergeCell ref="NWW23:NWZ23"/>
    <mergeCell ref="NXA23:NXD23"/>
    <mergeCell ref="NXE23:NXH23"/>
    <mergeCell ref="NVU23:NVX23"/>
    <mergeCell ref="NVY23:NWB23"/>
    <mergeCell ref="NWC23:NWF23"/>
    <mergeCell ref="NWG23:NWJ23"/>
    <mergeCell ref="NWK23:NWN23"/>
    <mergeCell ref="NVA23:NVD23"/>
    <mergeCell ref="NVE23:NVH23"/>
    <mergeCell ref="NVI23:NVL23"/>
    <mergeCell ref="NVM23:NVP23"/>
    <mergeCell ref="NVQ23:NVT23"/>
    <mergeCell ref="NUG23:NUJ23"/>
    <mergeCell ref="NUK23:NUN23"/>
    <mergeCell ref="NUO23:NUR23"/>
    <mergeCell ref="NUS23:NUV23"/>
    <mergeCell ref="NUW23:NUZ23"/>
    <mergeCell ref="NTM23:NTP23"/>
    <mergeCell ref="NTQ23:NTT23"/>
    <mergeCell ref="NTU23:NTX23"/>
    <mergeCell ref="NTY23:NUB23"/>
    <mergeCell ref="NUC23:NUF23"/>
    <mergeCell ref="NSS23:NSV23"/>
    <mergeCell ref="NSW23:NSZ23"/>
    <mergeCell ref="NTA23:NTD23"/>
    <mergeCell ref="NTE23:NTH23"/>
    <mergeCell ref="NTI23:NTL23"/>
    <mergeCell ref="OCS23:OCV23"/>
    <mergeCell ref="OCW23:OCZ23"/>
    <mergeCell ref="ODA23:ODD23"/>
    <mergeCell ref="ODE23:ODH23"/>
    <mergeCell ref="ODI23:ODL23"/>
    <mergeCell ref="OBY23:OCB23"/>
    <mergeCell ref="OCC23:OCF23"/>
    <mergeCell ref="OCG23:OCJ23"/>
    <mergeCell ref="OCK23:OCN23"/>
    <mergeCell ref="OCO23:OCR23"/>
    <mergeCell ref="OBE23:OBH23"/>
    <mergeCell ref="OBI23:OBL23"/>
    <mergeCell ref="OBM23:OBP23"/>
    <mergeCell ref="OBQ23:OBT23"/>
    <mergeCell ref="OBU23:OBX23"/>
    <mergeCell ref="OAK23:OAN23"/>
    <mergeCell ref="OAO23:OAR23"/>
    <mergeCell ref="OAS23:OAV23"/>
    <mergeCell ref="OAW23:OAZ23"/>
    <mergeCell ref="OBA23:OBD23"/>
    <mergeCell ref="NZQ23:NZT23"/>
    <mergeCell ref="NZU23:NZX23"/>
    <mergeCell ref="NZY23:OAB23"/>
    <mergeCell ref="OAC23:OAF23"/>
    <mergeCell ref="OAG23:OAJ23"/>
    <mergeCell ref="NYW23:NYZ23"/>
    <mergeCell ref="NZA23:NZD23"/>
    <mergeCell ref="NZE23:NZH23"/>
    <mergeCell ref="NZI23:NZL23"/>
    <mergeCell ref="NZM23:NZP23"/>
    <mergeCell ref="NYC23:NYF23"/>
    <mergeCell ref="NYG23:NYJ23"/>
    <mergeCell ref="NYK23:NYN23"/>
    <mergeCell ref="NYO23:NYR23"/>
    <mergeCell ref="NYS23:NYV23"/>
    <mergeCell ref="OIC23:OIF23"/>
    <mergeCell ref="OIG23:OIJ23"/>
    <mergeCell ref="OIK23:OIN23"/>
    <mergeCell ref="OIO23:OIR23"/>
    <mergeCell ref="OIS23:OIV23"/>
    <mergeCell ref="OHI23:OHL23"/>
    <mergeCell ref="OHM23:OHP23"/>
    <mergeCell ref="OHQ23:OHT23"/>
    <mergeCell ref="OHU23:OHX23"/>
    <mergeCell ref="OHY23:OIB23"/>
    <mergeCell ref="OGO23:OGR23"/>
    <mergeCell ref="OGS23:OGV23"/>
    <mergeCell ref="OGW23:OGZ23"/>
    <mergeCell ref="OHA23:OHD23"/>
    <mergeCell ref="OHE23:OHH23"/>
    <mergeCell ref="OFU23:OFX23"/>
    <mergeCell ref="OFY23:OGB23"/>
    <mergeCell ref="OGC23:OGF23"/>
    <mergeCell ref="OGG23:OGJ23"/>
    <mergeCell ref="OGK23:OGN23"/>
    <mergeCell ref="OFA23:OFD23"/>
    <mergeCell ref="OFE23:OFH23"/>
    <mergeCell ref="OFI23:OFL23"/>
    <mergeCell ref="OFM23:OFP23"/>
    <mergeCell ref="OFQ23:OFT23"/>
    <mergeCell ref="OEG23:OEJ23"/>
    <mergeCell ref="OEK23:OEN23"/>
    <mergeCell ref="OEO23:OER23"/>
    <mergeCell ref="OES23:OEV23"/>
    <mergeCell ref="OEW23:OEZ23"/>
    <mergeCell ref="ODM23:ODP23"/>
    <mergeCell ref="ODQ23:ODT23"/>
    <mergeCell ref="ODU23:ODX23"/>
    <mergeCell ref="ODY23:OEB23"/>
    <mergeCell ref="OEC23:OEF23"/>
    <mergeCell ref="ONM23:ONP23"/>
    <mergeCell ref="ONQ23:ONT23"/>
    <mergeCell ref="ONU23:ONX23"/>
    <mergeCell ref="ONY23:OOB23"/>
    <mergeCell ref="OOC23:OOF23"/>
    <mergeCell ref="OMS23:OMV23"/>
    <mergeCell ref="OMW23:OMZ23"/>
    <mergeCell ref="ONA23:OND23"/>
    <mergeCell ref="ONE23:ONH23"/>
    <mergeCell ref="ONI23:ONL23"/>
    <mergeCell ref="OLY23:OMB23"/>
    <mergeCell ref="OMC23:OMF23"/>
    <mergeCell ref="OMG23:OMJ23"/>
    <mergeCell ref="OMK23:OMN23"/>
    <mergeCell ref="OMO23:OMR23"/>
    <mergeCell ref="OLE23:OLH23"/>
    <mergeCell ref="OLI23:OLL23"/>
    <mergeCell ref="OLM23:OLP23"/>
    <mergeCell ref="OLQ23:OLT23"/>
    <mergeCell ref="OLU23:OLX23"/>
    <mergeCell ref="OKK23:OKN23"/>
    <mergeCell ref="OKO23:OKR23"/>
    <mergeCell ref="OKS23:OKV23"/>
    <mergeCell ref="OKW23:OKZ23"/>
    <mergeCell ref="OLA23:OLD23"/>
    <mergeCell ref="OJQ23:OJT23"/>
    <mergeCell ref="OJU23:OJX23"/>
    <mergeCell ref="OJY23:OKB23"/>
    <mergeCell ref="OKC23:OKF23"/>
    <mergeCell ref="OKG23:OKJ23"/>
    <mergeCell ref="OIW23:OIZ23"/>
    <mergeCell ref="OJA23:OJD23"/>
    <mergeCell ref="OJE23:OJH23"/>
    <mergeCell ref="OJI23:OJL23"/>
    <mergeCell ref="OJM23:OJP23"/>
    <mergeCell ref="OSW23:OSZ23"/>
    <mergeCell ref="OTA23:OTD23"/>
    <mergeCell ref="OTE23:OTH23"/>
    <mergeCell ref="OTI23:OTL23"/>
    <mergeCell ref="OTM23:OTP23"/>
    <mergeCell ref="OSC23:OSF23"/>
    <mergeCell ref="OSG23:OSJ23"/>
    <mergeCell ref="OSK23:OSN23"/>
    <mergeCell ref="OSO23:OSR23"/>
    <mergeCell ref="OSS23:OSV23"/>
    <mergeCell ref="ORI23:ORL23"/>
    <mergeCell ref="ORM23:ORP23"/>
    <mergeCell ref="ORQ23:ORT23"/>
    <mergeCell ref="ORU23:ORX23"/>
    <mergeCell ref="ORY23:OSB23"/>
    <mergeCell ref="OQO23:OQR23"/>
    <mergeCell ref="OQS23:OQV23"/>
    <mergeCell ref="OQW23:OQZ23"/>
    <mergeCell ref="ORA23:ORD23"/>
    <mergeCell ref="ORE23:ORH23"/>
    <mergeCell ref="OPU23:OPX23"/>
    <mergeCell ref="OPY23:OQB23"/>
    <mergeCell ref="OQC23:OQF23"/>
    <mergeCell ref="OQG23:OQJ23"/>
    <mergeCell ref="OQK23:OQN23"/>
    <mergeCell ref="OPA23:OPD23"/>
    <mergeCell ref="OPE23:OPH23"/>
    <mergeCell ref="OPI23:OPL23"/>
    <mergeCell ref="OPM23:OPP23"/>
    <mergeCell ref="OPQ23:OPT23"/>
    <mergeCell ref="OOG23:OOJ23"/>
    <mergeCell ref="OOK23:OON23"/>
    <mergeCell ref="OOO23:OOR23"/>
    <mergeCell ref="OOS23:OOV23"/>
    <mergeCell ref="OOW23:OOZ23"/>
    <mergeCell ref="OYG23:OYJ23"/>
    <mergeCell ref="OYK23:OYN23"/>
    <mergeCell ref="OYO23:OYR23"/>
    <mergeCell ref="OYS23:OYV23"/>
    <mergeCell ref="OYW23:OYZ23"/>
    <mergeCell ref="OXM23:OXP23"/>
    <mergeCell ref="OXQ23:OXT23"/>
    <mergeCell ref="OXU23:OXX23"/>
    <mergeCell ref="OXY23:OYB23"/>
    <mergeCell ref="OYC23:OYF23"/>
    <mergeCell ref="OWS23:OWV23"/>
    <mergeCell ref="OWW23:OWZ23"/>
    <mergeCell ref="OXA23:OXD23"/>
    <mergeCell ref="OXE23:OXH23"/>
    <mergeCell ref="OXI23:OXL23"/>
    <mergeCell ref="OVY23:OWB23"/>
    <mergeCell ref="OWC23:OWF23"/>
    <mergeCell ref="OWG23:OWJ23"/>
    <mergeCell ref="OWK23:OWN23"/>
    <mergeCell ref="OWO23:OWR23"/>
    <mergeCell ref="OVE23:OVH23"/>
    <mergeCell ref="OVI23:OVL23"/>
    <mergeCell ref="OVM23:OVP23"/>
    <mergeCell ref="OVQ23:OVT23"/>
    <mergeCell ref="OVU23:OVX23"/>
    <mergeCell ref="OUK23:OUN23"/>
    <mergeCell ref="OUO23:OUR23"/>
    <mergeCell ref="OUS23:OUV23"/>
    <mergeCell ref="OUW23:OUZ23"/>
    <mergeCell ref="OVA23:OVD23"/>
    <mergeCell ref="OTQ23:OTT23"/>
    <mergeCell ref="OTU23:OTX23"/>
    <mergeCell ref="OTY23:OUB23"/>
    <mergeCell ref="OUC23:OUF23"/>
    <mergeCell ref="OUG23:OUJ23"/>
    <mergeCell ref="PDQ23:PDT23"/>
    <mergeCell ref="PDU23:PDX23"/>
    <mergeCell ref="PDY23:PEB23"/>
    <mergeCell ref="PEC23:PEF23"/>
    <mergeCell ref="PEG23:PEJ23"/>
    <mergeCell ref="PCW23:PCZ23"/>
    <mergeCell ref="PDA23:PDD23"/>
    <mergeCell ref="PDE23:PDH23"/>
    <mergeCell ref="PDI23:PDL23"/>
    <mergeCell ref="PDM23:PDP23"/>
    <mergeCell ref="PCC23:PCF23"/>
    <mergeCell ref="PCG23:PCJ23"/>
    <mergeCell ref="PCK23:PCN23"/>
    <mergeCell ref="PCO23:PCR23"/>
    <mergeCell ref="PCS23:PCV23"/>
    <mergeCell ref="PBI23:PBL23"/>
    <mergeCell ref="PBM23:PBP23"/>
    <mergeCell ref="PBQ23:PBT23"/>
    <mergeCell ref="PBU23:PBX23"/>
    <mergeCell ref="PBY23:PCB23"/>
    <mergeCell ref="PAO23:PAR23"/>
    <mergeCell ref="PAS23:PAV23"/>
    <mergeCell ref="PAW23:PAZ23"/>
    <mergeCell ref="PBA23:PBD23"/>
    <mergeCell ref="PBE23:PBH23"/>
    <mergeCell ref="OZU23:OZX23"/>
    <mergeCell ref="OZY23:PAB23"/>
    <mergeCell ref="PAC23:PAF23"/>
    <mergeCell ref="PAG23:PAJ23"/>
    <mergeCell ref="PAK23:PAN23"/>
    <mergeCell ref="OZA23:OZD23"/>
    <mergeCell ref="OZE23:OZH23"/>
    <mergeCell ref="OZI23:OZL23"/>
    <mergeCell ref="OZM23:OZP23"/>
    <mergeCell ref="OZQ23:OZT23"/>
    <mergeCell ref="PJA23:PJD23"/>
    <mergeCell ref="PJE23:PJH23"/>
    <mergeCell ref="PJI23:PJL23"/>
    <mergeCell ref="PJM23:PJP23"/>
    <mergeCell ref="PJQ23:PJT23"/>
    <mergeCell ref="PIG23:PIJ23"/>
    <mergeCell ref="PIK23:PIN23"/>
    <mergeCell ref="PIO23:PIR23"/>
    <mergeCell ref="PIS23:PIV23"/>
    <mergeCell ref="PIW23:PIZ23"/>
    <mergeCell ref="PHM23:PHP23"/>
    <mergeCell ref="PHQ23:PHT23"/>
    <mergeCell ref="PHU23:PHX23"/>
    <mergeCell ref="PHY23:PIB23"/>
    <mergeCell ref="PIC23:PIF23"/>
    <mergeCell ref="PGS23:PGV23"/>
    <mergeCell ref="PGW23:PGZ23"/>
    <mergeCell ref="PHA23:PHD23"/>
    <mergeCell ref="PHE23:PHH23"/>
    <mergeCell ref="PHI23:PHL23"/>
    <mergeCell ref="PFY23:PGB23"/>
    <mergeCell ref="PGC23:PGF23"/>
    <mergeCell ref="PGG23:PGJ23"/>
    <mergeCell ref="PGK23:PGN23"/>
    <mergeCell ref="PGO23:PGR23"/>
    <mergeCell ref="PFE23:PFH23"/>
    <mergeCell ref="PFI23:PFL23"/>
    <mergeCell ref="PFM23:PFP23"/>
    <mergeCell ref="PFQ23:PFT23"/>
    <mergeCell ref="PFU23:PFX23"/>
    <mergeCell ref="PEK23:PEN23"/>
    <mergeCell ref="PEO23:PER23"/>
    <mergeCell ref="PES23:PEV23"/>
    <mergeCell ref="PEW23:PEZ23"/>
    <mergeCell ref="PFA23:PFD23"/>
    <mergeCell ref="POK23:PON23"/>
    <mergeCell ref="POO23:POR23"/>
    <mergeCell ref="POS23:POV23"/>
    <mergeCell ref="POW23:POZ23"/>
    <mergeCell ref="PPA23:PPD23"/>
    <mergeCell ref="PNQ23:PNT23"/>
    <mergeCell ref="PNU23:PNX23"/>
    <mergeCell ref="PNY23:POB23"/>
    <mergeCell ref="POC23:POF23"/>
    <mergeCell ref="POG23:POJ23"/>
    <mergeCell ref="PMW23:PMZ23"/>
    <mergeCell ref="PNA23:PND23"/>
    <mergeCell ref="PNE23:PNH23"/>
    <mergeCell ref="PNI23:PNL23"/>
    <mergeCell ref="PNM23:PNP23"/>
    <mergeCell ref="PMC23:PMF23"/>
    <mergeCell ref="PMG23:PMJ23"/>
    <mergeCell ref="PMK23:PMN23"/>
    <mergeCell ref="PMO23:PMR23"/>
    <mergeCell ref="PMS23:PMV23"/>
    <mergeCell ref="PLI23:PLL23"/>
    <mergeCell ref="PLM23:PLP23"/>
    <mergeCell ref="PLQ23:PLT23"/>
    <mergeCell ref="PLU23:PLX23"/>
    <mergeCell ref="PLY23:PMB23"/>
    <mergeCell ref="PKO23:PKR23"/>
    <mergeCell ref="PKS23:PKV23"/>
    <mergeCell ref="PKW23:PKZ23"/>
    <mergeCell ref="PLA23:PLD23"/>
    <mergeCell ref="PLE23:PLH23"/>
    <mergeCell ref="PJU23:PJX23"/>
    <mergeCell ref="PJY23:PKB23"/>
    <mergeCell ref="PKC23:PKF23"/>
    <mergeCell ref="PKG23:PKJ23"/>
    <mergeCell ref="PKK23:PKN23"/>
    <mergeCell ref="PTU23:PTX23"/>
    <mergeCell ref="PTY23:PUB23"/>
    <mergeCell ref="PUC23:PUF23"/>
    <mergeCell ref="PUG23:PUJ23"/>
    <mergeCell ref="PUK23:PUN23"/>
    <mergeCell ref="PTA23:PTD23"/>
    <mergeCell ref="PTE23:PTH23"/>
    <mergeCell ref="PTI23:PTL23"/>
    <mergeCell ref="PTM23:PTP23"/>
    <mergeCell ref="PTQ23:PTT23"/>
    <mergeCell ref="PSG23:PSJ23"/>
    <mergeCell ref="PSK23:PSN23"/>
    <mergeCell ref="PSO23:PSR23"/>
    <mergeCell ref="PSS23:PSV23"/>
    <mergeCell ref="PSW23:PSZ23"/>
    <mergeCell ref="PRM23:PRP23"/>
    <mergeCell ref="PRQ23:PRT23"/>
    <mergeCell ref="PRU23:PRX23"/>
    <mergeCell ref="PRY23:PSB23"/>
    <mergeCell ref="PSC23:PSF23"/>
    <mergeCell ref="PQS23:PQV23"/>
    <mergeCell ref="PQW23:PQZ23"/>
    <mergeCell ref="PRA23:PRD23"/>
    <mergeCell ref="PRE23:PRH23"/>
    <mergeCell ref="PRI23:PRL23"/>
    <mergeCell ref="PPY23:PQB23"/>
    <mergeCell ref="PQC23:PQF23"/>
    <mergeCell ref="PQG23:PQJ23"/>
    <mergeCell ref="PQK23:PQN23"/>
    <mergeCell ref="PQO23:PQR23"/>
    <mergeCell ref="PPE23:PPH23"/>
    <mergeCell ref="PPI23:PPL23"/>
    <mergeCell ref="PPM23:PPP23"/>
    <mergeCell ref="PPQ23:PPT23"/>
    <mergeCell ref="PPU23:PPX23"/>
    <mergeCell ref="PZE23:PZH23"/>
    <mergeCell ref="PZI23:PZL23"/>
    <mergeCell ref="PZM23:PZP23"/>
    <mergeCell ref="PZQ23:PZT23"/>
    <mergeCell ref="PZU23:PZX23"/>
    <mergeCell ref="PYK23:PYN23"/>
    <mergeCell ref="PYO23:PYR23"/>
    <mergeCell ref="PYS23:PYV23"/>
    <mergeCell ref="PYW23:PYZ23"/>
    <mergeCell ref="PZA23:PZD23"/>
    <mergeCell ref="PXQ23:PXT23"/>
    <mergeCell ref="PXU23:PXX23"/>
    <mergeCell ref="PXY23:PYB23"/>
    <mergeCell ref="PYC23:PYF23"/>
    <mergeCell ref="PYG23:PYJ23"/>
    <mergeCell ref="PWW23:PWZ23"/>
    <mergeCell ref="PXA23:PXD23"/>
    <mergeCell ref="PXE23:PXH23"/>
    <mergeCell ref="PXI23:PXL23"/>
    <mergeCell ref="PXM23:PXP23"/>
    <mergeCell ref="PWC23:PWF23"/>
    <mergeCell ref="PWG23:PWJ23"/>
    <mergeCell ref="PWK23:PWN23"/>
    <mergeCell ref="PWO23:PWR23"/>
    <mergeCell ref="PWS23:PWV23"/>
    <mergeCell ref="PVI23:PVL23"/>
    <mergeCell ref="PVM23:PVP23"/>
    <mergeCell ref="PVQ23:PVT23"/>
    <mergeCell ref="PVU23:PVX23"/>
    <mergeCell ref="PVY23:PWB23"/>
    <mergeCell ref="PUO23:PUR23"/>
    <mergeCell ref="PUS23:PUV23"/>
    <mergeCell ref="PUW23:PUZ23"/>
    <mergeCell ref="PVA23:PVD23"/>
    <mergeCell ref="PVE23:PVH23"/>
    <mergeCell ref="QEO23:QER23"/>
    <mergeCell ref="QES23:QEV23"/>
    <mergeCell ref="QEW23:QEZ23"/>
    <mergeCell ref="QFA23:QFD23"/>
    <mergeCell ref="QFE23:QFH23"/>
    <mergeCell ref="QDU23:QDX23"/>
    <mergeCell ref="QDY23:QEB23"/>
    <mergeCell ref="QEC23:QEF23"/>
    <mergeCell ref="QEG23:QEJ23"/>
    <mergeCell ref="QEK23:QEN23"/>
    <mergeCell ref="QDA23:QDD23"/>
    <mergeCell ref="QDE23:QDH23"/>
    <mergeCell ref="QDI23:QDL23"/>
    <mergeCell ref="QDM23:QDP23"/>
    <mergeCell ref="QDQ23:QDT23"/>
    <mergeCell ref="QCG23:QCJ23"/>
    <mergeCell ref="QCK23:QCN23"/>
    <mergeCell ref="QCO23:QCR23"/>
    <mergeCell ref="QCS23:QCV23"/>
    <mergeCell ref="QCW23:QCZ23"/>
    <mergeCell ref="QBM23:QBP23"/>
    <mergeCell ref="QBQ23:QBT23"/>
    <mergeCell ref="QBU23:QBX23"/>
    <mergeCell ref="QBY23:QCB23"/>
    <mergeCell ref="QCC23:QCF23"/>
    <mergeCell ref="QAS23:QAV23"/>
    <mergeCell ref="QAW23:QAZ23"/>
    <mergeCell ref="QBA23:QBD23"/>
    <mergeCell ref="QBE23:QBH23"/>
    <mergeCell ref="QBI23:QBL23"/>
    <mergeCell ref="PZY23:QAB23"/>
    <mergeCell ref="QAC23:QAF23"/>
    <mergeCell ref="QAG23:QAJ23"/>
    <mergeCell ref="QAK23:QAN23"/>
    <mergeCell ref="QAO23:QAR23"/>
    <mergeCell ref="QJY23:QKB23"/>
    <mergeCell ref="QKC23:QKF23"/>
    <mergeCell ref="QKG23:QKJ23"/>
    <mergeCell ref="QKK23:QKN23"/>
    <mergeCell ref="QKO23:QKR23"/>
    <mergeCell ref="QJE23:QJH23"/>
    <mergeCell ref="QJI23:QJL23"/>
    <mergeCell ref="QJM23:QJP23"/>
    <mergeCell ref="QJQ23:QJT23"/>
    <mergeCell ref="QJU23:QJX23"/>
    <mergeCell ref="QIK23:QIN23"/>
    <mergeCell ref="QIO23:QIR23"/>
    <mergeCell ref="QIS23:QIV23"/>
    <mergeCell ref="QIW23:QIZ23"/>
    <mergeCell ref="QJA23:QJD23"/>
    <mergeCell ref="QHQ23:QHT23"/>
    <mergeCell ref="QHU23:QHX23"/>
    <mergeCell ref="QHY23:QIB23"/>
    <mergeCell ref="QIC23:QIF23"/>
    <mergeCell ref="QIG23:QIJ23"/>
    <mergeCell ref="QGW23:QGZ23"/>
    <mergeCell ref="QHA23:QHD23"/>
    <mergeCell ref="QHE23:QHH23"/>
    <mergeCell ref="QHI23:QHL23"/>
    <mergeCell ref="QHM23:QHP23"/>
    <mergeCell ref="QGC23:QGF23"/>
    <mergeCell ref="QGG23:QGJ23"/>
    <mergeCell ref="QGK23:QGN23"/>
    <mergeCell ref="QGO23:QGR23"/>
    <mergeCell ref="QGS23:QGV23"/>
    <mergeCell ref="QFI23:QFL23"/>
    <mergeCell ref="QFM23:QFP23"/>
    <mergeCell ref="QFQ23:QFT23"/>
    <mergeCell ref="QFU23:QFX23"/>
    <mergeCell ref="QFY23:QGB23"/>
    <mergeCell ref="QPI23:QPL23"/>
    <mergeCell ref="QPM23:QPP23"/>
    <mergeCell ref="QPQ23:QPT23"/>
    <mergeCell ref="QPU23:QPX23"/>
    <mergeCell ref="QPY23:QQB23"/>
    <mergeCell ref="QOO23:QOR23"/>
    <mergeCell ref="QOS23:QOV23"/>
    <mergeCell ref="QOW23:QOZ23"/>
    <mergeCell ref="QPA23:QPD23"/>
    <mergeCell ref="QPE23:QPH23"/>
    <mergeCell ref="QNU23:QNX23"/>
    <mergeCell ref="QNY23:QOB23"/>
    <mergeCell ref="QOC23:QOF23"/>
    <mergeCell ref="QOG23:QOJ23"/>
    <mergeCell ref="QOK23:QON23"/>
    <mergeCell ref="QNA23:QND23"/>
    <mergeCell ref="QNE23:QNH23"/>
    <mergeCell ref="QNI23:QNL23"/>
    <mergeCell ref="QNM23:QNP23"/>
    <mergeCell ref="QNQ23:QNT23"/>
    <mergeCell ref="QMG23:QMJ23"/>
    <mergeCell ref="QMK23:QMN23"/>
    <mergeCell ref="QMO23:QMR23"/>
    <mergeCell ref="QMS23:QMV23"/>
    <mergeCell ref="QMW23:QMZ23"/>
    <mergeCell ref="QLM23:QLP23"/>
    <mergeCell ref="QLQ23:QLT23"/>
    <mergeCell ref="QLU23:QLX23"/>
    <mergeCell ref="QLY23:QMB23"/>
    <mergeCell ref="QMC23:QMF23"/>
    <mergeCell ref="QKS23:QKV23"/>
    <mergeCell ref="QKW23:QKZ23"/>
    <mergeCell ref="QLA23:QLD23"/>
    <mergeCell ref="QLE23:QLH23"/>
    <mergeCell ref="QLI23:QLL23"/>
    <mergeCell ref="QUS23:QUV23"/>
    <mergeCell ref="QUW23:QUZ23"/>
    <mergeCell ref="QVA23:QVD23"/>
    <mergeCell ref="QVE23:QVH23"/>
    <mergeCell ref="QVI23:QVL23"/>
    <mergeCell ref="QTY23:QUB23"/>
    <mergeCell ref="QUC23:QUF23"/>
    <mergeCell ref="QUG23:QUJ23"/>
    <mergeCell ref="QUK23:QUN23"/>
    <mergeCell ref="QUO23:QUR23"/>
    <mergeCell ref="QTE23:QTH23"/>
    <mergeCell ref="QTI23:QTL23"/>
    <mergeCell ref="QTM23:QTP23"/>
    <mergeCell ref="QTQ23:QTT23"/>
    <mergeCell ref="QTU23:QTX23"/>
    <mergeCell ref="QSK23:QSN23"/>
    <mergeCell ref="QSO23:QSR23"/>
    <mergeCell ref="QSS23:QSV23"/>
    <mergeCell ref="QSW23:QSZ23"/>
    <mergeCell ref="QTA23:QTD23"/>
    <mergeCell ref="QRQ23:QRT23"/>
    <mergeCell ref="QRU23:QRX23"/>
    <mergeCell ref="QRY23:QSB23"/>
    <mergeCell ref="QSC23:QSF23"/>
    <mergeCell ref="QSG23:QSJ23"/>
    <mergeCell ref="QQW23:QQZ23"/>
    <mergeCell ref="QRA23:QRD23"/>
    <mergeCell ref="QRE23:QRH23"/>
    <mergeCell ref="QRI23:QRL23"/>
    <mergeCell ref="QRM23:QRP23"/>
    <mergeCell ref="QQC23:QQF23"/>
    <mergeCell ref="QQG23:QQJ23"/>
    <mergeCell ref="QQK23:QQN23"/>
    <mergeCell ref="QQO23:QQR23"/>
    <mergeCell ref="QQS23:QQV23"/>
    <mergeCell ref="RAC23:RAF23"/>
    <mergeCell ref="RAG23:RAJ23"/>
    <mergeCell ref="RAK23:RAN23"/>
    <mergeCell ref="RAO23:RAR23"/>
    <mergeCell ref="RAS23:RAV23"/>
    <mergeCell ref="QZI23:QZL23"/>
    <mergeCell ref="QZM23:QZP23"/>
    <mergeCell ref="QZQ23:QZT23"/>
    <mergeCell ref="QZU23:QZX23"/>
    <mergeCell ref="QZY23:RAB23"/>
    <mergeCell ref="QYO23:QYR23"/>
    <mergeCell ref="QYS23:QYV23"/>
    <mergeCell ref="QYW23:QYZ23"/>
    <mergeCell ref="QZA23:QZD23"/>
    <mergeCell ref="QZE23:QZH23"/>
    <mergeCell ref="QXU23:QXX23"/>
    <mergeCell ref="QXY23:QYB23"/>
    <mergeCell ref="QYC23:QYF23"/>
    <mergeCell ref="QYG23:QYJ23"/>
    <mergeCell ref="QYK23:QYN23"/>
    <mergeCell ref="QXA23:QXD23"/>
    <mergeCell ref="QXE23:QXH23"/>
    <mergeCell ref="QXI23:QXL23"/>
    <mergeCell ref="QXM23:QXP23"/>
    <mergeCell ref="QXQ23:QXT23"/>
    <mergeCell ref="QWG23:QWJ23"/>
    <mergeCell ref="QWK23:QWN23"/>
    <mergeCell ref="QWO23:QWR23"/>
    <mergeCell ref="QWS23:QWV23"/>
    <mergeCell ref="QWW23:QWZ23"/>
    <mergeCell ref="QVM23:QVP23"/>
    <mergeCell ref="QVQ23:QVT23"/>
    <mergeCell ref="QVU23:QVX23"/>
    <mergeCell ref="QVY23:QWB23"/>
    <mergeCell ref="QWC23:QWF23"/>
    <mergeCell ref="RFM23:RFP23"/>
    <mergeCell ref="RFQ23:RFT23"/>
    <mergeCell ref="RFU23:RFX23"/>
    <mergeCell ref="RFY23:RGB23"/>
    <mergeCell ref="RGC23:RGF23"/>
    <mergeCell ref="RES23:REV23"/>
    <mergeCell ref="REW23:REZ23"/>
    <mergeCell ref="RFA23:RFD23"/>
    <mergeCell ref="RFE23:RFH23"/>
    <mergeCell ref="RFI23:RFL23"/>
    <mergeCell ref="RDY23:REB23"/>
    <mergeCell ref="REC23:REF23"/>
    <mergeCell ref="REG23:REJ23"/>
    <mergeCell ref="REK23:REN23"/>
    <mergeCell ref="REO23:RER23"/>
    <mergeCell ref="RDE23:RDH23"/>
    <mergeCell ref="RDI23:RDL23"/>
    <mergeCell ref="RDM23:RDP23"/>
    <mergeCell ref="RDQ23:RDT23"/>
    <mergeCell ref="RDU23:RDX23"/>
    <mergeCell ref="RCK23:RCN23"/>
    <mergeCell ref="RCO23:RCR23"/>
    <mergeCell ref="RCS23:RCV23"/>
    <mergeCell ref="RCW23:RCZ23"/>
    <mergeCell ref="RDA23:RDD23"/>
    <mergeCell ref="RBQ23:RBT23"/>
    <mergeCell ref="RBU23:RBX23"/>
    <mergeCell ref="RBY23:RCB23"/>
    <mergeCell ref="RCC23:RCF23"/>
    <mergeCell ref="RCG23:RCJ23"/>
    <mergeCell ref="RAW23:RAZ23"/>
    <mergeCell ref="RBA23:RBD23"/>
    <mergeCell ref="RBE23:RBH23"/>
    <mergeCell ref="RBI23:RBL23"/>
    <mergeCell ref="RBM23:RBP23"/>
    <mergeCell ref="RKW23:RKZ23"/>
    <mergeCell ref="RLA23:RLD23"/>
    <mergeCell ref="RLE23:RLH23"/>
    <mergeCell ref="RLI23:RLL23"/>
    <mergeCell ref="RLM23:RLP23"/>
    <mergeCell ref="RKC23:RKF23"/>
    <mergeCell ref="RKG23:RKJ23"/>
    <mergeCell ref="RKK23:RKN23"/>
    <mergeCell ref="RKO23:RKR23"/>
    <mergeCell ref="RKS23:RKV23"/>
    <mergeCell ref="RJI23:RJL23"/>
    <mergeCell ref="RJM23:RJP23"/>
    <mergeCell ref="RJQ23:RJT23"/>
    <mergeCell ref="RJU23:RJX23"/>
    <mergeCell ref="RJY23:RKB23"/>
    <mergeCell ref="RIO23:RIR23"/>
    <mergeCell ref="RIS23:RIV23"/>
    <mergeCell ref="RIW23:RIZ23"/>
    <mergeCell ref="RJA23:RJD23"/>
    <mergeCell ref="RJE23:RJH23"/>
    <mergeCell ref="RHU23:RHX23"/>
    <mergeCell ref="RHY23:RIB23"/>
    <mergeCell ref="RIC23:RIF23"/>
    <mergeCell ref="RIG23:RIJ23"/>
    <mergeCell ref="RIK23:RIN23"/>
    <mergeCell ref="RHA23:RHD23"/>
    <mergeCell ref="RHE23:RHH23"/>
    <mergeCell ref="RHI23:RHL23"/>
    <mergeCell ref="RHM23:RHP23"/>
    <mergeCell ref="RHQ23:RHT23"/>
    <mergeCell ref="RGG23:RGJ23"/>
    <mergeCell ref="RGK23:RGN23"/>
    <mergeCell ref="RGO23:RGR23"/>
    <mergeCell ref="RGS23:RGV23"/>
    <mergeCell ref="RGW23:RGZ23"/>
    <mergeCell ref="RQG23:RQJ23"/>
    <mergeCell ref="RQK23:RQN23"/>
    <mergeCell ref="RQO23:RQR23"/>
    <mergeCell ref="RQS23:RQV23"/>
    <mergeCell ref="RQW23:RQZ23"/>
    <mergeCell ref="RPM23:RPP23"/>
    <mergeCell ref="RPQ23:RPT23"/>
    <mergeCell ref="RPU23:RPX23"/>
    <mergeCell ref="RPY23:RQB23"/>
    <mergeCell ref="RQC23:RQF23"/>
    <mergeCell ref="ROS23:ROV23"/>
    <mergeCell ref="ROW23:ROZ23"/>
    <mergeCell ref="RPA23:RPD23"/>
    <mergeCell ref="RPE23:RPH23"/>
    <mergeCell ref="RPI23:RPL23"/>
    <mergeCell ref="RNY23:ROB23"/>
    <mergeCell ref="ROC23:ROF23"/>
    <mergeCell ref="ROG23:ROJ23"/>
    <mergeCell ref="ROK23:RON23"/>
    <mergeCell ref="ROO23:ROR23"/>
    <mergeCell ref="RNE23:RNH23"/>
    <mergeCell ref="RNI23:RNL23"/>
    <mergeCell ref="RNM23:RNP23"/>
    <mergeCell ref="RNQ23:RNT23"/>
    <mergeCell ref="RNU23:RNX23"/>
    <mergeCell ref="RMK23:RMN23"/>
    <mergeCell ref="RMO23:RMR23"/>
    <mergeCell ref="RMS23:RMV23"/>
    <mergeCell ref="RMW23:RMZ23"/>
    <mergeCell ref="RNA23:RND23"/>
    <mergeCell ref="RLQ23:RLT23"/>
    <mergeCell ref="RLU23:RLX23"/>
    <mergeCell ref="RLY23:RMB23"/>
    <mergeCell ref="RMC23:RMF23"/>
    <mergeCell ref="RMG23:RMJ23"/>
    <mergeCell ref="RVQ23:RVT23"/>
    <mergeCell ref="RVU23:RVX23"/>
    <mergeCell ref="RVY23:RWB23"/>
    <mergeCell ref="RWC23:RWF23"/>
    <mergeCell ref="RWG23:RWJ23"/>
    <mergeCell ref="RUW23:RUZ23"/>
    <mergeCell ref="RVA23:RVD23"/>
    <mergeCell ref="RVE23:RVH23"/>
    <mergeCell ref="RVI23:RVL23"/>
    <mergeCell ref="RVM23:RVP23"/>
    <mergeCell ref="RUC23:RUF23"/>
    <mergeCell ref="RUG23:RUJ23"/>
    <mergeCell ref="RUK23:RUN23"/>
    <mergeCell ref="RUO23:RUR23"/>
    <mergeCell ref="RUS23:RUV23"/>
    <mergeCell ref="RTI23:RTL23"/>
    <mergeCell ref="RTM23:RTP23"/>
    <mergeCell ref="RTQ23:RTT23"/>
    <mergeCell ref="RTU23:RTX23"/>
    <mergeCell ref="RTY23:RUB23"/>
    <mergeCell ref="RSO23:RSR23"/>
    <mergeCell ref="RSS23:RSV23"/>
    <mergeCell ref="RSW23:RSZ23"/>
    <mergeCell ref="RTA23:RTD23"/>
    <mergeCell ref="RTE23:RTH23"/>
    <mergeCell ref="RRU23:RRX23"/>
    <mergeCell ref="RRY23:RSB23"/>
    <mergeCell ref="RSC23:RSF23"/>
    <mergeCell ref="RSG23:RSJ23"/>
    <mergeCell ref="RSK23:RSN23"/>
    <mergeCell ref="RRA23:RRD23"/>
    <mergeCell ref="RRE23:RRH23"/>
    <mergeCell ref="RRI23:RRL23"/>
    <mergeCell ref="RRM23:RRP23"/>
    <mergeCell ref="RRQ23:RRT23"/>
    <mergeCell ref="SBA23:SBD23"/>
    <mergeCell ref="SBE23:SBH23"/>
    <mergeCell ref="SBI23:SBL23"/>
    <mergeCell ref="SBM23:SBP23"/>
    <mergeCell ref="SBQ23:SBT23"/>
    <mergeCell ref="SAG23:SAJ23"/>
    <mergeCell ref="SAK23:SAN23"/>
    <mergeCell ref="SAO23:SAR23"/>
    <mergeCell ref="SAS23:SAV23"/>
    <mergeCell ref="SAW23:SAZ23"/>
    <mergeCell ref="RZM23:RZP23"/>
    <mergeCell ref="RZQ23:RZT23"/>
    <mergeCell ref="RZU23:RZX23"/>
    <mergeCell ref="RZY23:SAB23"/>
    <mergeCell ref="SAC23:SAF23"/>
    <mergeCell ref="RYS23:RYV23"/>
    <mergeCell ref="RYW23:RYZ23"/>
    <mergeCell ref="RZA23:RZD23"/>
    <mergeCell ref="RZE23:RZH23"/>
    <mergeCell ref="RZI23:RZL23"/>
    <mergeCell ref="RXY23:RYB23"/>
    <mergeCell ref="RYC23:RYF23"/>
    <mergeCell ref="RYG23:RYJ23"/>
    <mergeCell ref="RYK23:RYN23"/>
    <mergeCell ref="RYO23:RYR23"/>
    <mergeCell ref="RXE23:RXH23"/>
    <mergeCell ref="RXI23:RXL23"/>
    <mergeCell ref="RXM23:RXP23"/>
    <mergeCell ref="RXQ23:RXT23"/>
    <mergeCell ref="RXU23:RXX23"/>
    <mergeCell ref="RWK23:RWN23"/>
    <mergeCell ref="RWO23:RWR23"/>
    <mergeCell ref="RWS23:RWV23"/>
    <mergeCell ref="RWW23:RWZ23"/>
    <mergeCell ref="RXA23:RXD23"/>
    <mergeCell ref="SGK23:SGN23"/>
    <mergeCell ref="SGO23:SGR23"/>
    <mergeCell ref="SGS23:SGV23"/>
    <mergeCell ref="SGW23:SGZ23"/>
    <mergeCell ref="SHA23:SHD23"/>
    <mergeCell ref="SFQ23:SFT23"/>
    <mergeCell ref="SFU23:SFX23"/>
    <mergeCell ref="SFY23:SGB23"/>
    <mergeCell ref="SGC23:SGF23"/>
    <mergeCell ref="SGG23:SGJ23"/>
    <mergeCell ref="SEW23:SEZ23"/>
    <mergeCell ref="SFA23:SFD23"/>
    <mergeCell ref="SFE23:SFH23"/>
    <mergeCell ref="SFI23:SFL23"/>
    <mergeCell ref="SFM23:SFP23"/>
    <mergeCell ref="SEC23:SEF23"/>
    <mergeCell ref="SEG23:SEJ23"/>
    <mergeCell ref="SEK23:SEN23"/>
    <mergeCell ref="SEO23:SER23"/>
    <mergeCell ref="SES23:SEV23"/>
    <mergeCell ref="SDI23:SDL23"/>
    <mergeCell ref="SDM23:SDP23"/>
    <mergeCell ref="SDQ23:SDT23"/>
    <mergeCell ref="SDU23:SDX23"/>
    <mergeCell ref="SDY23:SEB23"/>
    <mergeCell ref="SCO23:SCR23"/>
    <mergeCell ref="SCS23:SCV23"/>
    <mergeCell ref="SCW23:SCZ23"/>
    <mergeCell ref="SDA23:SDD23"/>
    <mergeCell ref="SDE23:SDH23"/>
    <mergeCell ref="SBU23:SBX23"/>
    <mergeCell ref="SBY23:SCB23"/>
    <mergeCell ref="SCC23:SCF23"/>
    <mergeCell ref="SCG23:SCJ23"/>
    <mergeCell ref="SCK23:SCN23"/>
    <mergeCell ref="SLU23:SLX23"/>
    <mergeCell ref="SLY23:SMB23"/>
    <mergeCell ref="SMC23:SMF23"/>
    <mergeCell ref="SMG23:SMJ23"/>
    <mergeCell ref="SMK23:SMN23"/>
    <mergeCell ref="SLA23:SLD23"/>
    <mergeCell ref="SLE23:SLH23"/>
    <mergeCell ref="SLI23:SLL23"/>
    <mergeCell ref="SLM23:SLP23"/>
    <mergeCell ref="SLQ23:SLT23"/>
    <mergeCell ref="SKG23:SKJ23"/>
    <mergeCell ref="SKK23:SKN23"/>
    <mergeCell ref="SKO23:SKR23"/>
    <mergeCell ref="SKS23:SKV23"/>
    <mergeCell ref="SKW23:SKZ23"/>
    <mergeCell ref="SJM23:SJP23"/>
    <mergeCell ref="SJQ23:SJT23"/>
    <mergeCell ref="SJU23:SJX23"/>
    <mergeCell ref="SJY23:SKB23"/>
    <mergeCell ref="SKC23:SKF23"/>
    <mergeCell ref="SIS23:SIV23"/>
    <mergeCell ref="SIW23:SIZ23"/>
    <mergeCell ref="SJA23:SJD23"/>
    <mergeCell ref="SJE23:SJH23"/>
    <mergeCell ref="SJI23:SJL23"/>
    <mergeCell ref="SHY23:SIB23"/>
    <mergeCell ref="SIC23:SIF23"/>
    <mergeCell ref="SIG23:SIJ23"/>
    <mergeCell ref="SIK23:SIN23"/>
    <mergeCell ref="SIO23:SIR23"/>
    <mergeCell ref="SHE23:SHH23"/>
    <mergeCell ref="SHI23:SHL23"/>
    <mergeCell ref="SHM23:SHP23"/>
    <mergeCell ref="SHQ23:SHT23"/>
    <mergeCell ref="SHU23:SHX23"/>
    <mergeCell ref="SRE23:SRH23"/>
    <mergeCell ref="SRI23:SRL23"/>
    <mergeCell ref="SRM23:SRP23"/>
    <mergeCell ref="SRQ23:SRT23"/>
    <mergeCell ref="SRU23:SRX23"/>
    <mergeCell ref="SQK23:SQN23"/>
    <mergeCell ref="SQO23:SQR23"/>
    <mergeCell ref="SQS23:SQV23"/>
    <mergeCell ref="SQW23:SQZ23"/>
    <mergeCell ref="SRA23:SRD23"/>
    <mergeCell ref="SPQ23:SPT23"/>
    <mergeCell ref="SPU23:SPX23"/>
    <mergeCell ref="SPY23:SQB23"/>
    <mergeCell ref="SQC23:SQF23"/>
    <mergeCell ref="SQG23:SQJ23"/>
    <mergeCell ref="SOW23:SOZ23"/>
    <mergeCell ref="SPA23:SPD23"/>
    <mergeCell ref="SPE23:SPH23"/>
    <mergeCell ref="SPI23:SPL23"/>
    <mergeCell ref="SPM23:SPP23"/>
    <mergeCell ref="SOC23:SOF23"/>
    <mergeCell ref="SOG23:SOJ23"/>
    <mergeCell ref="SOK23:SON23"/>
    <mergeCell ref="SOO23:SOR23"/>
    <mergeCell ref="SOS23:SOV23"/>
    <mergeCell ref="SNI23:SNL23"/>
    <mergeCell ref="SNM23:SNP23"/>
    <mergeCell ref="SNQ23:SNT23"/>
    <mergeCell ref="SNU23:SNX23"/>
    <mergeCell ref="SNY23:SOB23"/>
    <mergeCell ref="SMO23:SMR23"/>
    <mergeCell ref="SMS23:SMV23"/>
    <mergeCell ref="SMW23:SMZ23"/>
    <mergeCell ref="SNA23:SND23"/>
    <mergeCell ref="SNE23:SNH23"/>
    <mergeCell ref="SWO23:SWR23"/>
    <mergeCell ref="SWS23:SWV23"/>
    <mergeCell ref="SWW23:SWZ23"/>
    <mergeCell ref="SXA23:SXD23"/>
    <mergeCell ref="SXE23:SXH23"/>
    <mergeCell ref="SVU23:SVX23"/>
    <mergeCell ref="SVY23:SWB23"/>
    <mergeCell ref="SWC23:SWF23"/>
    <mergeCell ref="SWG23:SWJ23"/>
    <mergeCell ref="SWK23:SWN23"/>
    <mergeCell ref="SVA23:SVD23"/>
    <mergeCell ref="SVE23:SVH23"/>
    <mergeCell ref="SVI23:SVL23"/>
    <mergeCell ref="SVM23:SVP23"/>
    <mergeCell ref="SVQ23:SVT23"/>
    <mergeCell ref="SUG23:SUJ23"/>
    <mergeCell ref="SUK23:SUN23"/>
    <mergeCell ref="SUO23:SUR23"/>
    <mergeCell ref="SUS23:SUV23"/>
    <mergeCell ref="SUW23:SUZ23"/>
    <mergeCell ref="STM23:STP23"/>
    <mergeCell ref="STQ23:STT23"/>
    <mergeCell ref="STU23:STX23"/>
    <mergeCell ref="STY23:SUB23"/>
    <mergeCell ref="SUC23:SUF23"/>
    <mergeCell ref="SSS23:SSV23"/>
    <mergeCell ref="SSW23:SSZ23"/>
    <mergeCell ref="STA23:STD23"/>
    <mergeCell ref="STE23:STH23"/>
    <mergeCell ref="STI23:STL23"/>
    <mergeCell ref="SRY23:SSB23"/>
    <mergeCell ref="SSC23:SSF23"/>
    <mergeCell ref="SSG23:SSJ23"/>
    <mergeCell ref="SSK23:SSN23"/>
    <mergeCell ref="SSO23:SSR23"/>
    <mergeCell ref="TBY23:TCB23"/>
    <mergeCell ref="TCC23:TCF23"/>
    <mergeCell ref="TCG23:TCJ23"/>
    <mergeCell ref="TCK23:TCN23"/>
    <mergeCell ref="TCO23:TCR23"/>
    <mergeCell ref="TBE23:TBH23"/>
    <mergeCell ref="TBI23:TBL23"/>
    <mergeCell ref="TBM23:TBP23"/>
    <mergeCell ref="TBQ23:TBT23"/>
    <mergeCell ref="TBU23:TBX23"/>
    <mergeCell ref="TAK23:TAN23"/>
    <mergeCell ref="TAO23:TAR23"/>
    <mergeCell ref="TAS23:TAV23"/>
    <mergeCell ref="TAW23:TAZ23"/>
    <mergeCell ref="TBA23:TBD23"/>
    <mergeCell ref="SZQ23:SZT23"/>
    <mergeCell ref="SZU23:SZX23"/>
    <mergeCell ref="SZY23:TAB23"/>
    <mergeCell ref="TAC23:TAF23"/>
    <mergeCell ref="TAG23:TAJ23"/>
    <mergeCell ref="SYW23:SYZ23"/>
    <mergeCell ref="SZA23:SZD23"/>
    <mergeCell ref="SZE23:SZH23"/>
    <mergeCell ref="SZI23:SZL23"/>
    <mergeCell ref="SZM23:SZP23"/>
    <mergeCell ref="SYC23:SYF23"/>
    <mergeCell ref="SYG23:SYJ23"/>
    <mergeCell ref="SYK23:SYN23"/>
    <mergeCell ref="SYO23:SYR23"/>
    <mergeCell ref="SYS23:SYV23"/>
    <mergeCell ref="SXI23:SXL23"/>
    <mergeCell ref="SXM23:SXP23"/>
    <mergeCell ref="SXQ23:SXT23"/>
    <mergeCell ref="SXU23:SXX23"/>
    <mergeCell ref="SXY23:SYB23"/>
    <mergeCell ref="THI23:THL23"/>
    <mergeCell ref="THM23:THP23"/>
    <mergeCell ref="THQ23:THT23"/>
    <mergeCell ref="THU23:THX23"/>
    <mergeCell ref="THY23:TIB23"/>
    <mergeCell ref="TGO23:TGR23"/>
    <mergeCell ref="TGS23:TGV23"/>
    <mergeCell ref="TGW23:TGZ23"/>
    <mergeCell ref="THA23:THD23"/>
    <mergeCell ref="THE23:THH23"/>
    <mergeCell ref="TFU23:TFX23"/>
    <mergeCell ref="TFY23:TGB23"/>
    <mergeCell ref="TGC23:TGF23"/>
    <mergeCell ref="TGG23:TGJ23"/>
    <mergeCell ref="TGK23:TGN23"/>
    <mergeCell ref="TFA23:TFD23"/>
    <mergeCell ref="TFE23:TFH23"/>
    <mergeCell ref="TFI23:TFL23"/>
    <mergeCell ref="TFM23:TFP23"/>
    <mergeCell ref="TFQ23:TFT23"/>
    <mergeCell ref="TEG23:TEJ23"/>
    <mergeCell ref="TEK23:TEN23"/>
    <mergeCell ref="TEO23:TER23"/>
    <mergeCell ref="TES23:TEV23"/>
    <mergeCell ref="TEW23:TEZ23"/>
    <mergeCell ref="TDM23:TDP23"/>
    <mergeCell ref="TDQ23:TDT23"/>
    <mergeCell ref="TDU23:TDX23"/>
    <mergeCell ref="TDY23:TEB23"/>
    <mergeCell ref="TEC23:TEF23"/>
    <mergeCell ref="TCS23:TCV23"/>
    <mergeCell ref="TCW23:TCZ23"/>
    <mergeCell ref="TDA23:TDD23"/>
    <mergeCell ref="TDE23:TDH23"/>
    <mergeCell ref="TDI23:TDL23"/>
    <mergeCell ref="TMS23:TMV23"/>
    <mergeCell ref="TMW23:TMZ23"/>
    <mergeCell ref="TNA23:TND23"/>
    <mergeCell ref="TNE23:TNH23"/>
    <mergeCell ref="TNI23:TNL23"/>
    <mergeCell ref="TLY23:TMB23"/>
    <mergeCell ref="TMC23:TMF23"/>
    <mergeCell ref="TMG23:TMJ23"/>
    <mergeCell ref="TMK23:TMN23"/>
    <mergeCell ref="TMO23:TMR23"/>
    <mergeCell ref="TLE23:TLH23"/>
    <mergeCell ref="TLI23:TLL23"/>
    <mergeCell ref="TLM23:TLP23"/>
    <mergeCell ref="TLQ23:TLT23"/>
    <mergeCell ref="TLU23:TLX23"/>
    <mergeCell ref="TKK23:TKN23"/>
    <mergeCell ref="TKO23:TKR23"/>
    <mergeCell ref="TKS23:TKV23"/>
    <mergeCell ref="TKW23:TKZ23"/>
    <mergeCell ref="TLA23:TLD23"/>
    <mergeCell ref="TJQ23:TJT23"/>
    <mergeCell ref="TJU23:TJX23"/>
    <mergeCell ref="TJY23:TKB23"/>
    <mergeCell ref="TKC23:TKF23"/>
    <mergeCell ref="TKG23:TKJ23"/>
    <mergeCell ref="TIW23:TIZ23"/>
    <mergeCell ref="TJA23:TJD23"/>
    <mergeCell ref="TJE23:TJH23"/>
    <mergeCell ref="TJI23:TJL23"/>
    <mergeCell ref="TJM23:TJP23"/>
    <mergeCell ref="TIC23:TIF23"/>
    <mergeCell ref="TIG23:TIJ23"/>
    <mergeCell ref="TIK23:TIN23"/>
    <mergeCell ref="TIO23:TIR23"/>
    <mergeCell ref="TIS23:TIV23"/>
    <mergeCell ref="TSC23:TSF23"/>
    <mergeCell ref="TSG23:TSJ23"/>
    <mergeCell ref="TSK23:TSN23"/>
    <mergeCell ref="TSO23:TSR23"/>
    <mergeCell ref="TSS23:TSV23"/>
    <mergeCell ref="TRI23:TRL23"/>
    <mergeCell ref="TRM23:TRP23"/>
    <mergeCell ref="TRQ23:TRT23"/>
    <mergeCell ref="TRU23:TRX23"/>
    <mergeCell ref="TRY23:TSB23"/>
    <mergeCell ref="TQO23:TQR23"/>
    <mergeCell ref="TQS23:TQV23"/>
    <mergeCell ref="TQW23:TQZ23"/>
    <mergeCell ref="TRA23:TRD23"/>
    <mergeCell ref="TRE23:TRH23"/>
    <mergeCell ref="TPU23:TPX23"/>
    <mergeCell ref="TPY23:TQB23"/>
    <mergeCell ref="TQC23:TQF23"/>
    <mergeCell ref="TQG23:TQJ23"/>
    <mergeCell ref="TQK23:TQN23"/>
    <mergeCell ref="TPA23:TPD23"/>
    <mergeCell ref="TPE23:TPH23"/>
    <mergeCell ref="TPI23:TPL23"/>
    <mergeCell ref="TPM23:TPP23"/>
    <mergeCell ref="TPQ23:TPT23"/>
    <mergeCell ref="TOG23:TOJ23"/>
    <mergeCell ref="TOK23:TON23"/>
    <mergeCell ref="TOO23:TOR23"/>
    <mergeCell ref="TOS23:TOV23"/>
    <mergeCell ref="TOW23:TOZ23"/>
    <mergeCell ref="TNM23:TNP23"/>
    <mergeCell ref="TNQ23:TNT23"/>
    <mergeCell ref="TNU23:TNX23"/>
    <mergeCell ref="TNY23:TOB23"/>
    <mergeCell ref="TOC23:TOF23"/>
    <mergeCell ref="TXM23:TXP23"/>
    <mergeCell ref="TXQ23:TXT23"/>
    <mergeCell ref="TXU23:TXX23"/>
    <mergeCell ref="TXY23:TYB23"/>
    <mergeCell ref="TYC23:TYF23"/>
    <mergeCell ref="TWS23:TWV23"/>
    <mergeCell ref="TWW23:TWZ23"/>
    <mergeCell ref="TXA23:TXD23"/>
    <mergeCell ref="TXE23:TXH23"/>
    <mergeCell ref="TXI23:TXL23"/>
    <mergeCell ref="TVY23:TWB23"/>
    <mergeCell ref="TWC23:TWF23"/>
    <mergeCell ref="TWG23:TWJ23"/>
    <mergeCell ref="TWK23:TWN23"/>
    <mergeCell ref="TWO23:TWR23"/>
    <mergeCell ref="TVE23:TVH23"/>
    <mergeCell ref="TVI23:TVL23"/>
    <mergeCell ref="TVM23:TVP23"/>
    <mergeCell ref="TVQ23:TVT23"/>
    <mergeCell ref="TVU23:TVX23"/>
    <mergeCell ref="TUK23:TUN23"/>
    <mergeCell ref="TUO23:TUR23"/>
    <mergeCell ref="TUS23:TUV23"/>
    <mergeCell ref="TUW23:TUZ23"/>
    <mergeCell ref="TVA23:TVD23"/>
    <mergeCell ref="TTQ23:TTT23"/>
    <mergeCell ref="TTU23:TTX23"/>
    <mergeCell ref="TTY23:TUB23"/>
    <mergeCell ref="TUC23:TUF23"/>
    <mergeCell ref="TUG23:TUJ23"/>
    <mergeCell ref="TSW23:TSZ23"/>
    <mergeCell ref="TTA23:TTD23"/>
    <mergeCell ref="TTE23:TTH23"/>
    <mergeCell ref="TTI23:TTL23"/>
    <mergeCell ref="TTM23:TTP23"/>
    <mergeCell ref="UCW23:UCZ23"/>
    <mergeCell ref="UDA23:UDD23"/>
    <mergeCell ref="UDE23:UDH23"/>
    <mergeCell ref="UDI23:UDL23"/>
    <mergeCell ref="UDM23:UDP23"/>
    <mergeCell ref="UCC23:UCF23"/>
    <mergeCell ref="UCG23:UCJ23"/>
    <mergeCell ref="UCK23:UCN23"/>
    <mergeCell ref="UCO23:UCR23"/>
    <mergeCell ref="UCS23:UCV23"/>
    <mergeCell ref="UBI23:UBL23"/>
    <mergeCell ref="UBM23:UBP23"/>
    <mergeCell ref="UBQ23:UBT23"/>
    <mergeCell ref="UBU23:UBX23"/>
    <mergeCell ref="UBY23:UCB23"/>
    <mergeCell ref="UAO23:UAR23"/>
    <mergeCell ref="UAS23:UAV23"/>
    <mergeCell ref="UAW23:UAZ23"/>
    <mergeCell ref="UBA23:UBD23"/>
    <mergeCell ref="UBE23:UBH23"/>
    <mergeCell ref="TZU23:TZX23"/>
    <mergeCell ref="TZY23:UAB23"/>
    <mergeCell ref="UAC23:UAF23"/>
    <mergeCell ref="UAG23:UAJ23"/>
    <mergeCell ref="UAK23:UAN23"/>
    <mergeCell ref="TZA23:TZD23"/>
    <mergeCell ref="TZE23:TZH23"/>
    <mergeCell ref="TZI23:TZL23"/>
    <mergeCell ref="TZM23:TZP23"/>
    <mergeCell ref="TZQ23:TZT23"/>
    <mergeCell ref="TYG23:TYJ23"/>
    <mergeCell ref="TYK23:TYN23"/>
    <mergeCell ref="TYO23:TYR23"/>
    <mergeCell ref="TYS23:TYV23"/>
    <mergeCell ref="TYW23:TYZ23"/>
    <mergeCell ref="UIG23:UIJ23"/>
    <mergeCell ref="UIK23:UIN23"/>
    <mergeCell ref="UIO23:UIR23"/>
    <mergeCell ref="UIS23:UIV23"/>
    <mergeCell ref="UIW23:UIZ23"/>
    <mergeCell ref="UHM23:UHP23"/>
    <mergeCell ref="UHQ23:UHT23"/>
    <mergeCell ref="UHU23:UHX23"/>
    <mergeCell ref="UHY23:UIB23"/>
    <mergeCell ref="UIC23:UIF23"/>
    <mergeCell ref="UGS23:UGV23"/>
    <mergeCell ref="UGW23:UGZ23"/>
    <mergeCell ref="UHA23:UHD23"/>
    <mergeCell ref="UHE23:UHH23"/>
    <mergeCell ref="UHI23:UHL23"/>
    <mergeCell ref="UFY23:UGB23"/>
    <mergeCell ref="UGC23:UGF23"/>
    <mergeCell ref="UGG23:UGJ23"/>
    <mergeCell ref="UGK23:UGN23"/>
    <mergeCell ref="UGO23:UGR23"/>
    <mergeCell ref="UFE23:UFH23"/>
    <mergeCell ref="UFI23:UFL23"/>
    <mergeCell ref="UFM23:UFP23"/>
    <mergeCell ref="UFQ23:UFT23"/>
    <mergeCell ref="UFU23:UFX23"/>
    <mergeCell ref="UEK23:UEN23"/>
    <mergeCell ref="UEO23:UER23"/>
    <mergeCell ref="UES23:UEV23"/>
    <mergeCell ref="UEW23:UEZ23"/>
    <mergeCell ref="UFA23:UFD23"/>
    <mergeCell ref="UDQ23:UDT23"/>
    <mergeCell ref="UDU23:UDX23"/>
    <mergeCell ref="UDY23:UEB23"/>
    <mergeCell ref="UEC23:UEF23"/>
    <mergeCell ref="UEG23:UEJ23"/>
    <mergeCell ref="UNQ23:UNT23"/>
    <mergeCell ref="UNU23:UNX23"/>
    <mergeCell ref="UNY23:UOB23"/>
    <mergeCell ref="UOC23:UOF23"/>
    <mergeCell ref="UOG23:UOJ23"/>
    <mergeCell ref="UMW23:UMZ23"/>
    <mergeCell ref="UNA23:UND23"/>
    <mergeCell ref="UNE23:UNH23"/>
    <mergeCell ref="UNI23:UNL23"/>
    <mergeCell ref="UNM23:UNP23"/>
    <mergeCell ref="UMC23:UMF23"/>
    <mergeCell ref="UMG23:UMJ23"/>
    <mergeCell ref="UMK23:UMN23"/>
    <mergeCell ref="UMO23:UMR23"/>
    <mergeCell ref="UMS23:UMV23"/>
    <mergeCell ref="ULI23:ULL23"/>
    <mergeCell ref="ULM23:ULP23"/>
    <mergeCell ref="ULQ23:ULT23"/>
    <mergeCell ref="ULU23:ULX23"/>
    <mergeCell ref="ULY23:UMB23"/>
    <mergeCell ref="UKO23:UKR23"/>
    <mergeCell ref="UKS23:UKV23"/>
    <mergeCell ref="UKW23:UKZ23"/>
    <mergeCell ref="ULA23:ULD23"/>
    <mergeCell ref="ULE23:ULH23"/>
    <mergeCell ref="UJU23:UJX23"/>
    <mergeCell ref="UJY23:UKB23"/>
    <mergeCell ref="UKC23:UKF23"/>
    <mergeCell ref="UKG23:UKJ23"/>
    <mergeCell ref="UKK23:UKN23"/>
    <mergeCell ref="UJA23:UJD23"/>
    <mergeCell ref="UJE23:UJH23"/>
    <mergeCell ref="UJI23:UJL23"/>
    <mergeCell ref="UJM23:UJP23"/>
    <mergeCell ref="UJQ23:UJT23"/>
    <mergeCell ref="UTA23:UTD23"/>
    <mergeCell ref="UTE23:UTH23"/>
    <mergeCell ref="UTI23:UTL23"/>
    <mergeCell ref="UTM23:UTP23"/>
    <mergeCell ref="UTQ23:UTT23"/>
    <mergeCell ref="USG23:USJ23"/>
    <mergeCell ref="USK23:USN23"/>
    <mergeCell ref="USO23:USR23"/>
    <mergeCell ref="USS23:USV23"/>
    <mergeCell ref="USW23:USZ23"/>
    <mergeCell ref="URM23:URP23"/>
    <mergeCell ref="URQ23:URT23"/>
    <mergeCell ref="URU23:URX23"/>
    <mergeCell ref="URY23:USB23"/>
    <mergeCell ref="USC23:USF23"/>
    <mergeCell ref="UQS23:UQV23"/>
    <mergeCell ref="UQW23:UQZ23"/>
    <mergeCell ref="URA23:URD23"/>
    <mergeCell ref="URE23:URH23"/>
    <mergeCell ref="URI23:URL23"/>
    <mergeCell ref="UPY23:UQB23"/>
    <mergeCell ref="UQC23:UQF23"/>
    <mergeCell ref="UQG23:UQJ23"/>
    <mergeCell ref="UQK23:UQN23"/>
    <mergeCell ref="UQO23:UQR23"/>
    <mergeCell ref="UPE23:UPH23"/>
    <mergeCell ref="UPI23:UPL23"/>
    <mergeCell ref="UPM23:UPP23"/>
    <mergeCell ref="UPQ23:UPT23"/>
    <mergeCell ref="UPU23:UPX23"/>
    <mergeCell ref="UOK23:UON23"/>
    <mergeCell ref="UOO23:UOR23"/>
    <mergeCell ref="UOS23:UOV23"/>
    <mergeCell ref="UOW23:UOZ23"/>
    <mergeCell ref="UPA23:UPD23"/>
    <mergeCell ref="UYK23:UYN23"/>
    <mergeCell ref="UYO23:UYR23"/>
    <mergeCell ref="UYS23:UYV23"/>
    <mergeCell ref="UYW23:UYZ23"/>
    <mergeCell ref="UZA23:UZD23"/>
    <mergeCell ref="UXQ23:UXT23"/>
    <mergeCell ref="UXU23:UXX23"/>
    <mergeCell ref="UXY23:UYB23"/>
    <mergeCell ref="UYC23:UYF23"/>
    <mergeCell ref="UYG23:UYJ23"/>
    <mergeCell ref="UWW23:UWZ23"/>
    <mergeCell ref="UXA23:UXD23"/>
    <mergeCell ref="UXE23:UXH23"/>
    <mergeCell ref="UXI23:UXL23"/>
    <mergeCell ref="UXM23:UXP23"/>
    <mergeCell ref="UWC23:UWF23"/>
    <mergeCell ref="UWG23:UWJ23"/>
    <mergeCell ref="UWK23:UWN23"/>
    <mergeCell ref="UWO23:UWR23"/>
    <mergeCell ref="UWS23:UWV23"/>
    <mergeCell ref="UVI23:UVL23"/>
    <mergeCell ref="UVM23:UVP23"/>
    <mergeCell ref="UVQ23:UVT23"/>
    <mergeCell ref="UVU23:UVX23"/>
    <mergeCell ref="UVY23:UWB23"/>
    <mergeCell ref="UUO23:UUR23"/>
    <mergeCell ref="UUS23:UUV23"/>
    <mergeCell ref="UUW23:UUZ23"/>
    <mergeCell ref="UVA23:UVD23"/>
    <mergeCell ref="UVE23:UVH23"/>
    <mergeCell ref="UTU23:UTX23"/>
    <mergeCell ref="UTY23:UUB23"/>
    <mergeCell ref="UUC23:UUF23"/>
    <mergeCell ref="UUG23:UUJ23"/>
    <mergeCell ref="UUK23:UUN23"/>
    <mergeCell ref="VDU23:VDX23"/>
    <mergeCell ref="VDY23:VEB23"/>
    <mergeCell ref="VEC23:VEF23"/>
    <mergeCell ref="VEG23:VEJ23"/>
    <mergeCell ref="VEK23:VEN23"/>
    <mergeCell ref="VDA23:VDD23"/>
    <mergeCell ref="VDE23:VDH23"/>
    <mergeCell ref="VDI23:VDL23"/>
    <mergeCell ref="VDM23:VDP23"/>
    <mergeCell ref="VDQ23:VDT23"/>
    <mergeCell ref="VCG23:VCJ23"/>
    <mergeCell ref="VCK23:VCN23"/>
    <mergeCell ref="VCO23:VCR23"/>
    <mergeCell ref="VCS23:VCV23"/>
    <mergeCell ref="VCW23:VCZ23"/>
    <mergeCell ref="VBM23:VBP23"/>
    <mergeCell ref="VBQ23:VBT23"/>
    <mergeCell ref="VBU23:VBX23"/>
    <mergeCell ref="VBY23:VCB23"/>
    <mergeCell ref="VCC23:VCF23"/>
    <mergeCell ref="VAS23:VAV23"/>
    <mergeCell ref="VAW23:VAZ23"/>
    <mergeCell ref="VBA23:VBD23"/>
    <mergeCell ref="VBE23:VBH23"/>
    <mergeCell ref="VBI23:VBL23"/>
    <mergeCell ref="UZY23:VAB23"/>
    <mergeCell ref="VAC23:VAF23"/>
    <mergeCell ref="VAG23:VAJ23"/>
    <mergeCell ref="VAK23:VAN23"/>
    <mergeCell ref="VAO23:VAR23"/>
    <mergeCell ref="UZE23:UZH23"/>
    <mergeCell ref="UZI23:UZL23"/>
    <mergeCell ref="UZM23:UZP23"/>
    <mergeCell ref="UZQ23:UZT23"/>
    <mergeCell ref="UZU23:UZX23"/>
    <mergeCell ref="VJE23:VJH23"/>
    <mergeCell ref="VJI23:VJL23"/>
    <mergeCell ref="VJM23:VJP23"/>
    <mergeCell ref="VJQ23:VJT23"/>
    <mergeCell ref="VJU23:VJX23"/>
    <mergeCell ref="VIK23:VIN23"/>
    <mergeCell ref="VIO23:VIR23"/>
    <mergeCell ref="VIS23:VIV23"/>
    <mergeCell ref="VIW23:VIZ23"/>
    <mergeCell ref="VJA23:VJD23"/>
    <mergeCell ref="VHQ23:VHT23"/>
    <mergeCell ref="VHU23:VHX23"/>
    <mergeCell ref="VHY23:VIB23"/>
    <mergeCell ref="VIC23:VIF23"/>
    <mergeCell ref="VIG23:VIJ23"/>
    <mergeCell ref="VGW23:VGZ23"/>
    <mergeCell ref="VHA23:VHD23"/>
    <mergeCell ref="VHE23:VHH23"/>
    <mergeCell ref="VHI23:VHL23"/>
    <mergeCell ref="VHM23:VHP23"/>
    <mergeCell ref="VGC23:VGF23"/>
    <mergeCell ref="VGG23:VGJ23"/>
    <mergeCell ref="VGK23:VGN23"/>
    <mergeCell ref="VGO23:VGR23"/>
    <mergeCell ref="VGS23:VGV23"/>
    <mergeCell ref="VFI23:VFL23"/>
    <mergeCell ref="VFM23:VFP23"/>
    <mergeCell ref="VFQ23:VFT23"/>
    <mergeCell ref="VFU23:VFX23"/>
    <mergeCell ref="VFY23:VGB23"/>
    <mergeCell ref="VEO23:VER23"/>
    <mergeCell ref="VES23:VEV23"/>
    <mergeCell ref="VEW23:VEZ23"/>
    <mergeCell ref="VFA23:VFD23"/>
    <mergeCell ref="VFE23:VFH23"/>
    <mergeCell ref="VOO23:VOR23"/>
    <mergeCell ref="VOS23:VOV23"/>
    <mergeCell ref="VOW23:VOZ23"/>
    <mergeCell ref="VPA23:VPD23"/>
    <mergeCell ref="VPE23:VPH23"/>
    <mergeCell ref="VNU23:VNX23"/>
    <mergeCell ref="VNY23:VOB23"/>
    <mergeCell ref="VOC23:VOF23"/>
    <mergeCell ref="VOG23:VOJ23"/>
    <mergeCell ref="VOK23:VON23"/>
    <mergeCell ref="VNA23:VND23"/>
    <mergeCell ref="VNE23:VNH23"/>
    <mergeCell ref="VNI23:VNL23"/>
    <mergeCell ref="VNM23:VNP23"/>
    <mergeCell ref="VNQ23:VNT23"/>
    <mergeCell ref="VMG23:VMJ23"/>
    <mergeCell ref="VMK23:VMN23"/>
    <mergeCell ref="VMO23:VMR23"/>
    <mergeCell ref="VMS23:VMV23"/>
    <mergeCell ref="VMW23:VMZ23"/>
    <mergeCell ref="VLM23:VLP23"/>
    <mergeCell ref="VLQ23:VLT23"/>
    <mergeCell ref="VLU23:VLX23"/>
    <mergeCell ref="VLY23:VMB23"/>
    <mergeCell ref="VMC23:VMF23"/>
    <mergeCell ref="VKS23:VKV23"/>
    <mergeCell ref="VKW23:VKZ23"/>
    <mergeCell ref="VLA23:VLD23"/>
    <mergeCell ref="VLE23:VLH23"/>
    <mergeCell ref="VLI23:VLL23"/>
    <mergeCell ref="VJY23:VKB23"/>
    <mergeCell ref="VKC23:VKF23"/>
    <mergeCell ref="VKG23:VKJ23"/>
    <mergeCell ref="VKK23:VKN23"/>
    <mergeCell ref="VKO23:VKR23"/>
    <mergeCell ref="VTY23:VUB23"/>
    <mergeCell ref="VUC23:VUF23"/>
    <mergeCell ref="VUG23:VUJ23"/>
    <mergeCell ref="VUK23:VUN23"/>
    <mergeCell ref="VUO23:VUR23"/>
    <mergeCell ref="VTE23:VTH23"/>
    <mergeCell ref="VTI23:VTL23"/>
    <mergeCell ref="VTM23:VTP23"/>
    <mergeCell ref="VTQ23:VTT23"/>
    <mergeCell ref="VTU23:VTX23"/>
    <mergeCell ref="VSK23:VSN23"/>
    <mergeCell ref="VSO23:VSR23"/>
    <mergeCell ref="VSS23:VSV23"/>
    <mergeCell ref="VSW23:VSZ23"/>
    <mergeCell ref="VTA23:VTD23"/>
    <mergeCell ref="VRQ23:VRT23"/>
    <mergeCell ref="VRU23:VRX23"/>
    <mergeCell ref="VRY23:VSB23"/>
    <mergeCell ref="VSC23:VSF23"/>
    <mergeCell ref="VSG23:VSJ23"/>
    <mergeCell ref="VQW23:VQZ23"/>
    <mergeCell ref="VRA23:VRD23"/>
    <mergeCell ref="VRE23:VRH23"/>
    <mergeCell ref="VRI23:VRL23"/>
    <mergeCell ref="VRM23:VRP23"/>
    <mergeCell ref="VQC23:VQF23"/>
    <mergeCell ref="VQG23:VQJ23"/>
    <mergeCell ref="VQK23:VQN23"/>
    <mergeCell ref="VQO23:VQR23"/>
    <mergeCell ref="VQS23:VQV23"/>
    <mergeCell ref="VPI23:VPL23"/>
    <mergeCell ref="VPM23:VPP23"/>
    <mergeCell ref="VPQ23:VPT23"/>
    <mergeCell ref="VPU23:VPX23"/>
    <mergeCell ref="VPY23:VQB23"/>
    <mergeCell ref="VZI23:VZL23"/>
    <mergeCell ref="VZM23:VZP23"/>
    <mergeCell ref="VZQ23:VZT23"/>
    <mergeCell ref="VZU23:VZX23"/>
    <mergeCell ref="VZY23:WAB23"/>
    <mergeCell ref="VYO23:VYR23"/>
    <mergeCell ref="VYS23:VYV23"/>
    <mergeCell ref="VYW23:VYZ23"/>
    <mergeCell ref="VZA23:VZD23"/>
    <mergeCell ref="VZE23:VZH23"/>
    <mergeCell ref="VXU23:VXX23"/>
    <mergeCell ref="VXY23:VYB23"/>
    <mergeCell ref="VYC23:VYF23"/>
    <mergeCell ref="VYG23:VYJ23"/>
    <mergeCell ref="VYK23:VYN23"/>
    <mergeCell ref="VXA23:VXD23"/>
    <mergeCell ref="VXE23:VXH23"/>
    <mergeCell ref="VXI23:VXL23"/>
    <mergeCell ref="VXM23:VXP23"/>
    <mergeCell ref="VXQ23:VXT23"/>
    <mergeCell ref="VWG23:VWJ23"/>
    <mergeCell ref="VWK23:VWN23"/>
    <mergeCell ref="VWO23:VWR23"/>
    <mergeCell ref="VWS23:VWV23"/>
    <mergeCell ref="VWW23:VWZ23"/>
    <mergeCell ref="VVM23:VVP23"/>
    <mergeCell ref="VVQ23:VVT23"/>
    <mergeCell ref="VVU23:VVX23"/>
    <mergeCell ref="VVY23:VWB23"/>
    <mergeCell ref="VWC23:VWF23"/>
    <mergeCell ref="VUS23:VUV23"/>
    <mergeCell ref="VUW23:VUZ23"/>
    <mergeCell ref="VVA23:VVD23"/>
    <mergeCell ref="VVE23:VVH23"/>
    <mergeCell ref="VVI23:VVL23"/>
    <mergeCell ref="WES23:WEV23"/>
    <mergeCell ref="WEW23:WEZ23"/>
    <mergeCell ref="WFA23:WFD23"/>
    <mergeCell ref="WFE23:WFH23"/>
    <mergeCell ref="WFI23:WFL23"/>
    <mergeCell ref="WDY23:WEB23"/>
    <mergeCell ref="WEC23:WEF23"/>
    <mergeCell ref="WEG23:WEJ23"/>
    <mergeCell ref="WEK23:WEN23"/>
    <mergeCell ref="WEO23:WER23"/>
    <mergeCell ref="WDE23:WDH23"/>
    <mergeCell ref="WDI23:WDL23"/>
    <mergeCell ref="WDM23:WDP23"/>
    <mergeCell ref="WDQ23:WDT23"/>
    <mergeCell ref="WDU23:WDX23"/>
    <mergeCell ref="WCK23:WCN23"/>
    <mergeCell ref="WCO23:WCR23"/>
    <mergeCell ref="WCS23:WCV23"/>
    <mergeCell ref="WCW23:WCZ23"/>
    <mergeCell ref="WDA23:WDD23"/>
    <mergeCell ref="WBQ23:WBT23"/>
    <mergeCell ref="WBU23:WBX23"/>
    <mergeCell ref="WBY23:WCB23"/>
    <mergeCell ref="WCC23:WCF23"/>
    <mergeCell ref="WCG23:WCJ23"/>
    <mergeCell ref="WAW23:WAZ23"/>
    <mergeCell ref="WBA23:WBD23"/>
    <mergeCell ref="WBE23:WBH23"/>
    <mergeCell ref="WBI23:WBL23"/>
    <mergeCell ref="WBM23:WBP23"/>
    <mergeCell ref="WAC23:WAF23"/>
    <mergeCell ref="WAG23:WAJ23"/>
    <mergeCell ref="WAK23:WAN23"/>
    <mergeCell ref="WAO23:WAR23"/>
    <mergeCell ref="WAS23:WAV23"/>
    <mergeCell ref="WKC23:WKF23"/>
    <mergeCell ref="WKG23:WKJ23"/>
    <mergeCell ref="WKK23:WKN23"/>
    <mergeCell ref="WKO23:WKR23"/>
    <mergeCell ref="WKS23:WKV23"/>
    <mergeCell ref="WJI23:WJL23"/>
    <mergeCell ref="WJM23:WJP23"/>
    <mergeCell ref="WJQ23:WJT23"/>
    <mergeCell ref="WJU23:WJX23"/>
    <mergeCell ref="WJY23:WKB23"/>
    <mergeCell ref="WIO23:WIR23"/>
    <mergeCell ref="WIS23:WIV23"/>
    <mergeCell ref="WIW23:WIZ23"/>
    <mergeCell ref="WJA23:WJD23"/>
    <mergeCell ref="WJE23:WJH23"/>
    <mergeCell ref="WHU23:WHX23"/>
    <mergeCell ref="WHY23:WIB23"/>
    <mergeCell ref="WIC23:WIF23"/>
    <mergeCell ref="WIG23:WIJ23"/>
    <mergeCell ref="WIK23:WIN23"/>
    <mergeCell ref="WHA23:WHD23"/>
    <mergeCell ref="WHE23:WHH23"/>
    <mergeCell ref="WHI23:WHL23"/>
    <mergeCell ref="WHM23:WHP23"/>
    <mergeCell ref="WHQ23:WHT23"/>
    <mergeCell ref="WGG23:WGJ23"/>
    <mergeCell ref="WGK23:WGN23"/>
    <mergeCell ref="WGO23:WGR23"/>
    <mergeCell ref="WGS23:WGV23"/>
    <mergeCell ref="WGW23:WGZ23"/>
    <mergeCell ref="WFM23:WFP23"/>
    <mergeCell ref="WFQ23:WFT23"/>
    <mergeCell ref="WFU23:WFX23"/>
    <mergeCell ref="WFY23:WGB23"/>
    <mergeCell ref="WGC23:WGF23"/>
    <mergeCell ref="WPM23:WPP23"/>
    <mergeCell ref="WPQ23:WPT23"/>
    <mergeCell ref="WPU23:WPX23"/>
    <mergeCell ref="WPY23:WQB23"/>
    <mergeCell ref="WQC23:WQF23"/>
    <mergeCell ref="WOS23:WOV23"/>
    <mergeCell ref="WOW23:WOZ23"/>
    <mergeCell ref="WPA23:WPD23"/>
    <mergeCell ref="WPE23:WPH23"/>
    <mergeCell ref="WPI23:WPL23"/>
    <mergeCell ref="WNY23:WOB23"/>
    <mergeCell ref="WOC23:WOF23"/>
    <mergeCell ref="WOG23:WOJ23"/>
    <mergeCell ref="WOK23:WON23"/>
    <mergeCell ref="WOO23:WOR23"/>
    <mergeCell ref="WNE23:WNH23"/>
    <mergeCell ref="WNI23:WNL23"/>
    <mergeCell ref="WNM23:WNP23"/>
    <mergeCell ref="WNQ23:WNT23"/>
    <mergeCell ref="WNU23:WNX23"/>
    <mergeCell ref="WMK23:WMN23"/>
    <mergeCell ref="WMO23:WMR23"/>
    <mergeCell ref="WMS23:WMV23"/>
    <mergeCell ref="WMW23:WMZ23"/>
    <mergeCell ref="WNA23:WND23"/>
    <mergeCell ref="WLQ23:WLT23"/>
    <mergeCell ref="WLU23:WLX23"/>
    <mergeCell ref="WLY23:WMB23"/>
    <mergeCell ref="WMC23:WMF23"/>
    <mergeCell ref="WMG23:WMJ23"/>
    <mergeCell ref="WKW23:WKZ23"/>
    <mergeCell ref="WLA23:WLD23"/>
    <mergeCell ref="WLE23:WLH23"/>
    <mergeCell ref="WLI23:WLL23"/>
    <mergeCell ref="WLM23:WLP23"/>
    <mergeCell ref="WVE23:WVH23"/>
    <mergeCell ref="WVI23:WVL23"/>
    <mergeCell ref="WVM23:WVP23"/>
    <mergeCell ref="WUC23:WUF23"/>
    <mergeCell ref="WUG23:WUJ23"/>
    <mergeCell ref="WUK23:WUN23"/>
    <mergeCell ref="WUO23:WUR23"/>
    <mergeCell ref="WUS23:WUV23"/>
    <mergeCell ref="WTI23:WTL23"/>
    <mergeCell ref="WTM23:WTP23"/>
    <mergeCell ref="WTQ23:WTT23"/>
    <mergeCell ref="WTU23:WTX23"/>
    <mergeCell ref="WTY23:WUB23"/>
    <mergeCell ref="WSO23:WSR23"/>
    <mergeCell ref="WSS23:WSV23"/>
    <mergeCell ref="WSW23:WSZ23"/>
    <mergeCell ref="WTA23:WTD23"/>
    <mergeCell ref="WTE23:WTH23"/>
    <mergeCell ref="WRU23:WRX23"/>
    <mergeCell ref="WRY23:WSB23"/>
    <mergeCell ref="WSC23:WSF23"/>
    <mergeCell ref="WSG23:WSJ23"/>
    <mergeCell ref="WSK23:WSN23"/>
    <mergeCell ref="WRA23:WRD23"/>
    <mergeCell ref="WRE23:WRH23"/>
    <mergeCell ref="WRI23:WRL23"/>
    <mergeCell ref="WRM23:WRP23"/>
    <mergeCell ref="WRQ23:WRT23"/>
    <mergeCell ref="WQG23:WQJ23"/>
    <mergeCell ref="WQK23:WQN23"/>
    <mergeCell ref="WQO23:WQR23"/>
    <mergeCell ref="WQS23:WQV23"/>
    <mergeCell ref="WQW23:WQZ23"/>
    <mergeCell ref="WYS23:WYV23"/>
    <mergeCell ref="WYW23:WYZ23"/>
    <mergeCell ref="WZA23:WZD23"/>
    <mergeCell ref="WZE23:WZH23"/>
    <mergeCell ref="WZI23:WZL23"/>
    <mergeCell ref="WXY23:WYB23"/>
    <mergeCell ref="WYC23:WYF23"/>
    <mergeCell ref="WYG23:WYJ23"/>
    <mergeCell ref="WYK23:WYN23"/>
    <mergeCell ref="WYO23:WYR23"/>
    <mergeCell ref="WXE23:WXH23"/>
    <mergeCell ref="WXI23:WXL23"/>
    <mergeCell ref="WXM23:WXP23"/>
    <mergeCell ref="WXQ23:WXT23"/>
    <mergeCell ref="WXU23:WXX23"/>
    <mergeCell ref="WWK23:WWN23"/>
    <mergeCell ref="WWO23:WWR23"/>
    <mergeCell ref="WWS23:WWV23"/>
    <mergeCell ref="WWW23:WWZ23"/>
    <mergeCell ref="WXA23:WXD23"/>
    <mergeCell ref="WVQ23:WVT23"/>
    <mergeCell ref="WVU23:WVX23"/>
    <mergeCell ref="WVY23:WWB23"/>
    <mergeCell ref="WWC23:WWF23"/>
    <mergeCell ref="WWG23:WWJ23"/>
    <mergeCell ref="WUW23:WUZ23"/>
    <mergeCell ref="XEW23:XEZ23"/>
    <mergeCell ref="XFA23:XFD23"/>
    <mergeCell ref="XEC23:XEF23"/>
    <mergeCell ref="XEG23:XEJ23"/>
    <mergeCell ref="XEK23:XEN23"/>
    <mergeCell ref="XEO23:XER23"/>
    <mergeCell ref="XES23:XEV23"/>
    <mergeCell ref="XDI23:XDL23"/>
    <mergeCell ref="XDM23:XDP23"/>
    <mergeCell ref="XDQ23:XDT23"/>
    <mergeCell ref="XDU23:XDX23"/>
    <mergeCell ref="XDY23:XEB23"/>
    <mergeCell ref="XCO23:XCR23"/>
    <mergeCell ref="XCS23:XCV23"/>
    <mergeCell ref="XCW23:XCZ23"/>
    <mergeCell ref="XDA23:XDD23"/>
    <mergeCell ref="XDE23:XDH23"/>
    <mergeCell ref="XBU23:XBX23"/>
    <mergeCell ref="XBY23:XCB23"/>
    <mergeCell ref="XCC23:XCF23"/>
    <mergeCell ref="XCG23:XCJ23"/>
    <mergeCell ref="XCK23:XCN23"/>
    <mergeCell ref="XBA23:XBD23"/>
    <mergeCell ref="XBE23:XBH23"/>
    <mergeCell ref="XBI23:XBL23"/>
    <mergeCell ref="XBM23:XBP23"/>
    <mergeCell ref="XBQ23:XBT23"/>
    <mergeCell ref="XAG23:XAJ23"/>
    <mergeCell ref="XAK23:XAN23"/>
    <mergeCell ref="XAO23:XAR23"/>
    <mergeCell ref="XAS23:XAV23"/>
    <mergeCell ref="XAW23:XAZ23"/>
    <mergeCell ref="WZM23:WZP23"/>
    <mergeCell ref="WZQ23:WZT23"/>
    <mergeCell ref="WZU23:WZX23"/>
    <mergeCell ref="WZY23:XAB23"/>
    <mergeCell ref="XAC23:XAF23"/>
    <mergeCell ref="WVA23:WVD23"/>
  </mergeCells>
  <pageMargins left="0.70866141732283472" right="0.70866141732283472" top="0.74803149606299213" bottom="0.74803149606299213" header="0.31496062992125984" footer="0.31496062992125984"/>
  <pageSetup paperSize="9" scale="64" orientation="portrait" r:id="rId1"/>
  <headerFooter>
    <oddFooter>&amp;R&amp;A</oddFooter>
  </headerFooter>
  <colBreaks count="1" manualBreakCount="1">
    <brk id="5" max="46"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LW44"/>
  <sheetViews>
    <sheetView topLeftCell="B1" zoomScaleNormal="100" zoomScaleSheetLayoutView="100" workbookViewId="0"/>
  </sheetViews>
  <sheetFormatPr defaultRowHeight="15" x14ac:dyDescent="0.25"/>
  <cols>
    <col min="1" max="1" width="9.7109375" style="42" hidden="1" customWidth="1"/>
    <col min="2" max="2" width="74" style="162" customWidth="1"/>
    <col min="3" max="3" width="39.42578125" style="146" customWidth="1"/>
    <col min="4" max="4" width="7.85546875" style="42" customWidth="1"/>
    <col min="5" max="5" width="10.28515625" hidden="1" customWidth="1"/>
    <col min="6" max="6" width="6.28515625" hidden="1" customWidth="1"/>
    <col min="7" max="7" width="29.28515625" hidden="1" customWidth="1"/>
    <col min="8" max="8" width="19.28515625" style="41" hidden="1" customWidth="1"/>
    <col min="9" max="9" width="7.85546875" style="41" customWidth="1"/>
    <col min="10" max="10" width="28" style="41" customWidth="1"/>
    <col min="11" max="11" width="25.28515625" style="42" customWidth="1"/>
    <col min="12" max="12" width="27.28515625" style="42" customWidth="1"/>
    <col min="13" max="13" width="9.140625" style="42"/>
    <col min="14" max="14" width="36.140625" style="42" customWidth="1"/>
    <col min="15" max="255" width="9.140625" style="42"/>
    <col min="256" max="256" width="32.28515625" style="42" customWidth="1"/>
    <col min="257" max="257" width="89.85546875" style="42" customWidth="1"/>
    <col min="258" max="258" width="19.140625" style="42" customWidth="1"/>
    <col min="259" max="259" width="8.140625" style="42" customWidth="1"/>
    <col min="260" max="260" width="11" style="42" customWidth="1"/>
    <col min="261" max="261" width="21.42578125" style="42" customWidth="1"/>
    <col min="262" max="262" width="16.140625" style="42" customWidth="1"/>
    <col min="263" max="263" width="28" style="42" customWidth="1"/>
    <col min="264" max="264" width="9.140625" style="42"/>
    <col min="265" max="265" width="25" style="42" customWidth="1"/>
    <col min="266" max="266" width="6.85546875" style="42" customWidth="1"/>
    <col min="267" max="267" width="25.28515625" style="42" customWidth="1"/>
    <col min="268" max="268" width="27.28515625" style="42" customWidth="1"/>
    <col min="269" max="269" width="9.140625" style="42"/>
    <col min="270" max="270" width="36.140625" style="42" customWidth="1"/>
    <col min="271" max="334" width="9.140625" style="42"/>
    <col min="336" max="336" width="10.28515625" style="42" bestFit="1" customWidth="1"/>
    <col min="337" max="511" width="9.140625" style="42"/>
    <col min="512" max="512" width="32.28515625" style="42" customWidth="1"/>
    <col min="513" max="513" width="89.85546875" style="42" customWidth="1"/>
    <col min="514" max="514" width="19.140625" style="42" customWidth="1"/>
    <col min="515" max="515" width="8.140625" style="42" customWidth="1"/>
    <col min="516" max="516" width="11" style="42" customWidth="1"/>
    <col min="517" max="517" width="21.42578125" style="42" customWidth="1"/>
    <col min="518" max="518" width="16.140625" style="42" customWidth="1"/>
    <col min="519" max="519" width="28" style="42" customWidth="1"/>
    <col min="520" max="520" width="9.140625" style="42"/>
    <col min="521" max="521" width="25" style="42" customWidth="1"/>
    <col min="522" max="522" width="6.85546875" style="42" customWidth="1"/>
    <col min="523" max="523" width="25.28515625" style="42" customWidth="1"/>
    <col min="524" max="524" width="27.28515625" style="42" customWidth="1"/>
    <col min="525" max="525" width="9.140625" style="42"/>
    <col min="526" max="526" width="36.140625" style="42" customWidth="1"/>
    <col min="527" max="767" width="9.140625" style="42"/>
    <col min="768" max="768" width="32.28515625" style="42" customWidth="1"/>
    <col min="769" max="769" width="89.85546875" style="42" customWidth="1"/>
    <col min="770" max="770" width="19.140625" style="42" customWidth="1"/>
    <col min="771" max="771" width="8.140625" style="42" customWidth="1"/>
    <col min="772" max="772" width="11" style="42" customWidth="1"/>
    <col min="773" max="773" width="21.42578125" style="42" customWidth="1"/>
    <col min="774" max="774" width="16.140625" style="42" customWidth="1"/>
    <col min="775" max="775" width="28" style="42" customWidth="1"/>
    <col min="776" max="776" width="9.140625" style="42"/>
    <col min="777" max="777" width="25" style="42" customWidth="1"/>
    <col min="778" max="778" width="6.85546875" style="42" customWidth="1"/>
    <col min="779" max="779" width="25.28515625" style="42" customWidth="1"/>
    <col min="780" max="780" width="27.28515625" style="42" customWidth="1"/>
    <col min="781" max="781" width="9.140625" style="42"/>
    <col min="782" max="782" width="36.140625" style="42" customWidth="1"/>
    <col min="783" max="1023" width="9.140625" style="42"/>
    <col min="1024" max="1024" width="32.28515625" style="42" customWidth="1"/>
    <col min="1025" max="1025" width="89.85546875" style="42" customWidth="1"/>
    <col min="1026" max="1026" width="19.140625" style="42" customWidth="1"/>
    <col min="1027" max="1027" width="8.140625" style="42" customWidth="1"/>
    <col min="1028" max="1028" width="11" style="42" customWidth="1"/>
    <col min="1029" max="1029" width="21.42578125" style="42" customWidth="1"/>
    <col min="1030" max="1030" width="16.140625" style="42" customWidth="1"/>
    <col min="1031" max="1031" width="28" style="42" customWidth="1"/>
    <col min="1032" max="1032" width="9.140625" style="42"/>
    <col min="1033" max="1033" width="25" style="42" customWidth="1"/>
    <col min="1034" max="1034" width="6.85546875" style="42" customWidth="1"/>
    <col min="1035" max="1035" width="25.28515625" style="42" customWidth="1"/>
    <col min="1036" max="1036" width="27.28515625" style="42" customWidth="1"/>
    <col min="1037" max="1037" width="9.140625" style="42"/>
    <col min="1038" max="1038" width="36.140625" style="42" customWidth="1"/>
    <col min="1039" max="1279" width="9.140625" style="42"/>
    <col min="1280" max="1280" width="32.28515625" style="42" customWidth="1"/>
    <col min="1281" max="1281" width="89.85546875" style="42" customWidth="1"/>
    <col min="1282" max="1282" width="19.140625" style="42" customWidth="1"/>
    <col min="1283" max="1283" width="8.140625" style="42" customWidth="1"/>
    <col min="1284" max="1284" width="11" style="42" customWidth="1"/>
    <col min="1285" max="1285" width="21.42578125" style="42" customWidth="1"/>
    <col min="1286" max="1286" width="16.140625" style="42" customWidth="1"/>
    <col min="1287" max="1287" width="28" style="42" customWidth="1"/>
    <col min="1288" max="1288" width="9.140625" style="42"/>
    <col min="1289" max="1289" width="25" style="42" customWidth="1"/>
    <col min="1290" max="1290" width="6.85546875" style="42" customWidth="1"/>
    <col min="1291" max="1291" width="25.28515625" style="42" customWidth="1"/>
    <col min="1292" max="1292" width="27.28515625" style="42" customWidth="1"/>
    <col min="1293" max="1293" width="9.140625" style="42"/>
    <col min="1294" max="1294" width="36.140625" style="42" customWidth="1"/>
    <col min="1295" max="1535" width="9.140625" style="42"/>
    <col min="1536" max="1536" width="32.28515625" style="42" customWidth="1"/>
    <col min="1537" max="1537" width="89.85546875" style="42" customWidth="1"/>
    <col min="1538" max="1538" width="19.140625" style="42" customWidth="1"/>
    <col min="1539" max="1539" width="8.140625" style="42" customWidth="1"/>
    <col min="1540" max="1540" width="11" style="42" customWidth="1"/>
    <col min="1541" max="1541" width="21.42578125" style="42" customWidth="1"/>
    <col min="1542" max="1542" width="16.140625" style="42" customWidth="1"/>
    <col min="1543" max="1543" width="28" style="42" customWidth="1"/>
    <col min="1544" max="1544" width="9.140625" style="42"/>
    <col min="1545" max="1545" width="25" style="42" customWidth="1"/>
    <col min="1546" max="1546" width="6.85546875" style="42" customWidth="1"/>
    <col min="1547" max="1547" width="25.28515625" style="42" customWidth="1"/>
    <col min="1548" max="1548" width="27.28515625" style="42" customWidth="1"/>
    <col min="1549" max="1549" width="9.140625" style="42"/>
    <col min="1550" max="1550" width="36.140625" style="42" customWidth="1"/>
    <col min="1551" max="1791" width="9.140625" style="42"/>
    <col min="1792" max="1792" width="32.28515625" style="42" customWidth="1"/>
    <col min="1793" max="1793" width="89.85546875" style="42" customWidth="1"/>
    <col min="1794" max="1794" width="19.140625" style="42" customWidth="1"/>
    <col min="1795" max="1795" width="8.140625" style="42" customWidth="1"/>
    <col min="1796" max="1796" width="11" style="42" customWidth="1"/>
    <col min="1797" max="1797" width="21.42578125" style="42" customWidth="1"/>
    <col min="1798" max="1798" width="16.140625" style="42" customWidth="1"/>
    <col min="1799" max="1799" width="28" style="42" customWidth="1"/>
    <col min="1800" max="1800" width="9.140625" style="42"/>
    <col min="1801" max="1801" width="25" style="42" customWidth="1"/>
    <col min="1802" max="1802" width="6.85546875" style="42" customWidth="1"/>
    <col min="1803" max="1803" width="25.28515625" style="42" customWidth="1"/>
    <col min="1804" max="1804" width="27.28515625" style="42" customWidth="1"/>
    <col min="1805" max="1805" width="9.140625" style="42"/>
    <col min="1806" max="1806" width="36.140625" style="42" customWidth="1"/>
    <col min="1807" max="2047" width="9.140625" style="42"/>
    <col min="2048" max="2048" width="32.28515625" style="42" customWidth="1"/>
    <col min="2049" max="2049" width="89.85546875" style="42" customWidth="1"/>
    <col min="2050" max="2050" width="19.140625" style="42" customWidth="1"/>
    <col min="2051" max="2051" width="8.140625" style="42" customWidth="1"/>
    <col min="2052" max="2052" width="11" style="42" customWidth="1"/>
    <col min="2053" max="2053" width="21.42578125" style="42" customWidth="1"/>
    <col min="2054" max="2054" width="16.140625" style="42" customWidth="1"/>
    <col min="2055" max="2055" width="28" style="42" customWidth="1"/>
    <col min="2056" max="2056" width="9.140625" style="42"/>
    <col min="2057" max="2057" width="25" style="42" customWidth="1"/>
    <col min="2058" max="2058" width="6.85546875" style="42" customWidth="1"/>
    <col min="2059" max="2059" width="25.28515625" style="42" customWidth="1"/>
    <col min="2060" max="2060" width="27.28515625" style="42" customWidth="1"/>
    <col min="2061" max="2061" width="9.140625" style="42"/>
    <col min="2062" max="2062" width="36.140625" style="42" customWidth="1"/>
    <col min="2063" max="2303" width="9.140625" style="42"/>
    <col min="2304" max="2304" width="32.28515625" style="42" customWidth="1"/>
    <col min="2305" max="2305" width="89.85546875" style="42" customWidth="1"/>
    <col min="2306" max="2306" width="19.140625" style="42" customWidth="1"/>
    <col min="2307" max="2307" width="8.140625" style="42" customWidth="1"/>
    <col min="2308" max="2308" width="11" style="42" customWidth="1"/>
    <col min="2309" max="2309" width="21.42578125" style="42" customWidth="1"/>
    <col min="2310" max="2310" width="16.140625" style="42" customWidth="1"/>
    <col min="2311" max="2311" width="28" style="42" customWidth="1"/>
    <col min="2312" max="2312" width="9.140625" style="42"/>
    <col min="2313" max="2313" width="25" style="42" customWidth="1"/>
    <col min="2314" max="2314" width="6.85546875" style="42" customWidth="1"/>
    <col min="2315" max="2315" width="25.28515625" style="42" customWidth="1"/>
    <col min="2316" max="2316" width="27.28515625" style="42" customWidth="1"/>
    <col min="2317" max="2317" width="9.140625" style="42"/>
    <col min="2318" max="2318" width="36.140625" style="42" customWidth="1"/>
    <col min="2319" max="2559" width="9.140625" style="42"/>
    <col min="2560" max="2560" width="32.28515625" style="42" customWidth="1"/>
    <col min="2561" max="2561" width="89.85546875" style="42" customWidth="1"/>
    <col min="2562" max="2562" width="19.140625" style="42" customWidth="1"/>
    <col min="2563" max="2563" width="8.140625" style="42" customWidth="1"/>
    <col min="2564" max="2564" width="11" style="42" customWidth="1"/>
    <col min="2565" max="2565" width="21.42578125" style="42" customWidth="1"/>
    <col min="2566" max="2566" width="16.140625" style="42" customWidth="1"/>
    <col min="2567" max="2567" width="28" style="42" customWidth="1"/>
    <col min="2568" max="2568" width="9.140625" style="42"/>
    <col min="2569" max="2569" width="25" style="42" customWidth="1"/>
    <col min="2570" max="2570" width="6.85546875" style="42" customWidth="1"/>
    <col min="2571" max="2571" width="25.28515625" style="42" customWidth="1"/>
    <col min="2572" max="2572" width="27.28515625" style="42" customWidth="1"/>
    <col min="2573" max="2573" width="9.140625" style="42"/>
    <col min="2574" max="2574" width="36.140625" style="42" customWidth="1"/>
    <col min="2575" max="2815" width="9.140625" style="42"/>
    <col min="2816" max="2816" width="32.28515625" style="42" customWidth="1"/>
    <col min="2817" max="2817" width="89.85546875" style="42" customWidth="1"/>
    <col min="2818" max="2818" width="19.140625" style="42" customWidth="1"/>
    <col min="2819" max="2819" width="8.140625" style="42" customWidth="1"/>
    <col min="2820" max="2820" width="11" style="42" customWidth="1"/>
    <col min="2821" max="2821" width="21.42578125" style="42" customWidth="1"/>
    <col min="2822" max="2822" width="16.140625" style="42" customWidth="1"/>
    <col min="2823" max="2823" width="28" style="42" customWidth="1"/>
    <col min="2824" max="2824" width="9.140625" style="42"/>
    <col min="2825" max="2825" width="25" style="42" customWidth="1"/>
    <col min="2826" max="2826" width="6.85546875" style="42" customWidth="1"/>
    <col min="2827" max="2827" width="25.28515625" style="42" customWidth="1"/>
    <col min="2828" max="2828" width="27.28515625" style="42" customWidth="1"/>
    <col min="2829" max="2829" width="9.140625" style="42"/>
    <col min="2830" max="2830" width="36.140625" style="42" customWidth="1"/>
    <col min="2831" max="3071" width="9.140625" style="42"/>
    <col min="3072" max="3072" width="32.28515625" style="42" customWidth="1"/>
    <col min="3073" max="3073" width="89.85546875" style="42" customWidth="1"/>
    <col min="3074" max="3074" width="19.140625" style="42" customWidth="1"/>
    <col min="3075" max="3075" width="8.140625" style="42" customWidth="1"/>
    <col min="3076" max="3076" width="11" style="42" customWidth="1"/>
    <col min="3077" max="3077" width="21.42578125" style="42" customWidth="1"/>
    <col min="3078" max="3078" width="16.140625" style="42" customWidth="1"/>
    <col min="3079" max="3079" width="28" style="42" customWidth="1"/>
    <col min="3080" max="3080" width="9.140625" style="42"/>
    <col min="3081" max="3081" width="25" style="42" customWidth="1"/>
    <col min="3082" max="3082" width="6.85546875" style="42" customWidth="1"/>
    <col min="3083" max="3083" width="25.28515625" style="42" customWidth="1"/>
    <col min="3084" max="3084" width="27.28515625" style="42" customWidth="1"/>
    <col min="3085" max="3085" width="9.140625" style="42"/>
    <col min="3086" max="3086" width="36.140625" style="42" customWidth="1"/>
    <col min="3087" max="3327" width="9.140625" style="42"/>
    <col min="3328" max="3328" width="32.28515625" style="42" customWidth="1"/>
    <col min="3329" max="3329" width="89.85546875" style="42" customWidth="1"/>
    <col min="3330" max="3330" width="19.140625" style="42" customWidth="1"/>
    <col min="3331" max="3331" width="8.140625" style="42" customWidth="1"/>
    <col min="3332" max="3332" width="11" style="42" customWidth="1"/>
    <col min="3333" max="3333" width="21.42578125" style="42" customWidth="1"/>
    <col min="3334" max="3334" width="16.140625" style="42" customWidth="1"/>
    <col min="3335" max="3335" width="28" style="42" customWidth="1"/>
    <col min="3336" max="3336" width="9.140625" style="42"/>
    <col min="3337" max="3337" width="25" style="42" customWidth="1"/>
    <col min="3338" max="3338" width="6.85546875" style="42" customWidth="1"/>
    <col min="3339" max="3339" width="25.28515625" style="42" customWidth="1"/>
    <col min="3340" max="3340" width="27.28515625" style="42" customWidth="1"/>
    <col min="3341" max="3341" width="9.140625" style="42"/>
    <col min="3342" max="3342" width="36.140625" style="42" customWidth="1"/>
    <col min="3343" max="3583" width="9.140625" style="42"/>
    <col min="3584" max="3584" width="32.28515625" style="42" customWidth="1"/>
    <col min="3585" max="3585" width="89.85546875" style="42" customWidth="1"/>
    <col min="3586" max="3586" width="19.140625" style="42" customWidth="1"/>
    <col min="3587" max="3587" width="8.140625" style="42" customWidth="1"/>
    <col min="3588" max="3588" width="11" style="42" customWidth="1"/>
    <col min="3589" max="3589" width="21.42578125" style="42" customWidth="1"/>
    <col min="3590" max="3590" width="16.140625" style="42" customWidth="1"/>
    <col min="3591" max="3591" width="28" style="42" customWidth="1"/>
    <col min="3592" max="3592" width="9.140625" style="42"/>
    <col min="3593" max="3593" width="25" style="42" customWidth="1"/>
    <col min="3594" max="3594" width="6.85546875" style="42" customWidth="1"/>
    <col min="3595" max="3595" width="25.28515625" style="42" customWidth="1"/>
    <col min="3596" max="3596" width="27.28515625" style="42" customWidth="1"/>
    <col min="3597" max="3597" width="9.140625" style="42"/>
    <col min="3598" max="3598" width="36.140625" style="42" customWidth="1"/>
    <col min="3599" max="3839" width="9.140625" style="42"/>
    <col min="3840" max="3840" width="32.28515625" style="42" customWidth="1"/>
    <col min="3841" max="3841" width="89.85546875" style="42" customWidth="1"/>
    <col min="3842" max="3842" width="19.140625" style="42" customWidth="1"/>
    <col min="3843" max="3843" width="8.140625" style="42" customWidth="1"/>
    <col min="3844" max="3844" width="11" style="42" customWidth="1"/>
    <col min="3845" max="3845" width="21.42578125" style="42" customWidth="1"/>
    <col min="3846" max="3846" width="16.140625" style="42" customWidth="1"/>
    <col min="3847" max="3847" width="28" style="42" customWidth="1"/>
    <col min="3848" max="3848" width="9.140625" style="42"/>
    <col min="3849" max="3849" width="25" style="42" customWidth="1"/>
    <col min="3850" max="3850" width="6.85546875" style="42" customWidth="1"/>
    <col min="3851" max="3851" width="25.28515625" style="42" customWidth="1"/>
    <col min="3852" max="3852" width="27.28515625" style="42" customWidth="1"/>
    <col min="3853" max="3853" width="9.140625" style="42"/>
    <col min="3854" max="3854" width="36.140625" style="42" customWidth="1"/>
    <col min="3855" max="4095" width="9.140625" style="42"/>
    <col min="4096" max="4096" width="32.28515625" style="42" customWidth="1"/>
    <col min="4097" max="4097" width="89.85546875" style="42" customWidth="1"/>
    <col min="4098" max="4098" width="19.140625" style="42" customWidth="1"/>
    <col min="4099" max="4099" width="8.140625" style="42" customWidth="1"/>
    <col min="4100" max="4100" width="11" style="42" customWidth="1"/>
    <col min="4101" max="4101" width="21.42578125" style="42" customWidth="1"/>
    <col min="4102" max="4102" width="16.140625" style="42" customWidth="1"/>
    <col min="4103" max="4103" width="28" style="42" customWidth="1"/>
    <col min="4104" max="4104" width="9.140625" style="42"/>
    <col min="4105" max="4105" width="25" style="42" customWidth="1"/>
    <col min="4106" max="4106" width="6.85546875" style="42" customWidth="1"/>
    <col min="4107" max="4107" width="25.28515625" style="42" customWidth="1"/>
    <col min="4108" max="4108" width="27.28515625" style="42" customWidth="1"/>
    <col min="4109" max="4109" width="9.140625" style="42"/>
    <col min="4110" max="4110" width="36.140625" style="42" customWidth="1"/>
    <col min="4111" max="4351" width="9.140625" style="42"/>
    <col min="4352" max="4352" width="32.28515625" style="42" customWidth="1"/>
    <col min="4353" max="4353" width="89.85546875" style="42" customWidth="1"/>
    <col min="4354" max="4354" width="19.140625" style="42" customWidth="1"/>
    <col min="4355" max="4355" width="8.140625" style="42" customWidth="1"/>
    <col min="4356" max="4356" width="11" style="42" customWidth="1"/>
    <col min="4357" max="4357" width="21.42578125" style="42" customWidth="1"/>
    <col min="4358" max="4358" width="16.140625" style="42" customWidth="1"/>
    <col min="4359" max="4359" width="28" style="42" customWidth="1"/>
    <col min="4360" max="4360" width="9.140625" style="42"/>
    <col min="4361" max="4361" width="25" style="42" customWidth="1"/>
    <col min="4362" max="4362" width="6.85546875" style="42" customWidth="1"/>
    <col min="4363" max="4363" width="25.28515625" style="42" customWidth="1"/>
    <col min="4364" max="4364" width="27.28515625" style="42" customWidth="1"/>
    <col min="4365" max="4365" width="9.140625" style="42"/>
    <col min="4366" max="4366" width="36.140625" style="42" customWidth="1"/>
    <col min="4367" max="4607" width="9.140625" style="42"/>
    <col min="4608" max="4608" width="32.28515625" style="42" customWidth="1"/>
    <col min="4609" max="4609" width="89.85546875" style="42" customWidth="1"/>
    <col min="4610" max="4610" width="19.140625" style="42" customWidth="1"/>
    <col min="4611" max="4611" width="8.140625" style="42" customWidth="1"/>
    <col min="4612" max="4612" width="11" style="42" customWidth="1"/>
    <col min="4613" max="4613" width="21.42578125" style="42" customWidth="1"/>
    <col min="4614" max="4614" width="16.140625" style="42" customWidth="1"/>
    <col min="4615" max="4615" width="28" style="42" customWidth="1"/>
    <col min="4616" max="4616" width="9.140625" style="42"/>
    <col min="4617" max="4617" width="25" style="42" customWidth="1"/>
    <col min="4618" max="4618" width="6.85546875" style="42" customWidth="1"/>
    <col min="4619" max="4619" width="25.28515625" style="42" customWidth="1"/>
    <col min="4620" max="4620" width="27.28515625" style="42" customWidth="1"/>
    <col min="4621" max="4621" width="9.140625" style="42"/>
    <col min="4622" max="4622" width="36.140625" style="42" customWidth="1"/>
    <col min="4623" max="4863" width="9.140625" style="42"/>
    <col min="4864" max="4864" width="32.28515625" style="42" customWidth="1"/>
    <col min="4865" max="4865" width="89.85546875" style="42" customWidth="1"/>
    <col min="4866" max="4866" width="19.140625" style="42" customWidth="1"/>
    <col min="4867" max="4867" width="8.140625" style="42" customWidth="1"/>
    <col min="4868" max="4868" width="11" style="42" customWidth="1"/>
    <col min="4869" max="4869" width="21.42578125" style="42" customWidth="1"/>
    <col min="4870" max="4870" width="16.140625" style="42" customWidth="1"/>
    <col min="4871" max="4871" width="28" style="42" customWidth="1"/>
    <col min="4872" max="4872" width="9.140625" style="42"/>
    <col min="4873" max="4873" width="25" style="42" customWidth="1"/>
    <col min="4874" max="4874" width="6.85546875" style="42" customWidth="1"/>
    <col min="4875" max="4875" width="25.28515625" style="42" customWidth="1"/>
    <col min="4876" max="4876" width="27.28515625" style="42" customWidth="1"/>
    <col min="4877" max="4877" width="9.140625" style="42"/>
    <col min="4878" max="4878" width="36.140625" style="42" customWidth="1"/>
    <col min="4879" max="5119" width="9.140625" style="42"/>
    <col min="5120" max="5120" width="32.28515625" style="42" customWidth="1"/>
    <col min="5121" max="5121" width="89.85546875" style="42" customWidth="1"/>
    <col min="5122" max="5122" width="19.140625" style="42" customWidth="1"/>
    <col min="5123" max="5123" width="8.140625" style="42" customWidth="1"/>
    <col min="5124" max="5124" width="11" style="42" customWidth="1"/>
    <col min="5125" max="5125" width="21.42578125" style="42" customWidth="1"/>
    <col min="5126" max="5126" width="16.140625" style="42" customWidth="1"/>
    <col min="5127" max="5127" width="28" style="42" customWidth="1"/>
    <col min="5128" max="5128" width="9.140625" style="42"/>
    <col min="5129" max="5129" width="25" style="42" customWidth="1"/>
    <col min="5130" max="5130" width="6.85546875" style="42" customWidth="1"/>
    <col min="5131" max="5131" width="25.28515625" style="42" customWidth="1"/>
    <col min="5132" max="5132" width="27.28515625" style="42" customWidth="1"/>
    <col min="5133" max="5133" width="9.140625" style="42"/>
    <col min="5134" max="5134" width="36.140625" style="42" customWidth="1"/>
    <col min="5135" max="5375" width="9.140625" style="42"/>
    <col min="5376" max="5376" width="32.28515625" style="42" customWidth="1"/>
    <col min="5377" max="5377" width="89.85546875" style="42" customWidth="1"/>
    <col min="5378" max="5378" width="19.140625" style="42" customWidth="1"/>
    <col min="5379" max="5379" width="8.140625" style="42" customWidth="1"/>
    <col min="5380" max="5380" width="11" style="42" customWidth="1"/>
    <col min="5381" max="5381" width="21.42578125" style="42" customWidth="1"/>
    <col min="5382" max="5382" width="16.140625" style="42" customWidth="1"/>
    <col min="5383" max="5383" width="28" style="42" customWidth="1"/>
    <col min="5384" max="5384" width="9.140625" style="42"/>
    <col min="5385" max="5385" width="25" style="42" customWidth="1"/>
    <col min="5386" max="5386" width="6.85546875" style="42" customWidth="1"/>
    <col min="5387" max="5387" width="25.28515625" style="42" customWidth="1"/>
    <col min="5388" max="5388" width="27.28515625" style="42" customWidth="1"/>
    <col min="5389" max="5389" width="9.140625" style="42"/>
    <col min="5390" max="5390" width="36.140625" style="42" customWidth="1"/>
    <col min="5391" max="5631" width="9.140625" style="42"/>
    <col min="5632" max="5632" width="32.28515625" style="42" customWidth="1"/>
    <col min="5633" max="5633" width="89.85546875" style="42" customWidth="1"/>
    <col min="5634" max="5634" width="19.140625" style="42" customWidth="1"/>
    <col min="5635" max="5635" width="8.140625" style="42" customWidth="1"/>
    <col min="5636" max="5636" width="11" style="42" customWidth="1"/>
    <col min="5637" max="5637" width="21.42578125" style="42" customWidth="1"/>
    <col min="5638" max="5638" width="16.140625" style="42" customWidth="1"/>
    <col min="5639" max="5639" width="28" style="42" customWidth="1"/>
    <col min="5640" max="5640" width="9.140625" style="42"/>
    <col min="5641" max="5641" width="25" style="42" customWidth="1"/>
    <col min="5642" max="5642" width="6.85546875" style="42" customWidth="1"/>
    <col min="5643" max="5643" width="25.28515625" style="42" customWidth="1"/>
    <col min="5644" max="5644" width="27.28515625" style="42" customWidth="1"/>
    <col min="5645" max="5645" width="9.140625" style="42"/>
    <col min="5646" max="5646" width="36.140625" style="42" customWidth="1"/>
    <col min="5647" max="5887" width="9.140625" style="42"/>
    <col min="5888" max="5888" width="32.28515625" style="42" customWidth="1"/>
    <col min="5889" max="5889" width="89.85546875" style="42" customWidth="1"/>
    <col min="5890" max="5890" width="19.140625" style="42" customWidth="1"/>
    <col min="5891" max="5891" width="8.140625" style="42" customWidth="1"/>
    <col min="5892" max="5892" width="11" style="42" customWidth="1"/>
    <col min="5893" max="5893" width="21.42578125" style="42" customWidth="1"/>
    <col min="5894" max="5894" width="16.140625" style="42" customWidth="1"/>
    <col min="5895" max="5895" width="28" style="42" customWidth="1"/>
    <col min="5896" max="5896" width="9.140625" style="42"/>
    <col min="5897" max="5897" width="25" style="42" customWidth="1"/>
    <col min="5898" max="5898" width="6.85546875" style="42" customWidth="1"/>
    <col min="5899" max="5899" width="25.28515625" style="42" customWidth="1"/>
    <col min="5900" max="5900" width="27.28515625" style="42" customWidth="1"/>
    <col min="5901" max="5901" width="9.140625" style="42"/>
    <col min="5902" max="5902" width="36.140625" style="42" customWidth="1"/>
    <col min="5903" max="6143" width="9.140625" style="42"/>
    <col min="6144" max="6144" width="32.28515625" style="42" customWidth="1"/>
    <col min="6145" max="6145" width="89.85546875" style="42" customWidth="1"/>
    <col min="6146" max="6146" width="19.140625" style="42" customWidth="1"/>
    <col min="6147" max="6147" width="8.140625" style="42" customWidth="1"/>
    <col min="6148" max="6148" width="11" style="42" customWidth="1"/>
    <col min="6149" max="6149" width="21.42578125" style="42" customWidth="1"/>
    <col min="6150" max="6150" width="16.140625" style="42" customWidth="1"/>
    <col min="6151" max="6151" width="28" style="42" customWidth="1"/>
    <col min="6152" max="6152" width="9.140625" style="42"/>
    <col min="6153" max="6153" width="25" style="42" customWidth="1"/>
    <col min="6154" max="6154" width="6.85546875" style="42" customWidth="1"/>
    <col min="6155" max="6155" width="25.28515625" style="42" customWidth="1"/>
    <col min="6156" max="6156" width="27.28515625" style="42" customWidth="1"/>
    <col min="6157" max="6157" width="9.140625" style="42"/>
    <col min="6158" max="6158" width="36.140625" style="42" customWidth="1"/>
    <col min="6159" max="6399" width="9.140625" style="42"/>
    <col min="6400" max="6400" width="32.28515625" style="42" customWidth="1"/>
    <col min="6401" max="6401" width="89.85546875" style="42" customWidth="1"/>
    <col min="6402" max="6402" width="19.140625" style="42" customWidth="1"/>
    <col min="6403" max="6403" width="8.140625" style="42" customWidth="1"/>
    <col min="6404" max="6404" width="11" style="42" customWidth="1"/>
    <col min="6405" max="6405" width="21.42578125" style="42" customWidth="1"/>
    <col min="6406" max="6406" width="16.140625" style="42" customWidth="1"/>
    <col min="6407" max="6407" width="28" style="42" customWidth="1"/>
    <col min="6408" max="6408" width="9.140625" style="42"/>
    <col min="6409" max="6409" width="25" style="42" customWidth="1"/>
    <col min="6410" max="6410" width="6.85546875" style="42" customWidth="1"/>
    <col min="6411" max="6411" width="25.28515625" style="42" customWidth="1"/>
    <col min="6412" max="6412" width="27.28515625" style="42" customWidth="1"/>
    <col min="6413" max="6413" width="9.140625" style="42"/>
    <col min="6414" max="6414" width="36.140625" style="42" customWidth="1"/>
    <col min="6415" max="6655" width="9.140625" style="42"/>
    <col min="6656" max="6656" width="32.28515625" style="42" customWidth="1"/>
    <col min="6657" max="6657" width="89.85546875" style="42" customWidth="1"/>
    <col min="6658" max="6658" width="19.140625" style="42" customWidth="1"/>
    <col min="6659" max="6659" width="8.140625" style="42" customWidth="1"/>
    <col min="6660" max="6660" width="11" style="42" customWidth="1"/>
    <col min="6661" max="6661" width="21.42578125" style="42" customWidth="1"/>
    <col min="6662" max="6662" width="16.140625" style="42" customWidth="1"/>
    <col min="6663" max="6663" width="28" style="42" customWidth="1"/>
    <col min="6664" max="6664" width="9.140625" style="42"/>
    <col min="6665" max="6665" width="25" style="42" customWidth="1"/>
    <col min="6666" max="6666" width="6.85546875" style="42" customWidth="1"/>
    <col min="6667" max="6667" width="25.28515625" style="42" customWidth="1"/>
    <col min="6668" max="6668" width="27.28515625" style="42" customWidth="1"/>
    <col min="6669" max="6669" width="9.140625" style="42"/>
    <col min="6670" max="6670" width="36.140625" style="42" customWidth="1"/>
    <col min="6671" max="6911" width="9.140625" style="42"/>
    <col min="6912" max="6912" width="32.28515625" style="42" customWidth="1"/>
    <col min="6913" max="6913" width="89.85546875" style="42" customWidth="1"/>
    <col min="6914" max="6914" width="19.140625" style="42" customWidth="1"/>
    <col min="6915" max="6915" width="8.140625" style="42" customWidth="1"/>
    <col min="6916" max="6916" width="11" style="42" customWidth="1"/>
    <col min="6917" max="6917" width="21.42578125" style="42" customWidth="1"/>
    <col min="6918" max="6918" width="16.140625" style="42" customWidth="1"/>
    <col min="6919" max="6919" width="28" style="42" customWidth="1"/>
    <col min="6920" max="6920" width="9.140625" style="42"/>
    <col min="6921" max="6921" width="25" style="42" customWidth="1"/>
    <col min="6922" max="6922" width="6.85546875" style="42" customWidth="1"/>
    <col min="6923" max="6923" width="25.28515625" style="42" customWidth="1"/>
    <col min="6924" max="6924" width="27.28515625" style="42" customWidth="1"/>
    <col min="6925" max="6925" width="9.140625" style="42"/>
    <col min="6926" max="6926" width="36.140625" style="42" customWidth="1"/>
    <col min="6927" max="7167" width="9.140625" style="42"/>
    <col min="7168" max="7168" width="32.28515625" style="42" customWidth="1"/>
    <col min="7169" max="7169" width="89.85546875" style="42" customWidth="1"/>
    <col min="7170" max="7170" width="19.140625" style="42" customWidth="1"/>
    <col min="7171" max="7171" width="8.140625" style="42" customWidth="1"/>
    <col min="7172" max="7172" width="11" style="42" customWidth="1"/>
    <col min="7173" max="7173" width="21.42578125" style="42" customWidth="1"/>
    <col min="7174" max="7174" width="16.140625" style="42" customWidth="1"/>
    <col min="7175" max="7175" width="28" style="42" customWidth="1"/>
    <col min="7176" max="7176" width="9.140625" style="42"/>
    <col min="7177" max="7177" width="25" style="42" customWidth="1"/>
    <col min="7178" max="7178" width="6.85546875" style="42" customWidth="1"/>
    <col min="7179" max="7179" width="25.28515625" style="42" customWidth="1"/>
    <col min="7180" max="7180" width="27.28515625" style="42" customWidth="1"/>
    <col min="7181" max="7181" width="9.140625" style="42"/>
    <col min="7182" max="7182" width="36.140625" style="42" customWidth="1"/>
    <col min="7183" max="7423" width="9.140625" style="42"/>
    <col min="7424" max="7424" width="32.28515625" style="42" customWidth="1"/>
    <col min="7425" max="7425" width="89.85546875" style="42" customWidth="1"/>
    <col min="7426" max="7426" width="19.140625" style="42" customWidth="1"/>
    <col min="7427" max="7427" width="8.140625" style="42" customWidth="1"/>
    <col min="7428" max="7428" width="11" style="42" customWidth="1"/>
    <col min="7429" max="7429" width="21.42578125" style="42" customWidth="1"/>
    <col min="7430" max="7430" width="16.140625" style="42" customWidth="1"/>
    <col min="7431" max="7431" width="28" style="42" customWidth="1"/>
    <col min="7432" max="7432" width="9.140625" style="42"/>
    <col min="7433" max="7433" width="25" style="42" customWidth="1"/>
    <col min="7434" max="7434" width="6.85546875" style="42" customWidth="1"/>
    <col min="7435" max="7435" width="25.28515625" style="42" customWidth="1"/>
    <col min="7436" max="7436" width="27.28515625" style="42" customWidth="1"/>
    <col min="7437" max="7437" width="9.140625" style="42"/>
    <col min="7438" max="7438" width="36.140625" style="42" customWidth="1"/>
    <col min="7439" max="7679" width="9.140625" style="42"/>
    <col min="7680" max="7680" width="32.28515625" style="42" customWidth="1"/>
    <col min="7681" max="7681" width="89.85546875" style="42" customWidth="1"/>
    <col min="7682" max="7682" width="19.140625" style="42" customWidth="1"/>
    <col min="7683" max="7683" width="8.140625" style="42" customWidth="1"/>
    <col min="7684" max="7684" width="11" style="42" customWidth="1"/>
    <col min="7685" max="7685" width="21.42578125" style="42" customWidth="1"/>
    <col min="7686" max="7686" width="16.140625" style="42" customWidth="1"/>
    <col min="7687" max="7687" width="28" style="42" customWidth="1"/>
    <col min="7688" max="7688" width="9.140625" style="42"/>
    <col min="7689" max="7689" width="25" style="42" customWidth="1"/>
    <col min="7690" max="7690" width="6.85546875" style="42" customWidth="1"/>
    <col min="7691" max="7691" width="25.28515625" style="42" customWidth="1"/>
    <col min="7692" max="7692" width="27.28515625" style="42" customWidth="1"/>
    <col min="7693" max="7693" width="9.140625" style="42"/>
    <col min="7694" max="7694" width="36.140625" style="42" customWidth="1"/>
    <col min="7695" max="7935" width="9.140625" style="42"/>
    <col min="7936" max="7936" width="32.28515625" style="42" customWidth="1"/>
    <col min="7937" max="7937" width="89.85546875" style="42" customWidth="1"/>
    <col min="7938" max="7938" width="19.140625" style="42" customWidth="1"/>
    <col min="7939" max="7939" width="8.140625" style="42" customWidth="1"/>
    <col min="7940" max="7940" width="11" style="42" customWidth="1"/>
    <col min="7941" max="7941" width="21.42578125" style="42" customWidth="1"/>
    <col min="7942" max="7942" width="16.140625" style="42" customWidth="1"/>
    <col min="7943" max="7943" width="28" style="42" customWidth="1"/>
    <col min="7944" max="7944" width="9.140625" style="42"/>
    <col min="7945" max="7945" width="25" style="42" customWidth="1"/>
    <col min="7946" max="7946" width="6.85546875" style="42" customWidth="1"/>
    <col min="7947" max="7947" width="25.28515625" style="42" customWidth="1"/>
    <col min="7948" max="7948" width="27.28515625" style="42" customWidth="1"/>
    <col min="7949" max="7949" width="9.140625" style="42"/>
    <col min="7950" max="7950" width="36.140625" style="42" customWidth="1"/>
    <col min="7951" max="8191" width="9.140625" style="42"/>
    <col min="8192" max="8192" width="32.28515625" style="42" customWidth="1"/>
    <col min="8193" max="8193" width="89.85546875" style="42" customWidth="1"/>
    <col min="8194" max="8194" width="19.140625" style="42" customWidth="1"/>
    <col min="8195" max="8195" width="8.140625" style="42" customWidth="1"/>
    <col min="8196" max="8196" width="11" style="42" customWidth="1"/>
    <col min="8197" max="8197" width="21.42578125" style="42" customWidth="1"/>
    <col min="8198" max="8198" width="16.140625" style="42" customWidth="1"/>
    <col min="8199" max="8199" width="28" style="42" customWidth="1"/>
    <col min="8200" max="8200" width="9.140625" style="42"/>
    <col min="8201" max="8201" width="25" style="42" customWidth="1"/>
    <col min="8202" max="8202" width="6.85546875" style="42" customWidth="1"/>
    <col min="8203" max="8203" width="25.28515625" style="42" customWidth="1"/>
    <col min="8204" max="8204" width="27.28515625" style="42" customWidth="1"/>
    <col min="8205" max="8205" width="9.140625" style="42"/>
    <col min="8206" max="8206" width="36.140625" style="42" customWidth="1"/>
    <col min="8207" max="8447" width="9.140625" style="42"/>
    <col min="8448" max="8448" width="32.28515625" style="42" customWidth="1"/>
    <col min="8449" max="8449" width="89.85546875" style="42" customWidth="1"/>
    <col min="8450" max="8450" width="19.140625" style="42" customWidth="1"/>
    <col min="8451" max="8451" width="8.140625" style="42" customWidth="1"/>
    <col min="8452" max="8452" width="11" style="42" customWidth="1"/>
    <col min="8453" max="8453" width="21.42578125" style="42" customWidth="1"/>
    <col min="8454" max="8454" width="16.140625" style="42" customWidth="1"/>
    <col min="8455" max="8455" width="28" style="42" customWidth="1"/>
    <col min="8456" max="8456" width="9.140625" style="42"/>
    <col min="8457" max="8457" width="25" style="42" customWidth="1"/>
    <col min="8458" max="8458" width="6.85546875" style="42" customWidth="1"/>
    <col min="8459" max="8459" width="25.28515625" style="42" customWidth="1"/>
    <col min="8460" max="8460" width="27.28515625" style="42" customWidth="1"/>
    <col min="8461" max="8461" width="9.140625" style="42"/>
    <col min="8462" max="8462" width="36.140625" style="42" customWidth="1"/>
    <col min="8463" max="8703" width="9.140625" style="42"/>
    <col min="8704" max="8704" width="32.28515625" style="42" customWidth="1"/>
    <col min="8705" max="8705" width="89.85546875" style="42" customWidth="1"/>
    <col min="8706" max="8706" width="19.140625" style="42" customWidth="1"/>
    <col min="8707" max="8707" width="8.140625" style="42" customWidth="1"/>
    <col min="8708" max="8708" width="11" style="42" customWidth="1"/>
    <col min="8709" max="8709" width="21.42578125" style="42" customWidth="1"/>
    <col min="8710" max="8710" width="16.140625" style="42" customWidth="1"/>
    <col min="8711" max="8711" width="28" style="42" customWidth="1"/>
    <col min="8712" max="8712" width="9.140625" style="42"/>
    <col min="8713" max="8713" width="25" style="42" customWidth="1"/>
    <col min="8714" max="8714" width="6.85546875" style="42" customWidth="1"/>
    <col min="8715" max="8715" width="25.28515625" style="42" customWidth="1"/>
    <col min="8716" max="8716" width="27.28515625" style="42" customWidth="1"/>
    <col min="8717" max="8717" width="9.140625" style="42"/>
    <col min="8718" max="8718" width="36.140625" style="42" customWidth="1"/>
    <col min="8719" max="8959" width="9.140625" style="42"/>
    <col min="8960" max="8960" width="32.28515625" style="42" customWidth="1"/>
    <col min="8961" max="8961" width="89.85546875" style="42" customWidth="1"/>
    <col min="8962" max="8962" width="19.140625" style="42" customWidth="1"/>
    <col min="8963" max="8963" width="8.140625" style="42" customWidth="1"/>
    <col min="8964" max="8964" width="11" style="42" customWidth="1"/>
    <col min="8965" max="8965" width="21.42578125" style="42" customWidth="1"/>
    <col min="8966" max="8966" width="16.140625" style="42" customWidth="1"/>
    <col min="8967" max="8967" width="28" style="42" customWidth="1"/>
    <col min="8968" max="8968" width="9.140625" style="42"/>
    <col min="8969" max="8969" width="25" style="42" customWidth="1"/>
    <col min="8970" max="8970" width="6.85546875" style="42" customWidth="1"/>
    <col min="8971" max="8971" width="25.28515625" style="42" customWidth="1"/>
    <col min="8972" max="8972" width="27.28515625" style="42" customWidth="1"/>
    <col min="8973" max="8973" width="9.140625" style="42"/>
    <col min="8974" max="8974" width="36.140625" style="42" customWidth="1"/>
    <col min="8975" max="9215" width="9.140625" style="42"/>
    <col min="9216" max="9216" width="32.28515625" style="42" customWidth="1"/>
    <col min="9217" max="9217" width="89.85546875" style="42" customWidth="1"/>
    <col min="9218" max="9218" width="19.140625" style="42" customWidth="1"/>
    <col min="9219" max="9219" width="8.140625" style="42" customWidth="1"/>
    <col min="9220" max="9220" width="11" style="42" customWidth="1"/>
    <col min="9221" max="9221" width="21.42578125" style="42" customWidth="1"/>
    <col min="9222" max="9222" width="16.140625" style="42" customWidth="1"/>
    <col min="9223" max="9223" width="28" style="42" customWidth="1"/>
    <col min="9224" max="9224" width="9.140625" style="42"/>
    <col min="9225" max="9225" width="25" style="42" customWidth="1"/>
    <col min="9226" max="9226" width="6.85546875" style="42" customWidth="1"/>
    <col min="9227" max="9227" width="25.28515625" style="42" customWidth="1"/>
    <col min="9228" max="9228" width="27.28515625" style="42" customWidth="1"/>
    <col min="9229" max="9229" width="9.140625" style="42"/>
    <col min="9230" max="9230" width="36.140625" style="42" customWidth="1"/>
    <col min="9231" max="9471" width="9.140625" style="42"/>
    <col min="9472" max="9472" width="32.28515625" style="42" customWidth="1"/>
    <col min="9473" max="9473" width="89.85546875" style="42" customWidth="1"/>
    <col min="9474" max="9474" width="19.140625" style="42" customWidth="1"/>
    <col min="9475" max="9475" width="8.140625" style="42" customWidth="1"/>
    <col min="9476" max="9476" width="11" style="42" customWidth="1"/>
    <col min="9477" max="9477" width="21.42578125" style="42" customWidth="1"/>
    <col min="9478" max="9478" width="16.140625" style="42" customWidth="1"/>
    <col min="9479" max="9479" width="28" style="42" customWidth="1"/>
    <col min="9480" max="9480" width="9.140625" style="42"/>
    <col min="9481" max="9481" width="25" style="42" customWidth="1"/>
    <col min="9482" max="9482" width="6.85546875" style="42" customWidth="1"/>
    <col min="9483" max="9483" width="25.28515625" style="42" customWidth="1"/>
    <col min="9484" max="9484" width="27.28515625" style="42" customWidth="1"/>
    <col min="9485" max="9485" width="9.140625" style="42"/>
    <col min="9486" max="9486" width="36.140625" style="42" customWidth="1"/>
    <col min="9487" max="9727" width="9.140625" style="42"/>
    <col min="9728" max="9728" width="32.28515625" style="42" customWidth="1"/>
    <col min="9729" max="9729" width="89.85546875" style="42" customWidth="1"/>
    <col min="9730" max="9730" width="19.140625" style="42" customWidth="1"/>
    <col min="9731" max="9731" width="8.140625" style="42" customWidth="1"/>
    <col min="9732" max="9732" width="11" style="42" customWidth="1"/>
    <col min="9733" max="9733" width="21.42578125" style="42" customWidth="1"/>
    <col min="9734" max="9734" width="16.140625" style="42" customWidth="1"/>
    <col min="9735" max="9735" width="28" style="42" customWidth="1"/>
    <col min="9736" max="9736" width="9.140625" style="42"/>
    <col min="9737" max="9737" width="25" style="42" customWidth="1"/>
    <col min="9738" max="9738" width="6.85546875" style="42" customWidth="1"/>
    <col min="9739" max="9739" width="25.28515625" style="42" customWidth="1"/>
    <col min="9740" max="9740" width="27.28515625" style="42" customWidth="1"/>
    <col min="9741" max="9741" width="9.140625" style="42"/>
    <col min="9742" max="9742" width="36.140625" style="42" customWidth="1"/>
    <col min="9743" max="9983" width="9.140625" style="42"/>
    <col min="9984" max="9984" width="32.28515625" style="42" customWidth="1"/>
    <col min="9985" max="9985" width="89.85546875" style="42" customWidth="1"/>
    <col min="9986" max="9986" width="19.140625" style="42" customWidth="1"/>
    <col min="9987" max="9987" width="8.140625" style="42" customWidth="1"/>
    <col min="9988" max="9988" width="11" style="42" customWidth="1"/>
    <col min="9989" max="9989" width="21.42578125" style="42" customWidth="1"/>
    <col min="9990" max="9990" width="16.140625" style="42" customWidth="1"/>
    <col min="9991" max="9991" width="28" style="42" customWidth="1"/>
    <col min="9992" max="9992" width="9.140625" style="42"/>
    <col min="9993" max="9993" width="25" style="42" customWidth="1"/>
    <col min="9994" max="9994" width="6.85546875" style="42" customWidth="1"/>
    <col min="9995" max="9995" width="25.28515625" style="42" customWidth="1"/>
    <col min="9996" max="9996" width="27.28515625" style="42" customWidth="1"/>
    <col min="9997" max="9997" width="9.140625" style="42"/>
    <col min="9998" max="9998" width="36.140625" style="42" customWidth="1"/>
    <col min="9999" max="10239" width="9.140625" style="42"/>
    <col min="10240" max="10240" width="32.28515625" style="42" customWidth="1"/>
    <col min="10241" max="10241" width="89.85546875" style="42" customWidth="1"/>
    <col min="10242" max="10242" width="19.140625" style="42" customWidth="1"/>
    <col min="10243" max="10243" width="8.140625" style="42" customWidth="1"/>
    <col min="10244" max="10244" width="11" style="42" customWidth="1"/>
    <col min="10245" max="10245" width="21.42578125" style="42" customWidth="1"/>
    <col min="10246" max="10246" width="16.140625" style="42" customWidth="1"/>
    <col min="10247" max="10247" width="28" style="42" customWidth="1"/>
    <col min="10248" max="10248" width="9.140625" style="42"/>
    <col min="10249" max="10249" width="25" style="42" customWidth="1"/>
    <col min="10250" max="10250" width="6.85546875" style="42" customWidth="1"/>
    <col min="10251" max="10251" width="25.28515625" style="42" customWidth="1"/>
    <col min="10252" max="10252" width="27.28515625" style="42" customWidth="1"/>
    <col min="10253" max="10253" width="9.140625" style="42"/>
    <col min="10254" max="10254" width="36.140625" style="42" customWidth="1"/>
    <col min="10255" max="10495" width="9.140625" style="42"/>
    <col min="10496" max="10496" width="32.28515625" style="42" customWidth="1"/>
    <col min="10497" max="10497" width="89.85546875" style="42" customWidth="1"/>
    <col min="10498" max="10498" width="19.140625" style="42" customWidth="1"/>
    <col min="10499" max="10499" width="8.140625" style="42" customWidth="1"/>
    <col min="10500" max="10500" width="11" style="42" customWidth="1"/>
    <col min="10501" max="10501" width="21.42578125" style="42" customWidth="1"/>
    <col min="10502" max="10502" width="16.140625" style="42" customWidth="1"/>
    <col min="10503" max="10503" width="28" style="42" customWidth="1"/>
    <col min="10504" max="10504" width="9.140625" style="42"/>
    <col min="10505" max="10505" width="25" style="42" customWidth="1"/>
    <col min="10506" max="10506" width="6.85546875" style="42" customWidth="1"/>
    <col min="10507" max="10507" width="25.28515625" style="42" customWidth="1"/>
    <col min="10508" max="10508" width="27.28515625" style="42" customWidth="1"/>
    <col min="10509" max="10509" width="9.140625" style="42"/>
    <col min="10510" max="10510" width="36.140625" style="42" customWidth="1"/>
    <col min="10511" max="10751" width="9.140625" style="42"/>
    <col min="10752" max="10752" width="32.28515625" style="42" customWidth="1"/>
    <col min="10753" max="10753" width="89.85546875" style="42" customWidth="1"/>
    <col min="10754" max="10754" width="19.140625" style="42" customWidth="1"/>
    <col min="10755" max="10755" width="8.140625" style="42" customWidth="1"/>
    <col min="10756" max="10756" width="11" style="42" customWidth="1"/>
    <col min="10757" max="10757" width="21.42578125" style="42" customWidth="1"/>
    <col min="10758" max="10758" width="16.140625" style="42" customWidth="1"/>
    <col min="10759" max="10759" width="28" style="42" customWidth="1"/>
    <col min="10760" max="10760" width="9.140625" style="42"/>
    <col min="10761" max="10761" width="25" style="42" customWidth="1"/>
    <col min="10762" max="10762" width="6.85546875" style="42" customWidth="1"/>
    <col min="10763" max="10763" width="25.28515625" style="42" customWidth="1"/>
    <col min="10764" max="10764" width="27.28515625" style="42" customWidth="1"/>
    <col min="10765" max="10765" width="9.140625" style="42"/>
    <col min="10766" max="10766" width="36.140625" style="42" customWidth="1"/>
    <col min="10767" max="11007" width="9.140625" style="42"/>
    <col min="11008" max="11008" width="32.28515625" style="42" customWidth="1"/>
    <col min="11009" max="11009" width="89.85546875" style="42" customWidth="1"/>
    <col min="11010" max="11010" width="19.140625" style="42" customWidth="1"/>
    <col min="11011" max="11011" width="8.140625" style="42" customWidth="1"/>
    <col min="11012" max="11012" width="11" style="42" customWidth="1"/>
    <col min="11013" max="11013" width="21.42578125" style="42" customWidth="1"/>
    <col min="11014" max="11014" width="16.140625" style="42" customWidth="1"/>
    <col min="11015" max="11015" width="28" style="42" customWidth="1"/>
    <col min="11016" max="11016" width="9.140625" style="42"/>
    <col min="11017" max="11017" width="25" style="42" customWidth="1"/>
    <col min="11018" max="11018" width="6.85546875" style="42" customWidth="1"/>
    <col min="11019" max="11019" width="25.28515625" style="42" customWidth="1"/>
    <col min="11020" max="11020" width="27.28515625" style="42" customWidth="1"/>
    <col min="11021" max="11021" width="9.140625" style="42"/>
    <col min="11022" max="11022" width="36.140625" style="42" customWidth="1"/>
    <col min="11023" max="11263" width="9.140625" style="42"/>
    <col min="11264" max="11264" width="32.28515625" style="42" customWidth="1"/>
    <col min="11265" max="11265" width="89.85546875" style="42" customWidth="1"/>
    <col min="11266" max="11266" width="19.140625" style="42" customWidth="1"/>
    <col min="11267" max="11267" width="8.140625" style="42" customWidth="1"/>
    <col min="11268" max="11268" width="11" style="42" customWidth="1"/>
    <col min="11269" max="11269" width="21.42578125" style="42" customWidth="1"/>
    <col min="11270" max="11270" width="16.140625" style="42" customWidth="1"/>
    <col min="11271" max="11271" width="28" style="42" customWidth="1"/>
    <col min="11272" max="11272" width="9.140625" style="42"/>
    <col min="11273" max="11273" width="25" style="42" customWidth="1"/>
    <col min="11274" max="11274" width="6.85546875" style="42" customWidth="1"/>
    <col min="11275" max="11275" width="25.28515625" style="42" customWidth="1"/>
    <col min="11276" max="11276" width="27.28515625" style="42" customWidth="1"/>
    <col min="11277" max="11277" width="9.140625" style="42"/>
    <col min="11278" max="11278" width="36.140625" style="42" customWidth="1"/>
    <col min="11279" max="11519" width="9.140625" style="42"/>
    <col min="11520" max="11520" width="32.28515625" style="42" customWidth="1"/>
    <col min="11521" max="11521" width="89.85546875" style="42" customWidth="1"/>
    <col min="11522" max="11522" width="19.140625" style="42" customWidth="1"/>
    <col min="11523" max="11523" width="8.140625" style="42" customWidth="1"/>
    <col min="11524" max="11524" width="11" style="42" customWidth="1"/>
    <col min="11525" max="11525" width="21.42578125" style="42" customWidth="1"/>
    <col min="11526" max="11526" width="16.140625" style="42" customWidth="1"/>
    <col min="11527" max="11527" width="28" style="42" customWidth="1"/>
    <col min="11528" max="11528" width="9.140625" style="42"/>
    <col min="11529" max="11529" width="25" style="42" customWidth="1"/>
    <col min="11530" max="11530" width="6.85546875" style="42" customWidth="1"/>
    <col min="11531" max="11531" width="25.28515625" style="42" customWidth="1"/>
    <col min="11532" max="11532" width="27.28515625" style="42" customWidth="1"/>
    <col min="11533" max="11533" width="9.140625" style="42"/>
    <col min="11534" max="11534" width="36.140625" style="42" customWidth="1"/>
    <col min="11535" max="11775" width="9.140625" style="42"/>
    <col min="11776" max="11776" width="32.28515625" style="42" customWidth="1"/>
    <col min="11777" max="11777" width="89.85546875" style="42" customWidth="1"/>
    <col min="11778" max="11778" width="19.140625" style="42" customWidth="1"/>
    <col min="11779" max="11779" width="8.140625" style="42" customWidth="1"/>
    <col min="11780" max="11780" width="11" style="42" customWidth="1"/>
    <col min="11781" max="11781" width="21.42578125" style="42" customWidth="1"/>
    <col min="11782" max="11782" width="16.140625" style="42" customWidth="1"/>
    <col min="11783" max="11783" width="28" style="42" customWidth="1"/>
    <col min="11784" max="11784" width="9.140625" style="42"/>
    <col min="11785" max="11785" width="25" style="42" customWidth="1"/>
    <col min="11786" max="11786" width="6.85546875" style="42" customWidth="1"/>
    <col min="11787" max="11787" width="25.28515625" style="42" customWidth="1"/>
    <col min="11788" max="11788" width="27.28515625" style="42" customWidth="1"/>
    <col min="11789" max="11789" width="9.140625" style="42"/>
    <col min="11790" max="11790" width="36.140625" style="42" customWidth="1"/>
    <col min="11791" max="12031" width="9.140625" style="42"/>
    <col min="12032" max="12032" width="32.28515625" style="42" customWidth="1"/>
    <col min="12033" max="12033" width="89.85546875" style="42" customWidth="1"/>
    <col min="12034" max="12034" width="19.140625" style="42" customWidth="1"/>
    <col min="12035" max="12035" width="8.140625" style="42" customWidth="1"/>
    <col min="12036" max="12036" width="11" style="42" customWidth="1"/>
    <col min="12037" max="12037" width="21.42578125" style="42" customWidth="1"/>
    <col min="12038" max="12038" width="16.140625" style="42" customWidth="1"/>
    <col min="12039" max="12039" width="28" style="42" customWidth="1"/>
    <col min="12040" max="12040" width="9.140625" style="42"/>
    <col min="12041" max="12041" width="25" style="42" customWidth="1"/>
    <col min="12042" max="12042" width="6.85546875" style="42" customWidth="1"/>
    <col min="12043" max="12043" width="25.28515625" style="42" customWidth="1"/>
    <col min="12044" max="12044" width="27.28515625" style="42" customWidth="1"/>
    <col min="12045" max="12045" width="9.140625" style="42"/>
    <col min="12046" max="12046" width="36.140625" style="42" customWidth="1"/>
    <col min="12047" max="12287" width="9.140625" style="42"/>
    <col min="12288" max="12288" width="32.28515625" style="42" customWidth="1"/>
    <col min="12289" max="12289" width="89.85546875" style="42" customWidth="1"/>
    <col min="12290" max="12290" width="19.140625" style="42" customWidth="1"/>
    <col min="12291" max="12291" width="8.140625" style="42" customWidth="1"/>
    <col min="12292" max="12292" width="11" style="42" customWidth="1"/>
    <col min="12293" max="12293" width="21.42578125" style="42" customWidth="1"/>
    <col min="12294" max="12294" width="16.140625" style="42" customWidth="1"/>
    <col min="12295" max="12295" width="28" style="42" customWidth="1"/>
    <col min="12296" max="12296" width="9.140625" style="42"/>
    <col min="12297" max="12297" width="25" style="42" customWidth="1"/>
    <col min="12298" max="12298" width="6.85546875" style="42" customWidth="1"/>
    <col min="12299" max="12299" width="25.28515625" style="42" customWidth="1"/>
    <col min="12300" max="12300" width="27.28515625" style="42" customWidth="1"/>
    <col min="12301" max="12301" width="9.140625" style="42"/>
    <col min="12302" max="12302" width="36.140625" style="42" customWidth="1"/>
    <col min="12303" max="12543" width="9.140625" style="42"/>
    <col min="12544" max="12544" width="32.28515625" style="42" customWidth="1"/>
    <col min="12545" max="12545" width="89.85546875" style="42" customWidth="1"/>
    <col min="12546" max="12546" width="19.140625" style="42" customWidth="1"/>
    <col min="12547" max="12547" width="8.140625" style="42" customWidth="1"/>
    <col min="12548" max="12548" width="11" style="42" customWidth="1"/>
    <col min="12549" max="12549" width="21.42578125" style="42" customWidth="1"/>
    <col min="12550" max="12550" width="16.140625" style="42" customWidth="1"/>
    <col min="12551" max="12551" width="28" style="42" customWidth="1"/>
    <col min="12552" max="12552" width="9.140625" style="42"/>
    <col min="12553" max="12553" width="25" style="42" customWidth="1"/>
    <col min="12554" max="12554" width="6.85546875" style="42" customWidth="1"/>
    <col min="12555" max="12555" width="25.28515625" style="42" customWidth="1"/>
    <col min="12556" max="12556" width="27.28515625" style="42" customWidth="1"/>
    <col min="12557" max="12557" width="9.140625" style="42"/>
    <col min="12558" max="12558" width="36.140625" style="42" customWidth="1"/>
    <col min="12559" max="12799" width="9.140625" style="42"/>
    <col min="12800" max="12800" width="32.28515625" style="42" customWidth="1"/>
    <col min="12801" max="12801" width="89.85546875" style="42" customWidth="1"/>
    <col min="12802" max="12802" width="19.140625" style="42" customWidth="1"/>
    <col min="12803" max="12803" width="8.140625" style="42" customWidth="1"/>
    <col min="12804" max="12804" width="11" style="42" customWidth="1"/>
    <col min="12805" max="12805" width="21.42578125" style="42" customWidth="1"/>
    <col min="12806" max="12806" width="16.140625" style="42" customWidth="1"/>
    <col min="12807" max="12807" width="28" style="42" customWidth="1"/>
    <col min="12808" max="12808" width="9.140625" style="42"/>
    <col min="12809" max="12809" width="25" style="42" customWidth="1"/>
    <col min="12810" max="12810" width="6.85546875" style="42" customWidth="1"/>
    <col min="12811" max="12811" width="25.28515625" style="42" customWidth="1"/>
    <col min="12812" max="12812" width="27.28515625" style="42" customWidth="1"/>
    <col min="12813" max="12813" width="9.140625" style="42"/>
    <col min="12814" max="12814" width="36.140625" style="42" customWidth="1"/>
    <col min="12815" max="13055" width="9.140625" style="42"/>
    <col min="13056" max="13056" width="32.28515625" style="42" customWidth="1"/>
    <col min="13057" max="13057" width="89.85546875" style="42" customWidth="1"/>
    <col min="13058" max="13058" width="19.140625" style="42" customWidth="1"/>
    <col min="13059" max="13059" width="8.140625" style="42" customWidth="1"/>
    <col min="13060" max="13060" width="11" style="42" customWidth="1"/>
    <col min="13061" max="13061" width="21.42578125" style="42" customWidth="1"/>
    <col min="13062" max="13062" width="16.140625" style="42" customWidth="1"/>
    <col min="13063" max="13063" width="28" style="42" customWidth="1"/>
    <col min="13064" max="13064" width="9.140625" style="42"/>
    <col min="13065" max="13065" width="25" style="42" customWidth="1"/>
    <col min="13066" max="13066" width="6.85546875" style="42" customWidth="1"/>
    <col min="13067" max="13067" width="25.28515625" style="42" customWidth="1"/>
    <col min="13068" max="13068" width="27.28515625" style="42" customWidth="1"/>
    <col min="13069" max="13069" width="9.140625" style="42"/>
    <col min="13070" max="13070" width="36.140625" style="42" customWidth="1"/>
    <col min="13071" max="13311" width="9.140625" style="42"/>
    <col min="13312" max="13312" width="32.28515625" style="42" customWidth="1"/>
    <col min="13313" max="13313" width="89.85546875" style="42" customWidth="1"/>
    <col min="13314" max="13314" width="19.140625" style="42" customWidth="1"/>
    <col min="13315" max="13315" width="8.140625" style="42" customWidth="1"/>
    <col min="13316" max="13316" width="11" style="42" customWidth="1"/>
    <col min="13317" max="13317" width="21.42578125" style="42" customWidth="1"/>
    <col min="13318" max="13318" width="16.140625" style="42" customWidth="1"/>
    <col min="13319" max="13319" width="28" style="42" customWidth="1"/>
    <col min="13320" max="13320" width="9.140625" style="42"/>
    <col min="13321" max="13321" width="25" style="42" customWidth="1"/>
    <col min="13322" max="13322" width="6.85546875" style="42" customWidth="1"/>
    <col min="13323" max="13323" width="25.28515625" style="42" customWidth="1"/>
    <col min="13324" max="13324" width="27.28515625" style="42" customWidth="1"/>
    <col min="13325" max="13325" width="9.140625" style="42"/>
    <col min="13326" max="13326" width="36.140625" style="42" customWidth="1"/>
    <col min="13327" max="13567" width="9.140625" style="42"/>
    <col min="13568" max="13568" width="32.28515625" style="42" customWidth="1"/>
    <col min="13569" max="13569" width="89.85546875" style="42" customWidth="1"/>
    <col min="13570" max="13570" width="19.140625" style="42" customWidth="1"/>
    <col min="13571" max="13571" width="8.140625" style="42" customWidth="1"/>
    <col min="13572" max="13572" width="11" style="42" customWidth="1"/>
    <col min="13573" max="13573" width="21.42578125" style="42" customWidth="1"/>
    <col min="13574" max="13574" width="16.140625" style="42" customWidth="1"/>
    <col min="13575" max="13575" width="28" style="42" customWidth="1"/>
    <col min="13576" max="13576" width="9.140625" style="42"/>
    <col min="13577" max="13577" width="25" style="42" customWidth="1"/>
    <col min="13578" max="13578" width="6.85546875" style="42" customWidth="1"/>
    <col min="13579" max="13579" width="25.28515625" style="42" customWidth="1"/>
    <col min="13580" max="13580" width="27.28515625" style="42" customWidth="1"/>
    <col min="13581" max="13581" width="9.140625" style="42"/>
    <col min="13582" max="13582" width="36.140625" style="42" customWidth="1"/>
    <col min="13583" max="13823" width="9.140625" style="42"/>
    <col min="13824" max="13824" width="32.28515625" style="42" customWidth="1"/>
    <col min="13825" max="13825" width="89.85546875" style="42" customWidth="1"/>
    <col min="13826" max="13826" width="19.140625" style="42" customWidth="1"/>
    <col min="13827" max="13827" width="8.140625" style="42" customWidth="1"/>
    <col min="13828" max="13828" width="11" style="42" customWidth="1"/>
    <col min="13829" max="13829" width="21.42578125" style="42" customWidth="1"/>
    <col min="13830" max="13830" width="16.140625" style="42" customWidth="1"/>
    <col min="13831" max="13831" width="28" style="42" customWidth="1"/>
    <col min="13832" max="13832" width="9.140625" style="42"/>
    <col min="13833" max="13833" width="25" style="42" customWidth="1"/>
    <col min="13834" max="13834" width="6.85546875" style="42" customWidth="1"/>
    <col min="13835" max="13835" width="25.28515625" style="42" customWidth="1"/>
    <col min="13836" max="13836" width="27.28515625" style="42" customWidth="1"/>
    <col min="13837" max="13837" width="9.140625" style="42"/>
    <col min="13838" max="13838" width="36.140625" style="42" customWidth="1"/>
    <col min="13839" max="14079" width="9.140625" style="42"/>
    <col min="14080" max="14080" width="32.28515625" style="42" customWidth="1"/>
    <col min="14081" max="14081" width="89.85546875" style="42" customWidth="1"/>
    <col min="14082" max="14082" width="19.140625" style="42" customWidth="1"/>
    <col min="14083" max="14083" width="8.140625" style="42" customWidth="1"/>
    <col min="14084" max="14084" width="11" style="42" customWidth="1"/>
    <col min="14085" max="14085" width="21.42578125" style="42" customWidth="1"/>
    <col min="14086" max="14086" width="16.140625" style="42" customWidth="1"/>
    <col min="14087" max="14087" width="28" style="42" customWidth="1"/>
    <col min="14088" max="14088" width="9.140625" style="42"/>
    <col min="14089" max="14089" width="25" style="42" customWidth="1"/>
    <col min="14090" max="14090" width="6.85546875" style="42" customWidth="1"/>
    <col min="14091" max="14091" width="25.28515625" style="42" customWidth="1"/>
    <col min="14092" max="14092" width="27.28515625" style="42" customWidth="1"/>
    <col min="14093" max="14093" width="9.140625" style="42"/>
    <col min="14094" max="14094" width="36.140625" style="42" customWidth="1"/>
    <col min="14095" max="14335" width="9.140625" style="42"/>
    <col min="14336" max="14336" width="32.28515625" style="42" customWidth="1"/>
    <col min="14337" max="14337" width="89.85546875" style="42" customWidth="1"/>
    <col min="14338" max="14338" width="19.140625" style="42" customWidth="1"/>
    <col min="14339" max="14339" width="8.140625" style="42" customWidth="1"/>
    <col min="14340" max="14340" width="11" style="42" customWidth="1"/>
    <col min="14341" max="14341" width="21.42578125" style="42" customWidth="1"/>
    <col min="14342" max="14342" width="16.140625" style="42" customWidth="1"/>
    <col min="14343" max="14343" width="28" style="42" customWidth="1"/>
    <col min="14344" max="14344" width="9.140625" style="42"/>
    <col min="14345" max="14345" width="25" style="42" customWidth="1"/>
    <col min="14346" max="14346" width="6.85546875" style="42" customWidth="1"/>
    <col min="14347" max="14347" width="25.28515625" style="42" customWidth="1"/>
    <col min="14348" max="14348" width="27.28515625" style="42" customWidth="1"/>
    <col min="14349" max="14349" width="9.140625" style="42"/>
    <col min="14350" max="14350" width="36.140625" style="42" customWidth="1"/>
    <col min="14351" max="14591" width="9.140625" style="42"/>
    <col min="14592" max="14592" width="32.28515625" style="42" customWidth="1"/>
    <col min="14593" max="14593" width="89.85546875" style="42" customWidth="1"/>
    <col min="14594" max="14594" width="19.140625" style="42" customWidth="1"/>
    <col min="14595" max="14595" width="8.140625" style="42" customWidth="1"/>
    <col min="14596" max="14596" width="11" style="42" customWidth="1"/>
    <col min="14597" max="14597" width="21.42578125" style="42" customWidth="1"/>
    <col min="14598" max="14598" width="16.140625" style="42" customWidth="1"/>
    <col min="14599" max="14599" width="28" style="42" customWidth="1"/>
    <col min="14600" max="14600" width="9.140625" style="42"/>
    <col min="14601" max="14601" width="25" style="42" customWidth="1"/>
    <col min="14602" max="14602" width="6.85546875" style="42" customWidth="1"/>
    <col min="14603" max="14603" width="25.28515625" style="42" customWidth="1"/>
    <col min="14604" max="14604" width="27.28515625" style="42" customWidth="1"/>
    <col min="14605" max="14605" width="9.140625" style="42"/>
    <col min="14606" max="14606" width="36.140625" style="42" customWidth="1"/>
    <col min="14607" max="14847" width="9.140625" style="42"/>
    <col min="14848" max="14848" width="32.28515625" style="42" customWidth="1"/>
    <col min="14849" max="14849" width="89.85546875" style="42" customWidth="1"/>
    <col min="14850" max="14850" width="19.140625" style="42" customWidth="1"/>
    <col min="14851" max="14851" width="8.140625" style="42" customWidth="1"/>
    <col min="14852" max="14852" width="11" style="42" customWidth="1"/>
    <col min="14853" max="14853" width="21.42578125" style="42" customWidth="1"/>
    <col min="14854" max="14854" width="16.140625" style="42" customWidth="1"/>
    <col min="14855" max="14855" width="28" style="42" customWidth="1"/>
    <col min="14856" max="14856" width="9.140625" style="42"/>
    <col min="14857" max="14857" width="25" style="42" customWidth="1"/>
    <col min="14858" max="14858" width="6.85546875" style="42" customWidth="1"/>
    <col min="14859" max="14859" width="25.28515625" style="42" customWidth="1"/>
    <col min="14860" max="14860" width="27.28515625" style="42" customWidth="1"/>
    <col min="14861" max="14861" width="9.140625" style="42"/>
    <col min="14862" max="14862" width="36.140625" style="42" customWidth="1"/>
    <col min="14863" max="15103" width="9.140625" style="42"/>
    <col min="15104" max="15104" width="32.28515625" style="42" customWidth="1"/>
    <col min="15105" max="15105" width="89.85546875" style="42" customWidth="1"/>
    <col min="15106" max="15106" width="19.140625" style="42" customWidth="1"/>
    <col min="15107" max="15107" width="8.140625" style="42" customWidth="1"/>
    <col min="15108" max="15108" width="11" style="42" customWidth="1"/>
    <col min="15109" max="15109" width="21.42578125" style="42" customWidth="1"/>
    <col min="15110" max="15110" width="16.140625" style="42" customWidth="1"/>
    <col min="15111" max="15111" width="28" style="42" customWidth="1"/>
    <col min="15112" max="15112" width="9.140625" style="42"/>
    <col min="15113" max="15113" width="25" style="42" customWidth="1"/>
    <col min="15114" max="15114" width="6.85546875" style="42" customWidth="1"/>
    <col min="15115" max="15115" width="25.28515625" style="42" customWidth="1"/>
    <col min="15116" max="15116" width="27.28515625" style="42" customWidth="1"/>
    <col min="15117" max="15117" width="9.140625" style="42"/>
    <col min="15118" max="15118" width="36.140625" style="42" customWidth="1"/>
    <col min="15119" max="15359" width="9.140625" style="42"/>
    <col min="15360" max="15360" width="32.28515625" style="42" customWidth="1"/>
    <col min="15361" max="15361" width="89.85546875" style="42" customWidth="1"/>
    <col min="15362" max="15362" width="19.140625" style="42" customWidth="1"/>
    <col min="15363" max="15363" width="8.140625" style="42" customWidth="1"/>
    <col min="15364" max="15364" width="11" style="42" customWidth="1"/>
    <col min="15365" max="15365" width="21.42578125" style="42" customWidth="1"/>
    <col min="15366" max="15366" width="16.140625" style="42" customWidth="1"/>
    <col min="15367" max="15367" width="28" style="42" customWidth="1"/>
    <col min="15368" max="15368" width="9.140625" style="42"/>
    <col min="15369" max="15369" width="25" style="42" customWidth="1"/>
    <col min="15370" max="15370" width="6.85546875" style="42" customWidth="1"/>
    <col min="15371" max="15371" width="25.28515625" style="42" customWidth="1"/>
    <col min="15372" max="15372" width="27.28515625" style="42" customWidth="1"/>
    <col min="15373" max="15373" width="9.140625" style="42"/>
    <col min="15374" max="15374" width="36.140625" style="42" customWidth="1"/>
    <col min="15375" max="15615" width="9.140625" style="42"/>
    <col min="15616" max="15616" width="32.28515625" style="42" customWidth="1"/>
    <col min="15617" max="15617" width="89.85546875" style="42" customWidth="1"/>
    <col min="15618" max="15618" width="19.140625" style="42" customWidth="1"/>
    <col min="15619" max="15619" width="8.140625" style="42" customWidth="1"/>
    <col min="15620" max="15620" width="11" style="42" customWidth="1"/>
    <col min="15621" max="15621" width="21.42578125" style="42" customWidth="1"/>
    <col min="15622" max="15622" width="16.140625" style="42" customWidth="1"/>
    <col min="15623" max="15623" width="28" style="42" customWidth="1"/>
    <col min="15624" max="15624" width="9.140625" style="42"/>
    <col min="15625" max="15625" width="25" style="42" customWidth="1"/>
    <col min="15626" max="15626" width="6.85546875" style="42" customWidth="1"/>
    <col min="15627" max="15627" width="25.28515625" style="42" customWidth="1"/>
    <col min="15628" max="15628" width="27.28515625" style="42" customWidth="1"/>
    <col min="15629" max="15629" width="9.140625" style="42"/>
    <col min="15630" max="15630" width="36.140625" style="42" customWidth="1"/>
    <col min="15631" max="15871" width="9.140625" style="42"/>
    <col min="15872" max="15872" width="32.28515625" style="42" customWidth="1"/>
    <col min="15873" max="15873" width="89.85546875" style="42" customWidth="1"/>
    <col min="15874" max="15874" width="19.140625" style="42" customWidth="1"/>
    <col min="15875" max="15875" width="8.140625" style="42" customWidth="1"/>
    <col min="15876" max="15876" width="11" style="42" customWidth="1"/>
    <col min="15877" max="15877" width="21.42578125" style="42" customWidth="1"/>
    <col min="15878" max="15878" width="16.140625" style="42" customWidth="1"/>
    <col min="15879" max="15879" width="28" style="42" customWidth="1"/>
    <col min="15880" max="15880" width="9.140625" style="42"/>
    <col min="15881" max="15881" width="25" style="42" customWidth="1"/>
    <col min="15882" max="15882" width="6.85546875" style="42" customWidth="1"/>
    <col min="15883" max="15883" width="25.28515625" style="42" customWidth="1"/>
    <col min="15884" max="15884" width="27.28515625" style="42" customWidth="1"/>
    <col min="15885" max="15885" width="9.140625" style="42"/>
    <col min="15886" max="15886" width="36.140625" style="42" customWidth="1"/>
    <col min="15887" max="16127" width="9.140625" style="42"/>
    <col min="16128" max="16128" width="32.28515625" style="42" customWidth="1"/>
    <col min="16129" max="16129" width="89.85546875" style="42" customWidth="1"/>
    <col min="16130" max="16130" width="19.140625" style="42" customWidth="1"/>
    <col min="16131" max="16131" width="8.140625" style="42" customWidth="1"/>
    <col min="16132" max="16132" width="11" style="42" customWidth="1"/>
    <col min="16133" max="16133" width="21.42578125" style="42" customWidth="1"/>
    <col min="16134" max="16134" width="16.140625" style="42" customWidth="1"/>
    <col min="16135" max="16135" width="28" style="42" customWidth="1"/>
    <col min="16136" max="16136" width="9.140625" style="42"/>
    <col min="16137" max="16137" width="25" style="42" customWidth="1"/>
    <col min="16138" max="16138" width="6.85546875" style="42" customWidth="1"/>
    <col min="16139" max="16139" width="25.28515625" style="42" customWidth="1"/>
    <col min="16140" max="16140" width="27.28515625" style="42" customWidth="1"/>
    <col min="16141" max="16141" width="9.140625" style="42"/>
    <col min="16142" max="16142" width="36.140625" style="42" customWidth="1"/>
    <col min="16143" max="16384" width="9.140625" style="42"/>
  </cols>
  <sheetData>
    <row r="1" spans="1:10" ht="15.75" x14ac:dyDescent="0.25">
      <c r="B1" s="306" t="s">
        <v>284</v>
      </c>
    </row>
    <row r="2" spans="1:10" x14ac:dyDescent="0.25">
      <c r="B2" s="162" t="s">
        <v>285</v>
      </c>
    </row>
    <row r="3" spans="1:10" s="38" customFormat="1" ht="15.75" x14ac:dyDescent="0.2">
      <c r="B3" s="307" t="s">
        <v>188</v>
      </c>
      <c r="C3" s="146"/>
      <c r="D3" s="37"/>
      <c r="E3" s="196" t="s">
        <v>84</v>
      </c>
      <c r="F3" s="196" t="s">
        <v>85</v>
      </c>
      <c r="G3" s="196" t="s">
        <v>214</v>
      </c>
      <c r="H3" s="196" t="s">
        <v>215</v>
      </c>
      <c r="I3" s="162"/>
    </row>
    <row r="4" spans="1:10" s="38" customFormat="1" ht="15.75" x14ac:dyDescent="0.2">
      <c r="B4" s="308" t="s">
        <v>186</v>
      </c>
      <c r="C4" s="146"/>
      <c r="D4" s="37"/>
      <c r="E4" s="199" t="e">
        <f>Flat_file!#REF!</f>
        <v>#REF!</v>
      </c>
      <c r="F4" s="197" t="e">
        <f>Flat_file!#REF!</f>
        <v>#REF!</v>
      </c>
      <c r="G4" s="198" t="s">
        <v>213</v>
      </c>
      <c r="H4" s="198">
        <f t="shared" ref="H4:H22" si="0">VLOOKUP($G4,$A$8:$C$33,3,FALSE)</f>
        <v>0</v>
      </c>
      <c r="I4" s="162"/>
    </row>
    <row r="5" spans="1:10" s="41" customFormat="1" x14ac:dyDescent="0.25">
      <c r="B5" s="309"/>
      <c r="C5" s="39"/>
      <c r="D5" s="39"/>
      <c r="E5" s="199" t="e">
        <f>Flat_file!#REF!</f>
        <v>#REF!</v>
      </c>
      <c r="F5" s="197" t="e">
        <f>Flat_file!#REF!</f>
        <v>#REF!</v>
      </c>
      <c r="G5" s="198" t="s">
        <v>198</v>
      </c>
      <c r="H5" s="198">
        <f t="shared" si="0"/>
        <v>0</v>
      </c>
      <c r="I5" s="162"/>
      <c r="J5" s="40"/>
    </row>
    <row r="6" spans="1:10" x14ac:dyDescent="0.25">
      <c r="B6" s="310" t="s">
        <v>68</v>
      </c>
      <c r="C6" s="142"/>
      <c r="E6" s="199" t="e">
        <f>Flat_file!#REF!</f>
        <v>#REF!</v>
      </c>
      <c r="F6" s="197" t="e">
        <f>Flat_file!#REF!</f>
        <v>#REF!</v>
      </c>
      <c r="G6" s="198" t="s">
        <v>199</v>
      </c>
      <c r="H6" s="198">
        <f t="shared" si="0"/>
        <v>0</v>
      </c>
      <c r="I6" s="162"/>
      <c r="J6" s="38"/>
    </row>
    <row r="7" spans="1:10" x14ac:dyDescent="0.25">
      <c r="B7" s="310"/>
      <c r="C7" s="143"/>
      <c r="E7" s="199" t="e">
        <f>Flat_file!#REF!</f>
        <v>#REF!</v>
      </c>
      <c r="F7" s="197" t="e">
        <f>Flat_file!#REF!</f>
        <v>#REF!</v>
      </c>
      <c r="G7" s="198" t="s">
        <v>85</v>
      </c>
      <c r="H7" s="198">
        <f t="shared" si="0"/>
        <v>0</v>
      </c>
      <c r="I7" s="162"/>
      <c r="J7" s="38"/>
    </row>
    <row r="8" spans="1:10" x14ac:dyDescent="0.25">
      <c r="A8" s="168" t="s">
        <v>213</v>
      </c>
      <c r="B8" s="297" t="s">
        <v>69</v>
      </c>
      <c r="C8" s="147"/>
      <c r="E8" s="199" t="e">
        <f>Flat_file!#REF!</f>
        <v>#REF!</v>
      </c>
      <c r="F8" s="197" t="e">
        <f>Flat_file!#REF!</f>
        <v>#REF!</v>
      </c>
      <c r="G8" s="198" t="s">
        <v>217</v>
      </c>
      <c r="H8" s="198">
        <f t="shared" si="0"/>
        <v>0</v>
      </c>
      <c r="I8" s="162"/>
      <c r="J8" s="38"/>
    </row>
    <row r="9" spans="1:10" x14ac:dyDescent="0.25">
      <c r="A9" s="168" t="s">
        <v>198</v>
      </c>
      <c r="B9" s="297" t="s">
        <v>159</v>
      </c>
      <c r="C9" s="147"/>
      <c r="E9" s="199" t="e">
        <f>Flat_file!#REF!</f>
        <v>#REF!</v>
      </c>
      <c r="F9" s="197" t="e">
        <f>Flat_file!#REF!</f>
        <v>#REF!</v>
      </c>
      <c r="G9" s="198" t="s">
        <v>200</v>
      </c>
      <c r="H9" s="198">
        <f t="shared" si="0"/>
        <v>0</v>
      </c>
      <c r="I9" s="162"/>
      <c r="J9" s="38"/>
    </row>
    <row r="10" spans="1:10" x14ac:dyDescent="0.25">
      <c r="A10" s="168" t="s">
        <v>199</v>
      </c>
      <c r="B10" s="297" t="s">
        <v>160</v>
      </c>
      <c r="C10" s="147"/>
      <c r="E10" s="199" t="e">
        <f>Flat_file!#REF!</f>
        <v>#REF!</v>
      </c>
      <c r="F10" s="197" t="e">
        <f>Flat_file!#REF!</f>
        <v>#REF!</v>
      </c>
      <c r="G10" s="198" t="s">
        <v>218</v>
      </c>
      <c r="H10" s="198">
        <f t="shared" si="0"/>
        <v>0</v>
      </c>
      <c r="I10" s="162"/>
      <c r="J10" s="38"/>
    </row>
    <row r="11" spans="1:10" s="47" customFormat="1" x14ac:dyDescent="0.25">
      <c r="A11" s="168"/>
      <c r="B11" s="298"/>
      <c r="C11" s="144"/>
      <c r="E11" s="199" t="e">
        <f>Flat_file!#REF!</f>
        <v>#REF!</v>
      </c>
      <c r="F11" s="197" t="e">
        <f>Flat_file!#REF!</f>
        <v>#REF!</v>
      </c>
      <c r="G11" s="198" t="s">
        <v>201</v>
      </c>
      <c r="H11" s="198">
        <f t="shared" si="0"/>
        <v>0</v>
      </c>
      <c r="I11" s="162"/>
    </row>
    <row r="12" spans="1:10" x14ac:dyDescent="0.25">
      <c r="A12" s="169" t="s">
        <v>85</v>
      </c>
      <c r="B12" s="299" t="s">
        <v>216</v>
      </c>
      <c r="C12" s="156"/>
      <c r="E12" s="199" t="e">
        <f>Flat_file!#REF!</f>
        <v>#REF!</v>
      </c>
      <c r="F12" s="197" t="e">
        <f>Flat_file!#REF!</f>
        <v>#REF!</v>
      </c>
      <c r="G12" s="198" t="s">
        <v>202</v>
      </c>
      <c r="H12" s="198">
        <f t="shared" si="0"/>
        <v>0</v>
      </c>
      <c r="I12" s="162"/>
      <c r="J12" s="38"/>
    </row>
    <row r="13" spans="1:10" s="47" customFormat="1" ht="25.5" x14ac:dyDescent="0.25">
      <c r="A13" s="169" t="s">
        <v>217</v>
      </c>
      <c r="B13" s="300" t="s">
        <v>220</v>
      </c>
      <c r="C13" s="156"/>
      <c r="E13" s="199" t="e">
        <f>Flat_file!#REF!</f>
        <v>#REF!</v>
      </c>
      <c r="F13" s="197" t="e">
        <f>Flat_file!#REF!</f>
        <v>#REF!</v>
      </c>
      <c r="G13" s="198" t="s">
        <v>204</v>
      </c>
      <c r="H13" s="198">
        <f t="shared" si="0"/>
        <v>0</v>
      </c>
      <c r="I13" s="162"/>
    </row>
    <row r="14" spans="1:10" x14ac:dyDescent="0.25">
      <c r="A14" s="168"/>
      <c r="B14" s="301"/>
      <c r="C14" s="144"/>
      <c r="E14" s="199" t="e">
        <f>Flat_file!#REF!</f>
        <v>#REF!</v>
      </c>
      <c r="F14" s="197" t="e">
        <f>Flat_file!#REF!</f>
        <v>#REF!</v>
      </c>
      <c r="G14" s="198" t="s">
        <v>203</v>
      </c>
      <c r="H14" s="198">
        <f t="shared" si="0"/>
        <v>0</v>
      </c>
      <c r="I14" s="162"/>
      <c r="J14" s="38"/>
    </row>
    <row r="15" spans="1:10" ht="39" x14ac:dyDescent="0.25">
      <c r="A15" s="168" t="s">
        <v>200</v>
      </c>
      <c r="B15" s="297" t="s">
        <v>161</v>
      </c>
      <c r="C15" s="147"/>
      <c r="E15" s="199" t="e">
        <f>Flat_file!#REF!</f>
        <v>#REF!</v>
      </c>
      <c r="F15" s="197" t="e">
        <f>Flat_file!#REF!</f>
        <v>#REF!</v>
      </c>
      <c r="G15" s="198" t="s">
        <v>205</v>
      </c>
      <c r="H15" s="198">
        <f t="shared" si="0"/>
        <v>0</v>
      </c>
      <c r="I15" s="162"/>
      <c r="J15" s="38"/>
    </row>
    <row r="16" spans="1:10" s="47" customFormat="1" ht="25.5" x14ac:dyDescent="0.25">
      <c r="A16" s="169" t="s">
        <v>218</v>
      </c>
      <c r="B16" s="300" t="s">
        <v>219</v>
      </c>
      <c r="C16" s="167"/>
      <c r="E16" s="199" t="e">
        <f>Flat_file!#REF!</f>
        <v>#REF!</v>
      </c>
      <c r="F16" s="197" t="e">
        <f>Flat_file!#REF!</f>
        <v>#REF!</v>
      </c>
      <c r="G16" s="198" t="s">
        <v>206</v>
      </c>
      <c r="H16" s="198">
        <f t="shared" si="0"/>
        <v>0</v>
      </c>
      <c r="I16" s="162"/>
    </row>
    <row r="17" spans="1:10" x14ac:dyDescent="0.25">
      <c r="A17" s="168"/>
      <c r="B17" s="301"/>
      <c r="C17" s="144"/>
      <c r="E17" s="199" t="e">
        <f>Flat_file!#REF!</f>
        <v>#REF!</v>
      </c>
      <c r="F17" s="197" t="e">
        <f>Flat_file!#REF!</f>
        <v>#REF!</v>
      </c>
      <c r="G17" s="198" t="s">
        <v>207</v>
      </c>
      <c r="H17" s="198">
        <f t="shared" si="0"/>
        <v>0</v>
      </c>
      <c r="I17" s="162"/>
      <c r="J17" s="38"/>
    </row>
    <row r="18" spans="1:10" x14ac:dyDescent="0.25">
      <c r="A18" s="168" t="s">
        <v>201</v>
      </c>
      <c r="B18" s="302" t="s">
        <v>162</v>
      </c>
      <c r="C18" s="157"/>
      <c r="E18" s="199" t="e">
        <f>Flat_file!#REF!</f>
        <v>#REF!</v>
      </c>
      <c r="F18" s="197" t="e">
        <f>Flat_file!#REF!</f>
        <v>#REF!</v>
      </c>
      <c r="G18" s="198" t="s">
        <v>208</v>
      </c>
      <c r="H18" s="198">
        <f t="shared" si="0"/>
        <v>0</v>
      </c>
      <c r="I18" s="162"/>
      <c r="J18" s="38"/>
    </row>
    <row r="19" spans="1:10" x14ac:dyDescent="0.25">
      <c r="A19" s="168" t="s">
        <v>202</v>
      </c>
      <c r="B19" s="302" t="s">
        <v>222</v>
      </c>
      <c r="C19" s="157"/>
      <c r="E19" s="199" t="e">
        <f>Flat_file!#REF!</f>
        <v>#REF!</v>
      </c>
      <c r="F19" s="197" t="e">
        <f>Flat_file!#REF!</f>
        <v>#REF!</v>
      </c>
      <c r="G19" s="198" t="s">
        <v>209</v>
      </c>
      <c r="H19" s="198">
        <f t="shared" si="0"/>
        <v>0</v>
      </c>
      <c r="I19" s="162"/>
      <c r="J19" s="38"/>
    </row>
    <row r="20" spans="1:10" s="47" customFormat="1" x14ac:dyDescent="0.25">
      <c r="A20" s="168"/>
      <c r="B20" s="301"/>
      <c r="C20" s="144"/>
      <c r="E20" s="199" t="e">
        <f>Flat_file!#REF!</f>
        <v>#REF!</v>
      </c>
      <c r="F20" s="197" t="e">
        <f>Flat_file!#REF!</f>
        <v>#REF!</v>
      </c>
      <c r="G20" s="198" t="s">
        <v>210</v>
      </c>
      <c r="H20" s="198">
        <f t="shared" si="0"/>
        <v>0</v>
      </c>
      <c r="I20" s="162"/>
    </row>
    <row r="21" spans="1:10" ht="51" x14ac:dyDescent="0.25">
      <c r="A21" s="168"/>
      <c r="B21" s="303" t="s">
        <v>152</v>
      </c>
      <c r="C21" s="148"/>
      <c r="E21" s="199" t="e">
        <f>Flat_file!#REF!</f>
        <v>#REF!</v>
      </c>
      <c r="F21" s="197" t="e">
        <f>Flat_file!#REF!</f>
        <v>#REF!</v>
      </c>
      <c r="G21" s="198" t="s">
        <v>211</v>
      </c>
      <c r="H21" s="198">
        <f t="shared" si="0"/>
        <v>0</v>
      </c>
      <c r="I21" s="162"/>
      <c r="J21" s="38"/>
    </row>
    <row r="22" spans="1:10" ht="25.5" x14ac:dyDescent="0.25">
      <c r="A22" s="168" t="s">
        <v>204</v>
      </c>
      <c r="B22" s="303" t="s">
        <v>177</v>
      </c>
      <c r="C22" s="148"/>
      <c r="E22" s="199" t="e">
        <f>Flat_file!#REF!</f>
        <v>#REF!</v>
      </c>
      <c r="F22" s="197" t="e">
        <f>Flat_file!#REF!</f>
        <v>#REF!</v>
      </c>
      <c r="G22" s="198" t="s">
        <v>212</v>
      </c>
      <c r="H22" s="198">
        <f t="shared" si="0"/>
        <v>0</v>
      </c>
      <c r="I22" s="162"/>
      <c r="J22" s="38"/>
    </row>
    <row r="23" spans="1:10" ht="38.25" x14ac:dyDescent="0.25">
      <c r="A23" s="168" t="s">
        <v>203</v>
      </c>
      <c r="B23" s="303" t="s">
        <v>178</v>
      </c>
      <c r="C23" s="148"/>
      <c r="G23" s="47"/>
      <c r="H23" s="38"/>
      <c r="I23" s="38"/>
      <c r="J23" s="38"/>
    </row>
    <row r="24" spans="1:10" x14ac:dyDescent="0.25">
      <c r="A24" s="168" t="s">
        <v>205</v>
      </c>
      <c r="B24" s="303" t="s">
        <v>179</v>
      </c>
      <c r="C24" s="148"/>
      <c r="G24" s="66"/>
      <c r="J24" s="38"/>
    </row>
    <row r="25" spans="1:10" ht="25.5" x14ac:dyDescent="0.25">
      <c r="A25" s="168" t="s">
        <v>206</v>
      </c>
      <c r="B25" s="303" t="s">
        <v>286</v>
      </c>
      <c r="C25" s="148"/>
      <c r="G25" s="66"/>
      <c r="J25" s="38"/>
    </row>
    <row r="26" spans="1:10" x14ac:dyDescent="0.25">
      <c r="A26" s="168" t="s">
        <v>207</v>
      </c>
      <c r="B26" s="303" t="s">
        <v>180</v>
      </c>
      <c r="C26" s="148"/>
      <c r="G26" s="66"/>
      <c r="J26" s="38"/>
    </row>
    <row r="27" spans="1:10" s="47" customFormat="1" x14ac:dyDescent="0.25">
      <c r="A27" s="168"/>
      <c r="B27" s="301"/>
      <c r="C27" s="144"/>
      <c r="G27" s="42"/>
    </row>
    <row r="28" spans="1:10" x14ac:dyDescent="0.25">
      <c r="A28" s="168" t="s">
        <v>208</v>
      </c>
      <c r="B28" s="297" t="s">
        <v>70</v>
      </c>
      <c r="C28" s="147"/>
      <c r="E28" s="42"/>
      <c r="F28" s="42"/>
      <c r="G28" s="42"/>
      <c r="J28" s="38"/>
    </row>
    <row r="29" spans="1:10" ht="15.75" x14ac:dyDescent="0.25">
      <c r="A29" s="168" t="s">
        <v>209</v>
      </c>
      <c r="B29" s="297" t="s">
        <v>71</v>
      </c>
      <c r="C29" s="147"/>
      <c r="D29" s="43"/>
      <c r="E29" s="42"/>
      <c r="F29" s="42"/>
      <c r="G29" s="42"/>
      <c r="H29" s="43"/>
      <c r="I29" s="43"/>
      <c r="J29" s="44"/>
    </row>
    <row r="30" spans="1:10" s="47" customFormat="1" x14ac:dyDescent="0.25">
      <c r="A30" s="168"/>
      <c r="B30" s="301"/>
      <c r="C30" s="144"/>
      <c r="G30" s="42"/>
    </row>
    <row r="31" spans="1:10" s="66" customFormat="1" x14ac:dyDescent="0.25">
      <c r="A31" s="168" t="s">
        <v>210</v>
      </c>
      <c r="B31" s="304" t="s">
        <v>99</v>
      </c>
      <c r="C31" s="147"/>
      <c r="G31" s="42"/>
      <c r="H31" s="67"/>
      <c r="I31" s="67"/>
      <c r="J31" s="67"/>
    </row>
    <row r="32" spans="1:10" s="66" customFormat="1" x14ac:dyDescent="0.25">
      <c r="A32" s="168" t="s">
        <v>211</v>
      </c>
      <c r="B32" s="304" t="s">
        <v>163</v>
      </c>
      <c r="C32" s="147"/>
      <c r="G32" s="42"/>
      <c r="H32" s="67"/>
      <c r="I32" s="67"/>
      <c r="J32" s="67"/>
    </row>
    <row r="33" spans="1:14" s="66" customFormat="1" x14ac:dyDescent="0.25">
      <c r="A33" s="168" t="s">
        <v>212</v>
      </c>
      <c r="B33" s="305" t="s">
        <v>168</v>
      </c>
      <c r="C33" s="147"/>
      <c r="G33" s="42"/>
      <c r="H33" s="67"/>
      <c r="I33" s="67"/>
      <c r="J33" s="67"/>
    </row>
    <row r="34" spans="1:14" x14ac:dyDescent="0.25">
      <c r="C34" s="145"/>
      <c r="E34" s="42"/>
      <c r="F34" s="42"/>
      <c r="G34" s="42"/>
    </row>
    <row r="35" spans="1:14" s="45" customFormat="1" x14ac:dyDescent="0.25">
      <c r="B35" s="162"/>
      <c r="C35" s="145"/>
      <c r="D35" s="42"/>
      <c r="G35" s="42"/>
      <c r="H35" s="41"/>
      <c r="I35" s="41"/>
      <c r="J35" s="41"/>
      <c r="K35" s="42"/>
      <c r="L35" s="42"/>
      <c r="M35" s="42"/>
      <c r="N35" s="42"/>
    </row>
    <row r="36" spans="1:14" s="45" customFormat="1" x14ac:dyDescent="0.25">
      <c r="B36" s="162"/>
      <c r="C36" s="145"/>
      <c r="D36" s="42"/>
      <c r="G36" s="42"/>
      <c r="H36" s="41"/>
      <c r="I36" s="41"/>
      <c r="J36" s="41"/>
      <c r="K36" s="42"/>
      <c r="L36" s="42"/>
      <c r="M36" s="42"/>
      <c r="N36" s="42"/>
    </row>
    <row r="37" spans="1:14" s="45" customFormat="1" x14ac:dyDescent="0.25">
      <c r="B37" s="162"/>
      <c r="C37" s="145"/>
      <c r="D37" s="42"/>
      <c r="G37" s="42"/>
      <c r="H37" s="41"/>
      <c r="I37" s="41"/>
      <c r="J37" s="41"/>
      <c r="K37" s="42"/>
      <c r="L37" s="42"/>
      <c r="M37" s="42"/>
      <c r="N37" s="42"/>
    </row>
    <row r="38" spans="1:14" s="45" customFormat="1" x14ac:dyDescent="0.25">
      <c r="B38" s="162"/>
      <c r="C38" s="145"/>
      <c r="D38" s="42"/>
      <c r="G38"/>
      <c r="H38" s="41"/>
      <c r="I38" s="41"/>
      <c r="J38" s="41"/>
      <c r="K38" s="42"/>
      <c r="L38" s="42"/>
      <c r="M38" s="42"/>
      <c r="N38" s="42"/>
    </row>
    <row r="39" spans="1:14" x14ac:dyDescent="0.25">
      <c r="E39" s="42"/>
      <c r="F39" s="42"/>
    </row>
    <row r="40" spans="1:14" x14ac:dyDescent="0.25">
      <c r="E40" s="42"/>
      <c r="F40" s="42"/>
    </row>
    <row r="41" spans="1:14" x14ac:dyDescent="0.25">
      <c r="E41" s="42"/>
      <c r="F41" s="42"/>
    </row>
    <row r="42" spans="1:14" x14ac:dyDescent="0.25">
      <c r="E42" s="42"/>
      <c r="F42" s="42"/>
    </row>
    <row r="43" spans="1:14" x14ac:dyDescent="0.25">
      <c r="E43" s="42"/>
      <c r="F43" s="42"/>
    </row>
    <row r="44" spans="1:14" x14ac:dyDescent="0.25">
      <c r="E44" s="42"/>
      <c r="F44" s="42"/>
    </row>
  </sheetData>
  <pageMargins left="0.70866141732283472" right="0.70866141732283472" top="0.74803149606299213" bottom="0.74803149606299213" header="0.31496062992125984" footer="0.31496062992125984"/>
  <pageSetup paperSize="9" scale="77" orientation="portrait" r:id="rId1"/>
  <headerFooter>
    <oddFooter>&amp;R&amp;A</oddFooter>
  </headerFooter>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217" r:id="rId4" name="Group Box 25">
              <controlPr defaultSize="0" autoFill="0" autoPict="0">
                <anchor moveWithCells="1">
                  <from>
                    <xdr:col>2</xdr:col>
                    <xdr:colOff>200025</xdr:colOff>
                    <xdr:row>26</xdr:row>
                    <xdr:rowOff>0</xdr:rowOff>
                  </from>
                  <to>
                    <xdr:col>2</xdr:col>
                    <xdr:colOff>1238250</xdr:colOff>
                    <xdr:row>27</xdr:row>
                    <xdr:rowOff>104775</xdr:rowOff>
                  </to>
                </anchor>
              </controlPr>
            </control>
          </mc:Choice>
        </mc:AlternateContent>
        <mc:AlternateContent xmlns:mc="http://schemas.openxmlformats.org/markup-compatibility/2006">
          <mc:Choice Requires="x14">
            <control shapeId="8243" r:id="rId5" name="Group Box 51">
              <controlPr defaultSize="0" autoFill="0" autoPict="0" altText="">
                <anchor moveWithCells="1">
                  <from>
                    <xdr:col>10</xdr:col>
                    <xdr:colOff>0</xdr:colOff>
                    <xdr:row>22</xdr:row>
                    <xdr:rowOff>0</xdr:rowOff>
                  </from>
                  <to>
                    <xdr:col>11</xdr:col>
                    <xdr:colOff>1000125</xdr:colOff>
                    <xdr:row>24</xdr:row>
                    <xdr:rowOff>209550</xdr:rowOff>
                  </to>
                </anchor>
              </controlPr>
            </control>
          </mc:Choice>
        </mc:AlternateContent>
        <mc:AlternateContent xmlns:mc="http://schemas.openxmlformats.org/markup-compatibility/2006">
          <mc:Choice Requires="x14">
            <control shapeId="8256" r:id="rId6" name="Group Box 64">
              <controlPr defaultSize="0" autoFill="0" autoPict="0" altText="">
                <anchor moveWithCells="1">
                  <from>
                    <xdr:col>10</xdr:col>
                    <xdr:colOff>0</xdr:colOff>
                    <xdr:row>22</xdr:row>
                    <xdr:rowOff>0</xdr:rowOff>
                  </from>
                  <to>
                    <xdr:col>11</xdr:col>
                    <xdr:colOff>1000125</xdr:colOff>
                    <xdr:row>24</xdr:row>
                    <xdr:rowOff>209550</xdr:rowOff>
                  </to>
                </anchor>
              </controlPr>
            </control>
          </mc:Choice>
        </mc:AlternateContent>
        <mc:AlternateContent xmlns:mc="http://schemas.openxmlformats.org/markup-compatibility/2006">
          <mc:Choice Requires="x14">
            <control shapeId="8241" r:id="rId7" name="Group Box 49">
              <controlPr defaultSize="0" autoFill="0" autoPict="0">
                <anchor moveWithCells="1">
                  <from>
                    <xdr:col>3</xdr:col>
                    <xdr:colOff>0</xdr:colOff>
                    <xdr:row>21</xdr:row>
                    <xdr:rowOff>0</xdr:rowOff>
                  </from>
                  <to>
                    <xdr:col>9</xdr:col>
                    <xdr:colOff>1571625</xdr:colOff>
                    <xdr:row>21</xdr:row>
                    <xdr:rowOff>200025</xdr:rowOff>
                  </to>
                </anchor>
              </controlPr>
            </control>
          </mc:Choice>
        </mc:AlternateContent>
        <mc:AlternateContent xmlns:mc="http://schemas.openxmlformats.org/markup-compatibility/2006">
          <mc:Choice Requires="x14">
            <control shapeId="8242" r:id="rId8" name="Group Box 50">
              <controlPr defaultSize="0" autoFill="0" autoPict="0">
                <anchor moveWithCells="1">
                  <from>
                    <xdr:col>3</xdr:col>
                    <xdr:colOff>9525</xdr:colOff>
                    <xdr:row>21</xdr:row>
                    <xdr:rowOff>0</xdr:rowOff>
                  </from>
                  <to>
                    <xdr:col>9</xdr:col>
                    <xdr:colOff>1571625</xdr:colOff>
                    <xdr:row>22</xdr:row>
                    <xdr:rowOff>400050</xdr:rowOff>
                  </to>
                </anchor>
              </controlPr>
            </control>
          </mc:Choice>
        </mc:AlternateContent>
        <mc:AlternateContent xmlns:mc="http://schemas.openxmlformats.org/markup-compatibility/2006">
          <mc:Choice Requires="x14">
            <control shapeId="8244" r:id="rId9" name="Group Box 52">
              <controlPr defaultSize="0" autoFill="0" autoPict="0">
                <anchor moveWithCells="1">
                  <from>
                    <xdr:col>3</xdr:col>
                    <xdr:colOff>171450</xdr:colOff>
                    <xdr:row>21</xdr:row>
                    <xdr:rowOff>0</xdr:rowOff>
                  </from>
                  <to>
                    <xdr:col>9</xdr:col>
                    <xdr:colOff>95250</xdr:colOff>
                    <xdr:row>22</xdr:row>
                    <xdr:rowOff>19050</xdr:rowOff>
                  </to>
                </anchor>
              </controlPr>
            </control>
          </mc:Choice>
        </mc:AlternateContent>
        <mc:AlternateContent xmlns:mc="http://schemas.openxmlformats.org/markup-compatibility/2006">
          <mc:Choice Requires="x14">
            <control shapeId="8245" r:id="rId10" name="Group Box 53">
              <controlPr defaultSize="0" autoFill="0" autoPict="0">
                <anchor moveWithCells="1">
                  <from>
                    <xdr:col>3</xdr:col>
                    <xdr:colOff>38100</xdr:colOff>
                    <xdr:row>21</xdr:row>
                    <xdr:rowOff>0</xdr:rowOff>
                  </from>
                  <to>
                    <xdr:col>9</xdr:col>
                    <xdr:colOff>1543050</xdr:colOff>
                    <xdr:row>21</xdr:row>
                    <xdr:rowOff>247650</xdr:rowOff>
                  </to>
                </anchor>
              </controlPr>
            </control>
          </mc:Choice>
        </mc:AlternateContent>
        <mc:AlternateContent xmlns:mc="http://schemas.openxmlformats.org/markup-compatibility/2006">
          <mc:Choice Requires="x14">
            <control shapeId="8246" r:id="rId11" name="Group Box 54">
              <controlPr defaultSize="0" autoFill="0" autoPict="0">
                <anchor moveWithCells="1">
                  <from>
                    <xdr:col>3</xdr:col>
                    <xdr:colOff>28575</xdr:colOff>
                    <xdr:row>21</xdr:row>
                    <xdr:rowOff>0</xdr:rowOff>
                  </from>
                  <to>
                    <xdr:col>9</xdr:col>
                    <xdr:colOff>1000125</xdr:colOff>
                    <xdr:row>21</xdr:row>
                    <xdr:rowOff>247650</xdr:rowOff>
                  </to>
                </anchor>
              </controlPr>
            </control>
          </mc:Choice>
        </mc:AlternateContent>
        <mc:AlternateContent xmlns:mc="http://schemas.openxmlformats.org/markup-compatibility/2006">
          <mc:Choice Requires="x14">
            <control shapeId="8247" r:id="rId12" name="Group Box 55">
              <controlPr defaultSize="0" autoFill="0" autoPict="0">
                <anchor moveWithCells="1">
                  <from>
                    <xdr:col>3</xdr:col>
                    <xdr:colOff>76200</xdr:colOff>
                    <xdr:row>21</xdr:row>
                    <xdr:rowOff>0</xdr:rowOff>
                  </from>
                  <to>
                    <xdr:col>9</xdr:col>
                    <xdr:colOff>1057275</xdr:colOff>
                    <xdr:row>21</xdr:row>
                    <xdr:rowOff>238125</xdr:rowOff>
                  </to>
                </anchor>
              </controlPr>
            </control>
          </mc:Choice>
        </mc:AlternateContent>
        <mc:AlternateContent xmlns:mc="http://schemas.openxmlformats.org/markup-compatibility/2006">
          <mc:Choice Requires="x14">
            <control shapeId="8248" r:id="rId13" name="Group Box 56">
              <controlPr defaultSize="0" autoFill="0" autoPict="0">
                <anchor moveWithCells="1">
                  <from>
                    <xdr:col>3</xdr:col>
                    <xdr:colOff>9525</xdr:colOff>
                    <xdr:row>21</xdr:row>
                    <xdr:rowOff>0</xdr:rowOff>
                  </from>
                  <to>
                    <xdr:col>9</xdr:col>
                    <xdr:colOff>1562100</xdr:colOff>
                    <xdr:row>22</xdr:row>
                    <xdr:rowOff>219075</xdr:rowOff>
                  </to>
                </anchor>
              </controlPr>
            </control>
          </mc:Choice>
        </mc:AlternateContent>
        <mc:AlternateContent xmlns:mc="http://schemas.openxmlformats.org/markup-compatibility/2006">
          <mc:Choice Requires="x14">
            <control shapeId="8249" r:id="rId14" name="Group Box 57">
              <controlPr defaultSize="0" autoFill="0" autoPict="0">
                <anchor moveWithCells="1">
                  <from>
                    <xdr:col>3</xdr:col>
                    <xdr:colOff>0</xdr:colOff>
                    <xdr:row>21</xdr:row>
                    <xdr:rowOff>0</xdr:rowOff>
                  </from>
                  <to>
                    <xdr:col>9</xdr:col>
                    <xdr:colOff>1571625</xdr:colOff>
                    <xdr:row>21</xdr:row>
                    <xdr:rowOff>190500</xdr:rowOff>
                  </to>
                </anchor>
              </controlPr>
            </control>
          </mc:Choice>
        </mc:AlternateContent>
        <mc:AlternateContent xmlns:mc="http://schemas.openxmlformats.org/markup-compatibility/2006">
          <mc:Choice Requires="x14">
            <control shapeId="8250" r:id="rId15" name="Group Box 58">
              <controlPr defaultSize="0" autoFill="0" autoPict="0">
                <anchor moveWithCells="1">
                  <from>
                    <xdr:col>3</xdr:col>
                    <xdr:colOff>0</xdr:colOff>
                    <xdr:row>21</xdr:row>
                    <xdr:rowOff>0</xdr:rowOff>
                  </from>
                  <to>
                    <xdr:col>9</xdr:col>
                    <xdr:colOff>1571625</xdr:colOff>
                    <xdr:row>21</xdr:row>
                    <xdr:rowOff>190500</xdr:rowOff>
                  </to>
                </anchor>
              </controlPr>
            </control>
          </mc:Choice>
        </mc:AlternateContent>
        <mc:AlternateContent xmlns:mc="http://schemas.openxmlformats.org/markup-compatibility/2006">
          <mc:Choice Requires="x14">
            <control shapeId="8251" r:id="rId16" name="Group Box 59">
              <controlPr defaultSize="0" autoFill="0" autoPict="0">
                <anchor moveWithCells="1">
                  <from>
                    <xdr:col>3</xdr:col>
                    <xdr:colOff>38100</xdr:colOff>
                    <xdr:row>21</xdr:row>
                    <xdr:rowOff>0</xdr:rowOff>
                  </from>
                  <to>
                    <xdr:col>9</xdr:col>
                    <xdr:colOff>1543050</xdr:colOff>
                    <xdr:row>21</xdr:row>
                    <xdr:rowOff>247650</xdr:rowOff>
                  </to>
                </anchor>
              </controlPr>
            </control>
          </mc:Choice>
        </mc:AlternateContent>
        <mc:AlternateContent xmlns:mc="http://schemas.openxmlformats.org/markup-compatibility/2006">
          <mc:Choice Requires="x14">
            <control shapeId="8252" r:id="rId17" name="Group Box 60">
              <controlPr defaultSize="0" autoFill="0" autoPict="0">
                <anchor moveWithCells="1">
                  <from>
                    <xdr:col>3</xdr:col>
                    <xdr:colOff>28575</xdr:colOff>
                    <xdr:row>21</xdr:row>
                    <xdr:rowOff>0</xdr:rowOff>
                  </from>
                  <to>
                    <xdr:col>9</xdr:col>
                    <xdr:colOff>1000125</xdr:colOff>
                    <xdr:row>21</xdr:row>
                    <xdr:rowOff>247650</xdr:rowOff>
                  </to>
                </anchor>
              </controlPr>
            </control>
          </mc:Choice>
        </mc:AlternateContent>
        <mc:AlternateContent xmlns:mc="http://schemas.openxmlformats.org/markup-compatibility/2006">
          <mc:Choice Requires="x14">
            <control shapeId="8253" r:id="rId18" name="Group Box 61">
              <controlPr defaultSize="0" autoFill="0" autoPict="0">
                <anchor moveWithCells="1">
                  <from>
                    <xdr:col>3</xdr:col>
                    <xdr:colOff>76200</xdr:colOff>
                    <xdr:row>21</xdr:row>
                    <xdr:rowOff>0</xdr:rowOff>
                  </from>
                  <to>
                    <xdr:col>9</xdr:col>
                    <xdr:colOff>1057275</xdr:colOff>
                    <xdr:row>21</xdr:row>
                    <xdr:rowOff>247650</xdr:rowOff>
                  </to>
                </anchor>
              </controlPr>
            </control>
          </mc:Choice>
        </mc:AlternateContent>
        <mc:AlternateContent xmlns:mc="http://schemas.openxmlformats.org/markup-compatibility/2006">
          <mc:Choice Requires="x14">
            <control shapeId="8254" r:id="rId19" name="Group Box 62">
              <controlPr defaultSize="0" autoFill="0" autoPict="0">
                <anchor moveWithCells="1">
                  <from>
                    <xdr:col>3</xdr:col>
                    <xdr:colOff>9525</xdr:colOff>
                    <xdr:row>21</xdr:row>
                    <xdr:rowOff>0</xdr:rowOff>
                  </from>
                  <to>
                    <xdr:col>9</xdr:col>
                    <xdr:colOff>1562100</xdr:colOff>
                    <xdr:row>22</xdr:row>
                    <xdr:rowOff>209550</xdr:rowOff>
                  </to>
                </anchor>
              </controlPr>
            </control>
          </mc:Choice>
        </mc:AlternateContent>
        <mc:AlternateContent xmlns:mc="http://schemas.openxmlformats.org/markup-compatibility/2006">
          <mc:Choice Requires="x14">
            <control shapeId="8255" r:id="rId20" name="Group Box 63">
              <controlPr defaultSize="0" autoFill="0" autoPict="0">
                <anchor moveWithCells="1">
                  <from>
                    <xdr:col>3</xdr:col>
                    <xdr:colOff>0</xdr:colOff>
                    <xdr:row>21</xdr:row>
                    <xdr:rowOff>0</xdr:rowOff>
                  </from>
                  <to>
                    <xdr:col>9</xdr:col>
                    <xdr:colOff>1571625</xdr:colOff>
                    <xdr:row>21</xdr:row>
                    <xdr:rowOff>200025</xdr:rowOff>
                  </to>
                </anchor>
              </controlPr>
            </control>
          </mc:Choice>
        </mc:AlternateContent>
        <mc:AlternateContent xmlns:mc="http://schemas.openxmlformats.org/markup-compatibility/2006">
          <mc:Choice Requires="x14">
            <control shapeId="8257" r:id="rId21" name="Group Box 65">
              <controlPr defaultSize="0" autoFill="0" autoPict="0">
                <anchor moveWithCells="1">
                  <from>
                    <xdr:col>3</xdr:col>
                    <xdr:colOff>76200</xdr:colOff>
                    <xdr:row>22</xdr:row>
                    <xdr:rowOff>0</xdr:rowOff>
                  </from>
                  <to>
                    <xdr:col>9</xdr:col>
                    <xdr:colOff>1057275</xdr:colOff>
                    <xdr:row>22</xdr:row>
                    <xdr:rowOff>247650</xdr:rowOff>
                  </to>
                </anchor>
              </controlPr>
            </control>
          </mc:Choice>
        </mc:AlternateContent>
        <mc:AlternateContent xmlns:mc="http://schemas.openxmlformats.org/markup-compatibility/2006">
          <mc:Choice Requires="x14">
            <control shapeId="8258" r:id="rId22" name="Group Box 66">
              <controlPr defaultSize="0" autoFill="0" autoPict="0">
                <anchor moveWithCells="1">
                  <from>
                    <xdr:col>3</xdr:col>
                    <xdr:colOff>0</xdr:colOff>
                    <xdr:row>22</xdr:row>
                    <xdr:rowOff>0</xdr:rowOff>
                  </from>
                  <to>
                    <xdr:col>9</xdr:col>
                    <xdr:colOff>1571625</xdr:colOff>
                    <xdr:row>22</xdr:row>
                    <xdr:rowOff>200025</xdr:rowOff>
                  </to>
                </anchor>
              </controlPr>
            </control>
          </mc:Choice>
        </mc:AlternateContent>
        <mc:AlternateContent xmlns:mc="http://schemas.openxmlformats.org/markup-compatibility/2006">
          <mc:Choice Requires="x14">
            <control shapeId="8259" r:id="rId23" name="Group Box 67">
              <controlPr defaultSize="0" autoFill="0" autoPict="0">
                <anchor moveWithCells="1">
                  <from>
                    <xdr:col>3</xdr:col>
                    <xdr:colOff>0</xdr:colOff>
                    <xdr:row>22</xdr:row>
                    <xdr:rowOff>0</xdr:rowOff>
                  </from>
                  <to>
                    <xdr:col>9</xdr:col>
                    <xdr:colOff>1571625</xdr:colOff>
                    <xdr:row>22</xdr:row>
                    <xdr:rowOff>200025</xdr:rowOff>
                  </to>
                </anchor>
              </controlPr>
            </control>
          </mc:Choice>
        </mc:AlternateContent>
        <mc:AlternateContent xmlns:mc="http://schemas.openxmlformats.org/markup-compatibility/2006">
          <mc:Choice Requires="x14">
            <control shapeId="8260" r:id="rId24" name="Group Box 68">
              <controlPr defaultSize="0" autoFill="0" autoPict="0">
                <anchor moveWithCells="1">
                  <from>
                    <xdr:col>3</xdr:col>
                    <xdr:colOff>38100</xdr:colOff>
                    <xdr:row>22</xdr:row>
                    <xdr:rowOff>0</xdr:rowOff>
                  </from>
                  <to>
                    <xdr:col>9</xdr:col>
                    <xdr:colOff>1543050</xdr:colOff>
                    <xdr:row>22</xdr:row>
                    <xdr:rowOff>247650</xdr:rowOff>
                  </to>
                </anchor>
              </controlPr>
            </control>
          </mc:Choice>
        </mc:AlternateContent>
        <mc:AlternateContent xmlns:mc="http://schemas.openxmlformats.org/markup-compatibility/2006">
          <mc:Choice Requires="x14">
            <control shapeId="8261" r:id="rId25" name="Group Box 69">
              <controlPr defaultSize="0" autoFill="0" autoPict="0">
                <anchor moveWithCells="1">
                  <from>
                    <xdr:col>3</xdr:col>
                    <xdr:colOff>9525</xdr:colOff>
                    <xdr:row>22</xdr:row>
                    <xdr:rowOff>0</xdr:rowOff>
                  </from>
                  <to>
                    <xdr:col>9</xdr:col>
                    <xdr:colOff>1562100</xdr:colOff>
                    <xdr:row>23</xdr:row>
                    <xdr:rowOff>57150</xdr:rowOff>
                  </to>
                </anchor>
              </controlPr>
            </control>
          </mc:Choice>
        </mc:AlternateContent>
        <mc:AlternateContent xmlns:mc="http://schemas.openxmlformats.org/markup-compatibility/2006">
          <mc:Choice Requires="x14">
            <control shapeId="8262" r:id="rId26" name="Group Box 70">
              <controlPr defaultSize="0" autoFill="0" autoPict="0">
                <anchor moveWithCells="1">
                  <from>
                    <xdr:col>3</xdr:col>
                    <xdr:colOff>9525</xdr:colOff>
                    <xdr:row>21</xdr:row>
                    <xdr:rowOff>0</xdr:rowOff>
                  </from>
                  <to>
                    <xdr:col>9</xdr:col>
                    <xdr:colOff>1571625</xdr:colOff>
                    <xdr:row>22</xdr:row>
                    <xdr:rowOff>400050</xdr:rowOff>
                  </to>
                </anchor>
              </controlPr>
            </control>
          </mc:Choice>
        </mc:AlternateContent>
        <mc:AlternateContent xmlns:mc="http://schemas.openxmlformats.org/markup-compatibility/2006">
          <mc:Choice Requires="x14">
            <control shapeId="8272" r:id="rId27" name="Group Box 80">
              <controlPr defaultSize="0" autoFill="0" autoPict="0">
                <anchor moveWithCells="1">
                  <from>
                    <xdr:col>2</xdr:col>
                    <xdr:colOff>0</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8273" r:id="rId28" name="Group Box 81">
              <controlPr defaultSize="0" autoFill="0" autoPict="0">
                <anchor moveWithCells="1">
                  <from>
                    <xdr:col>2</xdr:col>
                    <xdr:colOff>9525</xdr:colOff>
                    <xdr:row>26</xdr:row>
                    <xdr:rowOff>0</xdr:rowOff>
                  </from>
                  <to>
                    <xdr:col>3</xdr:col>
                    <xdr:colOff>0</xdr:colOff>
                    <xdr:row>29</xdr:row>
                    <xdr:rowOff>152400</xdr:rowOff>
                  </to>
                </anchor>
              </controlPr>
            </control>
          </mc:Choice>
        </mc:AlternateContent>
        <mc:AlternateContent xmlns:mc="http://schemas.openxmlformats.org/markup-compatibility/2006">
          <mc:Choice Requires="x14">
            <control shapeId="8274" r:id="rId29" name="Group Box 82">
              <controlPr defaultSize="0" autoFill="0" autoPict="0">
                <anchor moveWithCells="1">
                  <from>
                    <xdr:col>2</xdr:col>
                    <xdr:colOff>171450</xdr:colOff>
                    <xdr:row>26</xdr:row>
                    <xdr:rowOff>0</xdr:rowOff>
                  </from>
                  <to>
                    <xdr:col>2</xdr:col>
                    <xdr:colOff>1181100</xdr:colOff>
                    <xdr:row>27</xdr:row>
                    <xdr:rowOff>142875</xdr:rowOff>
                  </to>
                </anchor>
              </controlPr>
            </control>
          </mc:Choice>
        </mc:AlternateContent>
        <mc:AlternateContent xmlns:mc="http://schemas.openxmlformats.org/markup-compatibility/2006">
          <mc:Choice Requires="x14">
            <control shapeId="8275" r:id="rId30" name="Group Box 83">
              <controlPr defaultSize="0" autoFill="0" autoPict="0">
                <anchor moveWithCells="1">
                  <from>
                    <xdr:col>2</xdr:col>
                    <xdr:colOff>38100</xdr:colOff>
                    <xdr:row>26</xdr:row>
                    <xdr:rowOff>0</xdr:rowOff>
                  </from>
                  <to>
                    <xdr:col>2</xdr:col>
                    <xdr:colOff>2600325</xdr:colOff>
                    <xdr:row>27</xdr:row>
                    <xdr:rowOff>66675</xdr:rowOff>
                  </to>
                </anchor>
              </controlPr>
            </control>
          </mc:Choice>
        </mc:AlternateContent>
        <mc:AlternateContent xmlns:mc="http://schemas.openxmlformats.org/markup-compatibility/2006">
          <mc:Choice Requires="x14">
            <control shapeId="8276" r:id="rId31" name="Group Box 84">
              <controlPr defaultSize="0" autoFill="0" autoPict="0">
                <anchor moveWithCells="1">
                  <from>
                    <xdr:col>2</xdr:col>
                    <xdr:colOff>28575</xdr:colOff>
                    <xdr:row>26</xdr:row>
                    <xdr:rowOff>0</xdr:rowOff>
                  </from>
                  <to>
                    <xdr:col>2</xdr:col>
                    <xdr:colOff>2057400</xdr:colOff>
                    <xdr:row>27</xdr:row>
                    <xdr:rowOff>66675</xdr:rowOff>
                  </to>
                </anchor>
              </controlPr>
            </control>
          </mc:Choice>
        </mc:AlternateContent>
        <mc:AlternateContent xmlns:mc="http://schemas.openxmlformats.org/markup-compatibility/2006">
          <mc:Choice Requires="x14">
            <control shapeId="8277" r:id="rId32" name="Group Box 85">
              <controlPr defaultSize="0" autoFill="0" autoPict="0">
                <anchor moveWithCells="1">
                  <from>
                    <xdr:col>2</xdr:col>
                    <xdr:colOff>76200</xdr:colOff>
                    <xdr:row>26</xdr:row>
                    <xdr:rowOff>0</xdr:rowOff>
                  </from>
                  <to>
                    <xdr:col>2</xdr:col>
                    <xdr:colOff>2114550</xdr:colOff>
                    <xdr:row>27</xdr:row>
                    <xdr:rowOff>47625</xdr:rowOff>
                  </to>
                </anchor>
              </controlPr>
            </control>
          </mc:Choice>
        </mc:AlternateContent>
        <mc:AlternateContent xmlns:mc="http://schemas.openxmlformats.org/markup-compatibility/2006">
          <mc:Choice Requires="x14">
            <control shapeId="8278" r:id="rId33" name="Group Box 86">
              <controlPr defaultSize="0" autoFill="0" autoPict="0">
                <anchor moveWithCells="1">
                  <from>
                    <xdr:col>2</xdr:col>
                    <xdr:colOff>9525</xdr:colOff>
                    <xdr:row>26</xdr:row>
                    <xdr:rowOff>0</xdr:rowOff>
                  </from>
                  <to>
                    <xdr:col>2</xdr:col>
                    <xdr:colOff>2619375</xdr:colOff>
                    <xdr:row>28</xdr:row>
                    <xdr:rowOff>161925</xdr:rowOff>
                  </to>
                </anchor>
              </controlPr>
            </control>
          </mc:Choice>
        </mc:AlternateContent>
        <mc:AlternateContent xmlns:mc="http://schemas.openxmlformats.org/markup-compatibility/2006">
          <mc:Choice Requires="x14">
            <control shapeId="8279" r:id="rId34" name="Group Box 87">
              <controlPr defaultSize="0" autoFill="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8280" r:id="rId35" name="Group Box 88">
              <controlPr defaultSize="0" autoFill="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8281" r:id="rId36" name="Group Box 89">
              <controlPr defaultSize="0" autoFill="0" autoPict="0">
                <anchor moveWithCells="1">
                  <from>
                    <xdr:col>2</xdr:col>
                    <xdr:colOff>38100</xdr:colOff>
                    <xdr:row>26</xdr:row>
                    <xdr:rowOff>0</xdr:rowOff>
                  </from>
                  <to>
                    <xdr:col>2</xdr:col>
                    <xdr:colOff>2600325</xdr:colOff>
                    <xdr:row>27</xdr:row>
                    <xdr:rowOff>66675</xdr:rowOff>
                  </to>
                </anchor>
              </controlPr>
            </control>
          </mc:Choice>
        </mc:AlternateContent>
        <mc:AlternateContent xmlns:mc="http://schemas.openxmlformats.org/markup-compatibility/2006">
          <mc:Choice Requires="x14">
            <control shapeId="8282" r:id="rId37" name="Group Box 90">
              <controlPr defaultSize="0" autoFill="0" autoPict="0">
                <anchor moveWithCells="1">
                  <from>
                    <xdr:col>2</xdr:col>
                    <xdr:colOff>28575</xdr:colOff>
                    <xdr:row>26</xdr:row>
                    <xdr:rowOff>0</xdr:rowOff>
                  </from>
                  <to>
                    <xdr:col>2</xdr:col>
                    <xdr:colOff>2057400</xdr:colOff>
                    <xdr:row>27</xdr:row>
                    <xdr:rowOff>66675</xdr:rowOff>
                  </to>
                </anchor>
              </controlPr>
            </control>
          </mc:Choice>
        </mc:AlternateContent>
        <mc:AlternateContent xmlns:mc="http://schemas.openxmlformats.org/markup-compatibility/2006">
          <mc:Choice Requires="x14">
            <control shapeId="8283" r:id="rId38" name="Group Box 91">
              <controlPr defaultSize="0" autoFill="0" autoPict="0">
                <anchor moveWithCells="1">
                  <from>
                    <xdr:col>2</xdr:col>
                    <xdr:colOff>76200</xdr:colOff>
                    <xdr:row>26</xdr:row>
                    <xdr:rowOff>0</xdr:rowOff>
                  </from>
                  <to>
                    <xdr:col>2</xdr:col>
                    <xdr:colOff>2114550</xdr:colOff>
                    <xdr:row>27</xdr:row>
                    <xdr:rowOff>66675</xdr:rowOff>
                  </to>
                </anchor>
              </controlPr>
            </control>
          </mc:Choice>
        </mc:AlternateContent>
        <mc:AlternateContent xmlns:mc="http://schemas.openxmlformats.org/markup-compatibility/2006">
          <mc:Choice Requires="x14">
            <control shapeId="8284" r:id="rId39" name="Group Box 92">
              <controlPr defaultSize="0" autoFill="0" autoPict="0">
                <anchor moveWithCells="1">
                  <from>
                    <xdr:col>2</xdr:col>
                    <xdr:colOff>9525</xdr:colOff>
                    <xdr:row>26</xdr:row>
                    <xdr:rowOff>0</xdr:rowOff>
                  </from>
                  <to>
                    <xdr:col>2</xdr:col>
                    <xdr:colOff>2619375</xdr:colOff>
                    <xdr:row>28</xdr:row>
                    <xdr:rowOff>161925</xdr:rowOff>
                  </to>
                </anchor>
              </controlPr>
            </control>
          </mc:Choice>
        </mc:AlternateContent>
        <mc:AlternateContent xmlns:mc="http://schemas.openxmlformats.org/markup-compatibility/2006">
          <mc:Choice Requires="x14">
            <control shapeId="8285" r:id="rId40" name="Group Box 93">
              <controlPr defaultSize="0" autoFill="0" autoPict="0">
                <anchor moveWithCells="1">
                  <from>
                    <xdr:col>2</xdr:col>
                    <xdr:colOff>0</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8286" r:id="rId41" name="Group Box 94">
              <controlPr defaultSize="0" autoFill="0" autoPict="0">
                <anchor moveWithCells="1">
                  <from>
                    <xdr:col>2</xdr:col>
                    <xdr:colOff>9525</xdr:colOff>
                    <xdr:row>26</xdr:row>
                    <xdr:rowOff>0</xdr:rowOff>
                  </from>
                  <to>
                    <xdr:col>2</xdr:col>
                    <xdr:colOff>2619375</xdr:colOff>
                    <xdr:row>28</xdr:row>
                    <xdr:rowOff>161925</xdr:rowOff>
                  </to>
                </anchor>
              </controlPr>
            </control>
          </mc:Choice>
        </mc:AlternateContent>
        <mc:AlternateContent xmlns:mc="http://schemas.openxmlformats.org/markup-compatibility/2006">
          <mc:Choice Requires="x14">
            <control shapeId="8287" r:id="rId42" name="Group Box 95">
              <controlPr defaultSize="0" autoFill="0" autoPict="0">
                <anchor moveWithCells="1">
                  <from>
                    <xdr:col>2</xdr:col>
                    <xdr:colOff>9525</xdr:colOff>
                    <xdr:row>26</xdr:row>
                    <xdr:rowOff>0</xdr:rowOff>
                  </from>
                  <to>
                    <xdr:col>2</xdr:col>
                    <xdr:colOff>2619375</xdr:colOff>
                    <xdr:row>28</xdr:row>
                    <xdr:rowOff>161925</xdr:rowOff>
                  </to>
                </anchor>
              </controlPr>
            </control>
          </mc:Choice>
        </mc:AlternateContent>
        <mc:AlternateContent xmlns:mc="http://schemas.openxmlformats.org/markup-compatibility/2006">
          <mc:Choice Requires="x14">
            <control shapeId="8288" r:id="rId43" name="Group Box 96">
              <controlPr defaultSize="0" autoFill="0" autoPict="0">
                <anchor moveWithCells="1">
                  <from>
                    <xdr:col>2</xdr:col>
                    <xdr:colOff>9525</xdr:colOff>
                    <xdr:row>26</xdr:row>
                    <xdr:rowOff>0</xdr:rowOff>
                  </from>
                  <to>
                    <xdr:col>2</xdr:col>
                    <xdr:colOff>2619375</xdr:colOff>
                    <xdr:row>28</xdr:row>
                    <xdr:rowOff>161925</xdr:rowOff>
                  </to>
                </anchor>
              </controlPr>
            </control>
          </mc:Choice>
        </mc:AlternateContent>
        <mc:AlternateContent xmlns:mc="http://schemas.openxmlformats.org/markup-compatibility/2006">
          <mc:Choice Requires="x14">
            <control shapeId="8289" r:id="rId44" name="Group Box 97">
              <controlPr defaultSize="0" autoFill="0" autoPict="0">
                <anchor moveWithCells="1">
                  <from>
                    <xdr:col>2</xdr:col>
                    <xdr:colOff>9525</xdr:colOff>
                    <xdr:row>26</xdr:row>
                    <xdr:rowOff>0</xdr:rowOff>
                  </from>
                  <to>
                    <xdr:col>2</xdr:col>
                    <xdr:colOff>2619375</xdr:colOff>
                    <xdr:row>28</xdr:row>
                    <xdr:rowOff>161925</xdr:rowOff>
                  </to>
                </anchor>
              </controlPr>
            </control>
          </mc:Choice>
        </mc:AlternateContent>
        <mc:AlternateContent xmlns:mc="http://schemas.openxmlformats.org/markup-compatibility/2006">
          <mc:Choice Requires="x14">
            <control shapeId="8212" r:id="rId45" name="Group Box 20">
              <controlPr defaultSize="0" autoFill="0" autoPict="0">
                <anchor moveWithCells="1">
                  <from>
                    <xdr:col>2</xdr:col>
                    <xdr:colOff>9525</xdr:colOff>
                    <xdr:row>20</xdr:row>
                    <xdr:rowOff>0</xdr:rowOff>
                  </from>
                  <to>
                    <xdr:col>2</xdr:col>
                    <xdr:colOff>2619375</xdr:colOff>
                    <xdr:row>20</xdr:row>
                    <xdr:rowOff>542925</xdr:rowOff>
                  </to>
                </anchor>
              </controlPr>
            </control>
          </mc:Choice>
        </mc:AlternateContent>
        <mc:AlternateContent xmlns:mc="http://schemas.openxmlformats.org/markup-compatibility/2006">
          <mc:Choice Requires="x14">
            <control shapeId="8213" r:id="rId46" name="Group Box 21">
              <controlPr defaultSize="0" autoFill="0" autoPict="0">
                <anchor moveWithCells="1">
                  <from>
                    <xdr:col>2</xdr:col>
                    <xdr:colOff>0</xdr:colOff>
                    <xdr:row>21</xdr:row>
                    <xdr:rowOff>0</xdr:rowOff>
                  </from>
                  <to>
                    <xdr:col>3</xdr:col>
                    <xdr:colOff>0</xdr:colOff>
                    <xdr:row>21</xdr:row>
                    <xdr:rowOff>200025</xdr:rowOff>
                  </to>
                </anchor>
              </controlPr>
            </control>
          </mc:Choice>
        </mc:AlternateContent>
        <mc:AlternateContent xmlns:mc="http://schemas.openxmlformats.org/markup-compatibility/2006">
          <mc:Choice Requires="x14">
            <control shapeId="8214" r:id="rId47" name="Group Box 22">
              <controlPr defaultSize="0" autoFill="0" autoPict="0">
                <anchor moveWithCells="1">
                  <from>
                    <xdr:col>2</xdr:col>
                    <xdr:colOff>9525</xdr:colOff>
                    <xdr:row>21</xdr:row>
                    <xdr:rowOff>0</xdr:rowOff>
                  </from>
                  <to>
                    <xdr:col>3</xdr:col>
                    <xdr:colOff>0</xdr:colOff>
                    <xdr:row>22</xdr:row>
                    <xdr:rowOff>400050</xdr:rowOff>
                  </to>
                </anchor>
              </controlPr>
            </control>
          </mc:Choice>
        </mc:AlternateContent>
        <mc:AlternateContent xmlns:mc="http://schemas.openxmlformats.org/markup-compatibility/2006">
          <mc:Choice Requires="x14">
            <control shapeId="8215" r:id="rId48" name="Group Box 23">
              <controlPr defaultSize="0" autoFill="0" autoPict="0" altText="">
                <anchor moveWithCells="1">
                  <from>
                    <xdr:col>2</xdr:col>
                    <xdr:colOff>0</xdr:colOff>
                    <xdr:row>21</xdr:row>
                    <xdr:rowOff>0</xdr:rowOff>
                  </from>
                  <to>
                    <xdr:col>3</xdr:col>
                    <xdr:colOff>9525</xdr:colOff>
                    <xdr:row>23</xdr:row>
                    <xdr:rowOff>95250</xdr:rowOff>
                  </to>
                </anchor>
              </controlPr>
            </control>
          </mc:Choice>
        </mc:AlternateContent>
        <mc:AlternateContent xmlns:mc="http://schemas.openxmlformats.org/markup-compatibility/2006">
          <mc:Choice Requires="x14">
            <control shapeId="8216" r:id="rId49" name="Group Box 24">
              <controlPr defaultSize="0" autoFill="0" autoPict="0">
                <anchor moveWithCells="1">
                  <from>
                    <xdr:col>2</xdr:col>
                    <xdr:colOff>171450</xdr:colOff>
                    <xdr:row>21</xdr:row>
                    <xdr:rowOff>0</xdr:rowOff>
                  </from>
                  <to>
                    <xdr:col>2</xdr:col>
                    <xdr:colOff>1181100</xdr:colOff>
                    <xdr:row>22</xdr:row>
                    <xdr:rowOff>19050</xdr:rowOff>
                  </to>
                </anchor>
              </controlPr>
            </control>
          </mc:Choice>
        </mc:AlternateContent>
        <mc:AlternateContent xmlns:mc="http://schemas.openxmlformats.org/markup-compatibility/2006">
          <mc:Choice Requires="x14">
            <control shapeId="8218" r:id="rId50" name="Group Box 26">
              <controlPr defaultSize="0" autoFill="0" autoPict="0">
                <anchor moveWithCells="1">
                  <from>
                    <xdr:col>2</xdr:col>
                    <xdr:colOff>38100</xdr:colOff>
                    <xdr:row>21</xdr:row>
                    <xdr:rowOff>0</xdr:rowOff>
                  </from>
                  <to>
                    <xdr:col>2</xdr:col>
                    <xdr:colOff>2600325</xdr:colOff>
                    <xdr:row>21</xdr:row>
                    <xdr:rowOff>247650</xdr:rowOff>
                  </to>
                </anchor>
              </controlPr>
            </control>
          </mc:Choice>
        </mc:AlternateContent>
        <mc:AlternateContent xmlns:mc="http://schemas.openxmlformats.org/markup-compatibility/2006">
          <mc:Choice Requires="x14">
            <control shapeId="8219" r:id="rId51" name="Group Box 27">
              <controlPr defaultSize="0" autoFill="0" autoPict="0">
                <anchor moveWithCells="1">
                  <from>
                    <xdr:col>2</xdr:col>
                    <xdr:colOff>28575</xdr:colOff>
                    <xdr:row>21</xdr:row>
                    <xdr:rowOff>0</xdr:rowOff>
                  </from>
                  <to>
                    <xdr:col>2</xdr:col>
                    <xdr:colOff>2057400</xdr:colOff>
                    <xdr:row>21</xdr:row>
                    <xdr:rowOff>247650</xdr:rowOff>
                  </to>
                </anchor>
              </controlPr>
            </control>
          </mc:Choice>
        </mc:AlternateContent>
        <mc:AlternateContent xmlns:mc="http://schemas.openxmlformats.org/markup-compatibility/2006">
          <mc:Choice Requires="x14">
            <control shapeId="8220" r:id="rId52" name="Group Box 28">
              <controlPr defaultSize="0" autoFill="0" autoPict="0">
                <anchor moveWithCells="1">
                  <from>
                    <xdr:col>2</xdr:col>
                    <xdr:colOff>76200</xdr:colOff>
                    <xdr:row>21</xdr:row>
                    <xdr:rowOff>0</xdr:rowOff>
                  </from>
                  <to>
                    <xdr:col>2</xdr:col>
                    <xdr:colOff>2114550</xdr:colOff>
                    <xdr:row>21</xdr:row>
                    <xdr:rowOff>238125</xdr:rowOff>
                  </to>
                </anchor>
              </controlPr>
            </control>
          </mc:Choice>
        </mc:AlternateContent>
        <mc:AlternateContent xmlns:mc="http://schemas.openxmlformats.org/markup-compatibility/2006">
          <mc:Choice Requires="x14">
            <control shapeId="8226" r:id="rId53" name="Group Box 34">
              <controlPr defaultSize="0" autoFill="0" autoPict="0">
                <anchor moveWithCells="1">
                  <from>
                    <xdr:col>2</xdr:col>
                    <xdr:colOff>9525</xdr:colOff>
                    <xdr:row>21</xdr:row>
                    <xdr:rowOff>0</xdr:rowOff>
                  </from>
                  <to>
                    <xdr:col>2</xdr:col>
                    <xdr:colOff>2619375</xdr:colOff>
                    <xdr:row>22</xdr:row>
                    <xdr:rowOff>219075</xdr:rowOff>
                  </to>
                </anchor>
              </controlPr>
            </control>
          </mc:Choice>
        </mc:AlternateContent>
        <mc:AlternateContent xmlns:mc="http://schemas.openxmlformats.org/markup-compatibility/2006">
          <mc:Choice Requires="x14">
            <control shapeId="8227" r:id="rId54" name="Group Box 35">
              <controlPr defaultSize="0" autoFill="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8228" r:id="rId55" name="Group Box 36">
              <controlPr defaultSize="0" autoFill="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8229" r:id="rId56" name="Group Box 37">
              <controlPr defaultSize="0" autoFill="0" autoPict="0">
                <anchor moveWithCells="1">
                  <from>
                    <xdr:col>2</xdr:col>
                    <xdr:colOff>38100</xdr:colOff>
                    <xdr:row>21</xdr:row>
                    <xdr:rowOff>0</xdr:rowOff>
                  </from>
                  <to>
                    <xdr:col>2</xdr:col>
                    <xdr:colOff>2600325</xdr:colOff>
                    <xdr:row>21</xdr:row>
                    <xdr:rowOff>247650</xdr:rowOff>
                  </to>
                </anchor>
              </controlPr>
            </control>
          </mc:Choice>
        </mc:AlternateContent>
        <mc:AlternateContent xmlns:mc="http://schemas.openxmlformats.org/markup-compatibility/2006">
          <mc:Choice Requires="x14">
            <control shapeId="8230" r:id="rId57" name="Group Box 38">
              <controlPr defaultSize="0" autoFill="0" autoPict="0">
                <anchor moveWithCells="1">
                  <from>
                    <xdr:col>2</xdr:col>
                    <xdr:colOff>28575</xdr:colOff>
                    <xdr:row>21</xdr:row>
                    <xdr:rowOff>0</xdr:rowOff>
                  </from>
                  <to>
                    <xdr:col>2</xdr:col>
                    <xdr:colOff>2057400</xdr:colOff>
                    <xdr:row>21</xdr:row>
                    <xdr:rowOff>247650</xdr:rowOff>
                  </to>
                </anchor>
              </controlPr>
            </control>
          </mc:Choice>
        </mc:AlternateContent>
        <mc:AlternateContent xmlns:mc="http://schemas.openxmlformats.org/markup-compatibility/2006">
          <mc:Choice Requires="x14">
            <control shapeId="8231" r:id="rId58" name="Group Box 39">
              <controlPr defaultSize="0" autoFill="0" autoPict="0">
                <anchor moveWithCells="1">
                  <from>
                    <xdr:col>2</xdr:col>
                    <xdr:colOff>76200</xdr:colOff>
                    <xdr:row>21</xdr:row>
                    <xdr:rowOff>0</xdr:rowOff>
                  </from>
                  <to>
                    <xdr:col>2</xdr:col>
                    <xdr:colOff>2114550</xdr:colOff>
                    <xdr:row>21</xdr:row>
                    <xdr:rowOff>247650</xdr:rowOff>
                  </to>
                </anchor>
              </controlPr>
            </control>
          </mc:Choice>
        </mc:AlternateContent>
        <mc:AlternateContent xmlns:mc="http://schemas.openxmlformats.org/markup-compatibility/2006">
          <mc:Choice Requires="x14">
            <control shapeId="8232" r:id="rId59" name="Group Box 40">
              <controlPr defaultSize="0" autoFill="0" autoPict="0">
                <anchor moveWithCells="1">
                  <from>
                    <xdr:col>2</xdr:col>
                    <xdr:colOff>9525</xdr:colOff>
                    <xdr:row>21</xdr:row>
                    <xdr:rowOff>0</xdr:rowOff>
                  </from>
                  <to>
                    <xdr:col>2</xdr:col>
                    <xdr:colOff>2619375</xdr:colOff>
                    <xdr:row>22</xdr:row>
                    <xdr:rowOff>209550</xdr:rowOff>
                  </to>
                </anchor>
              </controlPr>
            </control>
          </mc:Choice>
        </mc:AlternateContent>
        <mc:AlternateContent xmlns:mc="http://schemas.openxmlformats.org/markup-compatibility/2006">
          <mc:Choice Requires="x14">
            <control shapeId="8233" r:id="rId60" name="Group Box 41">
              <controlPr defaultSize="0" autoFill="0" autoPict="0">
                <anchor moveWithCells="1">
                  <from>
                    <xdr:col>2</xdr:col>
                    <xdr:colOff>0</xdr:colOff>
                    <xdr:row>21</xdr:row>
                    <xdr:rowOff>0</xdr:rowOff>
                  </from>
                  <to>
                    <xdr:col>3</xdr:col>
                    <xdr:colOff>0</xdr:colOff>
                    <xdr:row>21</xdr:row>
                    <xdr:rowOff>200025</xdr:rowOff>
                  </to>
                </anchor>
              </controlPr>
            </control>
          </mc:Choice>
        </mc:AlternateContent>
        <mc:AlternateContent xmlns:mc="http://schemas.openxmlformats.org/markup-compatibility/2006">
          <mc:Choice Requires="x14">
            <control shapeId="8235" r:id="rId61" name="Group Box 43">
              <controlPr defaultSize="0" autoFill="0" autoPict="0" altText="">
                <anchor moveWithCells="1">
                  <from>
                    <xdr:col>2</xdr:col>
                    <xdr:colOff>0</xdr:colOff>
                    <xdr:row>21</xdr:row>
                    <xdr:rowOff>0</xdr:rowOff>
                  </from>
                  <to>
                    <xdr:col>3</xdr:col>
                    <xdr:colOff>9525</xdr:colOff>
                    <xdr:row>23</xdr:row>
                    <xdr:rowOff>95250</xdr:rowOff>
                  </to>
                </anchor>
              </controlPr>
            </control>
          </mc:Choice>
        </mc:AlternateContent>
        <mc:AlternateContent xmlns:mc="http://schemas.openxmlformats.org/markup-compatibility/2006">
          <mc:Choice Requires="x14">
            <control shapeId="8236" r:id="rId62" name="Group Box 44">
              <controlPr defaultSize="0" autoFill="0" autoPict="0">
                <anchor moveWithCells="1">
                  <from>
                    <xdr:col>2</xdr:col>
                    <xdr:colOff>76200</xdr:colOff>
                    <xdr:row>22</xdr:row>
                    <xdr:rowOff>0</xdr:rowOff>
                  </from>
                  <to>
                    <xdr:col>2</xdr:col>
                    <xdr:colOff>2114550</xdr:colOff>
                    <xdr:row>22</xdr:row>
                    <xdr:rowOff>247650</xdr:rowOff>
                  </to>
                </anchor>
              </controlPr>
            </control>
          </mc:Choice>
        </mc:AlternateContent>
        <mc:AlternateContent xmlns:mc="http://schemas.openxmlformats.org/markup-compatibility/2006">
          <mc:Choice Requires="x14">
            <control shapeId="8237" r:id="rId63" name="Group Box 45">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8238" r:id="rId64" name="Group Box 46">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8239" r:id="rId65" name="Group Box 47">
              <controlPr defaultSize="0" autoFill="0" autoPict="0">
                <anchor moveWithCells="1">
                  <from>
                    <xdr:col>2</xdr:col>
                    <xdr:colOff>38100</xdr:colOff>
                    <xdr:row>22</xdr:row>
                    <xdr:rowOff>0</xdr:rowOff>
                  </from>
                  <to>
                    <xdr:col>2</xdr:col>
                    <xdr:colOff>2600325</xdr:colOff>
                    <xdr:row>22</xdr:row>
                    <xdr:rowOff>247650</xdr:rowOff>
                  </to>
                </anchor>
              </controlPr>
            </control>
          </mc:Choice>
        </mc:AlternateContent>
        <mc:AlternateContent xmlns:mc="http://schemas.openxmlformats.org/markup-compatibility/2006">
          <mc:Choice Requires="x14">
            <control shapeId="8240" r:id="rId66" name="Group Box 48">
              <controlPr defaultSize="0" autoFill="0" autoPict="0">
                <anchor moveWithCells="1">
                  <from>
                    <xdr:col>2</xdr:col>
                    <xdr:colOff>9525</xdr:colOff>
                    <xdr:row>22</xdr:row>
                    <xdr:rowOff>0</xdr:rowOff>
                  </from>
                  <to>
                    <xdr:col>2</xdr:col>
                    <xdr:colOff>2619375</xdr:colOff>
                    <xdr:row>23</xdr:row>
                    <xdr:rowOff>57150</xdr:rowOff>
                  </to>
                </anchor>
              </controlPr>
            </control>
          </mc:Choice>
        </mc:AlternateContent>
        <mc:AlternateContent xmlns:mc="http://schemas.openxmlformats.org/markup-compatibility/2006">
          <mc:Choice Requires="x14">
            <control shapeId="8266" r:id="rId67" name="Group Box 74">
              <controlPr defaultSize="0" autoFill="0" autoPict="0">
                <anchor moveWithCells="1">
                  <from>
                    <xdr:col>2</xdr:col>
                    <xdr:colOff>76200</xdr:colOff>
                    <xdr:row>22</xdr:row>
                    <xdr:rowOff>0</xdr:rowOff>
                  </from>
                  <to>
                    <xdr:col>2</xdr:col>
                    <xdr:colOff>2114550</xdr:colOff>
                    <xdr:row>22</xdr:row>
                    <xdr:rowOff>247650</xdr:rowOff>
                  </to>
                </anchor>
              </controlPr>
            </control>
          </mc:Choice>
        </mc:AlternateContent>
        <mc:AlternateContent xmlns:mc="http://schemas.openxmlformats.org/markup-compatibility/2006">
          <mc:Choice Requires="x14">
            <control shapeId="8267" r:id="rId68" name="Group Box 75">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8268" r:id="rId69" name="Group Box 76">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8269" r:id="rId70" name="Group Box 77">
              <controlPr defaultSize="0" autoFill="0" autoPict="0">
                <anchor moveWithCells="1">
                  <from>
                    <xdr:col>2</xdr:col>
                    <xdr:colOff>38100</xdr:colOff>
                    <xdr:row>22</xdr:row>
                    <xdr:rowOff>0</xdr:rowOff>
                  </from>
                  <to>
                    <xdr:col>2</xdr:col>
                    <xdr:colOff>2600325</xdr:colOff>
                    <xdr:row>22</xdr:row>
                    <xdr:rowOff>247650</xdr:rowOff>
                  </to>
                </anchor>
              </controlPr>
            </control>
          </mc:Choice>
        </mc:AlternateContent>
        <mc:AlternateContent xmlns:mc="http://schemas.openxmlformats.org/markup-compatibility/2006">
          <mc:Choice Requires="x14">
            <control shapeId="8270" r:id="rId71" name="Group Box 78">
              <controlPr defaultSize="0" autoFill="0" autoPict="0">
                <anchor moveWithCells="1">
                  <from>
                    <xdr:col>2</xdr:col>
                    <xdr:colOff>9525</xdr:colOff>
                    <xdr:row>22</xdr:row>
                    <xdr:rowOff>0</xdr:rowOff>
                  </from>
                  <to>
                    <xdr:col>2</xdr:col>
                    <xdr:colOff>2619375</xdr:colOff>
                    <xdr:row>23</xdr:row>
                    <xdr:rowOff>57150</xdr:rowOff>
                  </to>
                </anchor>
              </controlPr>
            </control>
          </mc:Choice>
        </mc:AlternateContent>
        <mc:AlternateContent xmlns:mc="http://schemas.openxmlformats.org/markup-compatibility/2006">
          <mc:Choice Requires="x14">
            <control shapeId="8292" r:id="rId72" name="Group Box 100">
              <controlPr defaultSize="0" autoFill="0" autoPict="0">
                <anchor moveWithCells="1">
                  <from>
                    <xdr:col>2</xdr:col>
                    <xdr:colOff>9525</xdr:colOff>
                    <xdr:row>23</xdr:row>
                    <xdr:rowOff>0</xdr:rowOff>
                  </from>
                  <to>
                    <xdr:col>2</xdr:col>
                    <xdr:colOff>2619375</xdr:colOff>
                    <xdr:row>25</xdr:row>
                    <xdr:rowOff>38100</xdr:rowOff>
                  </to>
                </anchor>
              </controlPr>
            </control>
          </mc:Choice>
        </mc:AlternateContent>
        <mc:AlternateContent xmlns:mc="http://schemas.openxmlformats.org/markup-compatibility/2006">
          <mc:Choice Requires="x14">
            <control shapeId="8294" r:id="rId73" name="Group Box 102">
              <controlPr defaultSize="0" autoFill="0" autoPict="0">
                <anchor moveWithCells="1">
                  <from>
                    <xdr:col>2</xdr:col>
                    <xdr:colOff>9525</xdr:colOff>
                    <xdr:row>20</xdr:row>
                    <xdr:rowOff>0</xdr:rowOff>
                  </from>
                  <to>
                    <xdr:col>2</xdr:col>
                    <xdr:colOff>2619375</xdr:colOff>
                    <xdr:row>20</xdr:row>
                    <xdr:rowOff>533400</xdr:rowOff>
                  </to>
                </anchor>
              </controlPr>
            </control>
          </mc:Choice>
        </mc:AlternateContent>
        <mc:AlternateContent xmlns:mc="http://schemas.openxmlformats.org/markup-compatibility/2006">
          <mc:Choice Requires="x14">
            <control shapeId="8295" r:id="rId74" name="Group Box 103">
              <controlPr defaultSize="0" autoFill="0" autoPict="0">
                <anchor moveWithCells="1">
                  <from>
                    <xdr:col>2</xdr:col>
                    <xdr:colOff>9525</xdr:colOff>
                    <xdr:row>20</xdr:row>
                    <xdr:rowOff>0</xdr:rowOff>
                  </from>
                  <to>
                    <xdr:col>2</xdr:col>
                    <xdr:colOff>2619375</xdr:colOff>
                    <xdr:row>20</xdr:row>
                    <xdr:rowOff>533400</xdr:rowOff>
                  </to>
                </anchor>
              </controlPr>
            </control>
          </mc:Choice>
        </mc:AlternateContent>
        <mc:AlternateContent xmlns:mc="http://schemas.openxmlformats.org/markup-compatibility/2006">
          <mc:Choice Requires="x14">
            <control shapeId="8296" r:id="rId75" name="Group Box 104">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8297" r:id="rId76" name="Group Box 105">
              <controlPr defaultSize="0" autoFill="0" autoPict="0">
                <anchor moveWithCells="1">
                  <from>
                    <xdr:col>2</xdr:col>
                    <xdr:colOff>9525</xdr:colOff>
                    <xdr:row>22</xdr:row>
                    <xdr:rowOff>0</xdr:rowOff>
                  </from>
                  <to>
                    <xdr:col>3</xdr:col>
                    <xdr:colOff>0</xdr:colOff>
                    <xdr:row>24</xdr:row>
                    <xdr:rowOff>66675</xdr:rowOff>
                  </to>
                </anchor>
              </controlPr>
            </control>
          </mc:Choice>
        </mc:AlternateContent>
        <mc:AlternateContent xmlns:mc="http://schemas.openxmlformats.org/markup-compatibility/2006">
          <mc:Choice Requires="x14">
            <control shapeId="8298" r:id="rId77" name="Group Box 106">
              <controlPr defaultSize="0" autoFill="0" autoPict="0" altText="">
                <anchor moveWithCells="1">
                  <from>
                    <xdr:col>2</xdr:col>
                    <xdr:colOff>0</xdr:colOff>
                    <xdr:row>22</xdr:row>
                    <xdr:rowOff>0</xdr:rowOff>
                  </from>
                  <to>
                    <xdr:col>3</xdr:col>
                    <xdr:colOff>9525</xdr:colOff>
                    <xdr:row>24</xdr:row>
                    <xdr:rowOff>209550</xdr:rowOff>
                  </to>
                </anchor>
              </controlPr>
            </control>
          </mc:Choice>
        </mc:AlternateContent>
        <mc:AlternateContent xmlns:mc="http://schemas.openxmlformats.org/markup-compatibility/2006">
          <mc:Choice Requires="x14">
            <control shapeId="8299" r:id="rId78" name="Group Box 107">
              <controlPr defaultSize="0" autoFill="0" autoPict="0">
                <anchor moveWithCells="1">
                  <from>
                    <xdr:col>2</xdr:col>
                    <xdr:colOff>171450</xdr:colOff>
                    <xdr:row>22</xdr:row>
                    <xdr:rowOff>0</xdr:rowOff>
                  </from>
                  <to>
                    <xdr:col>2</xdr:col>
                    <xdr:colOff>1181100</xdr:colOff>
                    <xdr:row>22</xdr:row>
                    <xdr:rowOff>333375</xdr:rowOff>
                  </to>
                </anchor>
              </controlPr>
            </control>
          </mc:Choice>
        </mc:AlternateContent>
        <mc:AlternateContent xmlns:mc="http://schemas.openxmlformats.org/markup-compatibility/2006">
          <mc:Choice Requires="x14">
            <control shapeId="8300" r:id="rId79" name="Group Box 108">
              <controlPr defaultSize="0" autoFill="0" autoPict="0">
                <anchor moveWithCells="1">
                  <from>
                    <xdr:col>2</xdr:col>
                    <xdr:colOff>38100</xdr:colOff>
                    <xdr:row>22</xdr:row>
                    <xdr:rowOff>0</xdr:rowOff>
                  </from>
                  <to>
                    <xdr:col>2</xdr:col>
                    <xdr:colOff>2600325</xdr:colOff>
                    <xdr:row>22</xdr:row>
                    <xdr:rowOff>247650</xdr:rowOff>
                  </to>
                </anchor>
              </controlPr>
            </control>
          </mc:Choice>
        </mc:AlternateContent>
        <mc:AlternateContent xmlns:mc="http://schemas.openxmlformats.org/markup-compatibility/2006">
          <mc:Choice Requires="x14">
            <control shapeId="8301" r:id="rId80" name="Group Box 109">
              <controlPr defaultSize="0" autoFill="0" autoPict="0">
                <anchor moveWithCells="1">
                  <from>
                    <xdr:col>2</xdr:col>
                    <xdr:colOff>28575</xdr:colOff>
                    <xdr:row>22</xdr:row>
                    <xdr:rowOff>0</xdr:rowOff>
                  </from>
                  <to>
                    <xdr:col>2</xdr:col>
                    <xdr:colOff>2057400</xdr:colOff>
                    <xdr:row>22</xdr:row>
                    <xdr:rowOff>247650</xdr:rowOff>
                  </to>
                </anchor>
              </controlPr>
            </control>
          </mc:Choice>
        </mc:AlternateContent>
        <mc:AlternateContent xmlns:mc="http://schemas.openxmlformats.org/markup-compatibility/2006">
          <mc:Choice Requires="x14">
            <control shapeId="8302" r:id="rId81" name="Group Box 110">
              <controlPr defaultSize="0" autoFill="0" autoPict="0">
                <anchor moveWithCells="1">
                  <from>
                    <xdr:col>2</xdr:col>
                    <xdr:colOff>76200</xdr:colOff>
                    <xdr:row>22</xdr:row>
                    <xdr:rowOff>0</xdr:rowOff>
                  </from>
                  <to>
                    <xdr:col>2</xdr:col>
                    <xdr:colOff>2114550</xdr:colOff>
                    <xdr:row>22</xdr:row>
                    <xdr:rowOff>238125</xdr:rowOff>
                  </to>
                </anchor>
              </controlPr>
            </control>
          </mc:Choice>
        </mc:AlternateContent>
        <mc:AlternateContent xmlns:mc="http://schemas.openxmlformats.org/markup-compatibility/2006">
          <mc:Choice Requires="x14">
            <control shapeId="8303" r:id="rId82" name="Group Box 111">
              <controlPr defaultSize="0" autoFill="0" autoPict="0">
                <anchor moveWithCells="1">
                  <from>
                    <xdr:col>2</xdr:col>
                    <xdr:colOff>9525</xdr:colOff>
                    <xdr:row>22</xdr:row>
                    <xdr:rowOff>0</xdr:rowOff>
                  </from>
                  <to>
                    <xdr:col>2</xdr:col>
                    <xdr:colOff>2619375</xdr:colOff>
                    <xdr:row>23</xdr:row>
                    <xdr:rowOff>57150</xdr:rowOff>
                  </to>
                </anchor>
              </controlPr>
            </control>
          </mc:Choice>
        </mc:AlternateContent>
        <mc:AlternateContent xmlns:mc="http://schemas.openxmlformats.org/markup-compatibility/2006">
          <mc:Choice Requires="x14">
            <control shapeId="8304" r:id="rId83" name="Group Box 112">
              <controlPr defaultSize="0" autoFill="0" autoPict="0">
                <anchor moveWithCells="1">
                  <from>
                    <xdr:col>2</xdr:col>
                    <xdr:colOff>0</xdr:colOff>
                    <xdr:row>22</xdr:row>
                    <xdr:rowOff>0</xdr:rowOff>
                  </from>
                  <to>
                    <xdr:col>3</xdr:col>
                    <xdr:colOff>0</xdr:colOff>
                    <xdr:row>22</xdr:row>
                    <xdr:rowOff>190500</xdr:rowOff>
                  </to>
                </anchor>
              </controlPr>
            </control>
          </mc:Choice>
        </mc:AlternateContent>
        <mc:AlternateContent xmlns:mc="http://schemas.openxmlformats.org/markup-compatibility/2006">
          <mc:Choice Requires="x14">
            <control shapeId="8305" r:id="rId84" name="Group Box 113">
              <controlPr defaultSize="0" autoFill="0" autoPict="0">
                <anchor moveWithCells="1">
                  <from>
                    <xdr:col>2</xdr:col>
                    <xdr:colOff>0</xdr:colOff>
                    <xdr:row>22</xdr:row>
                    <xdr:rowOff>0</xdr:rowOff>
                  </from>
                  <to>
                    <xdr:col>3</xdr:col>
                    <xdr:colOff>0</xdr:colOff>
                    <xdr:row>22</xdr:row>
                    <xdr:rowOff>190500</xdr:rowOff>
                  </to>
                </anchor>
              </controlPr>
            </control>
          </mc:Choice>
        </mc:AlternateContent>
        <mc:AlternateContent xmlns:mc="http://schemas.openxmlformats.org/markup-compatibility/2006">
          <mc:Choice Requires="x14">
            <control shapeId="8306" r:id="rId85" name="Group Box 114">
              <controlPr defaultSize="0" autoFill="0" autoPict="0">
                <anchor moveWithCells="1">
                  <from>
                    <xdr:col>2</xdr:col>
                    <xdr:colOff>38100</xdr:colOff>
                    <xdr:row>22</xdr:row>
                    <xdr:rowOff>0</xdr:rowOff>
                  </from>
                  <to>
                    <xdr:col>2</xdr:col>
                    <xdr:colOff>2600325</xdr:colOff>
                    <xdr:row>22</xdr:row>
                    <xdr:rowOff>247650</xdr:rowOff>
                  </to>
                </anchor>
              </controlPr>
            </control>
          </mc:Choice>
        </mc:AlternateContent>
        <mc:AlternateContent xmlns:mc="http://schemas.openxmlformats.org/markup-compatibility/2006">
          <mc:Choice Requires="x14">
            <control shapeId="8307" r:id="rId86" name="Group Box 115">
              <controlPr defaultSize="0" autoFill="0" autoPict="0">
                <anchor moveWithCells="1">
                  <from>
                    <xdr:col>2</xdr:col>
                    <xdr:colOff>28575</xdr:colOff>
                    <xdr:row>22</xdr:row>
                    <xdr:rowOff>0</xdr:rowOff>
                  </from>
                  <to>
                    <xdr:col>2</xdr:col>
                    <xdr:colOff>2057400</xdr:colOff>
                    <xdr:row>22</xdr:row>
                    <xdr:rowOff>247650</xdr:rowOff>
                  </to>
                </anchor>
              </controlPr>
            </control>
          </mc:Choice>
        </mc:AlternateContent>
        <mc:AlternateContent xmlns:mc="http://schemas.openxmlformats.org/markup-compatibility/2006">
          <mc:Choice Requires="x14">
            <control shapeId="8308" r:id="rId87" name="Group Box 116">
              <controlPr defaultSize="0" autoFill="0" autoPict="0">
                <anchor moveWithCells="1">
                  <from>
                    <xdr:col>2</xdr:col>
                    <xdr:colOff>76200</xdr:colOff>
                    <xdr:row>22</xdr:row>
                    <xdr:rowOff>0</xdr:rowOff>
                  </from>
                  <to>
                    <xdr:col>2</xdr:col>
                    <xdr:colOff>2114550</xdr:colOff>
                    <xdr:row>22</xdr:row>
                    <xdr:rowOff>247650</xdr:rowOff>
                  </to>
                </anchor>
              </controlPr>
            </control>
          </mc:Choice>
        </mc:AlternateContent>
        <mc:AlternateContent xmlns:mc="http://schemas.openxmlformats.org/markup-compatibility/2006">
          <mc:Choice Requires="x14">
            <control shapeId="8309" r:id="rId88" name="Group Box 117">
              <controlPr defaultSize="0" autoFill="0" autoPict="0">
                <anchor moveWithCells="1">
                  <from>
                    <xdr:col>2</xdr:col>
                    <xdr:colOff>9525</xdr:colOff>
                    <xdr:row>22</xdr:row>
                    <xdr:rowOff>0</xdr:rowOff>
                  </from>
                  <to>
                    <xdr:col>2</xdr:col>
                    <xdr:colOff>2619375</xdr:colOff>
                    <xdr:row>23</xdr:row>
                    <xdr:rowOff>57150</xdr:rowOff>
                  </to>
                </anchor>
              </controlPr>
            </control>
          </mc:Choice>
        </mc:AlternateContent>
        <mc:AlternateContent xmlns:mc="http://schemas.openxmlformats.org/markup-compatibility/2006">
          <mc:Choice Requires="x14">
            <control shapeId="8310" r:id="rId89" name="Group Box 118">
              <controlPr defaultSize="0" autoFill="0" autoPict="0">
                <anchor moveWithCells="1">
                  <from>
                    <xdr:col>2</xdr:col>
                    <xdr:colOff>0</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8311" r:id="rId90" name="Group Box 119">
              <controlPr defaultSize="0" autoFill="0" autoPict="0" altText="">
                <anchor moveWithCells="1">
                  <from>
                    <xdr:col>2</xdr:col>
                    <xdr:colOff>0</xdr:colOff>
                    <xdr:row>22</xdr:row>
                    <xdr:rowOff>0</xdr:rowOff>
                  </from>
                  <to>
                    <xdr:col>3</xdr:col>
                    <xdr:colOff>9525</xdr:colOff>
                    <xdr:row>24</xdr:row>
                    <xdr:rowOff>209550</xdr:rowOff>
                  </to>
                </anchor>
              </controlPr>
            </control>
          </mc:Choice>
        </mc:AlternateContent>
        <mc:AlternateContent xmlns:mc="http://schemas.openxmlformats.org/markup-compatibility/2006">
          <mc:Choice Requires="x14">
            <control shapeId="8312" r:id="rId91" name="Group Box 120">
              <controlPr defaultSize="0" autoFill="0" autoPict="0">
                <anchor moveWithCells="1">
                  <from>
                    <xdr:col>2</xdr:col>
                    <xdr:colOff>0</xdr:colOff>
                    <xdr:row>20</xdr:row>
                    <xdr:rowOff>0</xdr:rowOff>
                  </from>
                  <to>
                    <xdr:col>3</xdr:col>
                    <xdr:colOff>0</xdr:colOff>
                    <xdr:row>20</xdr:row>
                    <xdr:rowOff>200025</xdr:rowOff>
                  </to>
                </anchor>
              </controlPr>
            </control>
          </mc:Choice>
        </mc:AlternateContent>
        <mc:AlternateContent xmlns:mc="http://schemas.openxmlformats.org/markup-compatibility/2006">
          <mc:Choice Requires="x14">
            <control shapeId="8313" r:id="rId92" name="Group Box 121">
              <controlPr defaultSize="0" autoFill="0" autoPict="0">
                <anchor moveWithCells="1">
                  <from>
                    <xdr:col>2</xdr:col>
                    <xdr:colOff>9525</xdr:colOff>
                    <xdr:row>20</xdr:row>
                    <xdr:rowOff>0</xdr:rowOff>
                  </from>
                  <to>
                    <xdr:col>3</xdr:col>
                    <xdr:colOff>0</xdr:colOff>
                    <xdr:row>21</xdr:row>
                    <xdr:rowOff>85725</xdr:rowOff>
                  </to>
                </anchor>
              </controlPr>
            </control>
          </mc:Choice>
        </mc:AlternateContent>
        <mc:AlternateContent xmlns:mc="http://schemas.openxmlformats.org/markup-compatibility/2006">
          <mc:Choice Requires="x14">
            <control shapeId="8314" r:id="rId93" name="Group Box 122">
              <controlPr defaultSize="0" autoFill="0" autoPict="0" altText="">
                <anchor moveWithCells="1">
                  <from>
                    <xdr:col>2</xdr:col>
                    <xdr:colOff>0</xdr:colOff>
                    <xdr:row>20</xdr:row>
                    <xdr:rowOff>0</xdr:rowOff>
                  </from>
                  <to>
                    <xdr:col>3</xdr:col>
                    <xdr:colOff>9525</xdr:colOff>
                    <xdr:row>21</xdr:row>
                    <xdr:rowOff>257175</xdr:rowOff>
                  </to>
                </anchor>
              </controlPr>
            </control>
          </mc:Choice>
        </mc:AlternateContent>
        <mc:AlternateContent xmlns:mc="http://schemas.openxmlformats.org/markup-compatibility/2006">
          <mc:Choice Requires="x14">
            <control shapeId="8315" r:id="rId94" name="Group Box 123">
              <controlPr defaultSize="0" autoFill="0" autoPict="0">
                <anchor moveWithCells="1">
                  <from>
                    <xdr:col>2</xdr:col>
                    <xdr:colOff>171450</xdr:colOff>
                    <xdr:row>20</xdr:row>
                    <xdr:rowOff>0</xdr:rowOff>
                  </from>
                  <to>
                    <xdr:col>2</xdr:col>
                    <xdr:colOff>1181100</xdr:colOff>
                    <xdr:row>20</xdr:row>
                    <xdr:rowOff>333375</xdr:rowOff>
                  </to>
                </anchor>
              </controlPr>
            </control>
          </mc:Choice>
        </mc:AlternateContent>
        <mc:AlternateContent xmlns:mc="http://schemas.openxmlformats.org/markup-compatibility/2006">
          <mc:Choice Requires="x14">
            <control shapeId="8316" r:id="rId95" name="Group Box 124">
              <controlPr defaultSize="0" autoFill="0" autoPict="0">
                <anchor moveWithCells="1">
                  <from>
                    <xdr:col>2</xdr:col>
                    <xdr:colOff>38100</xdr:colOff>
                    <xdr:row>20</xdr:row>
                    <xdr:rowOff>0</xdr:rowOff>
                  </from>
                  <to>
                    <xdr:col>2</xdr:col>
                    <xdr:colOff>2600325</xdr:colOff>
                    <xdr:row>20</xdr:row>
                    <xdr:rowOff>247650</xdr:rowOff>
                  </to>
                </anchor>
              </controlPr>
            </control>
          </mc:Choice>
        </mc:AlternateContent>
        <mc:AlternateContent xmlns:mc="http://schemas.openxmlformats.org/markup-compatibility/2006">
          <mc:Choice Requires="x14">
            <control shapeId="8317" r:id="rId96" name="Group Box 125">
              <controlPr defaultSize="0" autoFill="0" autoPict="0">
                <anchor moveWithCells="1">
                  <from>
                    <xdr:col>2</xdr:col>
                    <xdr:colOff>28575</xdr:colOff>
                    <xdr:row>20</xdr:row>
                    <xdr:rowOff>0</xdr:rowOff>
                  </from>
                  <to>
                    <xdr:col>2</xdr:col>
                    <xdr:colOff>2057400</xdr:colOff>
                    <xdr:row>20</xdr:row>
                    <xdr:rowOff>247650</xdr:rowOff>
                  </to>
                </anchor>
              </controlPr>
            </control>
          </mc:Choice>
        </mc:AlternateContent>
        <mc:AlternateContent xmlns:mc="http://schemas.openxmlformats.org/markup-compatibility/2006">
          <mc:Choice Requires="x14">
            <control shapeId="8318" r:id="rId97" name="Group Box 126">
              <controlPr defaultSize="0" autoFill="0" autoPict="0">
                <anchor moveWithCells="1">
                  <from>
                    <xdr:col>2</xdr:col>
                    <xdr:colOff>76200</xdr:colOff>
                    <xdr:row>20</xdr:row>
                    <xdr:rowOff>0</xdr:rowOff>
                  </from>
                  <to>
                    <xdr:col>2</xdr:col>
                    <xdr:colOff>2114550</xdr:colOff>
                    <xdr:row>20</xdr:row>
                    <xdr:rowOff>238125</xdr:rowOff>
                  </to>
                </anchor>
              </controlPr>
            </control>
          </mc:Choice>
        </mc:AlternateContent>
        <mc:AlternateContent xmlns:mc="http://schemas.openxmlformats.org/markup-compatibility/2006">
          <mc:Choice Requires="x14">
            <control shapeId="8319" r:id="rId98" name="Group Box 127">
              <controlPr defaultSize="0" autoFill="0" autoPict="0">
                <anchor moveWithCells="1">
                  <from>
                    <xdr:col>2</xdr:col>
                    <xdr:colOff>9525</xdr:colOff>
                    <xdr:row>20</xdr:row>
                    <xdr:rowOff>0</xdr:rowOff>
                  </from>
                  <to>
                    <xdr:col>2</xdr:col>
                    <xdr:colOff>2619375</xdr:colOff>
                    <xdr:row>20</xdr:row>
                    <xdr:rowOff>542925</xdr:rowOff>
                  </to>
                </anchor>
              </controlPr>
            </control>
          </mc:Choice>
        </mc:AlternateContent>
        <mc:AlternateContent xmlns:mc="http://schemas.openxmlformats.org/markup-compatibility/2006">
          <mc:Choice Requires="x14">
            <control shapeId="8320" r:id="rId99" name="Group Box 128">
              <controlPr defaultSize="0" autoFill="0" autoPict="0">
                <anchor moveWithCells="1">
                  <from>
                    <xdr:col>2</xdr:col>
                    <xdr:colOff>0</xdr:colOff>
                    <xdr:row>20</xdr:row>
                    <xdr:rowOff>0</xdr:rowOff>
                  </from>
                  <to>
                    <xdr:col>3</xdr:col>
                    <xdr:colOff>0</xdr:colOff>
                    <xdr:row>20</xdr:row>
                    <xdr:rowOff>190500</xdr:rowOff>
                  </to>
                </anchor>
              </controlPr>
            </control>
          </mc:Choice>
        </mc:AlternateContent>
        <mc:AlternateContent xmlns:mc="http://schemas.openxmlformats.org/markup-compatibility/2006">
          <mc:Choice Requires="x14">
            <control shapeId="8321" r:id="rId100" name="Group Box 129">
              <controlPr defaultSize="0" autoFill="0" autoPict="0">
                <anchor moveWithCells="1">
                  <from>
                    <xdr:col>2</xdr:col>
                    <xdr:colOff>0</xdr:colOff>
                    <xdr:row>20</xdr:row>
                    <xdr:rowOff>0</xdr:rowOff>
                  </from>
                  <to>
                    <xdr:col>3</xdr:col>
                    <xdr:colOff>0</xdr:colOff>
                    <xdr:row>20</xdr:row>
                    <xdr:rowOff>190500</xdr:rowOff>
                  </to>
                </anchor>
              </controlPr>
            </control>
          </mc:Choice>
        </mc:AlternateContent>
        <mc:AlternateContent xmlns:mc="http://schemas.openxmlformats.org/markup-compatibility/2006">
          <mc:Choice Requires="x14">
            <control shapeId="8322" r:id="rId101" name="Group Box 130">
              <controlPr defaultSize="0" autoFill="0" autoPict="0">
                <anchor moveWithCells="1">
                  <from>
                    <xdr:col>2</xdr:col>
                    <xdr:colOff>38100</xdr:colOff>
                    <xdr:row>20</xdr:row>
                    <xdr:rowOff>0</xdr:rowOff>
                  </from>
                  <to>
                    <xdr:col>2</xdr:col>
                    <xdr:colOff>2600325</xdr:colOff>
                    <xdr:row>20</xdr:row>
                    <xdr:rowOff>247650</xdr:rowOff>
                  </to>
                </anchor>
              </controlPr>
            </control>
          </mc:Choice>
        </mc:AlternateContent>
        <mc:AlternateContent xmlns:mc="http://schemas.openxmlformats.org/markup-compatibility/2006">
          <mc:Choice Requires="x14">
            <control shapeId="8323" r:id="rId102" name="Group Box 131">
              <controlPr defaultSize="0" autoFill="0" autoPict="0">
                <anchor moveWithCells="1">
                  <from>
                    <xdr:col>2</xdr:col>
                    <xdr:colOff>28575</xdr:colOff>
                    <xdr:row>20</xdr:row>
                    <xdr:rowOff>0</xdr:rowOff>
                  </from>
                  <to>
                    <xdr:col>2</xdr:col>
                    <xdr:colOff>2057400</xdr:colOff>
                    <xdr:row>20</xdr:row>
                    <xdr:rowOff>247650</xdr:rowOff>
                  </to>
                </anchor>
              </controlPr>
            </control>
          </mc:Choice>
        </mc:AlternateContent>
        <mc:AlternateContent xmlns:mc="http://schemas.openxmlformats.org/markup-compatibility/2006">
          <mc:Choice Requires="x14">
            <control shapeId="8324" r:id="rId103" name="Group Box 132">
              <controlPr defaultSize="0" autoFill="0" autoPict="0">
                <anchor moveWithCells="1">
                  <from>
                    <xdr:col>2</xdr:col>
                    <xdr:colOff>76200</xdr:colOff>
                    <xdr:row>20</xdr:row>
                    <xdr:rowOff>0</xdr:rowOff>
                  </from>
                  <to>
                    <xdr:col>2</xdr:col>
                    <xdr:colOff>2114550</xdr:colOff>
                    <xdr:row>20</xdr:row>
                    <xdr:rowOff>247650</xdr:rowOff>
                  </to>
                </anchor>
              </controlPr>
            </control>
          </mc:Choice>
        </mc:AlternateContent>
        <mc:AlternateContent xmlns:mc="http://schemas.openxmlformats.org/markup-compatibility/2006">
          <mc:Choice Requires="x14">
            <control shapeId="8325" r:id="rId104" name="Group Box 133">
              <controlPr defaultSize="0" autoFill="0" autoPict="0">
                <anchor moveWithCells="1">
                  <from>
                    <xdr:col>2</xdr:col>
                    <xdr:colOff>9525</xdr:colOff>
                    <xdr:row>20</xdr:row>
                    <xdr:rowOff>0</xdr:rowOff>
                  </from>
                  <to>
                    <xdr:col>2</xdr:col>
                    <xdr:colOff>2619375</xdr:colOff>
                    <xdr:row>20</xdr:row>
                    <xdr:rowOff>533400</xdr:rowOff>
                  </to>
                </anchor>
              </controlPr>
            </control>
          </mc:Choice>
        </mc:AlternateContent>
        <mc:AlternateContent xmlns:mc="http://schemas.openxmlformats.org/markup-compatibility/2006">
          <mc:Choice Requires="x14">
            <control shapeId="8326" r:id="rId105" name="Group Box 134">
              <controlPr defaultSize="0" autoFill="0" autoPict="0">
                <anchor moveWithCells="1">
                  <from>
                    <xdr:col>2</xdr:col>
                    <xdr:colOff>0</xdr:colOff>
                    <xdr:row>20</xdr:row>
                    <xdr:rowOff>0</xdr:rowOff>
                  </from>
                  <to>
                    <xdr:col>3</xdr:col>
                    <xdr:colOff>0</xdr:colOff>
                    <xdr:row>20</xdr:row>
                    <xdr:rowOff>200025</xdr:rowOff>
                  </to>
                </anchor>
              </controlPr>
            </control>
          </mc:Choice>
        </mc:AlternateContent>
        <mc:AlternateContent xmlns:mc="http://schemas.openxmlformats.org/markup-compatibility/2006">
          <mc:Choice Requires="x14">
            <control shapeId="8327" r:id="rId106" name="Group Box 135">
              <controlPr defaultSize="0" autoFill="0" autoPict="0" altText="">
                <anchor moveWithCells="1">
                  <from>
                    <xdr:col>2</xdr:col>
                    <xdr:colOff>0</xdr:colOff>
                    <xdr:row>20</xdr:row>
                    <xdr:rowOff>0</xdr:rowOff>
                  </from>
                  <to>
                    <xdr:col>3</xdr:col>
                    <xdr:colOff>9525</xdr:colOff>
                    <xdr:row>21</xdr:row>
                    <xdr:rowOff>257175</xdr:rowOff>
                  </to>
                </anchor>
              </controlPr>
            </control>
          </mc:Choice>
        </mc:AlternateContent>
        <mc:AlternateContent xmlns:mc="http://schemas.openxmlformats.org/markup-compatibility/2006">
          <mc:Choice Requires="x14">
            <control shapeId="8328" r:id="rId107" name="Group Box 136">
              <controlPr defaultSize="0" autoFill="0" autoPict="0">
                <anchor moveWithCells="1">
                  <from>
                    <xdr:col>2</xdr:col>
                    <xdr:colOff>9525</xdr:colOff>
                    <xdr:row>22</xdr:row>
                    <xdr:rowOff>0</xdr:rowOff>
                  </from>
                  <to>
                    <xdr:col>3</xdr:col>
                    <xdr:colOff>0</xdr:colOff>
                    <xdr:row>24</xdr:row>
                    <xdr:rowOff>66675</xdr:rowOff>
                  </to>
                </anchor>
              </controlPr>
            </control>
          </mc:Choice>
        </mc:AlternateContent>
        <mc:AlternateContent xmlns:mc="http://schemas.openxmlformats.org/markup-compatibility/2006">
          <mc:Choice Requires="x14">
            <control shapeId="8329" r:id="rId108" name="Group Box 137">
              <controlPr defaultSize="0" autoFill="0" autoPict="0" altText="">
                <anchor moveWithCells="1">
                  <from>
                    <xdr:col>2</xdr:col>
                    <xdr:colOff>0</xdr:colOff>
                    <xdr:row>22</xdr:row>
                    <xdr:rowOff>0</xdr:rowOff>
                  </from>
                  <to>
                    <xdr:col>3</xdr:col>
                    <xdr:colOff>9525</xdr:colOff>
                    <xdr:row>24</xdr:row>
                    <xdr:rowOff>209550</xdr:rowOff>
                  </to>
                </anchor>
              </controlPr>
            </control>
          </mc:Choice>
        </mc:AlternateContent>
        <mc:AlternateContent xmlns:mc="http://schemas.openxmlformats.org/markup-compatibility/2006">
          <mc:Choice Requires="x14">
            <control shapeId="8330" r:id="rId109" name="Group Box 138">
              <controlPr defaultSize="0" autoFill="0" autoPict="0">
                <anchor moveWithCells="1">
                  <from>
                    <xdr:col>2</xdr:col>
                    <xdr:colOff>9525</xdr:colOff>
                    <xdr:row>22</xdr:row>
                    <xdr:rowOff>0</xdr:rowOff>
                  </from>
                  <to>
                    <xdr:col>2</xdr:col>
                    <xdr:colOff>2619375</xdr:colOff>
                    <xdr:row>23</xdr:row>
                    <xdr:rowOff>57150</xdr:rowOff>
                  </to>
                </anchor>
              </controlPr>
            </control>
          </mc:Choice>
        </mc:AlternateContent>
        <mc:AlternateContent xmlns:mc="http://schemas.openxmlformats.org/markup-compatibility/2006">
          <mc:Choice Requires="x14">
            <control shapeId="8331" r:id="rId110" name="Group Box 139">
              <controlPr defaultSize="0" autoFill="0" autoPict="0">
                <anchor moveWithCells="1">
                  <from>
                    <xdr:col>2</xdr:col>
                    <xdr:colOff>9525</xdr:colOff>
                    <xdr:row>22</xdr:row>
                    <xdr:rowOff>0</xdr:rowOff>
                  </from>
                  <to>
                    <xdr:col>2</xdr:col>
                    <xdr:colOff>2619375</xdr:colOff>
                    <xdr:row>23</xdr:row>
                    <xdr:rowOff>57150</xdr:rowOff>
                  </to>
                </anchor>
              </controlPr>
            </control>
          </mc:Choice>
        </mc:AlternateContent>
        <mc:AlternateContent xmlns:mc="http://schemas.openxmlformats.org/markup-compatibility/2006">
          <mc:Choice Requires="x14">
            <control shapeId="8332" r:id="rId111" name="Group Box 140">
              <controlPr defaultSize="0" autoFill="0" autoPict="0" altText="">
                <anchor moveWithCells="1">
                  <from>
                    <xdr:col>2</xdr:col>
                    <xdr:colOff>0</xdr:colOff>
                    <xdr:row>22</xdr:row>
                    <xdr:rowOff>0</xdr:rowOff>
                  </from>
                  <to>
                    <xdr:col>3</xdr:col>
                    <xdr:colOff>9525</xdr:colOff>
                    <xdr:row>24</xdr:row>
                    <xdr:rowOff>209550</xdr:rowOff>
                  </to>
                </anchor>
              </controlPr>
            </control>
          </mc:Choice>
        </mc:AlternateContent>
        <mc:AlternateContent xmlns:mc="http://schemas.openxmlformats.org/markup-compatibility/2006">
          <mc:Choice Requires="x14">
            <control shapeId="8333" r:id="rId112" name="Group Box 141">
              <controlPr defaultSize="0" autoFill="0" autoPict="0">
                <anchor moveWithCells="1">
                  <from>
                    <xdr:col>2</xdr:col>
                    <xdr:colOff>76200</xdr:colOff>
                    <xdr:row>23</xdr:row>
                    <xdr:rowOff>0</xdr:rowOff>
                  </from>
                  <to>
                    <xdr:col>2</xdr:col>
                    <xdr:colOff>2114550</xdr:colOff>
                    <xdr:row>24</xdr:row>
                    <xdr:rowOff>57150</xdr:rowOff>
                  </to>
                </anchor>
              </controlPr>
            </control>
          </mc:Choice>
        </mc:AlternateContent>
        <mc:AlternateContent xmlns:mc="http://schemas.openxmlformats.org/markup-compatibility/2006">
          <mc:Choice Requires="x14">
            <control shapeId="8334" r:id="rId113" name="Group Box 142">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35" r:id="rId114" name="Group Box 143">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36" r:id="rId115" name="Group Box 144">
              <controlPr defaultSize="0" autoFill="0" autoPict="0">
                <anchor moveWithCells="1">
                  <from>
                    <xdr:col>2</xdr:col>
                    <xdr:colOff>38100</xdr:colOff>
                    <xdr:row>23</xdr:row>
                    <xdr:rowOff>0</xdr:rowOff>
                  </from>
                  <to>
                    <xdr:col>2</xdr:col>
                    <xdr:colOff>2600325</xdr:colOff>
                    <xdr:row>24</xdr:row>
                    <xdr:rowOff>57150</xdr:rowOff>
                  </to>
                </anchor>
              </controlPr>
            </control>
          </mc:Choice>
        </mc:AlternateContent>
        <mc:AlternateContent xmlns:mc="http://schemas.openxmlformats.org/markup-compatibility/2006">
          <mc:Choice Requires="x14">
            <control shapeId="8337" r:id="rId116" name="Group Box 145">
              <controlPr defaultSize="0" autoFill="0" autoPict="0">
                <anchor moveWithCells="1">
                  <from>
                    <xdr:col>2</xdr:col>
                    <xdr:colOff>9525</xdr:colOff>
                    <xdr:row>23</xdr:row>
                    <xdr:rowOff>0</xdr:rowOff>
                  </from>
                  <to>
                    <xdr:col>2</xdr:col>
                    <xdr:colOff>2619375</xdr:colOff>
                    <xdr:row>25</xdr:row>
                    <xdr:rowOff>28575</xdr:rowOff>
                  </to>
                </anchor>
              </controlPr>
            </control>
          </mc:Choice>
        </mc:AlternateContent>
        <mc:AlternateContent xmlns:mc="http://schemas.openxmlformats.org/markup-compatibility/2006">
          <mc:Choice Requires="x14">
            <control shapeId="8338" r:id="rId117" name="Group Box 146">
              <controlPr defaultSize="0" autoFill="0" autoPict="0">
                <anchor moveWithCells="1">
                  <from>
                    <xdr:col>2</xdr:col>
                    <xdr:colOff>76200</xdr:colOff>
                    <xdr:row>23</xdr:row>
                    <xdr:rowOff>0</xdr:rowOff>
                  </from>
                  <to>
                    <xdr:col>2</xdr:col>
                    <xdr:colOff>2114550</xdr:colOff>
                    <xdr:row>24</xdr:row>
                    <xdr:rowOff>57150</xdr:rowOff>
                  </to>
                </anchor>
              </controlPr>
            </control>
          </mc:Choice>
        </mc:AlternateContent>
        <mc:AlternateContent xmlns:mc="http://schemas.openxmlformats.org/markup-compatibility/2006">
          <mc:Choice Requires="x14">
            <control shapeId="8339" r:id="rId118" name="Group Box 147">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40" r:id="rId119" name="Group Box 148">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41" r:id="rId120" name="Group Box 149">
              <controlPr defaultSize="0" autoFill="0" autoPict="0">
                <anchor moveWithCells="1">
                  <from>
                    <xdr:col>2</xdr:col>
                    <xdr:colOff>38100</xdr:colOff>
                    <xdr:row>23</xdr:row>
                    <xdr:rowOff>0</xdr:rowOff>
                  </from>
                  <to>
                    <xdr:col>2</xdr:col>
                    <xdr:colOff>2600325</xdr:colOff>
                    <xdr:row>24</xdr:row>
                    <xdr:rowOff>57150</xdr:rowOff>
                  </to>
                </anchor>
              </controlPr>
            </control>
          </mc:Choice>
        </mc:AlternateContent>
        <mc:AlternateContent xmlns:mc="http://schemas.openxmlformats.org/markup-compatibility/2006">
          <mc:Choice Requires="x14">
            <control shapeId="8342" r:id="rId121" name="Group Box 150">
              <controlPr defaultSize="0" autoFill="0" autoPict="0">
                <anchor moveWithCells="1">
                  <from>
                    <xdr:col>2</xdr:col>
                    <xdr:colOff>9525</xdr:colOff>
                    <xdr:row>23</xdr:row>
                    <xdr:rowOff>0</xdr:rowOff>
                  </from>
                  <to>
                    <xdr:col>2</xdr:col>
                    <xdr:colOff>2619375</xdr:colOff>
                    <xdr:row>25</xdr:row>
                    <xdr:rowOff>28575</xdr:rowOff>
                  </to>
                </anchor>
              </controlPr>
            </control>
          </mc:Choice>
        </mc:AlternateContent>
        <mc:AlternateContent xmlns:mc="http://schemas.openxmlformats.org/markup-compatibility/2006">
          <mc:Choice Requires="x14">
            <control shapeId="8343" r:id="rId122" name="Group Box 151">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44" r:id="rId123" name="Group Box 152">
              <controlPr defaultSize="0" autoFill="0" autoPict="0">
                <anchor moveWithCells="1">
                  <from>
                    <xdr:col>2</xdr:col>
                    <xdr:colOff>9525</xdr:colOff>
                    <xdr:row>23</xdr:row>
                    <xdr:rowOff>0</xdr:rowOff>
                  </from>
                  <to>
                    <xdr:col>3</xdr:col>
                    <xdr:colOff>0</xdr:colOff>
                    <xdr:row>26</xdr:row>
                    <xdr:rowOff>28575</xdr:rowOff>
                  </to>
                </anchor>
              </controlPr>
            </control>
          </mc:Choice>
        </mc:AlternateContent>
        <mc:AlternateContent xmlns:mc="http://schemas.openxmlformats.org/markup-compatibility/2006">
          <mc:Choice Requires="x14">
            <control shapeId="8345" r:id="rId124" name="Group Box 153">
              <controlPr defaultSize="0" autoFill="0" autoPict="0" altText="">
                <anchor moveWithCells="1">
                  <from>
                    <xdr:col>2</xdr:col>
                    <xdr:colOff>0</xdr:colOff>
                    <xdr:row>23</xdr:row>
                    <xdr:rowOff>0</xdr:rowOff>
                  </from>
                  <to>
                    <xdr:col>3</xdr:col>
                    <xdr:colOff>9525</xdr:colOff>
                    <xdr:row>27</xdr:row>
                    <xdr:rowOff>9525</xdr:rowOff>
                  </to>
                </anchor>
              </controlPr>
            </control>
          </mc:Choice>
        </mc:AlternateContent>
        <mc:AlternateContent xmlns:mc="http://schemas.openxmlformats.org/markup-compatibility/2006">
          <mc:Choice Requires="x14">
            <control shapeId="8346" r:id="rId125" name="Group Box 154">
              <controlPr defaultSize="0" autoFill="0" autoPict="0">
                <anchor moveWithCells="1">
                  <from>
                    <xdr:col>2</xdr:col>
                    <xdr:colOff>171450</xdr:colOff>
                    <xdr:row>23</xdr:row>
                    <xdr:rowOff>0</xdr:rowOff>
                  </from>
                  <to>
                    <xdr:col>2</xdr:col>
                    <xdr:colOff>1181100</xdr:colOff>
                    <xdr:row>24</xdr:row>
                    <xdr:rowOff>142875</xdr:rowOff>
                  </to>
                </anchor>
              </controlPr>
            </control>
          </mc:Choice>
        </mc:AlternateContent>
        <mc:AlternateContent xmlns:mc="http://schemas.openxmlformats.org/markup-compatibility/2006">
          <mc:Choice Requires="x14">
            <control shapeId="8347" r:id="rId126" name="Group Box 155">
              <controlPr defaultSize="0" autoFill="0" autoPict="0">
                <anchor moveWithCells="1">
                  <from>
                    <xdr:col>2</xdr:col>
                    <xdr:colOff>38100</xdr:colOff>
                    <xdr:row>23</xdr:row>
                    <xdr:rowOff>0</xdr:rowOff>
                  </from>
                  <to>
                    <xdr:col>2</xdr:col>
                    <xdr:colOff>2600325</xdr:colOff>
                    <xdr:row>24</xdr:row>
                    <xdr:rowOff>57150</xdr:rowOff>
                  </to>
                </anchor>
              </controlPr>
            </control>
          </mc:Choice>
        </mc:AlternateContent>
        <mc:AlternateContent xmlns:mc="http://schemas.openxmlformats.org/markup-compatibility/2006">
          <mc:Choice Requires="x14">
            <control shapeId="8348" r:id="rId127" name="Group Box 156">
              <controlPr defaultSize="0" autoFill="0" autoPict="0">
                <anchor moveWithCells="1">
                  <from>
                    <xdr:col>2</xdr:col>
                    <xdr:colOff>28575</xdr:colOff>
                    <xdr:row>23</xdr:row>
                    <xdr:rowOff>0</xdr:rowOff>
                  </from>
                  <to>
                    <xdr:col>2</xdr:col>
                    <xdr:colOff>2057400</xdr:colOff>
                    <xdr:row>24</xdr:row>
                    <xdr:rowOff>57150</xdr:rowOff>
                  </to>
                </anchor>
              </controlPr>
            </control>
          </mc:Choice>
        </mc:AlternateContent>
        <mc:AlternateContent xmlns:mc="http://schemas.openxmlformats.org/markup-compatibility/2006">
          <mc:Choice Requires="x14">
            <control shapeId="8349" r:id="rId128" name="Group Box 157">
              <controlPr defaultSize="0" autoFill="0" autoPict="0">
                <anchor moveWithCells="1">
                  <from>
                    <xdr:col>2</xdr:col>
                    <xdr:colOff>76200</xdr:colOff>
                    <xdr:row>23</xdr:row>
                    <xdr:rowOff>0</xdr:rowOff>
                  </from>
                  <to>
                    <xdr:col>2</xdr:col>
                    <xdr:colOff>2114550</xdr:colOff>
                    <xdr:row>24</xdr:row>
                    <xdr:rowOff>47625</xdr:rowOff>
                  </to>
                </anchor>
              </controlPr>
            </control>
          </mc:Choice>
        </mc:AlternateContent>
        <mc:AlternateContent xmlns:mc="http://schemas.openxmlformats.org/markup-compatibility/2006">
          <mc:Choice Requires="x14">
            <control shapeId="8350" r:id="rId129" name="Group Box 158">
              <controlPr defaultSize="0" autoFill="0" autoPict="0">
                <anchor moveWithCells="1">
                  <from>
                    <xdr:col>2</xdr:col>
                    <xdr:colOff>9525</xdr:colOff>
                    <xdr:row>23</xdr:row>
                    <xdr:rowOff>0</xdr:rowOff>
                  </from>
                  <to>
                    <xdr:col>2</xdr:col>
                    <xdr:colOff>2619375</xdr:colOff>
                    <xdr:row>25</xdr:row>
                    <xdr:rowOff>38100</xdr:rowOff>
                  </to>
                </anchor>
              </controlPr>
            </control>
          </mc:Choice>
        </mc:AlternateContent>
        <mc:AlternateContent xmlns:mc="http://schemas.openxmlformats.org/markup-compatibility/2006">
          <mc:Choice Requires="x14">
            <control shapeId="8351" r:id="rId130" name="Group Box 159">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52" r:id="rId131" name="Group Box 160">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53" r:id="rId132" name="Group Box 161">
              <controlPr defaultSize="0" autoFill="0" autoPict="0">
                <anchor moveWithCells="1">
                  <from>
                    <xdr:col>2</xdr:col>
                    <xdr:colOff>38100</xdr:colOff>
                    <xdr:row>23</xdr:row>
                    <xdr:rowOff>0</xdr:rowOff>
                  </from>
                  <to>
                    <xdr:col>2</xdr:col>
                    <xdr:colOff>2600325</xdr:colOff>
                    <xdr:row>24</xdr:row>
                    <xdr:rowOff>57150</xdr:rowOff>
                  </to>
                </anchor>
              </controlPr>
            </control>
          </mc:Choice>
        </mc:AlternateContent>
        <mc:AlternateContent xmlns:mc="http://schemas.openxmlformats.org/markup-compatibility/2006">
          <mc:Choice Requires="x14">
            <control shapeId="8354" r:id="rId133" name="Group Box 162">
              <controlPr defaultSize="0" autoFill="0" autoPict="0">
                <anchor moveWithCells="1">
                  <from>
                    <xdr:col>2</xdr:col>
                    <xdr:colOff>28575</xdr:colOff>
                    <xdr:row>23</xdr:row>
                    <xdr:rowOff>0</xdr:rowOff>
                  </from>
                  <to>
                    <xdr:col>2</xdr:col>
                    <xdr:colOff>2057400</xdr:colOff>
                    <xdr:row>24</xdr:row>
                    <xdr:rowOff>57150</xdr:rowOff>
                  </to>
                </anchor>
              </controlPr>
            </control>
          </mc:Choice>
        </mc:AlternateContent>
        <mc:AlternateContent xmlns:mc="http://schemas.openxmlformats.org/markup-compatibility/2006">
          <mc:Choice Requires="x14">
            <control shapeId="8355" r:id="rId134" name="Group Box 163">
              <controlPr defaultSize="0" autoFill="0" autoPict="0">
                <anchor moveWithCells="1">
                  <from>
                    <xdr:col>2</xdr:col>
                    <xdr:colOff>76200</xdr:colOff>
                    <xdr:row>23</xdr:row>
                    <xdr:rowOff>0</xdr:rowOff>
                  </from>
                  <to>
                    <xdr:col>2</xdr:col>
                    <xdr:colOff>2114550</xdr:colOff>
                    <xdr:row>24</xdr:row>
                    <xdr:rowOff>57150</xdr:rowOff>
                  </to>
                </anchor>
              </controlPr>
            </control>
          </mc:Choice>
        </mc:AlternateContent>
        <mc:AlternateContent xmlns:mc="http://schemas.openxmlformats.org/markup-compatibility/2006">
          <mc:Choice Requires="x14">
            <control shapeId="8356" r:id="rId135" name="Group Box 164">
              <controlPr defaultSize="0" autoFill="0" autoPict="0">
                <anchor moveWithCells="1">
                  <from>
                    <xdr:col>2</xdr:col>
                    <xdr:colOff>9525</xdr:colOff>
                    <xdr:row>23</xdr:row>
                    <xdr:rowOff>0</xdr:rowOff>
                  </from>
                  <to>
                    <xdr:col>2</xdr:col>
                    <xdr:colOff>2619375</xdr:colOff>
                    <xdr:row>25</xdr:row>
                    <xdr:rowOff>28575</xdr:rowOff>
                  </to>
                </anchor>
              </controlPr>
            </control>
          </mc:Choice>
        </mc:AlternateContent>
        <mc:AlternateContent xmlns:mc="http://schemas.openxmlformats.org/markup-compatibility/2006">
          <mc:Choice Requires="x14">
            <control shapeId="8357" r:id="rId136" name="Group Box 165">
              <controlPr defaultSize="0" autoFill="0" autoPict="0">
                <anchor moveWithCells="1">
                  <from>
                    <xdr:col>2</xdr:col>
                    <xdr:colOff>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8358" r:id="rId137" name="Group Box 166">
              <controlPr defaultSize="0" autoFill="0" autoPict="0" altText="">
                <anchor moveWithCells="1">
                  <from>
                    <xdr:col>2</xdr:col>
                    <xdr:colOff>0</xdr:colOff>
                    <xdr:row>23</xdr:row>
                    <xdr:rowOff>0</xdr:rowOff>
                  </from>
                  <to>
                    <xdr:col>3</xdr:col>
                    <xdr:colOff>9525</xdr:colOff>
                    <xdr:row>27</xdr:row>
                    <xdr:rowOff>9525</xdr:rowOff>
                  </to>
                </anchor>
              </controlPr>
            </control>
          </mc:Choice>
        </mc:AlternateContent>
        <mc:AlternateContent xmlns:mc="http://schemas.openxmlformats.org/markup-compatibility/2006">
          <mc:Choice Requires="x14">
            <control shapeId="8359" r:id="rId138" name="Group Box 167">
              <controlPr defaultSize="0" autoFill="0" autoPict="0">
                <anchor moveWithCells="1">
                  <from>
                    <xdr:col>3</xdr:col>
                    <xdr:colOff>0</xdr:colOff>
                    <xdr:row>21</xdr:row>
                    <xdr:rowOff>0</xdr:rowOff>
                  </from>
                  <to>
                    <xdr:col>9</xdr:col>
                    <xdr:colOff>1571625</xdr:colOff>
                    <xdr:row>21</xdr:row>
                    <xdr:rowOff>200025</xdr:rowOff>
                  </to>
                </anchor>
              </controlPr>
            </control>
          </mc:Choice>
        </mc:AlternateContent>
        <mc:AlternateContent xmlns:mc="http://schemas.openxmlformats.org/markup-compatibility/2006">
          <mc:Choice Requires="x14">
            <control shapeId="8360" r:id="rId139" name="Group Box 168">
              <controlPr defaultSize="0" autoFill="0" autoPict="0">
                <anchor moveWithCells="1">
                  <from>
                    <xdr:col>3</xdr:col>
                    <xdr:colOff>9525</xdr:colOff>
                    <xdr:row>21</xdr:row>
                    <xdr:rowOff>0</xdr:rowOff>
                  </from>
                  <to>
                    <xdr:col>9</xdr:col>
                    <xdr:colOff>1571625</xdr:colOff>
                    <xdr:row>22</xdr:row>
                    <xdr:rowOff>400050</xdr:rowOff>
                  </to>
                </anchor>
              </controlPr>
            </control>
          </mc:Choice>
        </mc:AlternateContent>
        <mc:AlternateContent xmlns:mc="http://schemas.openxmlformats.org/markup-compatibility/2006">
          <mc:Choice Requires="x14">
            <control shapeId="8361" r:id="rId140" name="Group Box 169">
              <controlPr defaultSize="0" autoFill="0" autoPict="0">
                <anchor moveWithCells="1">
                  <from>
                    <xdr:col>3</xdr:col>
                    <xdr:colOff>171450</xdr:colOff>
                    <xdr:row>21</xdr:row>
                    <xdr:rowOff>0</xdr:rowOff>
                  </from>
                  <to>
                    <xdr:col>9</xdr:col>
                    <xdr:colOff>95250</xdr:colOff>
                    <xdr:row>22</xdr:row>
                    <xdr:rowOff>19050</xdr:rowOff>
                  </to>
                </anchor>
              </controlPr>
            </control>
          </mc:Choice>
        </mc:AlternateContent>
        <mc:AlternateContent xmlns:mc="http://schemas.openxmlformats.org/markup-compatibility/2006">
          <mc:Choice Requires="x14">
            <control shapeId="8362" r:id="rId141" name="Group Box 170">
              <controlPr defaultSize="0" autoFill="0" autoPict="0">
                <anchor moveWithCells="1">
                  <from>
                    <xdr:col>3</xdr:col>
                    <xdr:colOff>38100</xdr:colOff>
                    <xdr:row>21</xdr:row>
                    <xdr:rowOff>0</xdr:rowOff>
                  </from>
                  <to>
                    <xdr:col>9</xdr:col>
                    <xdr:colOff>1543050</xdr:colOff>
                    <xdr:row>21</xdr:row>
                    <xdr:rowOff>247650</xdr:rowOff>
                  </to>
                </anchor>
              </controlPr>
            </control>
          </mc:Choice>
        </mc:AlternateContent>
        <mc:AlternateContent xmlns:mc="http://schemas.openxmlformats.org/markup-compatibility/2006">
          <mc:Choice Requires="x14">
            <control shapeId="8363" r:id="rId142" name="Group Box 171">
              <controlPr defaultSize="0" autoFill="0" autoPict="0">
                <anchor moveWithCells="1">
                  <from>
                    <xdr:col>3</xdr:col>
                    <xdr:colOff>28575</xdr:colOff>
                    <xdr:row>21</xdr:row>
                    <xdr:rowOff>0</xdr:rowOff>
                  </from>
                  <to>
                    <xdr:col>9</xdr:col>
                    <xdr:colOff>1000125</xdr:colOff>
                    <xdr:row>21</xdr:row>
                    <xdr:rowOff>247650</xdr:rowOff>
                  </to>
                </anchor>
              </controlPr>
            </control>
          </mc:Choice>
        </mc:AlternateContent>
        <mc:AlternateContent xmlns:mc="http://schemas.openxmlformats.org/markup-compatibility/2006">
          <mc:Choice Requires="x14">
            <control shapeId="8364" r:id="rId143" name="Group Box 172">
              <controlPr defaultSize="0" autoFill="0" autoPict="0">
                <anchor moveWithCells="1">
                  <from>
                    <xdr:col>3</xdr:col>
                    <xdr:colOff>76200</xdr:colOff>
                    <xdr:row>21</xdr:row>
                    <xdr:rowOff>0</xdr:rowOff>
                  </from>
                  <to>
                    <xdr:col>9</xdr:col>
                    <xdr:colOff>1057275</xdr:colOff>
                    <xdr:row>21</xdr:row>
                    <xdr:rowOff>238125</xdr:rowOff>
                  </to>
                </anchor>
              </controlPr>
            </control>
          </mc:Choice>
        </mc:AlternateContent>
        <mc:AlternateContent xmlns:mc="http://schemas.openxmlformats.org/markup-compatibility/2006">
          <mc:Choice Requires="x14">
            <control shapeId="8365" r:id="rId144" name="Group Box 173">
              <controlPr defaultSize="0" autoFill="0" autoPict="0">
                <anchor moveWithCells="1">
                  <from>
                    <xdr:col>3</xdr:col>
                    <xdr:colOff>9525</xdr:colOff>
                    <xdr:row>21</xdr:row>
                    <xdr:rowOff>0</xdr:rowOff>
                  </from>
                  <to>
                    <xdr:col>9</xdr:col>
                    <xdr:colOff>1562100</xdr:colOff>
                    <xdr:row>22</xdr:row>
                    <xdr:rowOff>219075</xdr:rowOff>
                  </to>
                </anchor>
              </controlPr>
            </control>
          </mc:Choice>
        </mc:AlternateContent>
        <mc:AlternateContent xmlns:mc="http://schemas.openxmlformats.org/markup-compatibility/2006">
          <mc:Choice Requires="x14">
            <control shapeId="8366" r:id="rId145" name="Group Box 174">
              <controlPr defaultSize="0" autoFill="0" autoPict="0">
                <anchor moveWithCells="1">
                  <from>
                    <xdr:col>3</xdr:col>
                    <xdr:colOff>0</xdr:colOff>
                    <xdr:row>21</xdr:row>
                    <xdr:rowOff>0</xdr:rowOff>
                  </from>
                  <to>
                    <xdr:col>9</xdr:col>
                    <xdr:colOff>1571625</xdr:colOff>
                    <xdr:row>21</xdr:row>
                    <xdr:rowOff>190500</xdr:rowOff>
                  </to>
                </anchor>
              </controlPr>
            </control>
          </mc:Choice>
        </mc:AlternateContent>
        <mc:AlternateContent xmlns:mc="http://schemas.openxmlformats.org/markup-compatibility/2006">
          <mc:Choice Requires="x14">
            <control shapeId="8367" r:id="rId146" name="Group Box 175">
              <controlPr defaultSize="0" autoFill="0" autoPict="0">
                <anchor moveWithCells="1">
                  <from>
                    <xdr:col>3</xdr:col>
                    <xdr:colOff>0</xdr:colOff>
                    <xdr:row>21</xdr:row>
                    <xdr:rowOff>0</xdr:rowOff>
                  </from>
                  <to>
                    <xdr:col>9</xdr:col>
                    <xdr:colOff>1571625</xdr:colOff>
                    <xdr:row>21</xdr:row>
                    <xdr:rowOff>190500</xdr:rowOff>
                  </to>
                </anchor>
              </controlPr>
            </control>
          </mc:Choice>
        </mc:AlternateContent>
        <mc:AlternateContent xmlns:mc="http://schemas.openxmlformats.org/markup-compatibility/2006">
          <mc:Choice Requires="x14">
            <control shapeId="8368" r:id="rId147" name="Group Box 176">
              <controlPr defaultSize="0" autoFill="0" autoPict="0">
                <anchor moveWithCells="1">
                  <from>
                    <xdr:col>3</xdr:col>
                    <xdr:colOff>38100</xdr:colOff>
                    <xdr:row>21</xdr:row>
                    <xdr:rowOff>0</xdr:rowOff>
                  </from>
                  <to>
                    <xdr:col>9</xdr:col>
                    <xdr:colOff>1543050</xdr:colOff>
                    <xdr:row>21</xdr:row>
                    <xdr:rowOff>247650</xdr:rowOff>
                  </to>
                </anchor>
              </controlPr>
            </control>
          </mc:Choice>
        </mc:AlternateContent>
        <mc:AlternateContent xmlns:mc="http://schemas.openxmlformats.org/markup-compatibility/2006">
          <mc:Choice Requires="x14">
            <control shapeId="8369" r:id="rId148" name="Group Box 177">
              <controlPr defaultSize="0" autoFill="0" autoPict="0">
                <anchor moveWithCells="1">
                  <from>
                    <xdr:col>3</xdr:col>
                    <xdr:colOff>28575</xdr:colOff>
                    <xdr:row>21</xdr:row>
                    <xdr:rowOff>0</xdr:rowOff>
                  </from>
                  <to>
                    <xdr:col>9</xdr:col>
                    <xdr:colOff>1000125</xdr:colOff>
                    <xdr:row>21</xdr:row>
                    <xdr:rowOff>247650</xdr:rowOff>
                  </to>
                </anchor>
              </controlPr>
            </control>
          </mc:Choice>
        </mc:AlternateContent>
        <mc:AlternateContent xmlns:mc="http://schemas.openxmlformats.org/markup-compatibility/2006">
          <mc:Choice Requires="x14">
            <control shapeId="8370" r:id="rId149" name="Group Box 178">
              <controlPr defaultSize="0" autoFill="0" autoPict="0">
                <anchor moveWithCells="1">
                  <from>
                    <xdr:col>3</xdr:col>
                    <xdr:colOff>76200</xdr:colOff>
                    <xdr:row>21</xdr:row>
                    <xdr:rowOff>0</xdr:rowOff>
                  </from>
                  <to>
                    <xdr:col>9</xdr:col>
                    <xdr:colOff>1057275</xdr:colOff>
                    <xdr:row>21</xdr:row>
                    <xdr:rowOff>247650</xdr:rowOff>
                  </to>
                </anchor>
              </controlPr>
            </control>
          </mc:Choice>
        </mc:AlternateContent>
        <mc:AlternateContent xmlns:mc="http://schemas.openxmlformats.org/markup-compatibility/2006">
          <mc:Choice Requires="x14">
            <control shapeId="8371" r:id="rId150" name="Group Box 179">
              <controlPr defaultSize="0" autoFill="0" autoPict="0">
                <anchor moveWithCells="1">
                  <from>
                    <xdr:col>3</xdr:col>
                    <xdr:colOff>9525</xdr:colOff>
                    <xdr:row>21</xdr:row>
                    <xdr:rowOff>0</xdr:rowOff>
                  </from>
                  <to>
                    <xdr:col>9</xdr:col>
                    <xdr:colOff>1562100</xdr:colOff>
                    <xdr:row>22</xdr:row>
                    <xdr:rowOff>209550</xdr:rowOff>
                  </to>
                </anchor>
              </controlPr>
            </control>
          </mc:Choice>
        </mc:AlternateContent>
        <mc:AlternateContent xmlns:mc="http://schemas.openxmlformats.org/markup-compatibility/2006">
          <mc:Choice Requires="x14">
            <control shapeId="8372" r:id="rId151" name="Group Box 180">
              <controlPr defaultSize="0" autoFill="0" autoPict="0">
                <anchor moveWithCells="1">
                  <from>
                    <xdr:col>3</xdr:col>
                    <xdr:colOff>0</xdr:colOff>
                    <xdr:row>21</xdr:row>
                    <xdr:rowOff>0</xdr:rowOff>
                  </from>
                  <to>
                    <xdr:col>9</xdr:col>
                    <xdr:colOff>1571625</xdr:colOff>
                    <xdr:row>21</xdr:row>
                    <xdr:rowOff>200025</xdr:rowOff>
                  </to>
                </anchor>
              </controlPr>
            </control>
          </mc:Choice>
        </mc:AlternateContent>
        <mc:AlternateContent xmlns:mc="http://schemas.openxmlformats.org/markup-compatibility/2006">
          <mc:Choice Requires="x14">
            <control shapeId="8373" r:id="rId152" name="Group Box 181">
              <controlPr defaultSize="0" autoFill="0" autoPict="0">
                <anchor moveWithCells="1">
                  <from>
                    <xdr:col>3</xdr:col>
                    <xdr:colOff>9525</xdr:colOff>
                    <xdr:row>21</xdr:row>
                    <xdr:rowOff>0</xdr:rowOff>
                  </from>
                  <to>
                    <xdr:col>9</xdr:col>
                    <xdr:colOff>1571625</xdr:colOff>
                    <xdr:row>22</xdr:row>
                    <xdr:rowOff>400050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I28"/>
  <sheetViews>
    <sheetView zoomScaleNormal="100" zoomScaleSheetLayoutView="100" workbookViewId="0">
      <pane ySplit="8" topLeftCell="A9" activePane="bottomLeft" state="frozen"/>
      <selection pane="bottomLeft" sqref="A1:D1"/>
    </sheetView>
  </sheetViews>
  <sheetFormatPr defaultRowHeight="14.25" x14ac:dyDescent="0.2"/>
  <cols>
    <col min="1" max="1" width="40.5703125" style="177" customWidth="1"/>
    <col min="2" max="2" width="12.5703125" style="177" customWidth="1"/>
    <col min="3" max="3" width="14.85546875" style="177" bestFit="1" customWidth="1"/>
    <col min="4" max="4" width="22.140625" style="177" bestFit="1" customWidth="1"/>
    <col min="5" max="5" width="9.140625" style="50"/>
    <col min="6" max="7" width="26" style="177" customWidth="1"/>
    <col min="8" max="8" width="10.7109375" style="50" customWidth="1"/>
    <col min="9" max="9" width="26" style="182" customWidth="1"/>
    <col min="10" max="257" width="9.140625" style="50"/>
    <col min="258" max="258" width="40.5703125" style="50" customWidth="1"/>
    <col min="259" max="259" width="9.140625" style="50"/>
    <col min="260" max="260" width="11.42578125" style="50" bestFit="1" customWidth="1"/>
    <col min="261" max="261" width="66.28515625" style="50" bestFit="1" customWidth="1"/>
    <col min="262" max="262" width="22.140625" style="50" bestFit="1" customWidth="1"/>
    <col min="263" max="513" width="9.140625" style="50"/>
    <col min="514" max="514" width="40.5703125" style="50" customWidth="1"/>
    <col min="515" max="515" width="9.140625" style="50"/>
    <col min="516" max="516" width="11.42578125" style="50" bestFit="1" customWidth="1"/>
    <col min="517" max="517" width="66.28515625" style="50" bestFit="1" customWidth="1"/>
    <col min="518" max="518" width="22.140625" style="50" bestFit="1" customWidth="1"/>
    <col min="519" max="769" width="9.140625" style="50"/>
    <col min="770" max="770" width="40.5703125" style="50" customWidth="1"/>
    <col min="771" max="771" width="9.140625" style="50"/>
    <col min="772" max="772" width="11.42578125" style="50" bestFit="1" customWidth="1"/>
    <col min="773" max="773" width="66.28515625" style="50" bestFit="1" customWidth="1"/>
    <col min="774" max="774" width="22.140625" style="50" bestFit="1" customWidth="1"/>
    <col min="775" max="1025" width="9.140625" style="50"/>
    <col min="1026" max="1026" width="40.5703125" style="50" customWidth="1"/>
    <col min="1027" max="1027" width="9.140625" style="50"/>
    <col min="1028" max="1028" width="11.42578125" style="50" bestFit="1" customWidth="1"/>
    <col min="1029" max="1029" width="66.28515625" style="50" bestFit="1" customWidth="1"/>
    <col min="1030" max="1030" width="22.140625" style="50" bestFit="1" customWidth="1"/>
    <col min="1031" max="1281" width="9.140625" style="50"/>
    <col min="1282" max="1282" width="40.5703125" style="50" customWidth="1"/>
    <col min="1283" max="1283" width="9.140625" style="50"/>
    <col min="1284" max="1284" width="11.42578125" style="50" bestFit="1" customWidth="1"/>
    <col min="1285" max="1285" width="66.28515625" style="50" bestFit="1" customWidth="1"/>
    <col min="1286" max="1286" width="22.140625" style="50" bestFit="1" customWidth="1"/>
    <col min="1287" max="1537" width="9.140625" style="50"/>
    <col min="1538" max="1538" width="40.5703125" style="50" customWidth="1"/>
    <col min="1539" max="1539" width="9.140625" style="50"/>
    <col min="1540" max="1540" width="11.42578125" style="50" bestFit="1" customWidth="1"/>
    <col min="1541" max="1541" width="66.28515625" style="50" bestFit="1" customWidth="1"/>
    <col min="1542" max="1542" width="22.140625" style="50" bestFit="1" customWidth="1"/>
    <col min="1543" max="1793" width="9.140625" style="50"/>
    <col min="1794" max="1794" width="40.5703125" style="50" customWidth="1"/>
    <col min="1795" max="1795" width="9.140625" style="50"/>
    <col min="1796" max="1796" width="11.42578125" style="50" bestFit="1" customWidth="1"/>
    <col min="1797" max="1797" width="66.28515625" style="50" bestFit="1" customWidth="1"/>
    <col min="1798" max="1798" width="22.140625" style="50" bestFit="1" customWidth="1"/>
    <col min="1799" max="2049" width="9.140625" style="50"/>
    <col min="2050" max="2050" width="40.5703125" style="50" customWidth="1"/>
    <col min="2051" max="2051" width="9.140625" style="50"/>
    <col min="2052" max="2052" width="11.42578125" style="50" bestFit="1" customWidth="1"/>
    <col min="2053" max="2053" width="66.28515625" style="50" bestFit="1" customWidth="1"/>
    <col min="2054" max="2054" width="22.140625" style="50" bestFit="1" customWidth="1"/>
    <col min="2055" max="2305" width="9.140625" style="50"/>
    <col min="2306" max="2306" width="40.5703125" style="50" customWidth="1"/>
    <col min="2307" max="2307" width="9.140625" style="50"/>
    <col min="2308" max="2308" width="11.42578125" style="50" bestFit="1" customWidth="1"/>
    <col min="2309" max="2309" width="66.28515625" style="50" bestFit="1" customWidth="1"/>
    <col min="2310" max="2310" width="22.140625" style="50" bestFit="1" customWidth="1"/>
    <col min="2311" max="2561" width="9.140625" style="50"/>
    <col min="2562" max="2562" width="40.5703125" style="50" customWidth="1"/>
    <col min="2563" max="2563" width="9.140625" style="50"/>
    <col min="2564" max="2564" width="11.42578125" style="50" bestFit="1" customWidth="1"/>
    <col min="2565" max="2565" width="66.28515625" style="50" bestFit="1" customWidth="1"/>
    <col min="2566" max="2566" width="22.140625" style="50" bestFit="1" customWidth="1"/>
    <col min="2567" max="2817" width="9.140625" style="50"/>
    <col min="2818" max="2818" width="40.5703125" style="50" customWidth="1"/>
    <col min="2819" max="2819" width="9.140625" style="50"/>
    <col min="2820" max="2820" width="11.42578125" style="50" bestFit="1" customWidth="1"/>
    <col min="2821" max="2821" width="66.28515625" style="50" bestFit="1" customWidth="1"/>
    <col min="2822" max="2822" width="22.140625" style="50" bestFit="1" customWidth="1"/>
    <col min="2823" max="3073" width="9.140625" style="50"/>
    <col min="3074" max="3074" width="40.5703125" style="50" customWidth="1"/>
    <col min="3075" max="3075" width="9.140625" style="50"/>
    <col min="3076" max="3076" width="11.42578125" style="50" bestFit="1" customWidth="1"/>
    <col min="3077" max="3077" width="66.28515625" style="50" bestFit="1" customWidth="1"/>
    <col min="3078" max="3078" width="22.140625" style="50" bestFit="1" customWidth="1"/>
    <col min="3079" max="3329" width="9.140625" style="50"/>
    <col min="3330" max="3330" width="40.5703125" style="50" customWidth="1"/>
    <col min="3331" max="3331" width="9.140625" style="50"/>
    <col min="3332" max="3332" width="11.42578125" style="50" bestFit="1" customWidth="1"/>
    <col min="3333" max="3333" width="66.28515625" style="50" bestFit="1" customWidth="1"/>
    <col min="3334" max="3334" width="22.140625" style="50" bestFit="1" customWidth="1"/>
    <col min="3335" max="3585" width="9.140625" style="50"/>
    <col min="3586" max="3586" width="40.5703125" style="50" customWidth="1"/>
    <col min="3587" max="3587" width="9.140625" style="50"/>
    <col min="3588" max="3588" width="11.42578125" style="50" bestFit="1" customWidth="1"/>
    <col min="3589" max="3589" width="66.28515625" style="50" bestFit="1" customWidth="1"/>
    <col min="3590" max="3590" width="22.140625" style="50" bestFit="1" customWidth="1"/>
    <col min="3591" max="3841" width="9.140625" style="50"/>
    <col min="3842" max="3842" width="40.5703125" style="50" customWidth="1"/>
    <col min="3843" max="3843" width="9.140625" style="50"/>
    <col min="3844" max="3844" width="11.42578125" style="50" bestFit="1" customWidth="1"/>
    <col min="3845" max="3845" width="66.28515625" style="50" bestFit="1" customWidth="1"/>
    <col min="3846" max="3846" width="22.140625" style="50" bestFit="1" customWidth="1"/>
    <col min="3847" max="4097" width="9.140625" style="50"/>
    <col min="4098" max="4098" width="40.5703125" style="50" customWidth="1"/>
    <col min="4099" max="4099" width="9.140625" style="50"/>
    <col min="4100" max="4100" width="11.42578125" style="50" bestFit="1" customWidth="1"/>
    <col min="4101" max="4101" width="66.28515625" style="50" bestFit="1" customWidth="1"/>
    <col min="4102" max="4102" width="22.140625" style="50" bestFit="1" customWidth="1"/>
    <col min="4103" max="4353" width="9.140625" style="50"/>
    <col min="4354" max="4354" width="40.5703125" style="50" customWidth="1"/>
    <col min="4355" max="4355" width="9.140625" style="50"/>
    <col min="4356" max="4356" width="11.42578125" style="50" bestFit="1" customWidth="1"/>
    <col min="4357" max="4357" width="66.28515625" style="50" bestFit="1" customWidth="1"/>
    <col min="4358" max="4358" width="22.140625" style="50" bestFit="1" customWidth="1"/>
    <col min="4359" max="4609" width="9.140625" style="50"/>
    <col min="4610" max="4610" width="40.5703125" style="50" customWidth="1"/>
    <col min="4611" max="4611" width="9.140625" style="50"/>
    <col min="4612" max="4612" width="11.42578125" style="50" bestFit="1" customWidth="1"/>
    <col min="4613" max="4613" width="66.28515625" style="50" bestFit="1" customWidth="1"/>
    <col min="4614" max="4614" width="22.140625" style="50" bestFit="1" customWidth="1"/>
    <col min="4615" max="4865" width="9.140625" style="50"/>
    <col min="4866" max="4866" width="40.5703125" style="50" customWidth="1"/>
    <col min="4867" max="4867" width="9.140625" style="50"/>
    <col min="4868" max="4868" width="11.42578125" style="50" bestFit="1" customWidth="1"/>
    <col min="4869" max="4869" width="66.28515625" style="50" bestFit="1" customWidth="1"/>
    <col min="4870" max="4870" width="22.140625" style="50" bestFit="1" customWidth="1"/>
    <col min="4871" max="5121" width="9.140625" style="50"/>
    <col min="5122" max="5122" width="40.5703125" style="50" customWidth="1"/>
    <col min="5123" max="5123" width="9.140625" style="50"/>
    <col min="5124" max="5124" width="11.42578125" style="50" bestFit="1" customWidth="1"/>
    <col min="5125" max="5125" width="66.28515625" style="50" bestFit="1" customWidth="1"/>
    <col min="5126" max="5126" width="22.140625" style="50" bestFit="1" customWidth="1"/>
    <col min="5127" max="5377" width="9.140625" style="50"/>
    <col min="5378" max="5378" width="40.5703125" style="50" customWidth="1"/>
    <col min="5379" max="5379" width="9.140625" style="50"/>
    <col min="5380" max="5380" width="11.42578125" style="50" bestFit="1" customWidth="1"/>
    <col min="5381" max="5381" width="66.28515625" style="50" bestFit="1" customWidth="1"/>
    <col min="5382" max="5382" width="22.140625" style="50" bestFit="1" customWidth="1"/>
    <col min="5383" max="5633" width="9.140625" style="50"/>
    <col min="5634" max="5634" width="40.5703125" style="50" customWidth="1"/>
    <col min="5635" max="5635" width="9.140625" style="50"/>
    <col min="5636" max="5636" width="11.42578125" style="50" bestFit="1" customWidth="1"/>
    <col min="5637" max="5637" width="66.28515625" style="50" bestFit="1" customWidth="1"/>
    <col min="5638" max="5638" width="22.140625" style="50" bestFit="1" customWidth="1"/>
    <col min="5639" max="5889" width="9.140625" style="50"/>
    <col min="5890" max="5890" width="40.5703125" style="50" customWidth="1"/>
    <col min="5891" max="5891" width="9.140625" style="50"/>
    <col min="5892" max="5892" width="11.42578125" style="50" bestFit="1" customWidth="1"/>
    <col min="5893" max="5893" width="66.28515625" style="50" bestFit="1" customWidth="1"/>
    <col min="5894" max="5894" width="22.140625" style="50" bestFit="1" customWidth="1"/>
    <col min="5895" max="6145" width="9.140625" style="50"/>
    <col min="6146" max="6146" width="40.5703125" style="50" customWidth="1"/>
    <col min="6147" max="6147" width="9.140625" style="50"/>
    <col min="6148" max="6148" width="11.42578125" style="50" bestFit="1" customWidth="1"/>
    <col min="6149" max="6149" width="66.28515625" style="50" bestFit="1" customWidth="1"/>
    <col min="6150" max="6150" width="22.140625" style="50" bestFit="1" customWidth="1"/>
    <col min="6151" max="6401" width="9.140625" style="50"/>
    <col min="6402" max="6402" width="40.5703125" style="50" customWidth="1"/>
    <col min="6403" max="6403" width="9.140625" style="50"/>
    <col min="6404" max="6404" width="11.42578125" style="50" bestFit="1" customWidth="1"/>
    <col min="6405" max="6405" width="66.28515625" style="50" bestFit="1" customWidth="1"/>
    <col min="6406" max="6406" width="22.140625" style="50" bestFit="1" customWidth="1"/>
    <col min="6407" max="6657" width="9.140625" style="50"/>
    <col min="6658" max="6658" width="40.5703125" style="50" customWidth="1"/>
    <col min="6659" max="6659" width="9.140625" style="50"/>
    <col min="6660" max="6660" width="11.42578125" style="50" bestFit="1" customWidth="1"/>
    <col min="6661" max="6661" width="66.28515625" style="50" bestFit="1" customWidth="1"/>
    <col min="6662" max="6662" width="22.140625" style="50" bestFit="1" customWidth="1"/>
    <col min="6663" max="6913" width="9.140625" style="50"/>
    <col min="6914" max="6914" width="40.5703125" style="50" customWidth="1"/>
    <col min="6915" max="6915" width="9.140625" style="50"/>
    <col min="6916" max="6916" width="11.42578125" style="50" bestFit="1" customWidth="1"/>
    <col min="6917" max="6917" width="66.28515625" style="50" bestFit="1" customWidth="1"/>
    <col min="6918" max="6918" width="22.140625" style="50" bestFit="1" customWidth="1"/>
    <col min="6919" max="7169" width="9.140625" style="50"/>
    <col min="7170" max="7170" width="40.5703125" style="50" customWidth="1"/>
    <col min="7171" max="7171" width="9.140625" style="50"/>
    <col min="7172" max="7172" width="11.42578125" style="50" bestFit="1" customWidth="1"/>
    <col min="7173" max="7173" width="66.28515625" style="50" bestFit="1" customWidth="1"/>
    <col min="7174" max="7174" width="22.140625" style="50" bestFit="1" customWidth="1"/>
    <col min="7175" max="7425" width="9.140625" style="50"/>
    <col min="7426" max="7426" width="40.5703125" style="50" customWidth="1"/>
    <col min="7427" max="7427" width="9.140625" style="50"/>
    <col min="7428" max="7428" width="11.42578125" style="50" bestFit="1" customWidth="1"/>
    <col min="7429" max="7429" width="66.28515625" style="50" bestFit="1" customWidth="1"/>
    <col min="7430" max="7430" width="22.140625" style="50" bestFit="1" customWidth="1"/>
    <col min="7431" max="7681" width="9.140625" style="50"/>
    <col min="7682" max="7682" width="40.5703125" style="50" customWidth="1"/>
    <col min="7683" max="7683" width="9.140625" style="50"/>
    <col min="7684" max="7684" width="11.42578125" style="50" bestFit="1" customWidth="1"/>
    <col min="7685" max="7685" width="66.28515625" style="50" bestFit="1" customWidth="1"/>
    <col min="7686" max="7686" width="22.140625" style="50" bestFit="1" customWidth="1"/>
    <col min="7687" max="7937" width="9.140625" style="50"/>
    <col min="7938" max="7938" width="40.5703125" style="50" customWidth="1"/>
    <col min="7939" max="7939" width="9.140625" style="50"/>
    <col min="7940" max="7940" width="11.42578125" style="50" bestFit="1" customWidth="1"/>
    <col min="7941" max="7941" width="66.28515625" style="50" bestFit="1" customWidth="1"/>
    <col min="7942" max="7942" width="22.140625" style="50" bestFit="1" customWidth="1"/>
    <col min="7943" max="8193" width="9.140625" style="50"/>
    <col min="8194" max="8194" width="40.5703125" style="50" customWidth="1"/>
    <col min="8195" max="8195" width="9.140625" style="50"/>
    <col min="8196" max="8196" width="11.42578125" style="50" bestFit="1" customWidth="1"/>
    <col min="8197" max="8197" width="66.28515625" style="50" bestFit="1" customWidth="1"/>
    <col min="8198" max="8198" width="22.140625" style="50" bestFit="1" customWidth="1"/>
    <col min="8199" max="8449" width="9.140625" style="50"/>
    <col min="8450" max="8450" width="40.5703125" style="50" customWidth="1"/>
    <col min="8451" max="8451" width="9.140625" style="50"/>
    <col min="8452" max="8452" width="11.42578125" style="50" bestFit="1" customWidth="1"/>
    <col min="8453" max="8453" width="66.28515625" style="50" bestFit="1" customWidth="1"/>
    <col min="8454" max="8454" width="22.140625" style="50" bestFit="1" customWidth="1"/>
    <col min="8455" max="8705" width="9.140625" style="50"/>
    <col min="8706" max="8706" width="40.5703125" style="50" customWidth="1"/>
    <col min="8707" max="8707" width="9.140625" style="50"/>
    <col min="8708" max="8708" width="11.42578125" style="50" bestFit="1" customWidth="1"/>
    <col min="8709" max="8709" width="66.28515625" style="50" bestFit="1" customWidth="1"/>
    <col min="8710" max="8710" width="22.140625" style="50" bestFit="1" customWidth="1"/>
    <col min="8711" max="8961" width="9.140625" style="50"/>
    <col min="8962" max="8962" width="40.5703125" style="50" customWidth="1"/>
    <col min="8963" max="8963" width="9.140625" style="50"/>
    <col min="8964" max="8964" width="11.42578125" style="50" bestFit="1" customWidth="1"/>
    <col min="8965" max="8965" width="66.28515625" style="50" bestFit="1" customWidth="1"/>
    <col min="8966" max="8966" width="22.140625" style="50" bestFit="1" customWidth="1"/>
    <col min="8967" max="9217" width="9.140625" style="50"/>
    <col min="9218" max="9218" width="40.5703125" style="50" customWidth="1"/>
    <col min="9219" max="9219" width="9.140625" style="50"/>
    <col min="9220" max="9220" width="11.42578125" style="50" bestFit="1" customWidth="1"/>
    <col min="9221" max="9221" width="66.28515625" style="50" bestFit="1" customWidth="1"/>
    <col min="9222" max="9222" width="22.140625" style="50" bestFit="1" customWidth="1"/>
    <col min="9223" max="9473" width="9.140625" style="50"/>
    <col min="9474" max="9474" width="40.5703125" style="50" customWidth="1"/>
    <col min="9475" max="9475" width="9.140625" style="50"/>
    <col min="9476" max="9476" width="11.42578125" style="50" bestFit="1" customWidth="1"/>
    <col min="9477" max="9477" width="66.28515625" style="50" bestFit="1" customWidth="1"/>
    <col min="9478" max="9478" width="22.140625" style="50" bestFit="1" customWidth="1"/>
    <col min="9479" max="9729" width="9.140625" style="50"/>
    <col min="9730" max="9730" width="40.5703125" style="50" customWidth="1"/>
    <col min="9731" max="9731" width="9.140625" style="50"/>
    <col min="9732" max="9732" width="11.42578125" style="50" bestFit="1" customWidth="1"/>
    <col min="9733" max="9733" width="66.28515625" style="50" bestFit="1" customWidth="1"/>
    <col min="9734" max="9734" width="22.140625" style="50" bestFit="1" customWidth="1"/>
    <col min="9735" max="9985" width="9.140625" style="50"/>
    <col min="9986" max="9986" width="40.5703125" style="50" customWidth="1"/>
    <col min="9987" max="9987" width="9.140625" style="50"/>
    <col min="9988" max="9988" width="11.42578125" style="50" bestFit="1" customWidth="1"/>
    <col min="9989" max="9989" width="66.28515625" style="50" bestFit="1" customWidth="1"/>
    <col min="9990" max="9990" width="22.140625" style="50" bestFit="1" customWidth="1"/>
    <col min="9991" max="10241" width="9.140625" style="50"/>
    <col min="10242" max="10242" width="40.5703125" style="50" customWidth="1"/>
    <col min="10243" max="10243" width="9.140625" style="50"/>
    <col min="10244" max="10244" width="11.42578125" style="50" bestFit="1" customWidth="1"/>
    <col min="10245" max="10245" width="66.28515625" style="50" bestFit="1" customWidth="1"/>
    <col min="10246" max="10246" width="22.140625" style="50" bestFit="1" customWidth="1"/>
    <col min="10247" max="10497" width="9.140625" style="50"/>
    <col min="10498" max="10498" width="40.5703125" style="50" customWidth="1"/>
    <col min="10499" max="10499" width="9.140625" style="50"/>
    <col min="10500" max="10500" width="11.42578125" style="50" bestFit="1" customWidth="1"/>
    <col min="10501" max="10501" width="66.28515625" style="50" bestFit="1" customWidth="1"/>
    <col min="10502" max="10502" width="22.140625" style="50" bestFit="1" customWidth="1"/>
    <col min="10503" max="10753" width="9.140625" style="50"/>
    <col min="10754" max="10754" width="40.5703125" style="50" customWidth="1"/>
    <col min="10755" max="10755" width="9.140625" style="50"/>
    <col min="10756" max="10756" width="11.42578125" style="50" bestFit="1" customWidth="1"/>
    <col min="10757" max="10757" width="66.28515625" style="50" bestFit="1" customWidth="1"/>
    <col min="10758" max="10758" width="22.140625" style="50" bestFit="1" customWidth="1"/>
    <col min="10759" max="11009" width="9.140625" style="50"/>
    <col min="11010" max="11010" width="40.5703125" style="50" customWidth="1"/>
    <col min="11011" max="11011" width="9.140625" style="50"/>
    <col min="11012" max="11012" width="11.42578125" style="50" bestFit="1" customWidth="1"/>
    <col min="11013" max="11013" width="66.28515625" style="50" bestFit="1" customWidth="1"/>
    <col min="11014" max="11014" width="22.140625" style="50" bestFit="1" customWidth="1"/>
    <col min="11015" max="11265" width="9.140625" style="50"/>
    <col min="11266" max="11266" width="40.5703125" style="50" customWidth="1"/>
    <col min="11267" max="11267" width="9.140625" style="50"/>
    <col min="11268" max="11268" width="11.42578125" style="50" bestFit="1" customWidth="1"/>
    <col min="11269" max="11269" width="66.28515625" style="50" bestFit="1" customWidth="1"/>
    <col min="11270" max="11270" width="22.140625" style="50" bestFit="1" customWidth="1"/>
    <col min="11271" max="11521" width="9.140625" style="50"/>
    <col min="11522" max="11522" width="40.5703125" style="50" customWidth="1"/>
    <col min="11523" max="11523" width="9.140625" style="50"/>
    <col min="11524" max="11524" width="11.42578125" style="50" bestFit="1" customWidth="1"/>
    <col min="11525" max="11525" width="66.28515625" style="50" bestFit="1" customWidth="1"/>
    <col min="11526" max="11526" width="22.140625" style="50" bestFit="1" customWidth="1"/>
    <col min="11527" max="11777" width="9.140625" style="50"/>
    <col min="11778" max="11778" width="40.5703125" style="50" customWidth="1"/>
    <col min="11779" max="11779" width="9.140625" style="50"/>
    <col min="11780" max="11780" width="11.42578125" style="50" bestFit="1" customWidth="1"/>
    <col min="11781" max="11781" width="66.28515625" style="50" bestFit="1" customWidth="1"/>
    <col min="11782" max="11782" width="22.140625" style="50" bestFit="1" customWidth="1"/>
    <col min="11783" max="12033" width="9.140625" style="50"/>
    <col min="12034" max="12034" width="40.5703125" style="50" customWidth="1"/>
    <col min="12035" max="12035" width="9.140625" style="50"/>
    <col min="12036" max="12036" width="11.42578125" style="50" bestFit="1" customWidth="1"/>
    <col min="12037" max="12037" width="66.28515625" style="50" bestFit="1" customWidth="1"/>
    <col min="12038" max="12038" width="22.140625" style="50" bestFit="1" customWidth="1"/>
    <col min="12039" max="12289" width="9.140625" style="50"/>
    <col min="12290" max="12290" width="40.5703125" style="50" customWidth="1"/>
    <col min="12291" max="12291" width="9.140625" style="50"/>
    <col min="12292" max="12292" width="11.42578125" style="50" bestFit="1" customWidth="1"/>
    <col min="12293" max="12293" width="66.28515625" style="50" bestFit="1" customWidth="1"/>
    <col min="12294" max="12294" width="22.140625" style="50" bestFit="1" customWidth="1"/>
    <col min="12295" max="12545" width="9.140625" style="50"/>
    <col min="12546" max="12546" width="40.5703125" style="50" customWidth="1"/>
    <col min="12547" max="12547" width="9.140625" style="50"/>
    <col min="12548" max="12548" width="11.42578125" style="50" bestFit="1" customWidth="1"/>
    <col min="12549" max="12549" width="66.28515625" style="50" bestFit="1" customWidth="1"/>
    <col min="12550" max="12550" width="22.140625" style="50" bestFit="1" customWidth="1"/>
    <col min="12551" max="12801" width="9.140625" style="50"/>
    <col min="12802" max="12802" width="40.5703125" style="50" customWidth="1"/>
    <col min="12803" max="12803" width="9.140625" style="50"/>
    <col min="12804" max="12804" width="11.42578125" style="50" bestFit="1" customWidth="1"/>
    <col min="12805" max="12805" width="66.28515625" style="50" bestFit="1" customWidth="1"/>
    <col min="12806" max="12806" width="22.140625" style="50" bestFit="1" customWidth="1"/>
    <col min="12807" max="13057" width="9.140625" style="50"/>
    <col min="13058" max="13058" width="40.5703125" style="50" customWidth="1"/>
    <col min="13059" max="13059" width="9.140625" style="50"/>
    <col min="13060" max="13060" width="11.42578125" style="50" bestFit="1" customWidth="1"/>
    <col min="13061" max="13061" width="66.28515625" style="50" bestFit="1" customWidth="1"/>
    <col min="13062" max="13062" width="22.140625" style="50" bestFit="1" customWidth="1"/>
    <col min="13063" max="13313" width="9.140625" style="50"/>
    <col min="13314" max="13314" width="40.5703125" style="50" customWidth="1"/>
    <col min="13315" max="13315" width="9.140625" style="50"/>
    <col min="13316" max="13316" width="11.42578125" style="50" bestFit="1" customWidth="1"/>
    <col min="13317" max="13317" width="66.28515625" style="50" bestFit="1" customWidth="1"/>
    <col min="13318" max="13318" width="22.140625" style="50" bestFit="1" customWidth="1"/>
    <col min="13319" max="13569" width="9.140625" style="50"/>
    <col min="13570" max="13570" width="40.5703125" style="50" customWidth="1"/>
    <col min="13571" max="13571" width="9.140625" style="50"/>
    <col min="13572" max="13572" width="11.42578125" style="50" bestFit="1" customWidth="1"/>
    <col min="13573" max="13573" width="66.28515625" style="50" bestFit="1" customWidth="1"/>
    <col min="13574" max="13574" width="22.140625" style="50" bestFit="1" customWidth="1"/>
    <col min="13575" max="13825" width="9.140625" style="50"/>
    <col min="13826" max="13826" width="40.5703125" style="50" customWidth="1"/>
    <col min="13827" max="13827" width="9.140625" style="50"/>
    <col min="13828" max="13828" width="11.42578125" style="50" bestFit="1" customWidth="1"/>
    <col min="13829" max="13829" width="66.28515625" style="50" bestFit="1" customWidth="1"/>
    <col min="13830" max="13830" width="22.140625" style="50" bestFit="1" customWidth="1"/>
    <col min="13831" max="14081" width="9.140625" style="50"/>
    <col min="14082" max="14082" width="40.5703125" style="50" customWidth="1"/>
    <col min="14083" max="14083" width="9.140625" style="50"/>
    <col min="14084" max="14084" width="11.42578125" style="50" bestFit="1" customWidth="1"/>
    <col min="14085" max="14085" width="66.28515625" style="50" bestFit="1" customWidth="1"/>
    <col min="14086" max="14086" width="22.140625" style="50" bestFit="1" customWidth="1"/>
    <col min="14087" max="14337" width="9.140625" style="50"/>
    <col min="14338" max="14338" width="40.5703125" style="50" customWidth="1"/>
    <col min="14339" max="14339" width="9.140625" style="50"/>
    <col min="14340" max="14340" width="11.42578125" style="50" bestFit="1" customWidth="1"/>
    <col min="14341" max="14341" width="66.28515625" style="50" bestFit="1" customWidth="1"/>
    <col min="14342" max="14342" width="22.140625" style="50" bestFit="1" customWidth="1"/>
    <col min="14343" max="14593" width="9.140625" style="50"/>
    <col min="14594" max="14594" width="40.5703125" style="50" customWidth="1"/>
    <col min="14595" max="14595" width="9.140625" style="50"/>
    <col min="14596" max="14596" width="11.42578125" style="50" bestFit="1" customWidth="1"/>
    <col min="14597" max="14597" width="66.28515625" style="50" bestFit="1" customWidth="1"/>
    <col min="14598" max="14598" width="22.140625" style="50" bestFit="1" customWidth="1"/>
    <col min="14599" max="14849" width="9.140625" style="50"/>
    <col min="14850" max="14850" width="40.5703125" style="50" customWidth="1"/>
    <col min="14851" max="14851" width="9.140625" style="50"/>
    <col min="14852" max="14852" width="11.42578125" style="50" bestFit="1" customWidth="1"/>
    <col min="14853" max="14853" width="66.28515625" style="50" bestFit="1" customWidth="1"/>
    <col min="14854" max="14854" width="22.140625" style="50" bestFit="1" customWidth="1"/>
    <col min="14855" max="15105" width="9.140625" style="50"/>
    <col min="15106" max="15106" width="40.5703125" style="50" customWidth="1"/>
    <col min="15107" max="15107" width="9.140625" style="50"/>
    <col min="15108" max="15108" width="11.42578125" style="50" bestFit="1" customWidth="1"/>
    <col min="15109" max="15109" width="66.28515625" style="50" bestFit="1" customWidth="1"/>
    <col min="15110" max="15110" width="22.140625" style="50" bestFit="1" customWidth="1"/>
    <col min="15111" max="15361" width="9.140625" style="50"/>
    <col min="15362" max="15362" width="40.5703125" style="50" customWidth="1"/>
    <col min="15363" max="15363" width="9.140625" style="50"/>
    <col min="15364" max="15364" width="11.42578125" style="50" bestFit="1" customWidth="1"/>
    <col min="15365" max="15365" width="66.28515625" style="50" bestFit="1" customWidth="1"/>
    <col min="15366" max="15366" width="22.140625" style="50" bestFit="1" customWidth="1"/>
    <col min="15367" max="15617" width="9.140625" style="50"/>
    <col min="15618" max="15618" width="40.5703125" style="50" customWidth="1"/>
    <col min="15619" max="15619" width="9.140625" style="50"/>
    <col min="15620" max="15620" width="11.42578125" style="50" bestFit="1" customWidth="1"/>
    <col min="15621" max="15621" width="66.28515625" style="50" bestFit="1" customWidth="1"/>
    <col min="15622" max="15622" width="22.140625" style="50" bestFit="1" customWidth="1"/>
    <col min="15623" max="15873" width="9.140625" style="50"/>
    <col min="15874" max="15874" width="40.5703125" style="50" customWidth="1"/>
    <col min="15875" max="15875" width="9.140625" style="50"/>
    <col min="15876" max="15876" width="11.42578125" style="50" bestFit="1" customWidth="1"/>
    <col min="15877" max="15877" width="66.28515625" style="50" bestFit="1" customWidth="1"/>
    <col min="15878" max="15878" width="22.140625" style="50" bestFit="1" customWidth="1"/>
    <col min="15879" max="16129" width="9.140625" style="50"/>
    <col min="16130" max="16130" width="40.5703125" style="50" customWidth="1"/>
    <col min="16131" max="16131" width="9.140625" style="50"/>
    <col min="16132" max="16132" width="11.42578125" style="50" bestFit="1" customWidth="1"/>
    <col min="16133" max="16133" width="66.28515625" style="50" bestFit="1" customWidth="1"/>
    <col min="16134" max="16134" width="22.140625" style="50" bestFit="1" customWidth="1"/>
    <col min="16135" max="16384" width="9.140625" style="50"/>
  </cols>
  <sheetData>
    <row r="1" spans="1:9" ht="15" customHeight="1" x14ac:dyDescent="0.2">
      <c r="A1" s="349" t="s">
        <v>82</v>
      </c>
      <c r="B1" s="349"/>
      <c r="C1" s="349"/>
      <c r="D1" s="349"/>
      <c r="F1" s="350" t="s">
        <v>190</v>
      </c>
      <c r="G1" s="350"/>
      <c r="H1" s="350"/>
      <c r="I1" s="350"/>
    </row>
    <row r="2" spans="1:9" ht="15" customHeight="1" x14ac:dyDescent="0.2">
      <c r="A2" s="51"/>
      <c r="B2" s="51"/>
      <c r="C2" s="51"/>
      <c r="D2" s="51"/>
      <c r="F2" s="350"/>
      <c r="G2" s="350"/>
      <c r="H2" s="350"/>
      <c r="I2" s="350"/>
    </row>
    <row r="3" spans="1:9" ht="15" customHeight="1" x14ac:dyDescent="0.25">
      <c r="A3" s="46" t="s">
        <v>72</v>
      </c>
      <c r="B3" s="52"/>
      <c r="C3" s="52"/>
      <c r="D3" s="50"/>
      <c r="F3" s="350"/>
      <c r="G3" s="350"/>
      <c r="H3" s="350"/>
      <c r="I3" s="350"/>
    </row>
    <row r="4" spans="1:9" ht="15" x14ac:dyDescent="0.25">
      <c r="A4" s="46"/>
      <c r="B4" s="53"/>
      <c r="C4" s="52"/>
      <c r="D4" s="50"/>
      <c r="F4" s="350"/>
      <c r="G4" s="350"/>
      <c r="H4" s="350"/>
      <c r="I4" s="350"/>
    </row>
    <row r="5" spans="1:9" x14ac:dyDescent="0.2">
      <c r="A5" s="159" t="s">
        <v>73</v>
      </c>
      <c r="B5" s="54"/>
      <c r="C5" s="52"/>
      <c r="D5" s="50"/>
      <c r="F5" s="350"/>
      <c r="G5" s="350"/>
      <c r="H5" s="350"/>
      <c r="I5" s="350"/>
    </row>
    <row r="6" spans="1:9" x14ac:dyDescent="0.2">
      <c r="A6" s="52"/>
      <c r="B6" s="55"/>
      <c r="C6" s="52"/>
      <c r="D6" s="50"/>
      <c r="F6" s="50"/>
      <c r="G6" s="50"/>
      <c r="I6" s="158"/>
    </row>
    <row r="7" spans="1:9" ht="15" x14ac:dyDescent="0.25">
      <c r="A7" s="46" t="s">
        <v>83</v>
      </c>
      <c r="B7" s="56"/>
      <c r="C7" s="57"/>
      <c r="D7" s="50"/>
      <c r="F7" s="50"/>
      <c r="G7" s="50"/>
      <c r="I7" s="158"/>
    </row>
    <row r="8" spans="1:9" s="85" customFormat="1" ht="59.45" customHeight="1" x14ac:dyDescent="0.2">
      <c r="A8" s="84" t="s">
        <v>74</v>
      </c>
      <c r="B8" s="83" t="s">
        <v>189</v>
      </c>
      <c r="C8" s="84" t="s">
        <v>86</v>
      </c>
      <c r="D8" s="84" t="s">
        <v>75</v>
      </c>
      <c r="F8" s="83" t="s">
        <v>232</v>
      </c>
      <c r="G8" s="83" t="s">
        <v>194</v>
      </c>
      <c r="H8" s="50"/>
      <c r="I8" s="83" t="s">
        <v>191</v>
      </c>
    </row>
    <row r="9" spans="1:9" ht="15" x14ac:dyDescent="0.25">
      <c r="A9" s="174"/>
      <c r="B9" s="175"/>
      <c r="C9" s="176"/>
      <c r="I9" s="177"/>
    </row>
    <row r="10" spans="1:9" ht="15.75" customHeight="1" x14ac:dyDescent="0.25">
      <c r="A10" s="174"/>
      <c r="B10" s="175"/>
      <c r="C10" s="178"/>
      <c r="I10" s="177"/>
    </row>
    <row r="11" spans="1:9" ht="15" x14ac:dyDescent="0.25">
      <c r="A11" s="174"/>
      <c r="B11" s="175"/>
      <c r="C11" s="179"/>
      <c r="I11" s="177"/>
    </row>
    <row r="12" spans="1:9" ht="15" x14ac:dyDescent="0.25">
      <c r="A12" s="174"/>
      <c r="B12" s="175"/>
      <c r="C12" s="179"/>
      <c r="I12" s="177"/>
    </row>
    <row r="13" spans="1:9" ht="15" x14ac:dyDescent="0.25">
      <c r="A13" s="174"/>
      <c r="B13" s="175"/>
      <c r="C13" s="179"/>
      <c r="I13" s="177"/>
    </row>
    <row r="14" spans="1:9" ht="15" customHeight="1" x14ac:dyDescent="0.25">
      <c r="A14" s="174"/>
      <c r="B14" s="175"/>
      <c r="C14" s="179"/>
      <c r="I14" s="177"/>
    </row>
    <row r="15" spans="1:9" ht="15" x14ac:dyDescent="0.25">
      <c r="A15" s="174"/>
      <c r="B15" s="175"/>
      <c r="C15" s="179"/>
      <c r="I15" s="177"/>
    </row>
    <row r="16" spans="1:9" ht="15" x14ac:dyDescent="0.25">
      <c r="A16" s="174"/>
      <c r="B16" s="175"/>
      <c r="C16" s="179"/>
      <c r="I16" s="177"/>
    </row>
    <row r="17" spans="1:9" ht="15" x14ac:dyDescent="0.25">
      <c r="A17" s="174"/>
      <c r="B17" s="175"/>
      <c r="C17" s="179"/>
      <c r="I17" s="177"/>
    </row>
    <row r="18" spans="1:9" ht="15" customHeight="1" x14ac:dyDescent="0.25">
      <c r="A18" s="174"/>
      <c r="B18" s="175"/>
      <c r="C18" s="179"/>
      <c r="I18" s="177"/>
    </row>
    <row r="19" spans="1:9" ht="15" x14ac:dyDescent="0.25">
      <c r="A19" s="174"/>
      <c r="B19" s="175"/>
      <c r="C19" s="179"/>
      <c r="I19" s="181"/>
    </row>
    <row r="20" spans="1:9" ht="13.5" customHeight="1" x14ac:dyDescent="0.25">
      <c r="A20" s="174"/>
      <c r="B20" s="175"/>
      <c r="C20" s="180"/>
    </row>
    <row r="21" spans="1:9" ht="12.75" customHeight="1" x14ac:dyDescent="0.25">
      <c r="A21" s="174"/>
      <c r="B21" s="175"/>
      <c r="C21" s="180"/>
    </row>
    <row r="22" spans="1:9" ht="13.5" customHeight="1" x14ac:dyDescent="0.25">
      <c r="A22" s="174"/>
      <c r="B22" s="175"/>
      <c r="C22" s="180"/>
    </row>
    <row r="23" spans="1:9" ht="12.75" customHeight="1" x14ac:dyDescent="0.25">
      <c r="A23" s="174"/>
      <c r="B23" s="175"/>
      <c r="C23" s="180"/>
    </row>
    <row r="24" spans="1:9" ht="13.5" customHeight="1" x14ac:dyDescent="0.25">
      <c r="A24" s="174"/>
      <c r="B24" s="175"/>
      <c r="C24" s="180"/>
    </row>
    <row r="25" spans="1:9" ht="13.5" customHeight="1" x14ac:dyDescent="0.2"/>
    <row r="26" spans="1:9" ht="13.5" customHeight="1" x14ac:dyDescent="0.2"/>
    <row r="27" spans="1:9" ht="13.5" customHeight="1" x14ac:dyDescent="0.2"/>
    <row r="28" spans="1:9" ht="13.5" customHeight="1" x14ac:dyDescent="0.2"/>
  </sheetData>
  <mergeCells count="2">
    <mergeCell ref="A1:D1"/>
    <mergeCell ref="F1:I5"/>
  </mergeCells>
  <pageMargins left="0.70866141732283472" right="0.70866141732283472" top="0.74803149606299213" bottom="0.74803149606299213" header="0.31496062992125984" footer="0.31496062992125984"/>
  <pageSetup paperSize="9" scale="46"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I342"/>
  <sheetViews>
    <sheetView zoomScaleNormal="100" zoomScaleSheetLayoutView="100" workbookViewId="0">
      <pane ySplit="1" topLeftCell="A2" activePane="bottomLeft" state="frozen"/>
      <selection pane="bottomLeft"/>
    </sheetView>
  </sheetViews>
  <sheetFormatPr defaultRowHeight="12.75" x14ac:dyDescent="0.2"/>
  <cols>
    <col min="1" max="1" width="9.42578125" style="191" bestFit="1" customWidth="1"/>
    <col min="2" max="2" width="5.42578125" style="192" bestFit="1" customWidth="1"/>
    <col min="3" max="3" width="8.140625" style="191" customWidth="1"/>
    <col min="4" max="4" width="6" style="191" customWidth="1"/>
    <col min="5" max="5" width="15.7109375" style="194" customWidth="1"/>
    <col min="6" max="6" width="15.7109375" style="193" customWidth="1"/>
    <col min="7" max="8" width="15.7109375" style="190" customWidth="1"/>
    <col min="9" max="9" width="21.7109375" style="190" bestFit="1" customWidth="1"/>
    <col min="10" max="252" width="9.140625" style="58"/>
    <col min="253" max="257" width="15" style="58" customWidth="1"/>
    <col min="258" max="258" width="20" style="58" bestFit="1" customWidth="1"/>
    <col min="259" max="259" width="20.7109375" style="58" bestFit="1" customWidth="1"/>
    <col min="260" max="260" width="16.28515625" style="58" customWidth="1"/>
    <col min="261" max="261" width="15" style="58" customWidth="1"/>
    <col min="262" max="262" width="36.5703125" style="58" customWidth="1"/>
    <col min="263" max="263" width="23.42578125" style="58" bestFit="1" customWidth="1"/>
    <col min="264" max="264" width="9.140625" style="58"/>
    <col min="265" max="265" width="21.7109375" style="58" bestFit="1" customWidth="1"/>
    <col min="266" max="508" width="9.140625" style="58"/>
    <col min="509" max="513" width="15" style="58" customWidth="1"/>
    <col min="514" max="514" width="20" style="58" bestFit="1" customWidth="1"/>
    <col min="515" max="515" width="20.7109375" style="58" bestFit="1" customWidth="1"/>
    <col min="516" max="516" width="16.28515625" style="58" customWidth="1"/>
    <col min="517" max="517" width="15" style="58" customWidth="1"/>
    <col min="518" max="518" width="36.5703125" style="58" customWidth="1"/>
    <col min="519" max="519" width="23.42578125" style="58" bestFit="1" customWidth="1"/>
    <col min="520" max="520" width="9.140625" style="58"/>
    <col min="521" max="521" width="21.7109375" style="58" bestFit="1" customWidth="1"/>
    <col min="522" max="764" width="9.140625" style="58"/>
    <col min="765" max="769" width="15" style="58" customWidth="1"/>
    <col min="770" max="770" width="20" style="58" bestFit="1" customWidth="1"/>
    <col min="771" max="771" width="20.7109375" style="58" bestFit="1" customWidth="1"/>
    <col min="772" max="772" width="16.28515625" style="58" customWidth="1"/>
    <col min="773" max="773" width="15" style="58" customWidth="1"/>
    <col min="774" max="774" width="36.5703125" style="58" customWidth="1"/>
    <col min="775" max="775" width="23.42578125" style="58" bestFit="1" customWidth="1"/>
    <col min="776" max="776" width="9.140625" style="58"/>
    <col min="777" max="777" width="21.7109375" style="58" bestFit="1" customWidth="1"/>
    <col min="778" max="1020" width="9.140625" style="58"/>
    <col min="1021" max="1025" width="15" style="58" customWidth="1"/>
    <col min="1026" max="1026" width="20" style="58" bestFit="1" customWidth="1"/>
    <col min="1027" max="1027" width="20.7109375" style="58" bestFit="1" customWidth="1"/>
    <col min="1028" max="1028" width="16.28515625" style="58" customWidth="1"/>
    <col min="1029" max="1029" width="15" style="58" customWidth="1"/>
    <col min="1030" max="1030" width="36.5703125" style="58" customWidth="1"/>
    <col min="1031" max="1031" width="23.42578125" style="58" bestFit="1" customWidth="1"/>
    <col min="1032" max="1032" width="9.140625" style="58"/>
    <col min="1033" max="1033" width="21.7109375" style="58" bestFit="1" customWidth="1"/>
    <col min="1034" max="1276" width="9.140625" style="58"/>
    <col min="1277" max="1281" width="15" style="58" customWidth="1"/>
    <col min="1282" max="1282" width="20" style="58" bestFit="1" customWidth="1"/>
    <col min="1283" max="1283" width="20.7109375" style="58" bestFit="1" customWidth="1"/>
    <col min="1284" max="1284" width="16.28515625" style="58" customWidth="1"/>
    <col min="1285" max="1285" width="15" style="58" customWidth="1"/>
    <col min="1286" max="1286" width="36.5703125" style="58" customWidth="1"/>
    <col min="1287" max="1287" width="23.42578125" style="58" bestFit="1" customWidth="1"/>
    <col min="1288" max="1288" width="9.140625" style="58"/>
    <col min="1289" max="1289" width="21.7109375" style="58" bestFit="1" customWidth="1"/>
    <col min="1290" max="1532" width="9.140625" style="58"/>
    <col min="1533" max="1537" width="15" style="58" customWidth="1"/>
    <col min="1538" max="1538" width="20" style="58" bestFit="1" customWidth="1"/>
    <col min="1539" max="1539" width="20.7109375" style="58" bestFit="1" customWidth="1"/>
    <col min="1540" max="1540" width="16.28515625" style="58" customWidth="1"/>
    <col min="1541" max="1541" width="15" style="58" customWidth="1"/>
    <col min="1542" max="1542" width="36.5703125" style="58" customWidth="1"/>
    <col min="1543" max="1543" width="23.42578125" style="58" bestFit="1" customWidth="1"/>
    <col min="1544" max="1544" width="9.140625" style="58"/>
    <col min="1545" max="1545" width="21.7109375" style="58" bestFit="1" customWidth="1"/>
    <col min="1546" max="1788" width="9.140625" style="58"/>
    <col min="1789" max="1793" width="15" style="58" customWidth="1"/>
    <col min="1794" max="1794" width="20" style="58" bestFit="1" customWidth="1"/>
    <col min="1795" max="1795" width="20.7109375" style="58" bestFit="1" customWidth="1"/>
    <col min="1796" max="1796" width="16.28515625" style="58" customWidth="1"/>
    <col min="1797" max="1797" width="15" style="58" customWidth="1"/>
    <col min="1798" max="1798" width="36.5703125" style="58" customWidth="1"/>
    <col min="1799" max="1799" width="23.42578125" style="58" bestFit="1" customWidth="1"/>
    <col min="1800" max="1800" width="9.140625" style="58"/>
    <col min="1801" max="1801" width="21.7109375" style="58" bestFit="1" customWidth="1"/>
    <col min="1802" max="2044" width="9.140625" style="58"/>
    <col min="2045" max="2049" width="15" style="58" customWidth="1"/>
    <col min="2050" max="2050" width="20" style="58" bestFit="1" customWidth="1"/>
    <col min="2051" max="2051" width="20.7109375" style="58" bestFit="1" customWidth="1"/>
    <col min="2052" max="2052" width="16.28515625" style="58" customWidth="1"/>
    <col min="2053" max="2053" width="15" style="58" customWidth="1"/>
    <col min="2054" max="2054" width="36.5703125" style="58" customWidth="1"/>
    <col min="2055" max="2055" width="23.42578125" style="58" bestFit="1" customWidth="1"/>
    <col min="2056" max="2056" width="9.140625" style="58"/>
    <col min="2057" max="2057" width="21.7109375" style="58" bestFit="1" customWidth="1"/>
    <col min="2058" max="2300" width="9.140625" style="58"/>
    <col min="2301" max="2305" width="15" style="58" customWidth="1"/>
    <col min="2306" max="2306" width="20" style="58" bestFit="1" customWidth="1"/>
    <col min="2307" max="2307" width="20.7109375" style="58" bestFit="1" customWidth="1"/>
    <col min="2308" max="2308" width="16.28515625" style="58" customWidth="1"/>
    <col min="2309" max="2309" width="15" style="58" customWidth="1"/>
    <col min="2310" max="2310" width="36.5703125" style="58" customWidth="1"/>
    <col min="2311" max="2311" width="23.42578125" style="58" bestFit="1" customWidth="1"/>
    <col min="2312" max="2312" width="9.140625" style="58"/>
    <col min="2313" max="2313" width="21.7109375" style="58" bestFit="1" customWidth="1"/>
    <col min="2314" max="2556" width="9.140625" style="58"/>
    <col min="2557" max="2561" width="15" style="58" customWidth="1"/>
    <col min="2562" max="2562" width="20" style="58" bestFit="1" customWidth="1"/>
    <col min="2563" max="2563" width="20.7109375" style="58" bestFit="1" customWidth="1"/>
    <col min="2564" max="2564" width="16.28515625" style="58" customWidth="1"/>
    <col min="2565" max="2565" width="15" style="58" customWidth="1"/>
    <col min="2566" max="2566" width="36.5703125" style="58" customWidth="1"/>
    <col min="2567" max="2567" width="23.42578125" style="58" bestFit="1" customWidth="1"/>
    <col min="2568" max="2568" width="9.140625" style="58"/>
    <col min="2569" max="2569" width="21.7109375" style="58" bestFit="1" customWidth="1"/>
    <col min="2570" max="2812" width="9.140625" style="58"/>
    <col min="2813" max="2817" width="15" style="58" customWidth="1"/>
    <col min="2818" max="2818" width="20" style="58" bestFit="1" customWidth="1"/>
    <col min="2819" max="2819" width="20.7109375" style="58" bestFit="1" customWidth="1"/>
    <col min="2820" max="2820" width="16.28515625" style="58" customWidth="1"/>
    <col min="2821" max="2821" width="15" style="58" customWidth="1"/>
    <col min="2822" max="2822" width="36.5703125" style="58" customWidth="1"/>
    <col min="2823" max="2823" width="23.42578125" style="58" bestFit="1" customWidth="1"/>
    <col min="2824" max="2824" width="9.140625" style="58"/>
    <col min="2825" max="2825" width="21.7109375" style="58" bestFit="1" customWidth="1"/>
    <col min="2826" max="3068" width="9.140625" style="58"/>
    <col min="3069" max="3073" width="15" style="58" customWidth="1"/>
    <col min="3074" max="3074" width="20" style="58" bestFit="1" customWidth="1"/>
    <col min="3075" max="3075" width="20.7109375" style="58" bestFit="1" customWidth="1"/>
    <col min="3076" max="3076" width="16.28515625" style="58" customWidth="1"/>
    <col min="3077" max="3077" width="15" style="58" customWidth="1"/>
    <col min="3078" max="3078" width="36.5703125" style="58" customWidth="1"/>
    <col min="3079" max="3079" width="23.42578125" style="58" bestFit="1" customWidth="1"/>
    <col min="3080" max="3080" width="9.140625" style="58"/>
    <col min="3081" max="3081" width="21.7109375" style="58" bestFit="1" customWidth="1"/>
    <col min="3082" max="3324" width="9.140625" style="58"/>
    <col min="3325" max="3329" width="15" style="58" customWidth="1"/>
    <col min="3330" max="3330" width="20" style="58" bestFit="1" customWidth="1"/>
    <col min="3331" max="3331" width="20.7109375" style="58" bestFit="1" customWidth="1"/>
    <col min="3332" max="3332" width="16.28515625" style="58" customWidth="1"/>
    <col min="3333" max="3333" width="15" style="58" customWidth="1"/>
    <col min="3334" max="3334" width="36.5703125" style="58" customWidth="1"/>
    <col min="3335" max="3335" width="23.42578125" style="58" bestFit="1" customWidth="1"/>
    <col min="3336" max="3336" width="9.140625" style="58"/>
    <col min="3337" max="3337" width="21.7109375" style="58" bestFit="1" customWidth="1"/>
    <col min="3338" max="3580" width="9.140625" style="58"/>
    <col min="3581" max="3585" width="15" style="58" customWidth="1"/>
    <col min="3586" max="3586" width="20" style="58" bestFit="1" customWidth="1"/>
    <col min="3587" max="3587" width="20.7109375" style="58" bestFit="1" customWidth="1"/>
    <col min="3588" max="3588" width="16.28515625" style="58" customWidth="1"/>
    <col min="3589" max="3589" width="15" style="58" customWidth="1"/>
    <col min="3590" max="3590" width="36.5703125" style="58" customWidth="1"/>
    <col min="3591" max="3591" width="23.42578125" style="58" bestFit="1" customWidth="1"/>
    <col min="3592" max="3592" width="9.140625" style="58"/>
    <col min="3593" max="3593" width="21.7109375" style="58" bestFit="1" customWidth="1"/>
    <col min="3594" max="3836" width="9.140625" style="58"/>
    <col min="3837" max="3841" width="15" style="58" customWidth="1"/>
    <col min="3842" max="3842" width="20" style="58" bestFit="1" customWidth="1"/>
    <col min="3843" max="3843" width="20.7109375" style="58" bestFit="1" customWidth="1"/>
    <col min="3844" max="3844" width="16.28515625" style="58" customWidth="1"/>
    <col min="3845" max="3845" width="15" style="58" customWidth="1"/>
    <col min="3846" max="3846" width="36.5703125" style="58" customWidth="1"/>
    <col min="3847" max="3847" width="23.42578125" style="58" bestFit="1" customWidth="1"/>
    <col min="3848" max="3848" width="9.140625" style="58"/>
    <col min="3849" max="3849" width="21.7109375" style="58" bestFit="1" customWidth="1"/>
    <col min="3850" max="4092" width="9.140625" style="58"/>
    <col min="4093" max="4097" width="15" style="58" customWidth="1"/>
    <col min="4098" max="4098" width="20" style="58" bestFit="1" customWidth="1"/>
    <col min="4099" max="4099" width="20.7109375" style="58" bestFit="1" customWidth="1"/>
    <col min="4100" max="4100" width="16.28515625" style="58" customWidth="1"/>
    <col min="4101" max="4101" width="15" style="58" customWidth="1"/>
    <col min="4102" max="4102" width="36.5703125" style="58" customWidth="1"/>
    <col min="4103" max="4103" width="23.42578125" style="58" bestFit="1" customWidth="1"/>
    <col min="4104" max="4104" width="9.140625" style="58"/>
    <col min="4105" max="4105" width="21.7109375" style="58" bestFit="1" customWidth="1"/>
    <col min="4106" max="4348" width="9.140625" style="58"/>
    <col min="4349" max="4353" width="15" style="58" customWidth="1"/>
    <col min="4354" max="4354" width="20" style="58" bestFit="1" customWidth="1"/>
    <col min="4355" max="4355" width="20.7109375" style="58" bestFit="1" customWidth="1"/>
    <col min="4356" max="4356" width="16.28515625" style="58" customWidth="1"/>
    <col min="4357" max="4357" width="15" style="58" customWidth="1"/>
    <col min="4358" max="4358" width="36.5703125" style="58" customWidth="1"/>
    <col min="4359" max="4359" width="23.42578125" style="58" bestFit="1" customWidth="1"/>
    <col min="4360" max="4360" width="9.140625" style="58"/>
    <col min="4361" max="4361" width="21.7109375" style="58" bestFit="1" customWidth="1"/>
    <col min="4362" max="4604" width="9.140625" style="58"/>
    <col min="4605" max="4609" width="15" style="58" customWidth="1"/>
    <col min="4610" max="4610" width="20" style="58" bestFit="1" customWidth="1"/>
    <col min="4611" max="4611" width="20.7109375" style="58" bestFit="1" customWidth="1"/>
    <col min="4612" max="4612" width="16.28515625" style="58" customWidth="1"/>
    <col min="4613" max="4613" width="15" style="58" customWidth="1"/>
    <col min="4614" max="4614" width="36.5703125" style="58" customWidth="1"/>
    <col min="4615" max="4615" width="23.42578125" style="58" bestFit="1" customWidth="1"/>
    <col min="4616" max="4616" width="9.140625" style="58"/>
    <col min="4617" max="4617" width="21.7109375" style="58" bestFit="1" customWidth="1"/>
    <col min="4618" max="4860" width="9.140625" style="58"/>
    <col min="4861" max="4865" width="15" style="58" customWidth="1"/>
    <col min="4866" max="4866" width="20" style="58" bestFit="1" customWidth="1"/>
    <col min="4867" max="4867" width="20.7109375" style="58" bestFit="1" customWidth="1"/>
    <col min="4868" max="4868" width="16.28515625" style="58" customWidth="1"/>
    <col min="4869" max="4869" width="15" style="58" customWidth="1"/>
    <col min="4870" max="4870" width="36.5703125" style="58" customWidth="1"/>
    <col min="4871" max="4871" width="23.42578125" style="58" bestFit="1" customWidth="1"/>
    <col min="4872" max="4872" width="9.140625" style="58"/>
    <col min="4873" max="4873" width="21.7109375" style="58" bestFit="1" customWidth="1"/>
    <col min="4874" max="5116" width="9.140625" style="58"/>
    <col min="5117" max="5121" width="15" style="58" customWidth="1"/>
    <col min="5122" max="5122" width="20" style="58" bestFit="1" customWidth="1"/>
    <col min="5123" max="5123" width="20.7109375" style="58" bestFit="1" customWidth="1"/>
    <col min="5124" max="5124" width="16.28515625" style="58" customWidth="1"/>
    <col min="5125" max="5125" width="15" style="58" customWidth="1"/>
    <col min="5126" max="5126" width="36.5703125" style="58" customWidth="1"/>
    <col min="5127" max="5127" width="23.42578125" style="58" bestFit="1" customWidth="1"/>
    <col min="5128" max="5128" width="9.140625" style="58"/>
    <col min="5129" max="5129" width="21.7109375" style="58" bestFit="1" customWidth="1"/>
    <col min="5130" max="5372" width="9.140625" style="58"/>
    <col min="5373" max="5377" width="15" style="58" customWidth="1"/>
    <col min="5378" max="5378" width="20" style="58" bestFit="1" customWidth="1"/>
    <col min="5379" max="5379" width="20.7109375" style="58" bestFit="1" customWidth="1"/>
    <col min="5380" max="5380" width="16.28515625" style="58" customWidth="1"/>
    <col min="5381" max="5381" width="15" style="58" customWidth="1"/>
    <col min="5382" max="5382" width="36.5703125" style="58" customWidth="1"/>
    <col min="5383" max="5383" width="23.42578125" style="58" bestFit="1" customWidth="1"/>
    <col min="5384" max="5384" width="9.140625" style="58"/>
    <col min="5385" max="5385" width="21.7109375" style="58" bestFit="1" customWidth="1"/>
    <col min="5386" max="5628" width="9.140625" style="58"/>
    <col min="5629" max="5633" width="15" style="58" customWidth="1"/>
    <col min="5634" max="5634" width="20" style="58" bestFit="1" customWidth="1"/>
    <col min="5635" max="5635" width="20.7109375" style="58" bestFit="1" customWidth="1"/>
    <col min="5636" max="5636" width="16.28515625" style="58" customWidth="1"/>
    <col min="5637" max="5637" width="15" style="58" customWidth="1"/>
    <col min="5638" max="5638" width="36.5703125" style="58" customWidth="1"/>
    <col min="5639" max="5639" width="23.42578125" style="58" bestFit="1" customWidth="1"/>
    <col min="5640" max="5640" width="9.140625" style="58"/>
    <col min="5641" max="5641" width="21.7109375" style="58" bestFit="1" customWidth="1"/>
    <col min="5642" max="5884" width="9.140625" style="58"/>
    <col min="5885" max="5889" width="15" style="58" customWidth="1"/>
    <col min="5890" max="5890" width="20" style="58" bestFit="1" customWidth="1"/>
    <col min="5891" max="5891" width="20.7109375" style="58" bestFit="1" customWidth="1"/>
    <col min="5892" max="5892" width="16.28515625" style="58" customWidth="1"/>
    <col min="5893" max="5893" width="15" style="58" customWidth="1"/>
    <col min="5894" max="5894" width="36.5703125" style="58" customWidth="1"/>
    <col min="5895" max="5895" width="23.42578125" style="58" bestFit="1" customWidth="1"/>
    <col min="5896" max="5896" width="9.140625" style="58"/>
    <col min="5897" max="5897" width="21.7109375" style="58" bestFit="1" customWidth="1"/>
    <col min="5898" max="6140" width="9.140625" style="58"/>
    <col min="6141" max="6145" width="15" style="58" customWidth="1"/>
    <col min="6146" max="6146" width="20" style="58" bestFit="1" customWidth="1"/>
    <col min="6147" max="6147" width="20.7109375" style="58" bestFit="1" customWidth="1"/>
    <col min="6148" max="6148" width="16.28515625" style="58" customWidth="1"/>
    <col min="6149" max="6149" width="15" style="58" customWidth="1"/>
    <col min="6150" max="6150" width="36.5703125" style="58" customWidth="1"/>
    <col min="6151" max="6151" width="23.42578125" style="58" bestFit="1" customWidth="1"/>
    <col min="6152" max="6152" width="9.140625" style="58"/>
    <col min="6153" max="6153" width="21.7109375" style="58" bestFit="1" customWidth="1"/>
    <col min="6154" max="6396" width="9.140625" style="58"/>
    <col min="6397" max="6401" width="15" style="58" customWidth="1"/>
    <col min="6402" max="6402" width="20" style="58" bestFit="1" customWidth="1"/>
    <col min="6403" max="6403" width="20.7109375" style="58" bestFit="1" customWidth="1"/>
    <col min="6404" max="6404" width="16.28515625" style="58" customWidth="1"/>
    <col min="6405" max="6405" width="15" style="58" customWidth="1"/>
    <col min="6406" max="6406" width="36.5703125" style="58" customWidth="1"/>
    <col min="6407" max="6407" width="23.42578125" style="58" bestFit="1" customWidth="1"/>
    <col min="6408" max="6408" width="9.140625" style="58"/>
    <col min="6409" max="6409" width="21.7109375" style="58" bestFit="1" customWidth="1"/>
    <col min="6410" max="6652" width="9.140625" style="58"/>
    <col min="6653" max="6657" width="15" style="58" customWidth="1"/>
    <col min="6658" max="6658" width="20" style="58" bestFit="1" customWidth="1"/>
    <col min="6659" max="6659" width="20.7109375" style="58" bestFit="1" customWidth="1"/>
    <col min="6660" max="6660" width="16.28515625" style="58" customWidth="1"/>
    <col min="6661" max="6661" width="15" style="58" customWidth="1"/>
    <col min="6662" max="6662" width="36.5703125" style="58" customWidth="1"/>
    <col min="6663" max="6663" width="23.42578125" style="58" bestFit="1" customWidth="1"/>
    <col min="6664" max="6664" width="9.140625" style="58"/>
    <col min="6665" max="6665" width="21.7109375" style="58" bestFit="1" customWidth="1"/>
    <col min="6666" max="6908" width="9.140625" style="58"/>
    <col min="6909" max="6913" width="15" style="58" customWidth="1"/>
    <col min="6914" max="6914" width="20" style="58" bestFit="1" customWidth="1"/>
    <col min="6915" max="6915" width="20.7109375" style="58" bestFit="1" customWidth="1"/>
    <col min="6916" max="6916" width="16.28515625" style="58" customWidth="1"/>
    <col min="6917" max="6917" width="15" style="58" customWidth="1"/>
    <col min="6918" max="6918" width="36.5703125" style="58" customWidth="1"/>
    <col min="6919" max="6919" width="23.42578125" style="58" bestFit="1" customWidth="1"/>
    <col min="6920" max="6920" width="9.140625" style="58"/>
    <col min="6921" max="6921" width="21.7109375" style="58" bestFit="1" customWidth="1"/>
    <col min="6922" max="7164" width="9.140625" style="58"/>
    <col min="7165" max="7169" width="15" style="58" customWidth="1"/>
    <col min="7170" max="7170" width="20" style="58" bestFit="1" customWidth="1"/>
    <col min="7171" max="7171" width="20.7109375" style="58" bestFit="1" customWidth="1"/>
    <col min="7172" max="7172" width="16.28515625" style="58" customWidth="1"/>
    <col min="7173" max="7173" width="15" style="58" customWidth="1"/>
    <col min="7174" max="7174" width="36.5703125" style="58" customWidth="1"/>
    <col min="7175" max="7175" width="23.42578125" style="58" bestFit="1" customWidth="1"/>
    <col min="7176" max="7176" width="9.140625" style="58"/>
    <col min="7177" max="7177" width="21.7109375" style="58" bestFit="1" customWidth="1"/>
    <col min="7178" max="7420" width="9.140625" style="58"/>
    <col min="7421" max="7425" width="15" style="58" customWidth="1"/>
    <col min="7426" max="7426" width="20" style="58" bestFit="1" customWidth="1"/>
    <col min="7427" max="7427" width="20.7109375" style="58" bestFit="1" customWidth="1"/>
    <col min="7428" max="7428" width="16.28515625" style="58" customWidth="1"/>
    <col min="7429" max="7429" width="15" style="58" customWidth="1"/>
    <col min="7430" max="7430" width="36.5703125" style="58" customWidth="1"/>
    <col min="7431" max="7431" width="23.42578125" style="58" bestFit="1" customWidth="1"/>
    <col min="7432" max="7432" width="9.140625" style="58"/>
    <col min="7433" max="7433" width="21.7109375" style="58" bestFit="1" customWidth="1"/>
    <col min="7434" max="7676" width="9.140625" style="58"/>
    <col min="7677" max="7681" width="15" style="58" customWidth="1"/>
    <col min="7682" max="7682" width="20" style="58" bestFit="1" customWidth="1"/>
    <col min="7683" max="7683" width="20.7109375" style="58" bestFit="1" customWidth="1"/>
    <col min="7684" max="7684" width="16.28515625" style="58" customWidth="1"/>
    <col min="7685" max="7685" width="15" style="58" customWidth="1"/>
    <col min="7686" max="7686" width="36.5703125" style="58" customWidth="1"/>
    <col min="7687" max="7687" width="23.42578125" style="58" bestFit="1" customWidth="1"/>
    <col min="7688" max="7688" width="9.140625" style="58"/>
    <col min="7689" max="7689" width="21.7109375" style="58" bestFit="1" customWidth="1"/>
    <col min="7690" max="7932" width="9.140625" style="58"/>
    <col min="7933" max="7937" width="15" style="58" customWidth="1"/>
    <col min="7938" max="7938" width="20" style="58" bestFit="1" customWidth="1"/>
    <col min="7939" max="7939" width="20.7109375" style="58" bestFit="1" customWidth="1"/>
    <col min="7940" max="7940" width="16.28515625" style="58" customWidth="1"/>
    <col min="7941" max="7941" width="15" style="58" customWidth="1"/>
    <col min="7942" max="7942" width="36.5703125" style="58" customWidth="1"/>
    <col min="7943" max="7943" width="23.42578125" style="58" bestFit="1" customWidth="1"/>
    <col min="7944" max="7944" width="9.140625" style="58"/>
    <col min="7945" max="7945" width="21.7109375" style="58" bestFit="1" customWidth="1"/>
    <col min="7946" max="8188" width="9.140625" style="58"/>
    <col min="8189" max="8193" width="15" style="58" customWidth="1"/>
    <col min="8194" max="8194" width="20" style="58" bestFit="1" customWidth="1"/>
    <col min="8195" max="8195" width="20.7109375" style="58" bestFit="1" customWidth="1"/>
    <col min="8196" max="8196" width="16.28515625" style="58" customWidth="1"/>
    <col min="8197" max="8197" width="15" style="58" customWidth="1"/>
    <col min="8198" max="8198" width="36.5703125" style="58" customWidth="1"/>
    <col min="8199" max="8199" width="23.42578125" style="58" bestFit="1" customWidth="1"/>
    <col min="8200" max="8200" width="9.140625" style="58"/>
    <col min="8201" max="8201" width="21.7109375" style="58" bestFit="1" customWidth="1"/>
    <col min="8202" max="8444" width="9.140625" style="58"/>
    <col min="8445" max="8449" width="15" style="58" customWidth="1"/>
    <col min="8450" max="8450" width="20" style="58" bestFit="1" customWidth="1"/>
    <col min="8451" max="8451" width="20.7109375" style="58" bestFit="1" customWidth="1"/>
    <col min="8452" max="8452" width="16.28515625" style="58" customWidth="1"/>
    <col min="8453" max="8453" width="15" style="58" customWidth="1"/>
    <col min="8454" max="8454" width="36.5703125" style="58" customWidth="1"/>
    <col min="8455" max="8455" width="23.42578125" style="58" bestFit="1" customWidth="1"/>
    <col min="8456" max="8456" width="9.140625" style="58"/>
    <col min="8457" max="8457" width="21.7109375" style="58" bestFit="1" customWidth="1"/>
    <col min="8458" max="8700" width="9.140625" style="58"/>
    <col min="8701" max="8705" width="15" style="58" customWidth="1"/>
    <col min="8706" max="8706" width="20" style="58" bestFit="1" customWidth="1"/>
    <col min="8707" max="8707" width="20.7109375" style="58" bestFit="1" customWidth="1"/>
    <col min="8708" max="8708" width="16.28515625" style="58" customWidth="1"/>
    <col min="8709" max="8709" width="15" style="58" customWidth="1"/>
    <col min="8710" max="8710" width="36.5703125" style="58" customWidth="1"/>
    <col min="8711" max="8711" width="23.42578125" style="58" bestFit="1" customWidth="1"/>
    <col min="8712" max="8712" width="9.140625" style="58"/>
    <col min="8713" max="8713" width="21.7109375" style="58" bestFit="1" customWidth="1"/>
    <col min="8714" max="8956" width="9.140625" style="58"/>
    <col min="8957" max="8961" width="15" style="58" customWidth="1"/>
    <col min="8962" max="8962" width="20" style="58" bestFit="1" customWidth="1"/>
    <col min="8963" max="8963" width="20.7109375" style="58" bestFit="1" customWidth="1"/>
    <col min="8964" max="8964" width="16.28515625" style="58" customWidth="1"/>
    <col min="8965" max="8965" width="15" style="58" customWidth="1"/>
    <col min="8966" max="8966" width="36.5703125" style="58" customWidth="1"/>
    <col min="8967" max="8967" width="23.42578125" style="58" bestFit="1" customWidth="1"/>
    <col min="8968" max="8968" width="9.140625" style="58"/>
    <col min="8969" max="8969" width="21.7109375" style="58" bestFit="1" customWidth="1"/>
    <col min="8970" max="9212" width="9.140625" style="58"/>
    <col min="9213" max="9217" width="15" style="58" customWidth="1"/>
    <col min="9218" max="9218" width="20" style="58" bestFit="1" customWidth="1"/>
    <col min="9219" max="9219" width="20.7109375" style="58" bestFit="1" customWidth="1"/>
    <col min="9220" max="9220" width="16.28515625" style="58" customWidth="1"/>
    <col min="9221" max="9221" width="15" style="58" customWidth="1"/>
    <col min="9222" max="9222" width="36.5703125" style="58" customWidth="1"/>
    <col min="9223" max="9223" width="23.42578125" style="58" bestFit="1" customWidth="1"/>
    <col min="9224" max="9224" width="9.140625" style="58"/>
    <col min="9225" max="9225" width="21.7109375" style="58" bestFit="1" customWidth="1"/>
    <col min="9226" max="9468" width="9.140625" style="58"/>
    <col min="9469" max="9473" width="15" style="58" customWidth="1"/>
    <col min="9474" max="9474" width="20" style="58" bestFit="1" customWidth="1"/>
    <col min="9475" max="9475" width="20.7109375" style="58" bestFit="1" customWidth="1"/>
    <col min="9476" max="9476" width="16.28515625" style="58" customWidth="1"/>
    <col min="9477" max="9477" width="15" style="58" customWidth="1"/>
    <col min="9478" max="9478" width="36.5703125" style="58" customWidth="1"/>
    <col min="9479" max="9479" width="23.42578125" style="58" bestFit="1" customWidth="1"/>
    <col min="9480" max="9480" width="9.140625" style="58"/>
    <col min="9481" max="9481" width="21.7109375" style="58" bestFit="1" customWidth="1"/>
    <col min="9482" max="9724" width="9.140625" style="58"/>
    <col min="9725" max="9729" width="15" style="58" customWidth="1"/>
    <col min="9730" max="9730" width="20" style="58" bestFit="1" customWidth="1"/>
    <col min="9731" max="9731" width="20.7109375" style="58" bestFit="1" customWidth="1"/>
    <col min="9732" max="9732" width="16.28515625" style="58" customWidth="1"/>
    <col min="9733" max="9733" width="15" style="58" customWidth="1"/>
    <col min="9734" max="9734" width="36.5703125" style="58" customWidth="1"/>
    <col min="9735" max="9735" width="23.42578125" style="58" bestFit="1" customWidth="1"/>
    <col min="9736" max="9736" width="9.140625" style="58"/>
    <col min="9737" max="9737" width="21.7109375" style="58" bestFit="1" customWidth="1"/>
    <col min="9738" max="9980" width="9.140625" style="58"/>
    <col min="9981" max="9985" width="15" style="58" customWidth="1"/>
    <col min="9986" max="9986" width="20" style="58" bestFit="1" customWidth="1"/>
    <col min="9987" max="9987" width="20.7109375" style="58" bestFit="1" customWidth="1"/>
    <col min="9988" max="9988" width="16.28515625" style="58" customWidth="1"/>
    <col min="9989" max="9989" width="15" style="58" customWidth="1"/>
    <col min="9990" max="9990" width="36.5703125" style="58" customWidth="1"/>
    <col min="9991" max="9991" width="23.42578125" style="58" bestFit="1" customWidth="1"/>
    <col min="9992" max="9992" width="9.140625" style="58"/>
    <col min="9993" max="9993" width="21.7109375" style="58" bestFit="1" customWidth="1"/>
    <col min="9994" max="10236" width="9.140625" style="58"/>
    <col min="10237" max="10241" width="15" style="58" customWidth="1"/>
    <col min="10242" max="10242" width="20" style="58" bestFit="1" customWidth="1"/>
    <col min="10243" max="10243" width="20.7109375" style="58" bestFit="1" customWidth="1"/>
    <col min="10244" max="10244" width="16.28515625" style="58" customWidth="1"/>
    <col min="10245" max="10245" width="15" style="58" customWidth="1"/>
    <col min="10246" max="10246" width="36.5703125" style="58" customWidth="1"/>
    <col min="10247" max="10247" width="23.42578125" style="58" bestFit="1" customWidth="1"/>
    <col min="10248" max="10248" width="9.140625" style="58"/>
    <col min="10249" max="10249" width="21.7109375" style="58" bestFit="1" customWidth="1"/>
    <col min="10250" max="10492" width="9.140625" style="58"/>
    <col min="10493" max="10497" width="15" style="58" customWidth="1"/>
    <col min="10498" max="10498" width="20" style="58" bestFit="1" customWidth="1"/>
    <col min="10499" max="10499" width="20.7109375" style="58" bestFit="1" customWidth="1"/>
    <col min="10500" max="10500" width="16.28515625" style="58" customWidth="1"/>
    <col min="10501" max="10501" width="15" style="58" customWidth="1"/>
    <col min="10502" max="10502" width="36.5703125" style="58" customWidth="1"/>
    <col min="10503" max="10503" width="23.42578125" style="58" bestFit="1" customWidth="1"/>
    <col min="10504" max="10504" width="9.140625" style="58"/>
    <col min="10505" max="10505" width="21.7109375" style="58" bestFit="1" customWidth="1"/>
    <col min="10506" max="10748" width="9.140625" style="58"/>
    <col min="10749" max="10753" width="15" style="58" customWidth="1"/>
    <col min="10754" max="10754" width="20" style="58" bestFit="1" customWidth="1"/>
    <col min="10755" max="10755" width="20.7109375" style="58" bestFit="1" customWidth="1"/>
    <col min="10756" max="10756" width="16.28515625" style="58" customWidth="1"/>
    <col min="10757" max="10757" width="15" style="58" customWidth="1"/>
    <col min="10758" max="10758" width="36.5703125" style="58" customWidth="1"/>
    <col min="10759" max="10759" width="23.42578125" style="58" bestFit="1" customWidth="1"/>
    <col min="10760" max="10760" width="9.140625" style="58"/>
    <col min="10761" max="10761" width="21.7109375" style="58" bestFit="1" customWidth="1"/>
    <col min="10762" max="11004" width="9.140625" style="58"/>
    <col min="11005" max="11009" width="15" style="58" customWidth="1"/>
    <col min="11010" max="11010" width="20" style="58" bestFit="1" customWidth="1"/>
    <col min="11011" max="11011" width="20.7109375" style="58" bestFit="1" customWidth="1"/>
    <col min="11012" max="11012" width="16.28515625" style="58" customWidth="1"/>
    <col min="11013" max="11013" width="15" style="58" customWidth="1"/>
    <col min="11014" max="11014" width="36.5703125" style="58" customWidth="1"/>
    <col min="11015" max="11015" width="23.42578125" style="58" bestFit="1" customWidth="1"/>
    <col min="11016" max="11016" width="9.140625" style="58"/>
    <col min="11017" max="11017" width="21.7109375" style="58" bestFit="1" customWidth="1"/>
    <col min="11018" max="11260" width="9.140625" style="58"/>
    <col min="11261" max="11265" width="15" style="58" customWidth="1"/>
    <col min="11266" max="11266" width="20" style="58" bestFit="1" customWidth="1"/>
    <col min="11267" max="11267" width="20.7109375" style="58" bestFit="1" customWidth="1"/>
    <col min="11268" max="11268" width="16.28515625" style="58" customWidth="1"/>
    <col min="11269" max="11269" width="15" style="58" customWidth="1"/>
    <col min="11270" max="11270" width="36.5703125" style="58" customWidth="1"/>
    <col min="11271" max="11271" width="23.42578125" style="58" bestFit="1" customWidth="1"/>
    <col min="11272" max="11272" width="9.140625" style="58"/>
    <col min="11273" max="11273" width="21.7109375" style="58" bestFit="1" customWidth="1"/>
    <col min="11274" max="11516" width="9.140625" style="58"/>
    <col min="11517" max="11521" width="15" style="58" customWidth="1"/>
    <col min="11522" max="11522" width="20" style="58" bestFit="1" customWidth="1"/>
    <col min="11523" max="11523" width="20.7109375" style="58" bestFit="1" customWidth="1"/>
    <col min="11524" max="11524" width="16.28515625" style="58" customWidth="1"/>
    <col min="11525" max="11525" width="15" style="58" customWidth="1"/>
    <col min="11526" max="11526" width="36.5703125" style="58" customWidth="1"/>
    <col min="11527" max="11527" width="23.42578125" style="58" bestFit="1" customWidth="1"/>
    <col min="11528" max="11528" width="9.140625" style="58"/>
    <col min="11529" max="11529" width="21.7109375" style="58" bestFit="1" customWidth="1"/>
    <col min="11530" max="11772" width="9.140625" style="58"/>
    <col min="11773" max="11777" width="15" style="58" customWidth="1"/>
    <col min="11778" max="11778" width="20" style="58" bestFit="1" customWidth="1"/>
    <col min="11779" max="11779" width="20.7109375" style="58" bestFit="1" customWidth="1"/>
    <col min="11780" max="11780" width="16.28515625" style="58" customWidth="1"/>
    <col min="11781" max="11781" width="15" style="58" customWidth="1"/>
    <col min="11782" max="11782" width="36.5703125" style="58" customWidth="1"/>
    <col min="11783" max="11783" width="23.42578125" style="58" bestFit="1" customWidth="1"/>
    <col min="11784" max="11784" width="9.140625" style="58"/>
    <col min="11785" max="11785" width="21.7109375" style="58" bestFit="1" customWidth="1"/>
    <col min="11786" max="12028" width="9.140625" style="58"/>
    <col min="12029" max="12033" width="15" style="58" customWidth="1"/>
    <col min="12034" max="12034" width="20" style="58" bestFit="1" customWidth="1"/>
    <col min="12035" max="12035" width="20.7109375" style="58" bestFit="1" customWidth="1"/>
    <col min="12036" max="12036" width="16.28515625" style="58" customWidth="1"/>
    <col min="12037" max="12037" width="15" style="58" customWidth="1"/>
    <col min="12038" max="12038" width="36.5703125" style="58" customWidth="1"/>
    <col min="12039" max="12039" width="23.42578125" style="58" bestFit="1" customWidth="1"/>
    <col min="12040" max="12040" width="9.140625" style="58"/>
    <col min="12041" max="12041" width="21.7109375" style="58" bestFit="1" customWidth="1"/>
    <col min="12042" max="12284" width="9.140625" style="58"/>
    <col min="12285" max="12289" width="15" style="58" customWidth="1"/>
    <col min="12290" max="12290" width="20" style="58" bestFit="1" customWidth="1"/>
    <col min="12291" max="12291" width="20.7109375" style="58" bestFit="1" customWidth="1"/>
    <col min="12292" max="12292" width="16.28515625" style="58" customWidth="1"/>
    <col min="12293" max="12293" width="15" style="58" customWidth="1"/>
    <col min="12294" max="12294" width="36.5703125" style="58" customWidth="1"/>
    <col min="12295" max="12295" width="23.42578125" style="58" bestFit="1" customWidth="1"/>
    <col min="12296" max="12296" width="9.140625" style="58"/>
    <col min="12297" max="12297" width="21.7109375" style="58" bestFit="1" customWidth="1"/>
    <col min="12298" max="12540" width="9.140625" style="58"/>
    <col min="12541" max="12545" width="15" style="58" customWidth="1"/>
    <col min="12546" max="12546" width="20" style="58" bestFit="1" customWidth="1"/>
    <col min="12547" max="12547" width="20.7109375" style="58" bestFit="1" customWidth="1"/>
    <col min="12548" max="12548" width="16.28515625" style="58" customWidth="1"/>
    <col min="12549" max="12549" width="15" style="58" customWidth="1"/>
    <col min="12550" max="12550" width="36.5703125" style="58" customWidth="1"/>
    <col min="12551" max="12551" width="23.42578125" style="58" bestFit="1" customWidth="1"/>
    <col min="12552" max="12552" width="9.140625" style="58"/>
    <col min="12553" max="12553" width="21.7109375" style="58" bestFit="1" customWidth="1"/>
    <col min="12554" max="12796" width="9.140625" style="58"/>
    <col min="12797" max="12801" width="15" style="58" customWidth="1"/>
    <col min="12802" max="12802" width="20" style="58" bestFit="1" customWidth="1"/>
    <col min="12803" max="12803" width="20.7109375" style="58" bestFit="1" customWidth="1"/>
    <col min="12804" max="12804" width="16.28515625" style="58" customWidth="1"/>
    <col min="12805" max="12805" width="15" style="58" customWidth="1"/>
    <col min="12806" max="12806" width="36.5703125" style="58" customWidth="1"/>
    <col min="12807" max="12807" width="23.42578125" style="58" bestFit="1" customWidth="1"/>
    <col min="12808" max="12808" width="9.140625" style="58"/>
    <col min="12809" max="12809" width="21.7109375" style="58" bestFit="1" customWidth="1"/>
    <col min="12810" max="13052" width="9.140625" style="58"/>
    <col min="13053" max="13057" width="15" style="58" customWidth="1"/>
    <col min="13058" max="13058" width="20" style="58" bestFit="1" customWidth="1"/>
    <col min="13059" max="13059" width="20.7109375" style="58" bestFit="1" customWidth="1"/>
    <col min="13060" max="13060" width="16.28515625" style="58" customWidth="1"/>
    <col min="13061" max="13061" width="15" style="58" customWidth="1"/>
    <col min="13062" max="13062" width="36.5703125" style="58" customWidth="1"/>
    <col min="13063" max="13063" width="23.42578125" style="58" bestFit="1" customWidth="1"/>
    <col min="13064" max="13064" width="9.140625" style="58"/>
    <col min="13065" max="13065" width="21.7109375" style="58" bestFit="1" customWidth="1"/>
    <col min="13066" max="13308" width="9.140625" style="58"/>
    <col min="13309" max="13313" width="15" style="58" customWidth="1"/>
    <col min="13314" max="13314" width="20" style="58" bestFit="1" customWidth="1"/>
    <col min="13315" max="13315" width="20.7109375" style="58" bestFit="1" customWidth="1"/>
    <col min="13316" max="13316" width="16.28515625" style="58" customWidth="1"/>
    <col min="13317" max="13317" width="15" style="58" customWidth="1"/>
    <col min="13318" max="13318" width="36.5703125" style="58" customWidth="1"/>
    <col min="13319" max="13319" width="23.42578125" style="58" bestFit="1" customWidth="1"/>
    <col min="13320" max="13320" width="9.140625" style="58"/>
    <col min="13321" max="13321" width="21.7109375" style="58" bestFit="1" customWidth="1"/>
    <col min="13322" max="13564" width="9.140625" style="58"/>
    <col min="13565" max="13569" width="15" style="58" customWidth="1"/>
    <col min="13570" max="13570" width="20" style="58" bestFit="1" customWidth="1"/>
    <col min="13571" max="13571" width="20.7109375" style="58" bestFit="1" customWidth="1"/>
    <col min="13572" max="13572" width="16.28515625" style="58" customWidth="1"/>
    <col min="13573" max="13573" width="15" style="58" customWidth="1"/>
    <col min="13574" max="13574" width="36.5703125" style="58" customWidth="1"/>
    <col min="13575" max="13575" width="23.42578125" style="58" bestFit="1" customWidth="1"/>
    <col min="13576" max="13576" width="9.140625" style="58"/>
    <col min="13577" max="13577" width="21.7109375" style="58" bestFit="1" customWidth="1"/>
    <col min="13578" max="13820" width="9.140625" style="58"/>
    <col min="13821" max="13825" width="15" style="58" customWidth="1"/>
    <col min="13826" max="13826" width="20" style="58" bestFit="1" customWidth="1"/>
    <col min="13827" max="13827" width="20.7109375" style="58" bestFit="1" customWidth="1"/>
    <col min="13828" max="13828" width="16.28515625" style="58" customWidth="1"/>
    <col min="13829" max="13829" width="15" style="58" customWidth="1"/>
    <col min="13830" max="13830" width="36.5703125" style="58" customWidth="1"/>
    <col min="13831" max="13831" width="23.42578125" style="58" bestFit="1" customWidth="1"/>
    <col min="13832" max="13832" width="9.140625" style="58"/>
    <col min="13833" max="13833" width="21.7109375" style="58" bestFit="1" customWidth="1"/>
    <col min="13834" max="14076" width="9.140625" style="58"/>
    <col min="14077" max="14081" width="15" style="58" customWidth="1"/>
    <col min="14082" max="14082" width="20" style="58" bestFit="1" customWidth="1"/>
    <col min="14083" max="14083" width="20.7109375" style="58" bestFit="1" customWidth="1"/>
    <col min="14084" max="14084" width="16.28515625" style="58" customWidth="1"/>
    <col min="14085" max="14085" width="15" style="58" customWidth="1"/>
    <col min="14086" max="14086" width="36.5703125" style="58" customWidth="1"/>
    <col min="14087" max="14087" width="23.42578125" style="58" bestFit="1" customWidth="1"/>
    <col min="14088" max="14088" width="9.140625" style="58"/>
    <col min="14089" max="14089" width="21.7109375" style="58" bestFit="1" customWidth="1"/>
    <col min="14090" max="14332" width="9.140625" style="58"/>
    <col min="14333" max="14337" width="15" style="58" customWidth="1"/>
    <col min="14338" max="14338" width="20" style="58" bestFit="1" customWidth="1"/>
    <col min="14339" max="14339" width="20.7109375" style="58" bestFit="1" customWidth="1"/>
    <col min="14340" max="14340" width="16.28515625" style="58" customWidth="1"/>
    <col min="14341" max="14341" width="15" style="58" customWidth="1"/>
    <col min="14342" max="14342" width="36.5703125" style="58" customWidth="1"/>
    <col min="14343" max="14343" width="23.42578125" style="58" bestFit="1" customWidth="1"/>
    <col min="14344" max="14344" width="9.140625" style="58"/>
    <col min="14345" max="14345" width="21.7109375" style="58" bestFit="1" customWidth="1"/>
    <col min="14346" max="14588" width="9.140625" style="58"/>
    <col min="14589" max="14593" width="15" style="58" customWidth="1"/>
    <col min="14594" max="14594" width="20" style="58" bestFit="1" customWidth="1"/>
    <col min="14595" max="14595" width="20.7109375" style="58" bestFit="1" customWidth="1"/>
    <col min="14596" max="14596" width="16.28515625" style="58" customWidth="1"/>
    <col min="14597" max="14597" width="15" style="58" customWidth="1"/>
    <col min="14598" max="14598" width="36.5703125" style="58" customWidth="1"/>
    <col min="14599" max="14599" width="23.42578125" style="58" bestFit="1" customWidth="1"/>
    <col min="14600" max="14600" width="9.140625" style="58"/>
    <col min="14601" max="14601" width="21.7109375" style="58" bestFit="1" customWidth="1"/>
    <col min="14602" max="14844" width="9.140625" style="58"/>
    <col min="14845" max="14849" width="15" style="58" customWidth="1"/>
    <col min="14850" max="14850" width="20" style="58" bestFit="1" customWidth="1"/>
    <col min="14851" max="14851" width="20.7109375" style="58" bestFit="1" customWidth="1"/>
    <col min="14852" max="14852" width="16.28515625" style="58" customWidth="1"/>
    <col min="14853" max="14853" width="15" style="58" customWidth="1"/>
    <col min="14854" max="14854" width="36.5703125" style="58" customWidth="1"/>
    <col min="14855" max="14855" width="23.42578125" style="58" bestFit="1" customWidth="1"/>
    <col min="14856" max="14856" width="9.140625" style="58"/>
    <col min="14857" max="14857" width="21.7109375" style="58" bestFit="1" customWidth="1"/>
    <col min="14858" max="15100" width="9.140625" style="58"/>
    <col min="15101" max="15105" width="15" style="58" customWidth="1"/>
    <col min="15106" max="15106" width="20" style="58" bestFit="1" customWidth="1"/>
    <col min="15107" max="15107" width="20.7109375" style="58" bestFit="1" customWidth="1"/>
    <col min="15108" max="15108" width="16.28515625" style="58" customWidth="1"/>
    <col min="15109" max="15109" width="15" style="58" customWidth="1"/>
    <col min="15110" max="15110" width="36.5703125" style="58" customWidth="1"/>
    <col min="15111" max="15111" width="23.42578125" style="58" bestFit="1" customWidth="1"/>
    <col min="15112" max="15112" width="9.140625" style="58"/>
    <col min="15113" max="15113" width="21.7109375" style="58" bestFit="1" customWidth="1"/>
    <col min="15114" max="15356" width="9.140625" style="58"/>
    <col min="15357" max="15361" width="15" style="58" customWidth="1"/>
    <col min="15362" max="15362" width="20" style="58" bestFit="1" customWidth="1"/>
    <col min="15363" max="15363" width="20.7109375" style="58" bestFit="1" customWidth="1"/>
    <col min="15364" max="15364" width="16.28515625" style="58" customWidth="1"/>
    <col min="15365" max="15365" width="15" style="58" customWidth="1"/>
    <col min="15366" max="15366" width="36.5703125" style="58" customWidth="1"/>
    <col min="15367" max="15367" width="23.42578125" style="58" bestFit="1" customWidth="1"/>
    <col min="15368" max="15368" width="9.140625" style="58"/>
    <col min="15369" max="15369" width="21.7109375" style="58" bestFit="1" customWidth="1"/>
    <col min="15370" max="15612" width="9.140625" style="58"/>
    <col min="15613" max="15617" width="15" style="58" customWidth="1"/>
    <col min="15618" max="15618" width="20" style="58" bestFit="1" customWidth="1"/>
    <col min="15619" max="15619" width="20.7109375" style="58" bestFit="1" customWidth="1"/>
    <col min="15620" max="15620" width="16.28515625" style="58" customWidth="1"/>
    <col min="15621" max="15621" width="15" style="58" customWidth="1"/>
    <col min="15622" max="15622" width="36.5703125" style="58" customWidth="1"/>
    <col min="15623" max="15623" width="23.42578125" style="58" bestFit="1" customWidth="1"/>
    <col min="15624" max="15624" width="9.140625" style="58"/>
    <col min="15625" max="15625" width="21.7109375" style="58" bestFit="1" customWidth="1"/>
    <col min="15626" max="15868" width="9.140625" style="58"/>
    <col min="15869" max="15873" width="15" style="58" customWidth="1"/>
    <col min="15874" max="15874" width="20" style="58" bestFit="1" customWidth="1"/>
    <col min="15875" max="15875" width="20.7109375" style="58" bestFit="1" customWidth="1"/>
    <col min="15876" max="15876" width="16.28515625" style="58" customWidth="1"/>
    <col min="15877" max="15877" width="15" style="58" customWidth="1"/>
    <col min="15878" max="15878" width="36.5703125" style="58" customWidth="1"/>
    <col min="15879" max="15879" width="23.42578125" style="58" bestFit="1" customWidth="1"/>
    <col min="15880" max="15880" width="9.140625" style="58"/>
    <col min="15881" max="15881" width="21.7109375" style="58" bestFit="1" customWidth="1"/>
    <col min="15882" max="16124" width="9.140625" style="58"/>
    <col min="16125" max="16129" width="15" style="58" customWidth="1"/>
    <col min="16130" max="16130" width="20" style="58" bestFit="1" customWidth="1"/>
    <col min="16131" max="16131" width="20.7109375" style="58" bestFit="1" customWidth="1"/>
    <col min="16132" max="16132" width="16.28515625" style="58" customWidth="1"/>
    <col min="16133" max="16133" width="15" style="58" customWidth="1"/>
    <col min="16134" max="16134" width="36.5703125" style="58" customWidth="1"/>
    <col min="16135" max="16135" width="23.42578125" style="58" bestFit="1" customWidth="1"/>
    <col min="16136" max="16136" width="9.140625" style="58"/>
    <col min="16137" max="16137" width="21.7109375" style="58" bestFit="1" customWidth="1"/>
    <col min="16138" max="16370" width="9.140625" style="58"/>
    <col min="16371" max="16384" width="9.140625" style="58" customWidth="1"/>
  </cols>
  <sheetData>
    <row r="1" spans="1:9" s="59" customFormat="1" ht="50.25" customHeight="1" x14ac:dyDescent="0.2">
      <c r="A1" s="183" t="s">
        <v>226</v>
      </c>
      <c r="B1" s="184" t="s">
        <v>227</v>
      </c>
      <c r="C1" s="185" t="s">
        <v>228</v>
      </c>
      <c r="D1" s="185" t="s">
        <v>11</v>
      </c>
      <c r="E1" s="186" t="s">
        <v>86</v>
      </c>
      <c r="F1" s="186" t="s">
        <v>229</v>
      </c>
      <c r="G1" s="187" t="s">
        <v>230</v>
      </c>
      <c r="H1" s="188" t="s">
        <v>231</v>
      </c>
      <c r="I1" s="189" t="s">
        <v>75</v>
      </c>
    </row>
    <row r="2" spans="1:9" x14ac:dyDescent="0.2">
      <c r="C2" s="192"/>
      <c r="E2" s="181"/>
    </row>
    <row r="3" spans="1:9" x14ac:dyDescent="0.2">
      <c r="C3" s="192"/>
      <c r="E3" s="181"/>
    </row>
    <row r="4" spans="1:9" x14ac:dyDescent="0.2">
      <c r="C4" s="192"/>
      <c r="E4" s="181"/>
    </row>
    <row r="5" spans="1:9" x14ac:dyDescent="0.2">
      <c r="C5" s="192"/>
      <c r="E5" s="181"/>
    </row>
    <row r="6" spans="1:9" x14ac:dyDescent="0.2">
      <c r="C6" s="192"/>
      <c r="E6" s="181"/>
    </row>
    <row r="7" spans="1:9" x14ac:dyDescent="0.2">
      <c r="C7" s="290"/>
      <c r="E7" s="181"/>
    </row>
    <row r="8" spans="1:9" x14ac:dyDescent="0.2">
      <c r="C8" s="290"/>
      <c r="E8" s="181"/>
    </row>
    <row r="9" spans="1:9" x14ac:dyDescent="0.2">
      <c r="C9" s="290"/>
      <c r="E9" s="181"/>
    </row>
    <row r="10" spans="1:9" x14ac:dyDescent="0.2">
      <c r="C10" s="290"/>
      <c r="E10" s="181"/>
    </row>
    <row r="11" spans="1:9" x14ac:dyDescent="0.2">
      <c r="C11" s="290"/>
      <c r="E11" s="181"/>
    </row>
    <row r="12" spans="1:9" x14ac:dyDescent="0.2">
      <c r="C12" s="192"/>
      <c r="E12" s="181"/>
    </row>
    <row r="13" spans="1:9" x14ac:dyDescent="0.2">
      <c r="C13" s="192"/>
      <c r="E13" s="181"/>
    </row>
    <row r="14" spans="1:9" x14ac:dyDescent="0.2">
      <c r="C14" s="192"/>
      <c r="E14" s="181"/>
    </row>
    <row r="15" spans="1:9" x14ac:dyDescent="0.2">
      <c r="C15" s="192"/>
      <c r="E15" s="181"/>
    </row>
    <row r="16" spans="1:9" x14ac:dyDescent="0.2">
      <c r="C16" s="192"/>
      <c r="E16" s="181"/>
    </row>
    <row r="17" spans="3:5" x14ac:dyDescent="0.2">
      <c r="C17" s="192"/>
      <c r="E17" s="181"/>
    </row>
    <row r="18" spans="3:5" x14ac:dyDescent="0.2">
      <c r="C18" s="192"/>
      <c r="E18" s="181"/>
    </row>
    <row r="19" spans="3:5" x14ac:dyDescent="0.2">
      <c r="C19" s="192"/>
      <c r="E19" s="181"/>
    </row>
    <row r="20" spans="3:5" x14ac:dyDescent="0.2">
      <c r="C20" s="192"/>
      <c r="E20" s="181"/>
    </row>
    <row r="21" spans="3:5" x14ac:dyDescent="0.2">
      <c r="C21" s="192"/>
      <c r="E21" s="181"/>
    </row>
    <row r="22" spans="3:5" x14ac:dyDescent="0.2">
      <c r="C22" s="192"/>
      <c r="E22" s="181"/>
    </row>
    <row r="23" spans="3:5" x14ac:dyDescent="0.2">
      <c r="C23" s="192"/>
      <c r="E23" s="181"/>
    </row>
    <row r="24" spans="3:5" x14ac:dyDescent="0.2">
      <c r="C24" s="192"/>
      <c r="E24" s="181"/>
    </row>
    <row r="25" spans="3:5" x14ac:dyDescent="0.2">
      <c r="C25" s="192"/>
      <c r="E25" s="181"/>
    </row>
    <row r="26" spans="3:5" x14ac:dyDescent="0.2">
      <c r="C26" s="192"/>
      <c r="E26" s="181"/>
    </row>
    <row r="27" spans="3:5" x14ac:dyDescent="0.2">
      <c r="C27" s="192"/>
      <c r="E27" s="181"/>
    </row>
    <row r="28" spans="3:5" x14ac:dyDescent="0.2">
      <c r="C28" s="192"/>
      <c r="E28" s="181"/>
    </row>
    <row r="29" spans="3:5" x14ac:dyDescent="0.2">
      <c r="C29" s="192"/>
      <c r="E29" s="181"/>
    </row>
    <row r="30" spans="3:5" x14ac:dyDescent="0.2">
      <c r="C30" s="192"/>
      <c r="E30" s="181"/>
    </row>
    <row r="31" spans="3:5" x14ac:dyDescent="0.2">
      <c r="C31" s="192"/>
      <c r="E31" s="181"/>
    </row>
    <row r="32" spans="3:5" x14ac:dyDescent="0.2">
      <c r="C32" s="192"/>
      <c r="E32" s="181"/>
    </row>
    <row r="33" spans="3:5" x14ac:dyDescent="0.2">
      <c r="C33" s="192"/>
      <c r="E33" s="181"/>
    </row>
    <row r="34" spans="3:5" x14ac:dyDescent="0.2">
      <c r="C34" s="192"/>
      <c r="E34" s="181"/>
    </row>
    <row r="35" spans="3:5" x14ac:dyDescent="0.2">
      <c r="C35" s="192"/>
      <c r="E35" s="181"/>
    </row>
    <row r="36" spans="3:5" x14ac:dyDescent="0.2">
      <c r="C36" s="192"/>
      <c r="E36" s="181"/>
    </row>
    <row r="37" spans="3:5" x14ac:dyDescent="0.2">
      <c r="C37" s="192"/>
      <c r="E37" s="181"/>
    </row>
    <row r="38" spans="3:5" x14ac:dyDescent="0.2">
      <c r="C38" s="192"/>
      <c r="E38" s="181"/>
    </row>
    <row r="39" spans="3:5" x14ac:dyDescent="0.2">
      <c r="C39" s="192"/>
      <c r="E39" s="181"/>
    </row>
    <row r="40" spans="3:5" x14ac:dyDescent="0.2">
      <c r="C40" s="192"/>
      <c r="E40" s="181"/>
    </row>
    <row r="41" spans="3:5" x14ac:dyDescent="0.2">
      <c r="C41" s="192"/>
      <c r="E41" s="181"/>
    </row>
    <row r="42" spans="3:5" x14ac:dyDescent="0.2">
      <c r="C42" s="192"/>
      <c r="E42" s="181"/>
    </row>
    <row r="43" spans="3:5" x14ac:dyDescent="0.2">
      <c r="C43" s="192"/>
      <c r="E43" s="181"/>
    </row>
    <row r="44" spans="3:5" x14ac:dyDescent="0.2">
      <c r="C44" s="192"/>
      <c r="E44" s="181"/>
    </row>
    <row r="45" spans="3:5" x14ac:dyDescent="0.2">
      <c r="C45" s="192"/>
      <c r="E45" s="181"/>
    </row>
    <row r="46" spans="3:5" x14ac:dyDescent="0.2">
      <c r="C46" s="192"/>
      <c r="E46" s="181"/>
    </row>
    <row r="47" spans="3:5" x14ac:dyDescent="0.2">
      <c r="C47" s="192"/>
      <c r="E47" s="181"/>
    </row>
    <row r="48" spans="3:5" x14ac:dyDescent="0.2">
      <c r="C48" s="192"/>
      <c r="E48" s="181"/>
    </row>
    <row r="49" spans="3:5" x14ac:dyDescent="0.2">
      <c r="C49" s="192"/>
      <c r="E49" s="181"/>
    </row>
    <row r="50" spans="3:5" x14ac:dyDescent="0.2">
      <c r="C50" s="192"/>
      <c r="E50" s="181"/>
    </row>
    <row r="51" spans="3:5" x14ac:dyDescent="0.2">
      <c r="C51" s="192"/>
      <c r="E51" s="181"/>
    </row>
    <row r="52" spans="3:5" x14ac:dyDescent="0.2">
      <c r="C52" s="192"/>
      <c r="E52" s="181"/>
    </row>
    <row r="53" spans="3:5" x14ac:dyDescent="0.2">
      <c r="C53" s="192"/>
      <c r="E53" s="181"/>
    </row>
    <row r="54" spans="3:5" x14ac:dyDescent="0.2">
      <c r="C54" s="192"/>
      <c r="E54" s="181"/>
    </row>
    <row r="55" spans="3:5" x14ac:dyDescent="0.2">
      <c r="C55" s="192"/>
      <c r="E55" s="181"/>
    </row>
    <row r="56" spans="3:5" x14ac:dyDescent="0.2">
      <c r="C56" s="192"/>
      <c r="E56" s="181"/>
    </row>
    <row r="57" spans="3:5" x14ac:dyDescent="0.2">
      <c r="C57" s="192"/>
      <c r="E57" s="181"/>
    </row>
    <row r="58" spans="3:5" x14ac:dyDescent="0.2">
      <c r="C58" s="192"/>
      <c r="E58" s="181"/>
    </row>
    <row r="59" spans="3:5" x14ac:dyDescent="0.2">
      <c r="C59" s="192"/>
      <c r="E59" s="181"/>
    </row>
    <row r="60" spans="3:5" x14ac:dyDescent="0.2">
      <c r="C60" s="192"/>
      <c r="E60" s="181"/>
    </row>
    <row r="61" spans="3:5" x14ac:dyDescent="0.2">
      <c r="C61" s="192"/>
      <c r="E61" s="181"/>
    </row>
    <row r="62" spans="3:5" x14ac:dyDescent="0.2">
      <c r="C62" s="192"/>
      <c r="E62" s="181"/>
    </row>
    <row r="63" spans="3:5" x14ac:dyDescent="0.2">
      <c r="C63" s="192"/>
      <c r="E63" s="181"/>
    </row>
    <row r="64" spans="3:5" x14ac:dyDescent="0.2">
      <c r="C64" s="192"/>
      <c r="E64" s="181"/>
    </row>
    <row r="65" spans="3:5" x14ac:dyDescent="0.2">
      <c r="C65" s="192"/>
      <c r="E65" s="181"/>
    </row>
    <row r="66" spans="3:5" x14ac:dyDescent="0.2">
      <c r="C66" s="192"/>
      <c r="E66" s="181"/>
    </row>
    <row r="67" spans="3:5" x14ac:dyDescent="0.2">
      <c r="C67" s="192"/>
      <c r="E67" s="181"/>
    </row>
    <row r="68" spans="3:5" x14ac:dyDescent="0.2">
      <c r="C68" s="192"/>
      <c r="E68" s="181"/>
    </row>
    <row r="69" spans="3:5" x14ac:dyDescent="0.2">
      <c r="C69" s="192"/>
      <c r="E69" s="181"/>
    </row>
    <row r="70" spans="3:5" x14ac:dyDescent="0.2">
      <c r="C70" s="192"/>
      <c r="E70" s="181"/>
    </row>
    <row r="71" spans="3:5" x14ac:dyDescent="0.2">
      <c r="C71" s="192"/>
      <c r="E71" s="181"/>
    </row>
    <row r="72" spans="3:5" x14ac:dyDescent="0.2">
      <c r="C72" s="192"/>
      <c r="E72" s="181"/>
    </row>
    <row r="73" spans="3:5" x14ac:dyDescent="0.2">
      <c r="C73" s="192"/>
      <c r="E73" s="181"/>
    </row>
    <row r="74" spans="3:5" x14ac:dyDescent="0.2">
      <c r="C74" s="192"/>
      <c r="E74" s="181"/>
    </row>
    <row r="75" spans="3:5" x14ac:dyDescent="0.2">
      <c r="C75" s="192"/>
      <c r="E75" s="181"/>
    </row>
    <row r="76" spans="3:5" x14ac:dyDescent="0.2">
      <c r="C76" s="192"/>
      <c r="E76" s="181"/>
    </row>
    <row r="77" spans="3:5" x14ac:dyDescent="0.2">
      <c r="C77" s="192"/>
      <c r="E77" s="181"/>
    </row>
    <row r="78" spans="3:5" x14ac:dyDescent="0.2">
      <c r="C78" s="192"/>
      <c r="E78" s="181"/>
    </row>
    <row r="79" spans="3:5" x14ac:dyDescent="0.2">
      <c r="C79" s="192"/>
      <c r="E79" s="181"/>
    </row>
    <row r="80" spans="3:5" x14ac:dyDescent="0.2">
      <c r="C80" s="192"/>
      <c r="E80" s="181"/>
    </row>
    <row r="81" spans="3:5" x14ac:dyDescent="0.2">
      <c r="C81" s="192"/>
      <c r="E81" s="181"/>
    </row>
    <row r="82" spans="3:5" x14ac:dyDescent="0.2">
      <c r="C82" s="192"/>
      <c r="E82" s="181"/>
    </row>
    <row r="83" spans="3:5" x14ac:dyDescent="0.2">
      <c r="C83" s="192"/>
      <c r="E83" s="181"/>
    </row>
    <row r="84" spans="3:5" x14ac:dyDescent="0.2">
      <c r="C84" s="192"/>
      <c r="E84" s="181"/>
    </row>
    <row r="85" spans="3:5" x14ac:dyDescent="0.2">
      <c r="C85" s="192"/>
      <c r="E85" s="181"/>
    </row>
    <row r="86" spans="3:5" x14ac:dyDescent="0.2">
      <c r="C86" s="192"/>
      <c r="E86" s="181"/>
    </row>
    <row r="87" spans="3:5" x14ac:dyDescent="0.2">
      <c r="C87" s="192"/>
      <c r="E87" s="181"/>
    </row>
    <row r="88" spans="3:5" x14ac:dyDescent="0.2">
      <c r="C88" s="192"/>
      <c r="E88" s="181"/>
    </row>
    <row r="89" spans="3:5" x14ac:dyDescent="0.2">
      <c r="C89" s="192"/>
      <c r="E89" s="181"/>
    </row>
    <row r="90" spans="3:5" x14ac:dyDescent="0.2">
      <c r="C90" s="192"/>
      <c r="E90" s="181"/>
    </row>
    <row r="91" spans="3:5" x14ac:dyDescent="0.2">
      <c r="C91" s="192"/>
      <c r="E91" s="181"/>
    </row>
    <row r="92" spans="3:5" x14ac:dyDescent="0.2">
      <c r="C92" s="192"/>
      <c r="E92" s="181"/>
    </row>
    <row r="93" spans="3:5" x14ac:dyDescent="0.2">
      <c r="C93" s="192"/>
      <c r="E93" s="181"/>
    </row>
    <row r="94" spans="3:5" x14ac:dyDescent="0.2">
      <c r="C94" s="192"/>
      <c r="E94" s="181"/>
    </row>
    <row r="95" spans="3:5" x14ac:dyDescent="0.2">
      <c r="C95" s="192"/>
      <c r="E95" s="181"/>
    </row>
    <row r="96" spans="3:5" x14ac:dyDescent="0.2">
      <c r="C96" s="192"/>
      <c r="E96" s="181"/>
    </row>
    <row r="97" spans="3:5" x14ac:dyDescent="0.2">
      <c r="C97" s="192"/>
      <c r="E97" s="181"/>
    </row>
    <row r="98" spans="3:5" x14ac:dyDescent="0.2">
      <c r="C98" s="192"/>
      <c r="E98" s="181"/>
    </row>
    <row r="99" spans="3:5" x14ac:dyDescent="0.2">
      <c r="C99" s="192"/>
      <c r="E99" s="181"/>
    </row>
    <row r="100" spans="3:5" x14ac:dyDescent="0.2">
      <c r="C100" s="192"/>
      <c r="E100" s="181"/>
    </row>
    <row r="101" spans="3:5" x14ac:dyDescent="0.2">
      <c r="C101" s="192"/>
      <c r="E101" s="181"/>
    </row>
    <row r="102" spans="3:5" x14ac:dyDescent="0.2">
      <c r="C102" s="192"/>
      <c r="E102" s="181"/>
    </row>
    <row r="103" spans="3:5" x14ac:dyDescent="0.2">
      <c r="C103" s="192"/>
      <c r="E103" s="181"/>
    </row>
    <row r="104" spans="3:5" x14ac:dyDescent="0.2">
      <c r="C104" s="192"/>
      <c r="E104" s="181"/>
    </row>
    <row r="105" spans="3:5" x14ac:dyDescent="0.2">
      <c r="C105" s="192"/>
      <c r="E105" s="181"/>
    </row>
    <row r="106" spans="3:5" x14ac:dyDescent="0.2">
      <c r="C106" s="192"/>
      <c r="E106" s="181"/>
    </row>
    <row r="107" spans="3:5" x14ac:dyDescent="0.2">
      <c r="C107" s="192"/>
      <c r="E107" s="181"/>
    </row>
    <row r="108" spans="3:5" x14ac:dyDescent="0.2">
      <c r="C108" s="192"/>
      <c r="E108" s="181"/>
    </row>
    <row r="109" spans="3:5" x14ac:dyDescent="0.2">
      <c r="C109" s="192"/>
      <c r="E109" s="181"/>
    </row>
    <row r="110" spans="3:5" x14ac:dyDescent="0.2">
      <c r="C110" s="192"/>
      <c r="E110" s="181"/>
    </row>
    <row r="111" spans="3:5" x14ac:dyDescent="0.2">
      <c r="C111" s="192"/>
      <c r="E111" s="181"/>
    </row>
    <row r="112" spans="3:5" x14ac:dyDescent="0.2">
      <c r="C112" s="192"/>
      <c r="E112" s="181"/>
    </row>
    <row r="113" spans="3:5" x14ac:dyDescent="0.2">
      <c r="C113" s="192"/>
      <c r="E113" s="181"/>
    </row>
    <row r="114" spans="3:5" x14ac:dyDescent="0.2">
      <c r="C114" s="192"/>
      <c r="E114" s="181"/>
    </row>
    <row r="115" spans="3:5" x14ac:dyDescent="0.2">
      <c r="C115" s="192"/>
      <c r="E115" s="181"/>
    </row>
    <row r="116" spans="3:5" x14ac:dyDescent="0.2">
      <c r="C116" s="192"/>
      <c r="E116" s="181"/>
    </row>
    <row r="117" spans="3:5" x14ac:dyDescent="0.2">
      <c r="C117" s="192"/>
      <c r="E117" s="181"/>
    </row>
    <row r="118" spans="3:5" x14ac:dyDescent="0.2">
      <c r="C118" s="192"/>
      <c r="E118" s="181"/>
    </row>
    <row r="119" spans="3:5" x14ac:dyDescent="0.2">
      <c r="C119" s="192"/>
      <c r="E119" s="181"/>
    </row>
    <row r="120" spans="3:5" x14ac:dyDescent="0.2">
      <c r="C120" s="192"/>
      <c r="E120" s="181"/>
    </row>
    <row r="121" spans="3:5" x14ac:dyDescent="0.2">
      <c r="C121" s="192"/>
      <c r="E121" s="181"/>
    </row>
    <row r="122" spans="3:5" x14ac:dyDescent="0.2">
      <c r="C122" s="192"/>
      <c r="E122" s="181"/>
    </row>
    <row r="123" spans="3:5" x14ac:dyDescent="0.2">
      <c r="C123" s="192"/>
      <c r="E123" s="181"/>
    </row>
    <row r="124" spans="3:5" x14ac:dyDescent="0.2">
      <c r="C124" s="192"/>
      <c r="E124" s="181"/>
    </row>
    <row r="125" spans="3:5" x14ac:dyDescent="0.2">
      <c r="C125" s="192"/>
      <c r="E125" s="181"/>
    </row>
    <row r="126" spans="3:5" x14ac:dyDescent="0.2">
      <c r="C126" s="192"/>
      <c r="E126" s="181"/>
    </row>
    <row r="127" spans="3:5" x14ac:dyDescent="0.2">
      <c r="C127" s="192"/>
      <c r="E127" s="181"/>
    </row>
    <row r="128" spans="3:5" x14ac:dyDescent="0.2">
      <c r="C128" s="192"/>
      <c r="E128" s="181"/>
    </row>
    <row r="129" spans="3:5" x14ac:dyDescent="0.2">
      <c r="C129" s="192"/>
      <c r="E129" s="181"/>
    </row>
    <row r="130" spans="3:5" x14ac:dyDescent="0.2">
      <c r="C130" s="192"/>
      <c r="E130" s="181"/>
    </row>
    <row r="131" spans="3:5" x14ac:dyDescent="0.2">
      <c r="C131" s="192"/>
      <c r="E131" s="181"/>
    </row>
    <row r="132" spans="3:5" x14ac:dyDescent="0.2">
      <c r="C132" s="192"/>
      <c r="E132" s="181"/>
    </row>
    <row r="133" spans="3:5" x14ac:dyDescent="0.2">
      <c r="C133" s="192"/>
      <c r="E133" s="181"/>
    </row>
    <row r="134" spans="3:5" x14ac:dyDescent="0.2">
      <c r="C134" s="192"/>
      <c r="E134" s="181"/>
    </row>
    <row r="135" spans="3:5" x14ac:dyDescent="0.2">
      <c r="C135" s="192"/>
      <c r="E135" s="181"/>
    </row>
    <row r="136" spans="3:5" x14ac:dyDescent="0.2">
      <c r="C136" s="192"/>
      <c r="E136" s="181"/>
    </row>
    <row r="137" spans="3:5" x14ac:dyDescent="0.2">
      <c r="C137" s="192"/>
      <c r="E137" s="181"/>
    </row>
    <row r="138" spans="3:5" x14ac:dyDescent="0.2">
      <c r="C138" s="192"/>
      <c r="E138" s="181"/>
    </row>
    <row r="139" spans="3:5" x14ac:dyDescent="0.2">
      <c r="C139" s="192"/>
      <c r="E139" s="181"/>
    </row>
    <row r="140" spans="3:5" x14ac:dyDescent="0.2">
      <c r="C140" s="192"/>
      <c r="E140" s="181"/>
    </row>
    <row r="141" spans="3:5" x14ac:dyDescent="0.2">
      <c r="C141" s="192"/>
      <c r="E141" s="181"/>
    </row>
    <row r="142" spans="3:5" x14ac:dyDescent="0.2">
      <c r="C142" s="192"/>
      <c r="E142" s="181"/>
    </row>
    <row r="143" spans="3:5" x14ac:dyDescent="0.2">
      <c r="C143" s="192"/>
      <c r="E143" s="181"/>
    </row>
    <row r="144" spans="3:5" x14ac:dyDescent="0.2">
      <c r="C144" s="192"/>
      <c r="E144" s="181"/>
    </row>
    <row r="145" spans="3:5" x14ac:dyDescent="0.2">
      <c r="C145" s="192"/>
      <c r="E145" s="181"/>
    </row>
    <row r="146" spans="3:5" x14ac:dyDescent="0.2">
      <c r="C146" s="192"/>
      <c r="E146" s="181"/>
    </row>
    <row r="147" spans="3:5" x14ac:dyDescent="0.2">
      <c r="C147" s="192"/>
      <c r="E147" s="181"/>
    </row>
    <row r="148" spans="3:5" x14ac:dyDescent="0.2">
      <c r="C148" s="192"/>
      <c r="E148" s="181"/>
    </row>
    <row r="149" spans="3:5" x14ac:dyDescent="0.2">
      <c r="C149" s="192"/>
      <c r="E149" s="181"/>
    </row>
    <row r="150" spans="3:5" x14ac:dyDescent="0.2">
      <c r="C150" s="192"/>
      <c r="E150" s="181"/>
    </row>
    <row r="151" spans="3:5" x14ac:dyDescent="0.2">
      <c r="C151" s="192"/>
      <c r="E151" s="181"/>
    </row>
    <row r="152" spans="3:5" x14ac:dyDescent="0.2">
      <c r="C152" s="192"/>
      <c r="E152" s="181"/>
    </row>
    <row r="153" spans="3:5" x14ac:dyDescent="0.2">
      <c r="C153" s="192"/>
      <c r="E153" s="181"/>
    </row>
    <row r="154" spans="3:5" x14ac:dyDescent="0.2">
      <c r="C154" s="192"/>
      <c r="E154" s="181"/>
    </row>
    <row r="155" spans="3:5" x14ac:dyDescent="0.2">
      <c r="C155" s="192"/>
      <c r="E155" s="181"/>
    </row>
    <row r="156" spans="3:5" x14ac:dyDescent="0.2">
      <c r="C156" s="192"/>
      <c r="E156" s="181"/>
    </row>
    <row r="157" spans="3:5" x14ac:dyDescent="0.2">
      <c r="C157" s="192"/>
      <c r="E157" s="181"/>
    </row>
    <row r="158" spans="3:5" x14ac:dyDescent="0.2">
      <c r="C158" s="192"/>
      <c r="E158" s="181"/>
    </row>
    <row r="159" spans="3:5" x14ac:dyDescent="0.2">
      <c r="C159" s="192"/>
      <c r="E159" s="181"/>
    </row>
    <row r="160" spans="3:5" x14ac:dyDescent="0.2">
      <c r="C160" s="192"/>
      <c r="E160" s="181"/>
    </row>
    <row r="161" spans="3:5" x14ac:dyDescent="0.2">
      <c r="C161" s="192"/>
      <c r="E161" s="181"/>
    </row>
    <row r="162" spans="3:5" x14ac:dyDescent="0.2">
      <c r="C162" s="192"/>
      <c r="E162" s="181"/>
    </row>
    <row r="163" spans="3:5" x14ac:dyDescent="0.2">
      <c r="C163" s="192"/>
      <c r="E163" s="181"/>
    </row>
    <row r="164" spans="3:5" x14ac:dyDescent="0.2">
      <c r="C164" s="192"/>
      <c r="E164" s="181"/>
    </row>
    <row r="165" spans="3:5" x14ac:dyDescent="0.2">
      <c r="C165" s="192"/>
      <c r="E165" s="181"/>
    </row>
    <row r="166" spans="3:5" x14ac:dyDescent="0.2">
      <c r="C166" s="192"/>
      <c r="E166" s="181"/>
    </row>
    <row r="167" spans="3:5" x14ac:dyDescent="0.2">
      <c r="C167" s="192"/>
      <c r="E167" s="181"/>
    </row>
    <row r="168" spans="3:5" x14ac:dyDescent="0.2">
      <c r="C168" s="192"/>
      <c r="E168" s="181"/>
    </row>
    <row r="169" spans="3:5" x14ac:dyDescent="0.2">
      <c r="C169" s="192"/>
      <c r="E169" s="181"/>
    </row>
    <row r="170" spans="3:5" x14ac:dyDescent="0.2">
      <c r="C170" s="192"/>
      <c r="E170" s="181"/>
    </row>
    <row r="171" spans="3:5" x14ac:dyDescent="0.2">
      <c r="C171" s="192"/>
      <c r="E171" s="181"/>
    </row>
    <row r="172" spans="3:5" x14ac:dyDescent="0.2">
      <c r="C172" s="192"/>
      <c r="E172" s="181"/>
    </row>
    <row r="173" spans="3:5" x14ac:dyDescent="0.2">
      <c r="C173" s="192"/>
      <c r="E173" s="181"/>
    </row>
    <row r="174" spans="3:5" x14ac:dyDescent="0.2">
      <c r="C174" s="192"/>
      <c r="E174" s="181"/>
    </row>
    <row r="175" spans="3:5" x14ac:dyDescent="0.2">
      <c r="C175" s="192"/>
      <c r="E175" s="181"/>
    </row>
    <row r="176" spans="3:5" x14ac:dyDescent="0.2">
      <c r="C176" s="192"/>
      <c r="E176" s="181"/>
    </row>
    <row r="177" spans="3:5" x14ac:dyDescent="0.2">
      <c r="C177" s="192"/>
      <c r="E177" s="181"/>
    </row>
    <row r="178" spans="3:5" x14ac:dyDescent="0.2">
      <c r="C178" s="192"/>
      <c r="E178" s="181"/>
    </row>
    <row r="179" spans="3:5" x14ac:dyDescent="0.2">
      <c r="C179" s="192"/>
      <c r="E179" s="181"/>
    </row>
    <row r="180" spans="3:5" x14ac:dyDescent="0.2">
      <c r="C180" s="192"/>
      <c r="E180" s="181"/>
    </row>
    <row r="181" spans="3:5" x14ac:dyDescent="0.2">
      <c r="C181" s="192"/>
      <c r="E181" s="181"/>
    </row>
    <row r="182" spans="3:5" x14ac:dyDescent="0.2">
      <c r="C182" s="192"/>
      <c r="E182" s="181"/>
    </row>
    <row r="183" spans="3:5" x14ac:dyDescent="0.2">
      <c r="C183" s="192"/>
      <c r="E183" s="181"/>
    </row>
    <row r="184" spans="3:5" x14ac:dyDescent="0.2">
      <c r="C184" s="192"/>
      <c r="E184" s="181"/>
    </row>
    <row r="185" spans="3:5" x14ac:dyDescent="0.2">
      <c r="C185" s="192"/>
      <c r="E185" s="181"/>
    </row>
    <row r="186" spans="3:5" x14ac:dyDescent="0.2">
      <c r="C186" s="192"/>
      <c r="E186" s="181"/>
    </row>
    <row r="187" spans="3:5" x14ac:dyDescent="0.2">
      <c r="C187" s="192"/>
      <c r="E187" s="181"/>
    </row>
    <row r="188" spans="3:5" x14ac:dyDescent="0.2">
      <c r="C188" s="192"/>
      <c r="E188" s="181"/>
    </row>
    <row r="189" spans="3:5" x14ac:dyDescent="0.2">
      <c r="C189" s="192"/>
      <c r="E189" s="181"/>
    </row>
    <row r="190" spans="3:5" x14ac:dyDescent="0.2">
      <c r="C190" s="192"/>
      <c r="E190" s="181"/>
    </row>
    <row r="191" spans="3:5" x14ac:dyDescent="0.2">
      <c r="C191" s="192"/>
      <c r="E191" s="181"/>
    </row>
    <row r="192" spans="3:5" x14ac:dyDescent="0.2">
      <c r="C192" s="192"/>
      <c r="E192" s="181"/>
    </row>
    <row r="193" spans="3:5" x14ac:dyDescent="0.2">
      <c r="C193" s="192"/>
      <c r="E193" s="181"/>
    </row>
    <row r="194" spans="3:5" x14ac:dyDescent="0.2">
      <c r="C194" s="192"/>
      <c r="E194" s="181"/>
    </row>
    <row r="195" spans="3:5" x14ac:dyDescent="0.2">
      <c r="C195" s="192"/>
      <c r="E195" s="181"/>
    </row>
    <row r="196" spans="3:5" x14ac:dyDescent="0.2">
      <c r="C196" s="192"/>
      <c r="E196" s="181"/>
    </row>
    <row r="197" spans="3:5" x14ac:dyDescent="0.2">
      <c r="C197" s="192"/>
      <c r="E197" s="181"/>
    </row>
    <row r="198" spans="3:5" x14ac:dyDescent="0.2">
      <c r="C198" s="192"/>
      <c r="E198" s="181"/>
    </row>
    <row r="199" spans="3:5" x14ac:dyDescent="0.2">
      <c r="C199" s="192"/>
      <c r="E199" s="181"/>
    </row>
    <row r="200" spans="3:5" x14ac:dyDescent="0.2">
      <c r="C200" s="192"/>
      <c r="E200" s="181"/>
    </row>
    <row r="201" spans="3:5" x14ac:dyDescent="0.2">
      <c r="C201" s="192"/>
      <c r="E201" s="181"/>
    </row>
    <row r="202" spans="3:5" x14ac:dyDescent="0.2">
      <c r="C202" s="192"/>
      <c r="E202" s="181"/>
    </row>
    <row r="203" spans="3:5" x14ac:dyDescent="0.2">
      <c r="C203" s="192"/>
      <c r="E203" s="181"/>
    </row>
    <row r="204" spans="3:5" x14ac:dyDescent="0.2">
      <c r="C204" s="192"/>
    </row>
    <row r="205" spans="3:5" x14ac:dyDescent="0.2">
      <c r="C205" s="192"/>
    </row>
    <row r="206" spans="3:5" x14ac:dyDescent="0.2">
      <c r="C206" s="192"/>
    </row>
    <row r="207" spans="3:5" x14ac:dyDescent="0.2">
      <c r="C207" s="192"/>
    </row>
    <row r="208" spans="3:5" x14ac:dyDescent="0.2">
      <c r="C208" s="192"/>
    </row>
    <row r="209" spans="3:3" x14ac:dyDescent="0.2">
      <c r="C209" s="192"/>
    </row>
    <row r="210" spans="3:3" x14ac:dyDescent="0.2">
      <c r="C210" s="192"/>
    </row>
    <row r="211" spans="3:3" x14ac:dyDescent="0.2">
      <c r="C211" s="192"/>
    </row>
    <row r="212" spans="3:3" x14ac:dyDescent="0.2">
      <c r="C212" s="192"/>
    </row>
    <row r="213" spans="3:3" x14ac:dyDescent="0.2">
      <c r="C213" s="192"/>
    </row>
    <row r="214" spans="3:3" x14ac:dyDescent="0.2">
      <c r="C214" s="192"/>
    </row>
    <row r="215" spans="3:3" x14ac:dyDescent="0.2">
      <c r="C215" s="192"/>
    </row>
    <row r="216" spans="3:3" x14ac:dyDescent="0.2">
      <c r="C216" s="192"/>
    </row>
    <row r="217" spans="3:3" x14ac:dyDescent="0.2">
      <c r="C217" s="192"/>
    </row>
    <row r="218" spans="3:3" x14ac:dyDescent="0.2">
      <c r="C218" s="192"/>
    </row>
    <row r="219" spans="3:3" x14ac:dyDescent="0.2">
      <c r="C219" s="192"/>
    </row>
    <row r="220" spans="3:3" x14ac:dyDescent="0.2">
      <c r="C220" s="192"/>
    </row>
    <row r="221" spans="3:3" x14ac:dyDescent="0.2">
      <c r="C221" s="192"/>
    </row>
    <row r="222" spans="3:3" x14ac:dyDescent="0.2">
      <c r="C222" s="192"/>
    </row>
    <row r="223" spans="3:3" x14ac:dyDescent="0.2">
      <c r="C223" s="192"/>
    </row>
    <row r="224" spans="3:3" x14ac:dyDescent="0.2">
      <c r="C224" s="192"/>
    </row>
    <row r="225" spans="3:3" x14ac:dyDescent="0.2">
      <c r="C225" s="192"/>
    </row>
    <row r="226" spans="3:3" x14ac:dyDescent="0.2">
      <c r="C226" s="192"/>
    </row>
    <row r="227" spans="3:3" x14ac:dyDescent="0.2">
      <c r="C227" s="192"/>
    </row>
    <row r="228" spans="3:3" x14ac:dyDescent="0.2">
      <c r="C228" s="192"/>
    </row>
    <row r="229" spans="3:3" x14ac:dyDescent="0.2">
      <c r="C229" s="192"/>
    </row>
    <row r="230" spans="3:3" x14ac:dyDescent="0.2">
      <c r="C230" s="192"/>
    </row>
    <row r="231" spans="3:3" x14ac:dyDescent="0.2">
      <c r="C231" s="192"/>
    </row>
    <row r="232" spans="3:3" x14ac:dyDescent="0.2">
      <c r="C232" s="192"/>
    </row>
    <row r="233" spans="3:3" x14ac:dyDescent="0.2">
      <c r="C233" s="192"/>
    </row>
    <row r="234" spans="3:3" x14ac:dyDescent="0.2">
      <c r="C234" s="192"/>
    </row>
    <row r="235" spans="3:3" x14ac:dyDescent="0.2">
      <c r="C235" s="192"/>
    </row>
    <row r="236" spans="3:3" x14ac:dyDescent="0.2">
      <c r="C236" s="192"/>
    </row>
    <row r="237" spans="3:3" x14ac:dyDescent="0.2">
      <c r="C237" s="192"/>
    </row>
    <row r="238" spans="3:3" x14ac:dyDescent="0.2">
      <c r="C238" s="192"/>
    </row>
    <row r="239" spans="3:3" x14ac:dyDescent="0.2">
      <c r="C239" s="192"/>
    </row>
    <row r="240" spans="3:3" x14ac:dyDescent="0.2">
      <c r="C240" s="192"/>
    </row>
    <row r="241" spans="3:3" x14ac:dyDescent="0.2">
      <c r="C241" s="192"/>
    </row>
    <row r="242" spans="3:3" x14ac:dyDescent="0.2">
      <c r="C242" s="192"/>
    </row>
    <row r="243" spans="3:3" x14ac:dyDescent="0.2">
      <c r="C243" s="192"/>
    </row>
    <row r="244" spans="3:3" x14ac:dyDescent="0.2">
      <c r="C244" s="192"/>
    </row>
    <row r="245" spans="3:3" x14ac:dyDescent="0.2">
      <c r="C245" s="192"/>
    </row>
    <row r="246" spans="3:3" x14ac:dyDescent="0.2">
      <c r="C246" s="192"/>
    </row>
    <row r="247" spans="3:3" x14ac:dyDescent="0.2">
      <c r="C247" s="192"/>
    </row>
    <row r="248" spans="3:3" x14ac:dyDescent="0.2">
      <c r="C248" s="192"/>
    </row>
    <row r="249" spans="3:3" x14ac:dyDescent="0.2">
      <c r="C249" s="192"/>
    </row>
    <row r="250" spans="3:3" x14ac:dyDescent="0.2">
      <c r="C250" s="192"/>
    </row>
    <row r="251" spans="3:3" x14ac:dyDescent="0.2">
      <c r="C251" s="192"/>
    </row>
    <row r="252" spans="3:3" x14ac:dyDescent="0.2">
      <c r="C252" s="192"/>
    </row>
    <row r="253" spans="3:3" x14ac:dyDescent="0.2">
      <c r="C253" s="192"/>
    </row>
    <row r="254" spans="3:3" x14ac:dyDescent="0.2">
      <c r="C254" s="192"/>
    </row>
    <row r="255" spans="3:3" x14ac:dyDescent="0.2">
      <c r="C255" s="192"/>
    </row>
    <row r="256" spans="3:3" x14ac:dyDescent="0.2">
      <c r="C256" s="192"/>
    </row>
    <row r="257" spans="3:3" x14ac:dyDescent="0.2">
      <c r="C257" s="192"/>
    </row>
    <row r="258" spans="3:3" x14ac:dyDescent="0.2">
      <c r="C258" s="192"/>
    </row>
    <row r="259" spans="3:3" x14ac:dyDescent="0.2">
      <c r="C259" s="192"/>
    </row>
    <row r="260" spans="3:3" x14ac:dyDescent="0.2">
      <c r="C260" s="192"/>
    </row>
    <row r="261" spans="3:3" x14ac:dyDescent="0.2">
      <c r="C261" s="192"/>
    </row>
    <row r="262" spans="3:3" x14ac:dyDescent="0.2">
      <c r="C262" s="192"/>
    </row>
    <row r="263" spans="3:3" x14ac:dyDescent="0.2">
      <c r="C263" s="192"/>
    </row>
    <row r="264" spans="3:3" x14ac:dyDescent="0.2">
      <c r="C264" s="192"/>
    </row>
    <row r="265" spans="3:3" x14ac:dyDescent="0.2">
      <c r="C265" s="192"/>
    </row>
    <row r="266" spans="3:3" x14ac:dyDescent="0.2">
      <c r="C266" s="192"/>
    </row>
    <row r="267" spans="3:3" x14ac:dyDescent="0.2">
      <c r="C267" s="192"/>
    </row>
    <row r="268" spans="3:3" x14ac:dyDescent="0.2">
      <c r="C268" s="192"/>
    </row>
    <row r="269" spans="3:3" x14ac:dyDescent="0.2">
      <c r="C269" s="192"/>
    </row>
    <row r="270" spans="3:3" x14ac:dyDescent="0.2">
      <c r="C270" s="192"/>
    </row>
    <row r="271" spans="3:3" x14ac:dyDescent="0.2">
      <c r="C271" s="192"/>
    </row>
    <row r="272" spans="3:3" x14ac:dyDescent="0.2">
      <c r="C272" s="192"/>
    </row>
    <row r="273" spans="3:3" x14ac:dyDescent="0.2">
      <c r="C273" s="192"/>
    </row>
    <row r="274" spans="3:3" x14ac:dyDescent="0.2">
      <c r="C274" s="192"/>
    </row>
    <row r="275" spans="3:3" x14ac:dyDescent="0.2">
      <c r="C275" s="192"/>
    </row>
    <row r="276" spans="3:3" x14ac:dyDescent="0.2">
      <c r="C276" s="192"/>
    </row>
    <row r="277" spans="3:3" x14ac:dyDescent="0.2">
      <c r="C277" s="192"/>
    </row>
    <row r="278" spans="3:3" x14ac:dyDescent="0.2">
      <c r="C278" s="192"/>
    </row>
    <row r="279" spans="3:3" x14ac:dyDescent="0.2">
      <c r="C279" s="192"/>
    </row>
    <row r="280" spans="3:3" x14ac:dyDescent="0.2">
      <c r="C280" s="192"/>
    </row>
    <row r="281" spans="3:3" x14ac:dyDescent="0.2">
      <c r="C281" s="192"/>
    </row>
    <row r="282" spans="3:3" x14ac:dyDescent="0.2">
      <c r="C282" s="192"/>
    </row>
    <row r="283" spans="3:3" x14ac:dyDescent="0.2">
      <c r="C283" s="192"/>
    </row>
    <row r="284" spans="3:3" x14ac:dyDescent="0.2">
      <c r="C284" s="192"/>
    </row>
    <row r="285" spans="3:3" x14ac:dyDescent="0.2">
      <c r="C285" s="192"/>
    </row>
    <row r="286" spans="3:3" x14ac:dyDescent="0.2">
      <c r="C286" s="192"/>
    </row>
    <row r="287" spans="3:3" x14ac:dyDescent="0.2">
      <c r="C287" s="192"/>
    </row>
    <row r="288" spans="3:3" x14ac:dyDescent="0.2">
      <c r="C288" s="192"/>
    </row>
    <row r="289" spans="3:3" x14ac:dyDescent="0.2">
      <c r="C289" s="192"/>
    </row>
    <row r="290" spans="3:3" x14ac:dyDescent="0.2">
      <c r="C290" s="192"/>
    </row>
    <row r="291" spans="3:3" x14ac:dyDescent="0.2">
      <c r="C291" s="192"/>
    </row>
    <row r="292" spans="3:3" x14ac:dyDescent="0.2">
      <c r="C292" s="192"/>
    </row>
    <row r="293" spans="3:3" x14ac:dyDescent="0.2">
      <c r="C293" s="192"/>
    </row>
    <row r="294" spans="3:3" x14ac:dyDescent="0.2">
      <c r="C294" s="192"/>
    </row>
    <row r="295" spans="3:3" x14ac:dyDescent="0.2">
      <c r="C295" s="192"/>
    </row>
    <row r="296" spans="3:3" x14ac:dyDescent="0.2">
      <c r="C296" s="192"/>
    </row>
    <row r="297" spans="3:3" x14ac:dyDescent="0.2">
      <c r="C297" s="192"/>
    </row>
    <row r="298" spans="3:3" x14ac:dyDescent="0.2">
      <c r="C298" s="192"/>
    </row>
    <row r="299" spans="3:3" x14ac:dyDescent="0.2">
      <c r="C299" s="192"/>
    </row>
    <row r="300" spans="3:3" x14ac:dyDescent="0.2">
      <c r="C300" s="192"/>
    </row>
    <row r="301" spans="3:3" x14ac:dyDescent="0.2">
      <c r="C301" s="192"/>
    </row>
    <row r="302" spans="3:3" x14ac:dyDescent="0.2">
      <c r="C302" s="192"/>
    </row>
    <row r="303" spans="3:3" x14ac:dyDescent="0.2">
      <c r="C303" s="192"/>
    </row>
    <row r="304" spans="3:3" x14ac:dyDescent="0.2">
      <c r="C304" s="192"/>
    </row>
    <row r="305" spans="3:3" x14ac:dyDescent="0.2">
      <c r="C305" s="192"/>
    </row>
    <row r="306" spans="3:3" x14ac:dyDescent="0.2">
      <c r="C306" s="192"/>
    </row>
    <row r="307" spans="3:3" x14ac:dyDescent="0.2">
      <c r="C307" s="192"/>
    </row>
    <row r="308" spans="3:3" x14ac:dyDescent="0.2">
      <c r="C308" s="192"/>
    </row>
    <row r="309" spans="3:3" x14ac:dyDescent="0.2">
      <c r="C309" s="192"/>
    </row>
    <row r="310" spans="3:3" x14ac:dyDescent="0.2">
      <c r="C310" s="192"/>
    </row>
    <row r="311" spans="3:3" x14ac:dyDescent="0.2">
      <c r="C311" s="192"/>
    </row>
    <row r="312" spans="3:3" x14ac:dyDescent="0.2">
      <c r="C312" s="192"/>
    </row>
    <row r="313" spans="3:3" x14ac:dyDescent="0.2">
      <c r="C313" s="192"/>
    </row>
    <row r="314" spans="3:3" x14ac:dyDescent="0.2">
      <c r="C314" s="192"/>
    </row>
    <row r="315" spans="3:3" x14ac:dyDescent="0.2">
      <c r="C315" s="192"/>
    </row>
    <row r="316" spans="3:3" x14ac:dyDescent="0.2">
      <c r="C316" s="192"/>
    </row>
    <row r="317" spans="3:3" x14ac:dyDescent="0.2">
      <c r="C317" s="192"/>
    </row>
    <row r="318" spans="3:3" x14ac:dyDescent="0.2">
      <c r="C318" s="192"/>
    </row>
    <row r="319" spans="3:3" x14ac:dyDescent="0.2">
      <c r="C319" s="192"/>
    </row>
    <row r="320" spans="3:3" x14ac:dyDescent="0.2">
      <c r="C320" s="192"/>
    </row>
    <row r="321" spans="3:3" x14ac:dyDescent="0.2">
      <c r="C321" s="192"/>
    </row>
    <row r="322" spans="3:3" x14ac:dyDescent="0.2">
      <c r="C322" s="192"/>
    </row>
    <row r="323" spans="3:3" x14ac:dyDescent="0.2">
      <c r="C323" s="192"/>
    </row>
    <row r="324" spans="3:3" x14ac:dyDescent="0.2">
      <c r="C324" s="192"/>
    </row>
    <row r="325" spans="3:3" x14ac:dyDescent="0.2">
      <c r="C325" s="192"/>
    </row>
    <row r="326" spans="3:3" x14ac:dyDescent="0.2">
      <c r="C326" s="192"/>
    </row>
    <row r="327" spans="3:3" x14ac:dyDescent="0.2">
      <c r="C327" s="192"/>
    </row>
    <row r="328" spans="3:3" x14ac:dyDescent="0.2">
      <c r="C328" s="192"/>
    </row>
    <row r="329" spans="3:3" x14ac:dyDescent="0.2">
      <c r="C329" s="192"/>
    </row>
    <row r="330" spans="3:3" x14ac:dyDescent="0.2">
      <c r="C330" s="192"/>
    </row>
    <row r="331" spans="3:3" x14ac:dyDescent="0.2">
      <c r="C331" s="192"/>
    </row>
    <row r="332" spans="3:3" x14ac:dyDescent="0.2">
      <c r="C332" s="192"/>
    </row>
    <row r="333" spans="3:3" x14ac:dyDescent="0.2">
      <c r="C333" s="192"/>
    </row>
    <row r="334" spans="3:3" x14ac:dyDescent="0.2">
      <c r="C334" s="192"/>
    </row>
    <row r="335" spans="3:3" x14ac:dyDescent="0.2">
      <c r="C335" s="192"/>
    </row>
    <row r="336" spans="3:3" x14ac:dyDescent="0.2">
      <c r="C336" s="192"/>
    </row>
    <row r="337" spans="3:3" x14ac:dyDescent="0.2">
      <c r="C337" s="192"/>
    </row>
    <row r="338" spans="3:3" x14ac:dyDescent="0.2">
      <c r="C338" s="192"/>
    </row>
    <row r="339" spans="3:3" x14ac:dyDescent="0.2">
      <c r="C339" s="192"/>
    </row>
    <row r="340" spans="3:3" x14ac:dyDescent="0.2">
      <c r="C340" s="192"/>
    </row>
    <row r="341" spans="3:3" x14ac:dyDescent="0.2">
      <c r="C341" s="192"/>
    </row>
    <row r="342" spans="3:3" x14ac:dyDescent="0.2">
      <c r="C342" s="192"/>
    </row>
  </sheetData>
  <autoFilter ref="A1:I1" xr:uid="{00000000-0009-0000-0000-000005000000}"/>
  <hyperlinks>
    <hyperlink ref="H1" location="Definitions!A25" display="Population sample" xr:uid="{00000000-0004-0000-0500-000006000000}"/>
    <hyperlink ref="F1" location="Definitions!A17" display="Labour status" xr:uid="{00000000-0004-0000-0500-000005000000}"/>
    <hyperlink ref="G1" location="Definitions!A21" display="Population in thousands" xr:uid="{00000000-0004-0000-0500-000004000000}"/>
    <hyperlink ref="B1" location="Definitions!A29" display="Year" xr:uid="{00000000-0004-0000-0500-000003000000}"/>
    <hyperlink ref="C1" location="Definitions!A9" display="Gender" xr:uid="{00000000-0004-0000-0500-000002000000}"/>
    <hyperlink ref="D1" location="Definitions!A5" display="Age" xr:uid="{00000000-0004-0000-0500-000001000000}"/>
    <hyperlink ref="E1" location="Definitions!A15" display="ISCED-A 2011" xr:uid="{00000000-0004-0000-0500-000000000000}"/>
  </hyperlinks>
  <pageMargins left="0.70866141732283472" right="0.70866141732283472" top="0.74803149606299213" bottom="0.74803149606299213" header="0.31496062992125984" footer="0.31496062992125984"/>
  <pageSetup paperSize="9" scale="77" orientation="portrait" r:id="rId1"/>
  <headerFooter>
    <oddFooter>&amp;R&amp;A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5" id="{BFE591F3-40F7-4213-AF9C-FB52E4489FF4}">
            <xm:f>AND(ISERROR(VLOOKUP(C2,Summary_Employed!$AD$7:$AD$8,1,0)), C2&lt;&gt;"")</xm:f>
            <x14:dxf>
              <font>
                <b val="0"/>
                <i val="0"/>
                <color auto="1"/>
              </font>
              <fill>
                <patternFill patternType="solid">
                  <bgColor rgb="FFFF0000"/>
                </patternFill>
              </fill>
            </x14:dxf>
          </x14:cfRule>
          <xm:sqref>C2:C500</xm:sqref>
        </x14:conditionalFormatting>
        <x14:conditionalFormatting xmlns:xm="http://schemas.microsoft.com/office/excel/2006/main">
          <x14:cfRule type="expression" priority="4" id="{9311C2BB-8D39-4798-9698-17ADAE343B7B}">
            <xm:f>AND(ISERROR(VLOOKUP(D2,Summary_Employed!$AE$7:$AE$19,1,0)), D2&lt;&gt;"")</xm:f>
            <x14:dxf>
              <font>
                <color auto="1"/>
              </font>
              <fill>
                <patternFill>
                  <bgColor rgb="FFFF0000"/>
                </patternFill>
              </fill>
            </x14:dxf>
          </x14:cfRule>
          <xm:sqref>D2:D500</xm:sqref>
        </x14:conditionalFormatting>
        <x14:conditionalFormatting xmlns:xm="http://schemas.microsoft.com/office/excel/2006/main">
          <x14:cfRule type="expression" priority="2" id="{0836B285-0EFD-4DC4-AECF-16A79C6B1918}">
            <xm:f>AND(ISERROR(VLOOKUP(F2,Summary_Employed!$AG$6:$AG$9,1,0)), F2&lt;&gt;"")</xm:f>
            <x14:dxf>
              <font>
                <color auto="1"/>
              </font>
              <fill>
                <patternFill>
                  <bgColor rgb="FFFF0000"/>
                </patternFill>
              </fill>
            </x14:dxf>
          </x14:cfRule>
          <xm:sqref>F2:F500</xm:sqref>
        </x14:conditionalFormatting>
        <x14:conditionalFormatting xmlns:xm="http://schemas.microsoft.com/office/excel/2006/main">
          <x14:cfRule type="expression" priority="1" id="{83F8DF00-2C90-4ECA-AE5C-2CF9B1EB8909}">
            <xm:f>AND(ISERROR(VLOOKUP(E2,Summary_Employed!$AF$7:$AF$44,1,0)), E2&lt;&gt;"")</xm:f>
            <x14:dxf>
              <fill>
                <patternFill>
                  <bgColor rgb="FFFF0000"/>
                </patternFill>
              </fill>
            </x14:dxf>
          </x14:cfRule>
          <xm:sqref>E2:E500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249977111117893"/>
    <pageSetUpPr fitToPage="1"/>
  </sheetPr>
  <dimension ref="A1:AK109"/>
  <sheetViews>
    <sheetView zoomScaleNormal="100" zoomScaleSheetLayoutView="100" workbookViewId="0">
      <pane xSplit="2" ySplit="5" topLeftCell="C6" activePane="bottomRight" state="frozen"/>
      <selection pane="topRight"/>
      <selection pane="bottomLeft"/>
      <selection pane="bottomRight"/>
    </sheetView>
  </sheetViews>
  <sheetFormatPr defaultColWidth="9.140625" defaultRowHeight="12.75" x14ac:dyDescent="0.2"/>
  <cols>
    <col min="1" max="1" width="16.5703125" style="1" customWidth="1"/>
    <col min="2" max="2" width="8.28515625" style="1" customWidth="1"/>
    <col min="3" max="4" width="9.28515625" style="3" customWidth="1"/>
    <col min="5" max="6" width="10.28515625" style="3" customWidth="1"/>
    <col min="7" max="7" width="9.7109375" style="3" customWidth="1"/>
    <col min="8" max="8" width="11.42578125" style="3" customWidth="1"/>
    <col min="9" max="10" width="9.28515625" style="3" customWidth="1"/>
    <col min="11" max="11" width="10.42578125" style="3" customWidth="1"/>
    <col min="12" max="12" width="9.28515625" style="3" customWidth="1"/>
    <col min="13" max="14" width="10.7109375" style="3" customWidth="1"/>
    <col min="15" max="15" width="9.28515625" style="3" customWidth="1"/>
    <col min="16" max="16" width="1.28515625" style="3" customWidth="1"/>
    <col min="17" max="17" width="10.85546875" style="3" customWidth="1"/>
    <col min="18" max="18" width="0.85546875" style="3" customWidth="1"/>
    <col min="19" max="21" width="9.140625" style="3"/>
    <col min="22" max="22" width="1.140625" style="3" customWidth="1"/>
    <col min="23" max="24" width="9.140625" style="3"/>
    <col min="25" max="25" width="1.140625" style="3" customWidth="1"/>
    <col min="26" max="27" width="9.28515625" style="3" bestFit="1" customWidth="1"/>
    <col min="28" max="28" width="9.7109375" style="3" customWidth="1"/>
    <col min="29" max="29" width="9.28515625" style="3" bestFit="1" customWidth="1"/>
    <col min="30" max="30" width="10" style="3" bestFit="1" customWidth="1"/>
    <col min="31" max="33" width="9.28515625" style="3" bestFit="1" customWidth="1"/>
    <col min="34" max="34" width="9.140625" style="3"/>
    <col min="35" max="35" width="1.140625" style="3" customWidth="1"/>
    <col min="36" max="37" width="9.140625" style="3"/>
    <col min="38" max="16384" width="9.140625" style="1"/>
  </cols>
  <sheetData>
    <row r="1" spans="1:37" customFormat="1" x14ac:dyDescent="0.2">
      <c r="A1" s="170" t="s">
        <v>78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customFormat="1" x14ac:dyDescent="0.2">
      <c r="A2" s="62" t="s">
        <v>13</v>
      </c>
      <c r="B2" s="63">
        <f>Flat_file!$B$2</f>
        <v>0</v>
      </c>
      <c r="C2" s="3"/>
      <c r="D2" s="63"/>
      <c r="E2" s="2"/>
      <c r="F2" s="2"/>
      <c r="G2" s="2"/>
      <c r="H2" s="3"/>
      <c r="I2" s="3"/>
      <c r="J2" s="3"/>
      <c r="K2" s="3"/>
      <c r="L2" s="3"/>
      <c r="M2" s="3"/>
      <c r="N2" s="3"/>
      <c r="O2" s="3"/>
      <c r="P2" s="3"/>
      <c r="Q2" s="3"/>
      <c r="R2" s="3"/>
      <c r="S2" s="3"/>
      <c r="T2" s="3"/>
      <c r="U2" s="3"/>
      <c r="V2" s="3"/>
      <c r="W2" s="3"/>
      <c r="X2" s="3"/>
      <c r="Y2" s="3"/>
      <c r="Z2" s="2"/>
      <c r="AA2" s="2"/>
      <c r="AB2" s="2"/>
      <c r="AC2" s="3"/>
      <c r="AD2" s="3"/>
      <c r="AE2" s="3"/>
      <c r="AF2" s="3"/>
      <c r="AG2" s="3"/>
      <c r="AH2" s="3"/>
      <c r="AI2" s="3"/>
      <c r="AJ2" s="3"/>
      <c r="AK2" s="2"/>
    </row>
    <row r="3" spans="1:37" customFormat="1" ht="18.75" thickBot="1" x14ac:dyDescent="0.3">
      <c r="C3" s="372" t="s">
        <v>12</v>
      </c>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
      <c r="AD3" s="368" t="s">
        <v>240</v>
      </c>
      <c r="AE3" s="368"/>
      <c r="AF3" s="368"/>
      <c r="AG3" s="368"/>
      <c r="AH3" s="3"/>
      <c r="AI3" s="3"/>
      <c r="AJ3" s="3"/>
      <c r="AK3" s="3"/>
    </row>
    <row r="4" spans="1:37" customFormat="1" ht="79.5" thickBot="1" x14ac:dyDescent="0.25">
      <c r="A4" s="129"/>
      <c r="B4" s="130" t="s">
        <v>11</v>
      </c>
      <c r="C4" s="125" t="s">
        <v>140</v>
      </c>
      <c r="D4" s="125" t="s">
        <v>136</v>
      </c>
      <c r="E4" s="73" t="s">
        <v>137</v>
      </c>
      <c r="F4" s="131" t="s">
        <v>138</v>
      </c>
      <c r="G4" s="73" t="s">
        <v>139</v>
      </c>
      <c r="H4" s="128" t="s">
        <v>141</v>
      </c>
      <c r="I4" s="125" t="s">
        <v>142</v>
      </c>
      <c r="J4" s="126" t="s">
        <v>164</v>
      </c>
      <c r="K4" s="126" t="s">
        <v>128</v>
      </c>
      <c r="L4" s="126" t="s">
        <v>129</v>
      </c>
      <c r="M4" s="126" t="s">
        <v>130</v>
      </c>
      <c r="N4" s="127" t="s">
        <v>120</v>
      </c>
      <c r="O4" s="125" t="s">
        <v>221</v>
      </c>
      <c r="P4" s="4"/>
      <c r="Q4" s="125" t="s">
        <v>169</v>
      </c>
      <c r="R4" s="4"/>
      <c r="S4" s="125" t="s">
        <v>144</v>
      </c>
      <c r="T4" s="125" t="s">
        <v>145</v>
      </c>
      <c r="U4" s="125" t="s">
        <v>8</v>
      </c>
      <c r="V4" s="4"/>
      <c r="W4" s="311" t="s">
        <v>170</v>
      </c>
      <c r="X4" s="312" t="s">
        <v>171</v>
      </c>
      <c r="Y4" s="4"/>
      <c r="Z4" s="123" t="s">
        <v>172</v>
      </c>
      <c r="AA4" s="123" t="s">
        <v>173</v>
      </c>
      <c r="AB4" s="124" t="s">
        <v>174</v>
      </c>
      <c r="AC4" s="3"/>
      <c r="AD4" s="367" t="s">
        <v>236</v>
      </c>
      <c r="AE4" s="367"/>
      <c r="AF4" s="367"/>
      <c r="AG4" s="367"/>
      <c r="AH4" s="3"/>
      <c r="AI4" s="3"/>
      <c r="AJ4" s="3"/>
      <c r="AK4" s="3"/>
    </row>
    <row r="5" spans="1:37" customFormat="1" ht="103.5" customHeight="1" thickBot="1" x14ac:dyDescent="0.25">
      <c r="A5" s="81" t="s">
        <v>105</v>
      </c>
      <c r="B5" s="82"/>
      <c r="C5" s="71" t="s">
        <v>106</v>
      </c>
      <c r="D5" s="71" t="s">
        <v>97</v>
      </c>
      <c r="E5" s="71" t="s">
        <v>108</v>
      </c>
      <c r="F5" s="71" t="s">
        <v>107</v>
      </c>
      <c r="G5" s="71" t="s">
        <v>109</v>
      </c>
      <c r="H5" s="71" t="s">
        <v>110</v>
      </c>
      <c r="I5" s="72" t="s">
        <v>111</v>
      </c>
      <c r="J5" s="71" t="s">
        <v>112</v>
      </c>
      <c r="K5" s="71" t="s">
        <v>113</v>
      </c>
      <c r="L5" s="71" t="s">
        <v>114</v>
      </c>
      <c r="M5" s="71" t="s">
        <v>115</v>
      </c>
      <c r="N5" s="275" t="s">
        <v>121</v>
      </c>
      <c r="O5" s="76"/>
      <c r="P5" s="72"/>
      <c r="Q5" s="73" t="str">
        <f>CONCATENATE(H5&amp;", "&amp;I5&amp;", "&amp;J5&amp;", "&amp;K5&amp;", "&amp;L5&amp;", "&amp;M5)</f>
        <v>343, 344, 353, 354, 443, 444, 453, 454, 540, 550, 560, 640, 650, 660, 740, 750, 760, 840, 850, 860</v>
      </c>
      <c r="R5" s="72"/>
      <c r="S5" s="73" t="str">
        <f>CONCATENATE(C5&amp;", "&amp;D5&amp;", "&amp;E5&amp;", "&amp;F5&amp;", "&amp;G5)</f>
        <v>010, 020, 030, 100, 242, 252, 243, 244, 253, 254, 342, 352</v>
      </c>
      <c r="T5" s="73" t="str">
        <f>CONCATENATE(H5&amp;", "&amp;I5)</f>
        <v>343, 344, 353, 354, 443, 444, 453, 454</v>
      </c>
      <c r="U5" s="73" t="str">
        <f>CONCATENATE(J5&amp;", "&amp;K5&amp;", "&amp;L5&amp;", "&amp;M5)</f>
        <v>540, 550, 560, 640, 650, 660, 740, 750, 760, 840, 850, 860</v>
      </c>
      <c r="V5" s="72"/>
      <c r="W5" s="71" t="s">
        <v>118</v>
      </c>
      <c r="X5" s="71" t="s">
        <v>119</v>
      </c>
      <c r="Y5" s="72"/>
      <c r="Z5" s="77" t="s">
        <v>122</v>
      </c>
      <c r="AA5" s="77" t="s">
        <v>123</v>
      </c>
      <c r="AB5" s="74" t="s">
        <v>124</v>
      </c>
      <c r="AC5" s="3"/>
      <c r="AD5" s="201" t="s">
        <v>228</v>
      </c>
      <c r="AE5" s="201" t="s">
        <v>11</v>
      </c>
      <c r="AF5" s="201" t="s">
        <v>86</v>
      </c>
      <c r="AG5" s="201" t="s">
        <v>229</v>
      </c>
      <c r="AH5" s="3"/>
      <c r="AI5" s="3"/>
    </row>
    <row r="6" spans="1:37" customFormat="1" x14ac:dyDescent="0.2">
      <c r="A6" s="351" t="s">
        <v>5</v>
      </c>
      <c r="B6" s="78" t="s">
        <v>87</v>
      </c>
      <c r="C6" s="86">
        <f>SUMIFS(Flat_file!$G:$G,Flat_file!$B:$B,Summary_Employed!$B$2,Flat_file!$C:$C,"Men",Flat_file!$D:$D,"15-19",Flat_file!$E:$E,"010",Flat_file!$F:$F,"E")+SUMIFS(Flat_file!$G:$G,Flat_file!$B:$B,Summary_Employed!$B$2,Flat_file!$C:$C,"Men",Flat_file!$D:$D,"15-19",Flat_file!$E:$E,"020",Flat_file!$F:$F,"E")+SUMIFS(Flat_file!$G:$G,Flat_file!$B:$B,Summary_Employed!$B$2,Flat_file!$C:$C,"Men",Flat_file!$D:$D,"15-19",Flat_file!$E:$E,"030",Flat_file!$F:$F,"E")</f>
        <v>0</v>
      </c>
      <c r="D6" s="86">
        <f>SUMIFS(Flat_file!$G:$G,Flat_file!$B:$B,Summary_Employed!$B$2,Flat_file!$C:$C,"Men",Flat_file!$D:$D,"15-19",Flat_file!$E:$E,"100",Flat_file!$F:$F,"E")</f>
        <v>0</v>
      </c>
      <c r="E6" s="86">
        <f>SUMIFS(Flat_file!$G:$G,Flat_file!$B:$B,Summary_Employed!$B$2,Flat_file!$C:$C,"Men",Flat_file!$D:$D,"15-19",Flat_file!$E:$E,"242",Flat_file!$F:$F,"E")+SUMIFS(Flat_file!$G:$G,Flat_file!$B:$B,Summary_Employed!$B$2,Flat_file!$C:$C,"Men",Flat_file!$D:$D,"15-19",Flat_file!$E:$E,"252",Flat_file!$F:$F,"E")</f>
        <v>0</v>
      </c>
      <c r="F6" s="86">
        <f>SUMIFS(Flat_file!$G:$G,Flat_file!$B:$B,Summary_Employed!$B$2,Flat_file!$C:$C,"Men",Flat_file!$D:$D,"15-19",Flat_file!$E:$E,"243",Flat_file!$F:$F,"E")+SUMIFS(Flat_file!$G:$G,Flat_file!$B:$B,Summary_Employed!$B$2,Flat_file!$C:$C,"Men",Flat_file!$D:$D,"15-19",Flat_file!$E:$E,"244",Flat_file!$F:$F,"E")+SUMIFS(Flat_file!$G:$G,Flat_file!$B:$B,Summary_Employed!$B$2,Flat_file!$C:$C,"Men",Flat_file!$D:$D,"15-19",Flat_file!$E:$E,"253",Flat_file!$F:$F,"E")+SUMIFS(Flat_file!$G:$G,Flat_file!$B:$B,Summary_Employed!$B$2,Flat_file!$C:$C,"Men",Flat_file!$D:$D,"15-19",Flat_file!$E:$E,"254",Flat_file!$F:$F,"E")</f>
        <v>0</v>
      </c>
      <c r="G6" s="86">
        <f>SUMIFS(Flat_file!$G:$G,Flat_file!$B:$B,Summary_Employed!$B$2,Flat_file!$C:$C,"Men",Flat_file!$D:$D,"15-19",Flat_file!$E:$E,"342",Flat_file!$F:$F,"E")+SUMIFS(Flat_file!$G:$G,Flat_file!$B:$B,Summary_Employed!$B$2,Flat_file!$C:$C,"Men",Flat_file!$D:$D,"15-19",Flat_file!$E:$E,"352",Flat_file!$F:$F,"E")</f>
        <v>0</v>
      </c>
      <c r="H6" s="86">
        <f>SUMIFS(Flat_file!$G:$G,Flat_file!$B:$B,Summary_Employed!$B$2,Flat_file!$C:$C,"Men",Flat_file!$D:$D,"15-19",Flat_file!$E:$E,"343",Flat_file!$F:$F,"E")+SUMIFS(Flat_file!$G:$G,Flat_file!$B:$B,Summary_Employed!$B$2,Flat_file!$C:$C,"Men",Flat_file!$D:$D,"15-19",Flat_file!$E:$E,"344",Flat_file!$F:$F,"E")+SUMIFS(Flat_file!$G:$G,Flat_file!$B:$B,Summary_Employed!$B$2,Flat_file!$C:$C,"Men",Flat_file!$D:$D,"15-19",Flat_file!$E:$E,"353",Flat_file!$F:$F,"E")+SUMIFS(Flat_file!$G:$G,Flat_file!$B:$B,Summary_Employed!$B$2,Flat_file!$C:$C,"Men",Flat_file!$D:$D,"15-19",Flat_file!$E:$E,"354",Flat_file!$F:$F,"E")</f>
        <v>0</v>
      </c>
      <c r="I6" s="86">
        <f>SUMIFS(Flat_file!$G:$G,Flat_file!$B:$B,Summary_Employed!$B$2,Flat_file!$C:$C,"Men",Flat_file!$D:$D,"15-19",Flat_file!$E:$E,"443",Flat_file!$F:$F,"E")+SUMIFS(Flat_file!$G:$G,Flat_file!$B:$B,Summary_Employed!$B$2,Flat_file!$C:$C,"Men",Flat_file!$D:$D,"15-19",Flat_file!$E:$E,"444",Flat_file!$F:$F,"E")+SUMIFS(Flat_file!$G:$G,Flat_file!$B:$B,Summary_Employed!$B$2,Flat_file!$C:$C,"Men",Flat_file!$D:$D,"15-19",Flat_file!$E:$E,"453",Flat_file!$F:$F,"E")+SUMIFS(Flat_file!$G:$G,Flat_file!$B:$B,Summary_Employed!$B$2,Flat_file!$C:$C,"Men",Flat_file!$D:$D,"15-19",Flat_file!$E:$E,"454",Flat_file!$F:$F,"E")</f>
        <v>0</v>
      </c>
      <c r="J6" s="86">
        <f>SUMIFS(Flat_file!$G:$G,Flat_file!$B:$B,Summary_Employed!$B$2,Flat_file!$C:$C,"Men",Flat_file!$D:$D,"15-19",Flat_file!$E:$E,"540",Flat_file!$F:$F,"E")+SUMIFS(Flat_file!$G:$G,Flat_file!$B:$B,Summary_Employed!$B$2,Flat_file!$C:$C,"Men",Flat_file!$D:$D,"15-19",Flat_file!$E:$E,"550",Flat_file!$F:$F,"E")+SUMIFS(Flat_file!$G:$G,Flat_file!$B:$B,Summary_Employed!$B$2,Flat_file!$C:$C,"Men",Flat_file!$D:$D,"15-19",Flat_file!$E:$E,"560",Flat_file!$F:$F,"E")</f>
        <v>0</v>
      </c>
      <c r="K6" s="86">
        <f>SUMIFS(Flat_file!$G:$G,Flat_file!$B:$B,Summary_Employed!$B$2,Flat_file!$C:$C,"Men",Flat_file!$D:$D,"15-19",Flat_file!$E:$E,"640",Flat_file!$F:$F,"E")+SUMIFS(Flat_file!$G:$G,Flat_file!$B:$B,Summary_Employed!$B$2,Flat_file!$C:$C,"Men",Flat_file!$D:$D,"15-19",Flat_file!$E:$E,"650",Flat_file!$F:$F,"E")+SUMIFS(Flat_file!$G:$G,Flat_file!$B:$B,Summary_Employed!$B$2,Flat_file!$C:$C,"Men",Flat_file!$D:$D,"15-19",Flat_file!$E:$E,"660",Flat_file!$F:$F,"E")</f>
        <v>0</v>
      </c>
      <c r="L6" s="86">
        <f>SUMIFS(Flat_file!$G:$G,Flat_file!$B:$B,Summary_Employed!$B$2,Flat_file!$C:$C,"Men",Flat_file!$D:$D,"15-19",Flat_file!$E:$E,"740",Flat_file!$F:$F,"E")+SUMIFS(Flat_file!$G:$G,Flat_file!$B:$B,Summary_Employed!$B$2,Flat_file!$C:$C,"Men",Flat_file!$D:$D,"15-19",Flat_file!$E:$E,"750",Flat_file!$F:$F,"E")+SUMIFS(Flat_file!$G:$G,Flat_file!$B:$B,Summary_Employed!$B$2,Flat_file!$C:$C,"Men",Flat_file!$D:$D,"15-19",Flat_file!$E:$E,"760",Flat_file!$F:$F,"E")</f>
        <v>0</v>
      </c>
      <c r="M6" s="86">
        <f>SUMIFS(Flat_file!$G:$G,Flat_file!$B:$B,Summary_Employed!$B$2,Flat_file!$C:$C,"Men",Flat_file!$D:$D,"15-19",Flat_file!$E:$E,"840",Flat_file!$F:$F,"E")+SUMIFS(Flat_file!$G:$G,Flat_file!$B:$B,Summary_Employed!$B$2,Flat_file!$C:$C,"Men",Flat_file!$D:$D,"15-19",Flat_file!$E:$E,"850",Flat_file!$F:$F,"E")+SUMIFS(Flat_file!$G:$G,Flat_file!$B:$B,Summary_Employed!$B$2,Flat_file!$C:$C,"Men",Flat_file!$D:$D,"15-19",Flat_file!$E:$E,"860",Flat_file!$F:$F,"E")</f>
        <v>0</v>
      </c>
      <c r="N6" s="86">
        <f>SUMIFS(Flat_file!$G:$G,Flat_file!$B:$B,Summary_Employed!$B$2,Flat_file!$C:$C,"Men",Flat_file!$D:$D,"15-19",Flat_file!$E:$E,"999",Flat_file!$F:$F,"E")</f>
        <v>0</v>
      </c>
      <c r="O6" s="86">
        <f>SUM(C6:M6)</f>
        <v>0</v>
      </c>
      <c r="P6" s="87"/>
      <c r="Q6" s="86">
        <f>SUM(H6:M6)</f>
        <v>0</v>
      </c>
      <c r="R6" s="88"/>
      <c r="S6" s="86">
        <f>SUM(C6:G6)</f>
        <v>0</v>
      </c>
      <c r="T6" s="86">
        <f>SUM(H6:I6)</f>
        <v>0</v>
      </c>
      <c r="U6" s="86">
        <f>SUM(J6:M6)</f>
        <v>0</v>
      </c>
      <c r="V6" s="87"/>
      <c r="W6" s="86">
        <f>SUMIFS(Flat_file!$G:$G,Flat_file!$B:$B,Summary_Employed!$B$2,Flat_file!$C:$C,"Men",Flat_file!$D:$D,"15-19",Flat_file!$E:$E,"343",Flat_file!$F:$F,"E")+SUMIFS(Flat_file!$G:$G,Flat_file!$B:$B,Summary_Employed!$B$2,Flat_file!$C:$C,"Men",Flat_file!$D:$D,"15-19",Flat_file!$E:$E,"344",Flat_file!$F:$F,"E")+SUMIFS(Flat_file!$G:$G,Flat_file!$B:$B,Summary_Employed!$B$2,Flat_file!$C:$C,"Men",Flat_file!$D:$D,"15-19",Flat_file!$E:$E,"443",Flat_file!$F:$F,"E")+SUMIFS(Flat_file!$G:$G,Flat_file!$B:$B,Summary_Employed!$B$2,Flat_file!$C:$C,"Men",Flat_file!$D:$D,"15-19",Flat_file!$E:$E,"444",Flat_file!$F:$F,"E")</f>
        <v>0</v>
      </c>
      <c r="X6" s="86">
        <f>SUMIFS(Flat_file!$G:$G,Flat_file!$B:$B,Summary_Employed!$B$2,Flat_file!$C:$C,"Men",Flat_file!$D:$D,"15-19",Flat_file!$E:$E,"353",Flat_file!$F:$F,"E")+SUMIFS(Flat_file!$G:$G,Flat_file!$B:$B,Summary_Employed!$B$2,Flat_file!$C:$C,"Men",Flat_file!$D:$D,"15-19",Flat_file!$E:$E,"354",Flat_file!$F:$F,"E")+SUMIFS(Flat_file!$G:$G,Flat_file!$B:$B,Summary_Employed!$B$2,Flat_file!$C:$C,"Men",Flat_file!$D:$D,"15-19",Flat_file!$E:$E,"453",Flat_file!$F:$F,"E")+SUMIFS(Flat_file!$G:$G,Flat_file!$B:$B,Summary_Employed!$B$2,Flat_file!$C:$C,"Men",Flat_file!$D:$D,"15-19",Flat_file!$E:$E,"454",Flat_file!$F:$F,"E")</f>
        <v>0</v>
      </c>
      <c r="Y6" s="87"/>
      <c r="Z6" s="86">
        <f>SUMIFS(Flat_file!$G:$G,Flat_file!$B:$B,Summary_Employed!$B$2,Flat_file!$C:$C,"Men",Flat_file!$D:$D,"15-19",Flat_file!$E:$E,"640",Flat_file!$F:$F,"E")+SUMIFS(Flat_file!$G:$G,Flat_file!$B:$B,Summary_Employed!$B$2,Flat_file!$C:$C,"Men",Flat_file!$D:$D,"15-19",Flat_file!$E:$E,"740",Flat_file!$F:$F,"E")+SUMIFS(Flat_file!$G:$G,Flat_file!$B:$B,Summary_Employed!$B$2,Flat_file!$C:$C,"Men",Flat_file!$D:$D,"15-19",Flat_file!$E:$E,"840",Flat_file!$F:$F,"E")</f>
        <v>0</v>
      </c>
      <c r="AA6" s="86">
        <f>SUMIFS(Flat_file!$G:$G,Flat_file!$B:$B,Summary_Employed!$B$2,Flat_file!$C:$C,"Men",Flat_file!$D:$D,"15-19",Flat_file!$E:$E,"650",Flat_file!$F:$F,"E")+SUMIFS(Flat_file!$G:$G,Flat_file!$B:$B,Summary_Employed!$B$2,Flat_file!$C:$C,"Men",Flat_file!$D:$D,"15-19",Flat_file!$E:$E,"750",Flat_file!$F:$F,"E")+SUMIFS(Flat_file!$G:$G,Flat_file!$B:$B,Summary_Employed!$B$2,Flat_file!$C:$C,"Men",Flat_file!$D:$D,"15-19",Flat_file!$E:$E,"850",Flat_file!$F:$F,"E")</f>
        <v>0</v>
      </c>
      <c r="AB6" s="86">
        <f>SUMIFS(Flat_file!$G:$G,Flat_file!$B:$B,Summary_Employed!$B$2,Flat_file!$C:$C,"Men",Flat_file!$D:$D,"15-19",Flat_file!$E:$E,"660",Flat_file!$F:$F,"E")+SUMIFS(Flat_file!$G:$G,Flat_file!$B:$B,Summary_Employed!$B$2,Flat_file!$C:$C,"Men",Flat_file!$D:$D,"15-19",Flat_file!$E:$E,"760",Flat_file!$F:$F,"E")+SUMIFS(Flat_file!$G:$G,Flat_file!$B:$B,Summary_Employed!$B$2,Flat_file!$C:$C,"Men",Flat_file!$D:$D,"15-19",Flat_file!$E:$E,"860",Flat_file!$F:$F,"E")</f>
        <v>0</v>
      </c>
      <c r="AC6" s="3"/>
      <c r="AD6" s="205" t="s">
        <v>245</v>
      </c>
      <c r="AE6" s="201" t="s">
        <v>244</v>
      </c>
      <c r="AF6" s="201"/>
      <c r="AG6" s="201"/>
      <c r="AH6" s="3"/>
      <c r="AI6" s="3"/>
    </row>
    <row r="7" spans="1:37" customFormat="1" x14ac:dyDescent="0.2">
      <c r="A7" s="352"/>
      <c r="B7" s="79" t="s">
        <v>88</v>
      </c>
      <c r="C7" s="89">
        <f>SUMIFS(Flat_file!$G:$G,Flat_file!$B:$B,Summary_Employed!$B$2,Flat_file!$C:$C,"Men",Flat_file!$D:$D,"20-24",Flat_file!$E:$E,"010",Flat_file!$F:$F,"E")+SUMIFS(Flat_file!$G:$G,Flat_file!$B:$B,Summary_Employed!$B$2,Flat_file!$C:$C,"Men",Flat_file!$D:$D,"20-24",Flat_file!$E:$E,"020",Flat_file!$F:$F,"E")+SUMIFS(Flat_file!$G:$G,Flat_file!$B:$B,Summary_Employed!$B$2,Flat_file!$C:$C,"Men",Flat_file!$D:$D,"20-24",Flat_file!$E:$E,"030",Flat_file!$F:$F,"E")</f>
        <v>0</v>
      </c>
      <c r="D7" s="89">
        <f>SUMIFS(Flat_file!$G:$G,Flat_file!$B:$B,Summary_Employed!$B$2,Flat_file!$C:$C,"Men",Flat_file!$D:$D,"20-24",Flat_file!$E:$E,"100",Flat_file!$F:$F,"E")</f>
        <v>0</v>
      </c>
      <c r="E7" s="89">
        <f>SUMIFS(Flat_file!$G:$G,Flat_file!$B:$B,Summary_Employed!$B$2,Flat_file!$C:$C,"Men",Flat_file!$D:$D,"20-24",Flat_file!$E:$E,"242",Flat_file!$F:$F,"E")+SUMIFS(Flat_file!$G:$G,Flat_file!$B:$B,Summary_Employed!$B$2,Flat_file!$C:$C,"Men",Flat_file!$D:$D,"20-24",Flat_file!$E:$E,"252",Flat_file!$F:$F,"E")</f>
        <v>0</v>
      </c>
      <c r="F7" s="89">
        <f>SUMIFS(Flat_file!$G:$G,Flat_file!$B:$B,Summary_Employed!$B$2,Flat_file!$C:$C,"Men",Flat_file!$D:$D,"20-24",Flat_file!$E:$E,"243",Flat_file!$F:$F,"E")+SUMIFS(Flat_file!$G:$G,Flat_file!$B:$B,Summary_Employed!$B$2,Flat_file!$C:$C,"Men",Flat_file!$D:$D,"20-24",Flat_file!$E:$E,"244",Flat_file!$F:$F,"E")+SUMIFS(Flat_file!$G:$G,Flat_file!$B:$B,Summary_Employed!$B$2,Flat_file!$C:$C,"Men",Flat_file!$D:$D,"20-24",Flat_file!$E:$E,"253",Flat_file!$F:$F,"E")+SUMIFS(Flat_file!$G:$G,Flat_file!$B:$B,Summary_Employed!$B$2,Flat_file!$C:$C,"Men",Flat_file!$D:$D,"20-24",Flat_file!$E:$E,"254",Flat_file!$F:$F,"E")</f>
        <v>0</v>
      </c>
      <c r="G7" s="89">
        <f>SUMIFS(Flat_file!$G:$G,Flat_file!$B:$B,Summary_Employed!$B$2,Flat_file!$C:$C,"Men",Flat_file!$D:$D,"20-24",Flat_file!$E:$E,"342",Flat_file!$F:$F,"E")+SUMIFS(Flat_file!$G:$G,Flat_file!$B:$B,Summary_Employed!$B$2,Flat_file!$C:$C,"Men",Flat_file!$D:$D,"20-24",Flat_file!$E:$E,"352",Flat_file!$F:$F,"E")</f>
        <v>0</v>
      </c>
      <c r="H7" s="89">
        <f>SUMIFS(Flat_file!$G:$G,Flat_file!$B:$B,Summary_Employed!$B$2,Flat_file!$C:$C,"Men",Flat_file!$D:$D,"20-24",Flat_file!$E:$E,"343",Flat_file!$F:$F,"E")+SUMIFS(Flat_file!$G:$G,Flat_file!$B:$B,Summary_Employed!$B$2,Flat_file!$C:$C,"Men",Flat_file!$D:$D,"20-24",Flat_file!$E:$E,"344",Flat_file!$F:$F,"E")+SUMIFS(Flat_file!$G:$G,Flat_file!$B:$B,Summary_Employed!$B$2,Flat_file!$C:$C,"Men",Flat_file!$D:$D,"20-24",Flat_file!$E:$E,"353",Flat_file!$F:$F,"E")+SUMIFS(Flat_file!$G:$G,Flat_file!$B:$B,Summary_Employed!$B$2,Flat_file!$C:$C,"Men",Flat_file!$D:$D,"20-24",Flat_file!$E:$E,"354",Flat_file!$F:$F,"E")</f>
        <v>0</v>
      </c>
      <c r="I7" s="89">
        <f>SUMIFS(Flat_file!$G:$G,Flat_file!$B:$B,Summary_Employed!$B$2,Flat_file!$C:$C,"Men",Flat_file!$D:$D,"20-24",Flat_file!$E:$E,"443",Flat_file!$F:$F,"E")+SUMIFS(Flat_file!$G:$G,Flat_file!$B:$B,Summary_Employed!$B$2,Flat_file!$C:$C,"Men",Flat_file!$D:$D,"20-24",Flat_file!$E:$E,"444",Flat_file!$F:$F,"E")+SUMIFS(Flat_file!$G:$G,Flat_file!$B:$B,Summary_Employed!$B$2,Flat_file!$C:$C,"Men",Flat_file!$D:$D,"20-24",Flat_file!$E:$E,"453",Flat_file!$F:$F,"E")+SUMIFS(Flat_file!$G:$G,Flat_file!$B:$B,Summary_Employed!$B$2,Flat_file!$C:$C,"Men",Flat_file!$D:$D,"20-24",Flat_file!$E:$E,"454",Flat_file!$F:$F,"E")</f>
        <v>0</v>
      </c>
      <c r="J7" s="89">
        <f>SUMIFS(Flat_file!$G:$G,Flat_file!$B:$B,Summary_Employed!$B$2,Flat_file!$C:$C,"Men",Flat_file!$D:$D,"20-24",Flat_file!$E:$E,"540",Flat_file!$F:$F,"E")+SUMIFS(Flat_file!$G:$G,Flat_file!$B:$B,Summary_Employed!$B$2,Flat_file!$C:$C,"Men",Flat_file!$D:$D,"20-24",Flat_file!$E:$E,"550",Flat_file!$F:$F,"E")+SUMIFS(Flat_file!$G:$G,Flat_file!$B:$B,Summary_Employed!$B$2,Flat_file!$C:$C,"Men",Flat_file!$D:$D,"20-24",Flat_file!$E:$E,"560",Flat_file!$F:$F,"E")</f>
        <v>0</v>
      </c>
      <c r="K7" s="89">
        <f>SUMIFS(Flat_file!$G:$G,Flat_file!$B:$B,Summary_Employed!$B$2,Flat_file!$C:$C,"Men",Flat_file!$D:$D,"20-24",Flat_file!$E:$E,"640",Flat_file!$F:$F,"E")+SUMIFS(Flat_file!$G:$G,Flat_file!$B:$B,Summary_Employed!$B$2,Flat_file!$C:$C,"Men",Flat_file!$D:$D,"20-24",Flat_file!$E:$E,"650",Flat_file!$F:$F,"E")+SUMIFS(Flat_file!$G:$G,Flat_file!$B:$B,Summary_Employed!$B$2,Flat_file!$C:$C,"Men",Flat_file!$D:$D,"20-24",Flat_file!$E:$E,"660",Flat_file!$F:$F,"E")</f>
        <v>0</v>
      </c>
      <c r="L7" s="89">
        <f>SUMIFS(Flat_file!$G:$G,Flat_file!$B:$B,Summary_Employed!$B$2,Flat_file!$C:$C,"Men",Flat_file!$D:$D,"20-24",Flat_file!$E:$E,"740",Flat_file!$F:$F,"E")+SUMIFS(Flat_file!$G:$G,Flat_file!$B:$B,Summary_Employed!$B$2,Flat_file!$C:$C,"Men",Flat_file!$D:$D,"20-24",Flat_file!$E:$E,"750",Flat_file!$F:$F,"E")+SUMIFS(Flat_file!$G:$G,Flat_file!$B:$B,Summary_Employed!$B$2,Flat_file!$C:$C,"Men",Flat_file!$D:$D,"20-24",Flat_file!$E:$E,"760",Flat_file!$F:$F,"E")</f>
        <v>0</v>
      </c>
      <c r="M7" s="89">
        <f>SUMIFS(Flat_file!$G:$G,Flat_file!$B:$B,Summary_Employed!$B$2,Flat_file!$C:$C,"Men",Flat_file!$D:$D,"20-24",Flat_file!$E:$E,"840",Flat_file!$F:$F,"E")+SUMIFS(Flat_file!$G:$G,Flat_file!$B:$B,Summary_Employed!$B$2,Flat_file!$C:$C,"Men",Flat_file!$D:$D,"20-24",Flat_file!$E:$E,"850",Flat_file!$F:$F,"E")+SUMIFS(Flat_file!$G:$G,Flat_file!$B:$B,Summary_Employed!$B$2,Flat_file!$C:$C,"Men",Flat_file!$D:$D,"20-24",Flat_file!$E:$E,"860",Flat_file!$F:$F,"E")</f>
        <v>0</v>
      </c>
      <c r="N7" s="89">
        <f>SUMIFS(Flat_file!$G:$G,Flat_file!$B:$B,Summary_Employed!$B$2,Flat_file!$C:$C,"Men",Flat_file!$D:$D,"20-24",Flat_file!$E:$E,"999",Flat_file!$F:$F,"E")</f>
        <v>0</v>
      </c>
      <c r="O7" s="89">
        <f t="shared" ref="O7:O18" si="0">SUM(C7:M7)</f>
        <v>0</v>
      </c>
      <c r="P7" s="90"/>
      <c r="Q7" s="89">
        <f t="shared" ref="Q7:Q18" si="1">SUM(H7:M7)</f>
        <v>0</v>
      </c>
      <c r="R7" s="91"/>
      <c r="S7" s="89">
        <f t="shared" ref="S7:S18" si="2">SUM(C7:G7)</f>
        <v>0</v>
      </c>
      <c r="T7" s="89">
        <f t="shared" ref="T7:T18" si="3">SUM(H7:I7)</f>
        <v>0</v>
      </c>
      <c r="U7" s="89">
        <f t="shared" ref="U7:U18" si="4">SUM(J7:M7)</f>
        <v>0</v>
      </c>
      <c r="V7" s="90"/>
      <c r="W7" s="89">
        <f>SUMIFS(Flat_file!$G:$G,Flat_file!$B:$B,Summary_Employed!$B$2,Flat_file!$C:$C,"Men",Flat_file!$D:$D,"20-24",Flat_file!$E:$E,"343",Flat_file!$F:$F,"E")+SUMIFS(Flat_file!$G:$G,Flat_file!$B:$B,Summary_Employed!$B$2,Flat_file!$C:$C,"Men",Flat_file!$D:$D,"20-24",Flat_file!$E:$E,"344",Flat_file!$F:$F,"E")+SUMIFS(Flat_file!$G:$G,Flat_file!$B:$B,Summary_Employed!$B$2,Flat_file!$C:$C,"Men",Flat_file!$D:$D,"20-24",Flat_file!$E:$E,"443",Flat_file!$F:$F,"E")+SUMIFS(Flat_file!$G:$G,Flat_file!$B:$B,Summary_Employed!$B$2,Flat_file!$C:$C,"Men",Flat_file!$D:$D,"20-24",Flat_file!$E:$E,"444",Flat_file!$F:$F,"E")</f>
        <v>0</v>
      </c>
      <c r="X7" s="89">
        <f>SUMIFS(Flat_file!$G:$G,Flat_file!$B:$B,Summary_Employed!$B$2,Flat_file!$C:$C,"Men",Flat_file!$D:$D,"20-24",Flat_file!$E:$E,"353",Flat_file!$F:$F,"E")+SUMIFS(Flat_file!$G:$G,Flat_file!$B:$B,Summary_Employed!$B$2,Flat_file!$C:$C,"Men",Flat_file!$D:$D,"20-24",Flat_file!$E:$E,"354",Flat_file!$F:$F,"E")+SUMIFS(Flat_file!$G:$G,Flat_file!$B:$B,Summary_Employed!$B$2,Flat_file!$C:$C,"Men",Flat_file!$D:$D,"20-24",Flat_file!$E:$E,"453",Flat_file!$F:$F,"E")+SUMIFS(Flat_file!$G:$G,Flat_file!$B:$B,Summary_Employed!$B$2,Flat_file!$C:$C,"Men",Flat_file!$D:$D,"20-24",Flat_file!$E:$E,"454",Flat_file!$F:$F,"E")</f>
        <v>0</v>
      </c>
      <c r="Y7" s="90"/>
      <c r="Z7" s="89">
        <f>SUMIFS(Flat_file!$G:$G,Flat_file!$B:$B,Summary_Employed!$B$2,Flat_file!$C:$C,"Men",Flat_file!$D:$D,"20-24",Flat_file!$E:$E,"640",Flat_file!$F:$F,"E")+SUMIFS(Flat_file!$G:$G,Flat_file!$B:$B,Summary_Employed!$B$2,Flat_file!$C:$C,"Men",Flat_file!$D:$D,"20-24",Flat_file!$E:$E,"740",Flat_file!$F:$F,"E")+SUMIFS(Flat_file!$G:$G,Flat_file!$B:$B,Summary_Employed!$B$2,Flat_file!$C:$C,"Men",Flat_file!$D:$D,"20-24",Flat_file!$E:$E,"840",Flat_file!$F:$F,"E")</f>
        <v>0</v>
      </c>
      <c r="AA7" s="89">
        <f>SUMIFS(Flat_file!$G:$G,Flat_file!$B:$B,Summary_Employed!$B$2,Flat_file!$C:$C,"Men",Flat_file!$D:$D,"20-24",Flat_file!$E:$E,"650",Flat_file!$F:$F,"E")+SUMIFS(Flat_file!$G:$G,Flat_file!$B:$B,Summary_Employed!$B$2,Flat_file!$C:$C,"Men",Flat_file!$D:$D,"20-24",Flat_file!$E:$E,"750",Flat_file!$F:$F,"E")+SUMIFS(Flat_file!$G:$G,Flat_file!$B:$B,Summary_Employed!$B$2,Flat_file!$C:$C,"Men",Flat_file!$D:$D,"20-24",Flat_file!$E:$E,"850",Flat_file!$F:$F,"E")</f>
        <v>0</v>
      </c>
      <c r="AB7" s="89">
        <f>SUMIFS(Flat_file!$G:$G,Flat_file!$B:$B,Summary_Employed!$B$2,Flat_file!$C:$C,"Men",Flat_file!$D:$D,"20-24",Flat_file!$E:$E,"660",Flat_file!$F:$F,"E")+SUMIFS(Flat_file!$G:$G,Flat_file!$B:$B,Summary_Employed!$B$2,Flat_file!$C:$C,"Men",Flat_file!$D:$D,"20-24",Flat_file!$E:$E,"760",Flat_file!$F:$F,"E")+SUMIFS(Flat_file!$G:$G,Flat_file!$B:$B,Summary_Employed!$B$2,Flat_file!$C:$C,"Men",Flat_file!$D:$D,"20-24",Flat_file!$E:$E,"860",Flat_file!$F:$F,"E")</f>
        <v>0</v>
      </c>
      <c r="AC7" s="3"/>
      <c r="AD7" s="202" t="s">
        <v>6</v>
      </c>
      <c r="AE7" s="202" t="s">
        <v>87</v>
      </c>
      <c r="AF7" s="203" t="s">
        <v>241</v>
      </c>
      <c r="AG7" s="202" t="s">
        <v>237</v>
      </c>
      <c r="AH7" s="3"/>
      <c r="AI7" s="3"/>
    </row>
    <row r="8" spans="1:37" customFormat="1" x14ac:dyDescent="0.2">
      <c r="A8" s="352"/>
      <c r="B8" s="79" t="s">
        <v>89</v>
      </c>
      <c r="C8" s="89">
        <f>SUMIFS(Flat_file!$G:$G,Flat_file!$B:$B,Summary_Employed!$B$2,Flat_file!$C:$C,"Men",Flat_file!$D:$D,"25-29",Flat_file!$E:$E,"010",Flat_file!$F:$F,"E")+SUMIFS(Flat_file!$G:$G,Flat_file!$B:$B,Summary_Employed!$B$2,Flat_file!$C:$C,"Men",Flat_file!$D:$D,"25-29",Flat_file!$E:$E,"020",Flat_file!$F:$F,"E")+SUMIFS(Flat_file!$G:$G,Flat_file!$B:$B,Summary_Employed!$B$2,Flat_file!$C:$C,"Men",Flat_file!$D:$D,"25-29",Flat_file!$E:$E,"030",Flat_file!$F:$F,"E")</f>
        <v>0</v>
      </c>
      <c r="D8" s="89">
        <f>SUMIFS(Flat_file!$G:$G,Flat_file!$B:$B,Summary_Employed!$B$2,Flat_file!$C:$C,"Men",Flat_file!$D:$D,"25-29",Flat_file!$E:$E,"100",Flat_file!$F:$F,"E")</f>
        <v>0</v>
      </c>
      <c r="E8" s="89">
        <f>SUMIFS(Flat_file!$G:$G,Flat_file!$B:$B,Summary_Employed!$B$2,Flat_file!$C:$C,"Men",Flat_file!$D:$D,"25-29",Flat_file!$E:$E,"242",Flat_file!$F:$F,"E")+SUMIFS(Flat_file!$G:$G,Flat_file!$B:$B,Summary_Employed!$B$2,Flat_file!$C:$C,"Men",Flat_file!$D:$D,"25-29",Flat_file!$E:$E,"252",Flat_file!$F:$F,"E")</f>
        <v>0</v>
      </c>
      <c r="F8" s="89">
        <f>SUMIFS(Flat_file!$G:$G,Flat_file!$B:$B,Summary_Employed!$B$2,Flat_file!$C:$C,"Men",Flat_file!$D:$D,"25-29",Flat_file!$E:$E,"243",Flat_file!$F:$F,"E")+SUMIFS(Flat_file!$G:$G,Flat_file!$B:$B,Summary_Employed!$B$2,Flat_file!$C:$C,"Men",Flat_file!$D:$D,"25-29",Flat_file!$E:$E,"244",Flat_file!$F:$F,"E")+SUMIFS(Flat_file!$G:$G,Flat_file!$B:$B,Summary_Employed!$B$2,Flat_file!$C:$C,"Men",Flat_file!$D:$D,"25-29",Flat_file!$E:$E,"253",Flat_file!$F:$F,"E")+SUMIFS(Flat_file!$G:$G,Flat_file!$B:$B,Summary_Employed!$B$2,Flat_file!$C:$C,"Men",Flat_file!$D:$D,"25-29",Flat_file!$E:$E,"254",Flat_file!$F:$F,"E")</f>
        <v>0</v>
      </c>
      <c r="G8" s="89">
        <f>SUMIFS(Flat_file!$G:$G,Flat_file!$B:$B,Summary_Employed!$B$2,Flat_file!$C:$C,"Men",Flat_file!$D:$D,"25-29",Flat_file!$E:$E,"342",Flat_file!$F:$F,"E")+SUMIFS(Flat_file!$G:$G,Flat_file!$B:$B,Summary_Employed!$B$2,Flat_file!$C:$C,"Men",Flat_file!$D:$D,"25-29",Flat_file!$E:$E,"352",Flat_file!$F:$F,"E")</f>
        <v>0</v>
      </c>
      <c r="H8" s="89">
        <f>SUMIFS(Flat_file!$G:$G,Flat_file!$B:$B,Summary_Employed!$B$2,Flat_file!$C:$C,"Men",Flat_file!$D:$D,"25-29",Flat_file!$E:$E,"343",Flat_file!$F:$F,"E")+SUMIFS(Flat_file!$G:$G,Flat_file!$B:$B,Summary_Employed!$B$2,Flat_file!$C:$C,"Men",Flat_file!$D:$D,"25-29",Flat_file!$E:$E,"344",Flat_file!$F:$F,"E")+SUMIFS(Flat_file!$G:$G,Flat_file!$B:$B,Summary_Employed!$B$2,Flat_file!$C:$C,"Men",Flat_file!$D:$D,"25-29",Flat_file!$E:$E,"353",Flat_file!$F:$F,"E")+SUMIFS(Flat_file!$G:$G,Flat_file!$B:$B,Summary_Employed!$B$2,Flat_file!$C:$C,"Men",Flat_file!$D:$D,"25-29",Flat_file!$E:$E,"354",Flat_file!$F:$F,"E")</f>
        <v>0</v>
      </c>
      <c r="I8" s="89">
        <f>SUMIFS(Flat_file!$G:$G,Flat_file!$B:$B,Summary_Employed!$B$2,Flat_file!$C:$C,"Men",Flat_file!$D:$D,"25-29",Flat_file!$E:$E,"443",Flat_file!$F:$F,"E")+SUMIFS(Flat_file!$G:$G,Flat_file!$B:$B,Summary_Employed!$B$2,Flat_file!$C:$C,"Men",Flat_file!$D:$D,"25-29",Flat_file!$E:$E,"444",Flat_file!$F:$F,"E")+SUMIFS(Flat_file!$G:$G,Flat_file!$B:$B,Summary_Employed!$B$2,Flat_file!$C:$C,"Men",Flat_file!$D:$D,"25-29",Flat_file!$E:$E,"453",Flat_file!$F:$F,"E")+SUMIFS(Flat_file!$G:$G,Flat_file!$B:$B,Summary_Employed!$B$2,Flat_file!$C:$C,"Men",Flat_file!$D:$D,"25-29",Flat_file!$E:$E,"454",Flat_file!$F:$F,"E")</f>
        <v>0</v>
      </c>
      <c r="J8" s="89">
        <f>SUMIFS(Flat_file!$G:$G,Flat_file!$B:$B,Summary_Employed!$B$2,Flat_file!$C:$C,"Men",Flat_file!$D:$D,"25-29",Flat_file!$E:$E,"540",Flat_file!$F:$F,"E")+SUMIFS(Flat_file!$G:$G,Flat_file!$B:$B,Summary_Employed!$B$2,Flat_file!$C:$C,"Men",Flat_file!$D:$D,"25-29",Flat_file!$E:$E,"550",Flat_file!$F:$F,"E")+SUMIFS(Flat_file!$G:$G,Flat_file!$B:$B,Summary_Employed!$B$2,Flat_file!$C:$C,"Men",Flat_file!$D:$D,"25-29",Flat_file!$E:$E,"560",Flat_file!$F:$F,"E")</f>
        <v>0</v>
      </c>
      <c r="K8" s="89">
        <f>SUMIFS(Flat_file!$G:$G,Flat_file!$B:$B,Summary_Employed!$B$2,Flat_file!$C:$C,"Men",Flat_file!$D:$D,"25-29",Flat_file!$E:$E,"640",Flat_file!$F:$F,"E")+SUMIFS(Flat_file!$G:$G,Flat_file!$B:$B,Summary_Employed!$B$2,Flat_file!$C:$C,"Men",Flat_file!$D:$D,"25-29",Flat_file!$E:$E,"650",Flat_file!$F:$F,"E")+SUMIFS(Flat_file!$G:$G,Flat_file!$B:$B,Summary_Employed!$B$2,Flat_file!$C:$C,"Men",Flat_file!$D:$D,"25-29",Flat_file!$E:$E,"660",Flat_file!$F:$F,"E")</f>
        <v>0</v>
      </c>
      <c r="L8" s="89">
        <f>SUMIFS(Flat_file!$G:$G,Flat_file!$B:$B,Summary_Employed!$B$2,Flat_file!$C:$C,"Men",Flat_file!$D:$D,"25-29",Flat_file!$E:$E,"740",Flat_file!$F:$F,"E")+SUMIFS(Flat_file!$G:$G,Flat_file!$B:$B,Summary_Employed!$B$2,Flat_file!$C:$C,"Men",Flat_file!$D:$D,"25-29",Flat_file!$E:$E,"750",Flat_file!$F:$F,"E")+SUMIFS(Flat_file!$G:$G,Flat_file!$B:$B,Summary_Employed!$B$2,Flat_file!$C:$C,"Men",Flat_file!$D:$D,"25-29",Flat_file!$E:$E,"760",Flat_file!$F:$F,"E")</f>
        <v>0</v>
      </c>
      <c r="M8" s="89">
        <f>SUMIFS(Flat_file!$G:$G,Flat_file!$B:$B,Summary_Employed!$B$2,Flat_file!$C:$C,"Men",Flat_file!$D:$D,"25-29",Flat_file!$E:$E,"840",Flat_file!$F:$F,"E")+SUMIFS(Flat_file!$G:$G,Flat_file!$B:$B,Summary_Employed!$B$2,Flat_file!$C:$C,"Men",Flat_file!$D:$D,"25-29",Flat_file!$E:$E,"850",Flat_file!$F:$F,"E")+SUMIFS(Flat_file!$G:$G,Flat_file!$B:$B,Summary_Employed!$B$2,Flat_file!$C:$C,"Men",Flat_file!$D:$D,"25-29",Flat_file!$E:$E,"860",Flat_file!$F:$F,"E")</f>
        <v>0</v>
      </c>
      <c r="N8" s="89">
        <f>SUMIFS(Flat_file!$G:$G,Flat_file!$B:$B,Summary_Employed!$B$2,Flat_file!$C:$C,"Men",Flat_file!$D:$D,"25-29",Flat_file!$E:$E,"999",Flat_file!$F:$F,"E")</f>
        <v>0</v>
      </c>
      <c r="O8" s="89">
        <f t="shared" si="0"/>
        <v>0</v>
      </c>
      <c r="P8" s="90"/>
      <c r="Q8" s="89">
        <f t="shared" si="1"/>
        <v>0</v>
      </c>
      <c r="R8" s="91"/>
      <c r="S8" s="89">
        <f t="shared" si="2"/>
        <v>0</v>
      </c>
      <c r="T8" s="89">
        <f t="shared" si="3"/>
        <v>0</v>
      </c>
      <c r="U8" s="89">
        <f t="shared" si="4"/>
        <v>0</v>
      </c>
      <c r="V8" s="90"/>
      <c r="W8" s="89">
        <f>SUMIFS(Flat_file!$G:$G,Flat_file!$B:$B,Summary_Employed!$B$2,Flat_file!$C:$C,"Men",Flat_file!$D:$D,"25-29",Flat_file!$E:$E,"343",Flat_file!$F:$F,"E")+SUMIFS(Flat_file!$G:$G,Flat_file!$B:$B,Summary_Employed!$B$2,Flat_file!$C:$C,"Men",Flat_file!$D:$D,"25-29",Flat_file!$E:$E,"344",Flat_file!$F:$F,"E")+SUMIFS(Flat_file!$G:$G,Flat_file!$B:$B,Summary_Employed!$B$2,Flat_file!$C:$C,"Men",Flat_file!$D:$D,"25-29",Flat_file!$E:$E,"443",Flat_file!$F:$F,"E")+SUMIFS(Flat_file!$G:$G,Flat_file!$B:$B,Summary_Employed!$B$2,Flat_file!$C:$C,"Men",Flat_file!$D:$D,"25-29",Flat_file!$E:$E,"444",Flat_file!$F:$F,"E")</f>
        <v>0</v>
      </c>
      <c r="X8" s="89">
        <f>SUMIFS(Flat_file!$G:$G,Flat_file!$B:$B,Summary_Employed!$B$2,Flat_file!$C:$C,"Men",Flat_file!$D:$D,"25-29",Flat_file!$E:$E,"353",Flat_file!$F:$F,"E")+SUMIFS(Flat_file!$G:$G,Flat_file!$B:$B,Summary_Employed!$B$2,Flat_file!$C:$C,"Men",Flat_file!$D:$D,"25-29",Flat_file!$E:$E,"354",Flat_file!$F:$F,"E")+SUMIFS(Flat_file!$G:$G,Flat_file!$B:$B,Summary_Employed!$B$2,Flat_file!$C:$C,"Men",Flat_file!$D:$D,"25-29",Flat_file!$E:$E,"453",Flat_file!$F:$F,"E")+SUMIFS(Flat_file!$G:$G,Flat_file!$B:$B,Summary_Employed!$B$2,Flat_file!$C:$C,"Men",Flat_file!$D:$D,"25-29",Flat_file!$E:$E,"454",Flat_file!$F:$F,"E")</f>
        <v>0</v>
      </c>
      <c r="Y8" s="90"/>
      <c r="Z8" s="89">
        <f>SUMIFS(Flat_file!$G:$G,Flat_file!$B:$B,Summary_Employed!$B$2,Flat_file!$C:$C,"Men",Flat_file!$D:$D,"25-29",Flat_file!$E:$E,"640",Flat_file!$F:$F,"E")+SUMIFS(Flat_file!$G:$G,Flat_file!$B:$B,Summary_Employed!$B$2,Flat_file!$C:$C,"Men",Flat_file!$D:$D,"25-29",Flat_file!$E:$E,"740",Flat_file!$F:$F,"E")+SUMIFS(Flat_file!$G:$G,Flat_file!$B:$B,Summary_Employed!$B$2,Flat_file!$C:$C,"Men",Flat_file!$D:$D,"25-29",Flat_file!$E:$E,"840",Flat_file!$F:$F,"E")</f>
        <v>0</v>
      </c>
      <c r="AA8" s="89">
        <f>SUMIFS(Flat_file!$G:$G,Flat_file!$B:$B,Summary_Employed!$B$2,Flat_file!$C:$C,"Men",Flat_file!$D:$D,"25-29",Flat_file!$E:$E,"650",Flat_file!$F:$F,"E")+SUMIFS(Flat_file!$G:$G,Flat_file!$B:$B,Summary_Employed!$B$2,Flat_file!$C:$C,"Men",Flat_file!$D:$D,"25-29",Flat_file!$E:$E,"750",Flat_file!$F:$F,"E")+SUMIFS(Flat_file!$G:$G,Flat_file!$B:$B,Summary_Employed!$B$2,Flat_file!$C:$C,"Men",Flat_file!$D:$D,"25-29",Flat_file!$E:$E,"850",Flat_file!$F:$F,"E")</f>
        <v>0</v>
      </c>
      <c r="AB8" s="89">
        <f>SUMIFS(Flat_file!$G:$G,Flat_file!$B:$B,Summary_Employed!$B$2,Flat_file!$C:$C,"Men",Flat_file!$D:$D,"25-29",Flat_file!$E:$E,"660",Flat_file!$F:$F,"E")+SUMIFS(Flat_file!$G:$G,Flat_file!$B:$B,Summary_Employed!$B$2,Flat_file!$C:$C,"Men",Flat_file!$D:$D,"25-29",Flat_file!$E:$E,"760",Flat_file!$F:$F,"E")+SUMIFS(Flat_file!$G:$G,Flat_file!$B:$B,Summary_Employed!$B$2,Flat_file!$C:$C,"Men",Flat_file!$D:$D,"25-29",Flat_file!$E:$E,"860",Flat_file!$F:$F,"E")</f>
        <v>0</v>
      </c>
      <c r="AC8" s="3"/>
      <c r="AD8" s="202" t="s">
        <v>5</v>
      </c>
      <c r="AE8" s="202" t="s">
        <v>88</v>
      </c>
      <c r="AF8" s="203" t="s">
        <v>242</v>
      </c>
      <c r="AG8" s="202" t="s">
        <v>238</v>
      </c>
      <c r="AH8" s="3"/>
      <c r="AI8" s="3"/>
    </row>
    <row r="9" spans="1:37" customFormat="1" x14ac:dyDescent="0.2">
      <c r="A9" s="352"/>
      <c r="B9" s="79" t="s">
        <v>90</v>
      </c>
      <c r="C9" s="89">
        <f>SUMIFS(Flat_file!$G:$G,Flat_file!$B:$B,Summary_Employed!$B$2,Flat_file!$C:$C,"Men",Flat_file!$D:$D,"30-34",Flat_file!$E:$E,"010",Flat_file!$F:$F,"E")+SUMIFS(Flat_file!$G:$G,Flat_file!$B:$B,Summary_Employed!$B$2,Flat_file!$C:$C,"Men",Flat_file!$D:$D,"30-34",Flat_file!$E:$E,"020",Flat_file!$F:$F,"E")+SUMIFS(Flat_file!$G:$G,Flat_file!$B:$B,Summary_Employed!$B$2,Flat_file!$C:$C,"Men",Flat_file!$D:$D,"30-34",Flat_file!$E:$E,"030",Flat_file!$F:$F,"E")</f>
        <v>0</v>
      </c>
      <c r="D9" s="89">
        <f>SUMIFS(Flat_file!$G:$G,Flat_file!$B:$B,Summary_Employed!$B$2,Flat_file!$C:$C,"Men",Flat_file!$D:$D,"30-34",Flat_file!$E:$E,"100",Flat_file!$F:$F,"E")</f>
        <v>0</v>
      </c>
      <c r="E9" s="89">
        <f>SUMIFS(Flat_file!$G:$G,Flat_file!$B:$B,Summary_Employed!$B$2,Flat_file!$C:$C,"Men",Flat_file!$D:$D,"30-34",Flat_file!$E:$E,"242",Flat_file!$F:$F,"E")+SUMIFS(Flat_file!$G:$G,Flat_file!$B:$B,Summary_Employed!$B$2,Flat_file!$C:$C,"Men",Flat_file!$D:$D,"30-34",Flat_file!$E:$E,"252",Flat_file!$F:$F,"E")</f>
        <v>0</v>
      </c>
      <c r="F9" s="89">
        <f>SUMIFS(Flat_file!$G:$G,Flat_file!$B:$B,Summary_Employed!$B$2,Flat_file!$C:$C,"Men",Flat_file!$D:$D,"30-34",Flat_file!$E:$E,"243",Flat_file!$F:$F,"E")+SUMIFS(Flat_file!$G:$G,Flat_file!$B:$B,Summary_Employed!$B$2,Flat_file!$C:$C,"Men",Flat_file!$D:$D,"30-34",Flat_file!$E:$E,"244",Flat_file!$F:$F,"E")+SUMIFS(Flat_file!$G:$G,Flat_file!$B:$B,Summary_Employed!$B$2,Flat_file!$C:$C,"Men",Flat_file!$D:$D,"30-34",Flat_file!$E:$E,"253",Flat_file!$F:$F,"E")+SUMIFS(Flat_file!$G:$G,Flat_file!$B:$B,Summary_Employed!$B$2,Flat_file!$C:$C,"Men",Flat_file!$D:$D,"30-34",Flat_file!$E:$E,"254",Flat_file!$F:$F,"E")</f>
        <v>0</v>
      </c>
      <c r="G9" s="89">
        <f>SUMIFS(Flat_file!$G:$G,Flat_file!$B:$B,Summary_Employed!$B$2,Flat_file!$C:$C,"Men",Flat_file!$D:$D,"30-34",Flat_file!$E:$E,"342",Flat_file!$F:$F,"E")+SUMIFS(Flat_file!$G:$G,Flat_file!$B:$B,Summary_Employed!$B$2,Flat_file!$C:$C,"Men",Flat_file!$D:$D,"30-34",Flat_file!$E:$E,"352",Flat_file!$F:$F,"E")</f>
        <v>0</v>
      </c>
      <c r="H9" s="89">
        <f>SUMIFS(Flat_file!$G:$G,Flat_file!$B:$B,Summary_Employed!$B$2,Flat_file!$C:$C,"Men",Flat_file!$D:$D,"30-34",Flat_file!$E:$E,"343",Flat_file!$F:$F,"E")+SUMIFS(Flat_file!$G:$G,Flat_file!$B:$B,Summary_Employed!$B$2,Flat_file!$C:$C,"Men",Flat_file!$D:$D,"30-34",Flat_file!$E:$E,"344",Flat_file!$F:$F,"E")+SUMIFS(Flat_file!$G:$G,Flat_file!$B:$B,Summary_Employed!$B$2,Flat_file!$C:$C,"Men",Flat_file!$D:$D,"30-34",Flat_file!$E:$E,"353",Flat_file!$F:$F,"E")+SUMIFS(Flat_file!$G:$G,Flat_file!$B:$B,Summary_Employed!$B$2,Flat_file!$C:$C,"Men",Flat_file!$D:$D,"30-34",Flat_file!$E:$E,"354",Flat_file!$F:$F,"E")</f>
        <v>0</v>
      </c>
      <c r="I9" s="89">
        <f>SUMIFS(Flat_file!$G:$G,Flat_file!$B:$B,Summary_Employed!$B$2,Flat_file!$C:$C,"Men",Flat_file!$D:$D,"30-34",Flat_file!$E:$E,"443",Flat_file!$F:$F,"E")+SUMIFS(Flat_file!$G:$G,Flat_file!$B:$B,Summary_Employed!$B$2,Flat_file!$C:$C,"Men",Flat_file!$D:$D,"30-34",Flat_file!$E:$E,"444",Flat_file!$F:$F,"E")+SUMIFS(Flat_file!$G:$G,Flat_file!$B:$B,Summary_Employed!$B$2,Flat_file!$C:$C,"Men",Flat_file!$D:$D,"30-34",Flat_file!$E:$E,"453",Flat_file!$F:$F,"E")+SUMIFS(Flat_file!$G:$G,Flat_file!$B:$B,Summary_Employed!$B$2,Flat_file!$C:$C,"Men",Flat_file!$D:$D,"30-34",Flat_file!$E:$E,"454",Flat_file!$F:$F,"E")</f>
        <v>0</v>
      </c>
      <c r="J9" s="89">
        <f>SUMIFS(Flat_file!$G:$G,Flat_file!$B:$B,Summary_Employed!$B$2,Flat_file!$C:$C,"Men",Flat_file!$D:$D,"30-34",Flat_file!$E:$E,"540",Flat_file!$F:$F,"E")+SUMIFS(Flat_file!$G:$G,Flat_file!$B:$B,Summary_Employed!$B$2,Flat_file!$C:$C,"Men",Flat_file!$D:$D,"30-34",Flat_file!$E:$E,"550",Flat_file!$F:$F,"E")+SUMIFS(Flat_file!$G:$G,Flat_file!$B:$B,Summary_Employed!$B$2,Flat_file!$C:$C,"Men",Flat_file!$D:$D,"30-34",Flat_file!$E:$E,"560",Flat_file!$F:$F,"E")</f>
        <v>0</v>
      </c>
      <c r="K9" s="89">
        <f>SUMIFS(Flat_file!$G:$G,Flat_file!$B:$B,Summary_Employed!$B$2,Flat_file!$C:$C,"Men",Flat_file!$D:$D,"30-34",Flat_file!$E:$E,"640",Flat_file!$F:$F,"E")+SUMIFS(Flat_file!$G:$G,Flat_file!$B:$B,Summary_Employed!$B$2,Flat_file!$C:$C,"Men",Flat_file!$D:$D,"30-34",Flat_file!$E:$E,"650",Flat_file!$F:$F,"E")+SUMIFS(Flat_file!$G:$G,Flat_file!$B:$B,Summary_Employed!$B$2,Flat_file!$C:$C,"Men",Flat_file!$D:$D,"30-34",Flat_file!$E:$E,"660",Flat_file!$F:$F,"E")</f>
        <v>0</v>
      </c>
      <c r="L9" s="89">
        <f>SUMIFS(Flat_file!$G:$G,Flat_file!$B:$B,Summary_Employed!$B$2,Flat_file!$C:$C,"Men",Flat_file!$D:$D,"30-34",Flat_file!$E:$E,"740",Flat_file!$F:$F,"E")+SUMIFS(Flat_file!$G:$G,Flat_file!$B:$B,Summary_Employed!$B$2,Flat_file!$C:$C,"Men",Flat_file!$D:$D,"30-34",Flat_file!$E:$E,"750",Flat_file!$F:$F,"E")+SUMIFS(Flat_file!$G:$G,Flat_file!$B:$B,Summary_Employed!$B$2,Flat_file!$C:$C,"Men",Flat_file!$D:$D,"30-34",Flat_file!$E:$E,"760",Flat_file!$F:$F,"E")</f>
        <v>0</v>
      </c>
      <c r="M9" s="89">
        <f>SUMIFS(Flat_file!$G:$G,Flat_file!$B:$B,Summary_Employed!$B$2,Flat_file!$C:$C,"Men",Flat_file!$D:$D,"30-34",Flat_file!$E:$E,"840",Flat_file!$F:$F,"E")+SUMIFS(Flat_file!$G:$G,Flat_file!$B:$B,Summary_Employed!$B$2,Flat_file!$C:$C,"Men",Flat_file!$D:$D,"30-34",Flat_file!$E:$E,"850",Flat_file!$F:$F,"E")+SUMIFS(Flat_file!$G:$G,Flat_file!$B:$B,Summary_Employed!$B$2,Flat_file!$C:$C,"Men",Flat_file!$D:$D,"30-34",Flat_file!$E:$E,"860",Flat_file!$F:$F,"E")</f>
        <v>0</v>
      </c>
      <c r="N9" s="89">
        <f>SUMIFS(Flat_file!$G:$G,Flat_file!$B:$B,Summary_Employed!$B$2,Flat_file!$C:$C,"Men",Flat_file!$D:$D,"30-34",Flat_file!$E:$E,"999",Flat_file!$F:$F,"E")</f>
        <v>0</v>
      </c>
      <c r="O9" s="89">
        <f t="shared" si="0"/>
        <v>0</v>
      </c>
      <c r="P9" s="90"/>
      <c r="Q9" s="89">
        <f t="shared" si="1"/>
        <v>0</v>
      </c>
      <c r="R9" s="91"/>
      <c r="S9" s="89">
        <f t="shared" si="2"/>
        <v>0</v>
      </c>
      <c r="T9" s="89">
        <f t="shared" si="3"/>
        <v>0</v>
      </c>
      <c r="U9" s="89">
        <f t="shared" si="4"/>
        <v>0</v>
      </c>
      <c r="V9" s="90"/>
      <c r="W9" s="89">
        <f>SUMIFS(Flat_file!$G:$G,Flat_file!$B:$B,Summary_Employed!$B$2,Flat_file!$C:$C,"Men",Flat_file!$D:$D,"30-34",Flat_file!$E:$E,"343",Flat_file!$F:$F,"E")+SUMIFS(Flat_file!$G:$G,Flat_file!$B:$B,Summary_Employed!$B$2,Flat_file!$C:$C,"Men",Flat_file!$D:$D,"30-34",Flat_file!$E:$E,"344",Flat_file!$F:$F,"E")+SUMIFS(Flat_file!$G:$G,Flat_file!$B:$B,Summary_Employed!$B$2,Flat_file!$C:$C,"Men",Flat_file!$D:$D,"30-34",Flat_file!$E:$E,"443",Flat_file!$F:$F,"E")+SUMIFS(Flat_file!$G:$G,Flat_file!$B:$B,Summary_Employed!$B$2,Flat_file!$C:$C,"Men",Flat_file!$D:$D,"30-34",Flat_file!$E:$E,"444",Flat_file!$F:$F,"E")</f>
        <v>0</v>
      </c>
      <c r="X9" s="89">
        <f>SUMIFS(Flat_file!$G:$G,Flat_file!$B:$B,Summary_Employed!$B$2,Flat_file!$C:$C,"Men",Flat_file!$D:$D,"30-34",Flat_file!$E:$E,"353",Flat_file!$F:$F,"E")+SUMIFS(Flat_file!$G:$G,Flat_file!$B:$B,Summary_Employed!$B$2,Flat_file!$C:$C,"Men",Flat_file!$D:$D,"30-34",Flat_file!$E:$E,"354",Flat_file!$F:$F,"E")+SUMIFS(Flat_file!$G:$G,Flat_file!$B:$B,Summary_Employed!$B$2,Flat_file!$C:$C,"Men",Flat_file!$D:$D,"30-34",Flat_file!$E:$E,"453",Flat_file!$F:$F,"E")+SUMIFS(Flat_file!$G:$G,Flat_file!$B:$B,Summary_Employed!$B$2,Flat_file!$C:$C,"Men",Flat_file!$D:$D,"30-34",Flat_file!$E:$E,"454",Flat_file!$F:$F,"E")</f>
        <v>0</v>
      </c>
      <c r="Y9" s="90"/>
      <c r="Z9" s="89">
        <f>SUMIFS(Flat_file!$G:$G,Flat_file!$B:$B,Summary_Employed!$B$2,Flat_file!$C:$C,"Men",Flat_file!$D:$D,"30-34",Flat_file!$E:$E,"640",Flat_file!$F:$F,"E")+SUMIFS(Flat_file!$G:$G,Flat_file!$B:$B,Summary_Employed!$B$2,Flat_file!$C:$C,"Men",Flat_file!$D:$D,"30-34",Flat_file!$E:$E,"740",Flat_file!$F:$F,"E")+SUMIFS(Flat_file!$G:$G,Flat_file!$B:$B,Summary_Employed!$B$2,Flat_file!$C:$C,"Men",Flat_file!$D:$D,"30-34",Flat_file!$E:$E,"840",Flat_file!$F:$F,"E")</f>
        <v>0</v>
      </c>
      <c r="AA9" s="89">
        <f>SUMIFS(Flat_file!$G:$G,Flat_file!$B:$B,Summary_Employed!$B$2,Flat_file!$C:$C,"Men",Flat_file!$D:$D,"30-34",Flat_file!$E:$E,"650",Flat_file!$F:$F,"E")+SUMIFS(Flat_file!$G:$G,Flat_file!$B:$B,Summary_Employed!$B$2,Flat_file!$C:$C,"Men",Flat_file!$D:$D,"30-34",Flat_file!$E:$E,"750",Flat_file!$F:$F,"E")+SUMIFS(Flat_file!$G:$G,Flat_file!$B:$B,Summary_Employed!$B$2,Flat_file!$C:$C,"Men",Flat_file!$D:$D,"30-34",Flat_file!$E:$E,"850",Flat_file!$F:$F,"E")</f>
        <v>0</v>
      </c>
      <c r="AB9" s="89">
        <f>SUMIFS(Flat_file!$G:$G,Flat_file!$B:$B,Summary_Employed!$B$2,Flat_file!$C:$C,"Men",Flat_file!$D:$D,"30-34",Flat_file!$E:$E,"660",Flat_file!$F:$F,"E")+SUMIFS(Flat_file!$G:$G,Flat_file!$B:$B,Summary_Employed!$B$2,Flat_file!$C:$C,"Men",Flat_file!$D:$D,"30-34",Flat_file!$E:$E,"760",Flat_file!$F:$F,"E")+SUMIFS(Flat_file!$G:$G,Flat_file!$B:$B,Summary_Employed!$B$2,Flat_file!$C:$C,"Men",Flat_file!$D:$D,"30-34",Flat_file!$E:$E,"860",Flat_file!$F:$F,"E")</f>
        <v>0</v>
      </c>
      <c r="AC9" s="3"/>
      <c r="AD9" s="202"/>
      <c r="AE9" s="202" t="s">
        <v>89</v>
      </c>
      <c r="AF9" s="203" t="s">
        <v>243</v>
      </c>
      <c r="AG9" s="202" t="s">
        <v>239</v>
      </c>
      <c r="AH9" s="3"/>
      <c r="AI9" s="3"/>
    </row>
    <row r="10" spans="1:37" customFormat="1" x14ac:dyDescent="0.2">
      <c r="A10" s="352"/>
      <c r="B10" s="79" t="s">
        <v>91</v>
      </c>
      <c r="C10" s="89">
        <f>SUMIFS(Flat_file!$G:$G,Flat_file!$B:$B,Summary_Employed!$B$2,Flat_file!$C:$C,"Men",Flat_file!$D:$D,"35-39",Flat_file!$E:$E,"010",Flat_file!$F:$F,"E")+SUMIFS(Flat_file!$G:$G,Flat_file!$B:$B,Summary_Employed!$B$2,Flat_file!$C:$C,"Men",Flat_file!$D:$D,"35-39",Flat_file!$E:$E,"020",Flat_file!$F:$F,"E")+SUMIFS(Flat_file!$G:$G,Flat_file!$B:$B,Summary_Employed!$B$2,Flat_file!$C:$C,"Men",Flat_file!$D:$D,"35-39",Flat_file!$E:$E,"030",Flat_file!$F:$F,"E")</f>
        <v>0</v>
      </c>
      <c r="D10" s="89">
        <f>SUMIFS(Flat_file!$G:$G,Flat_file!$B:$B,Summary_Employed!$B$2,Flat_file!$C:$C,"Men",Flat_file!$D:$D,"35-39",Flat_file!$E:$E,"100",Flat_file!$F:$F,"E")</f>
        <v>0</v>
      </c>
      <c r="E10" s="89">
        <f>SUMIFS(Flat_file!$G:$G,Flat_file!$B:$B,Summary_Employed!$B$2,Flat_file!$C:$C,"Men",Flat_file!$D:$D,"35-39",Flat_file!$E:$E,"242",Flat_file!$F:$F,"E")+SUMIFS(Flat_file!$G:$G,Flat_file!$B:$B,Summary_Employed!$B$2,Flat_file!$C:$C,"Men",Flat_file!$D:$D,"35-39",Flat_file!$E:$E,"252",Flat_file!$F:$F,"E")</f>
        <v>0</v>
      </c>
      <c r="F10" s="89">
        <f>SUMIFS(Flat_file!$G:$G,Flat_file!$B:$B,Summary_Employed!$B$2,Flat_file!$C:$C,"Men",Flat_file!$D:$D,"35-39",Flat_file!$E:$E,"243",Flat_file!$F:$F,"E")+SUMIFS(Flat_file!$G:$G,Flat_file!$B:$B,Summary_Employed!$B$2,Flat_file!$C:$C,"Men",Flat_file!$D:$D,"35-39",Flat_file!$E:$E,"244",Flat_file!$F:$F,"E")+SUMIFS(Flat_file!$G:$G,Flat_file!$B:$B,Summary_Employed!$B$2,Flat_file!$C:$C,"Men",Flat_file!$D:$D,"35-39",Flat_file!$E:$E,"253",Flat_file!$F:$F,"E")+SUMIFS(Flat_file!$G:$G,Flat_file!$B:$B,Summary_Employed!$B$2,Flat_file!$C:$C,"Men",Flat_file!$D:$D,"35-39",Flat_file!$E:$E,"254",Flat_file!$F:$F,"E")</f>
        <v>0</v>
      </c>
      <c r="G10" s="89">
        <f>SUMIFS(Flat_file!$G:$G,Flat_file!$B:$B,Summary_Employed!$B$2,Flat_file!$C:$C,"Men",Flat_file!$D:$D,"35-39",Flat_file!$E:$E,"342",Flat_file!$F:$F,"E")+SUMIFS(Flat_file!$G:$G,Flat_file!$B:$B,Summary_Employed!$B$2,Flat_file!$C:$C,"Men",Flat_file!$D:$D,"35-39",Flat_file!$E:$E,"352",Flat_file!$F:$F,"E")</f>
        <v>0</v>
      </c>
      <c r="H10" s="89">
        <f>SUMIFS(Flat_file!$G:$G,Flat_file!$B:$B,Summary_Employed!$B$2,Flat_file!$C:$C,"Men",Flat_file!$D:$D,"35-39",Flat_file!$E:$E,"343",Flat_file!$F:$F,"E")+SUMIFS(Flat_file!$G:$G,Flat_file!$B:$B,Summary_Employed!$B$2,Flat_file!$C:$C,"Men",Flat_file!$D:$D,"35-39",Flat_file!$E:$E,"344",Flat_file!$F:$F,"E")+SUMIFS(Flat_file!$G:$G,Flat_file!$B:$B,Summary_Employed!$B$2,Flat_file!$C:$C,"Men",Flat_file!$D:$D,"35-39",Flat_file!$E:$E,"353",Flat_file!$F:$F,"E")+SUMIFS(Flat_file!$G:$G,Flat_file!$B:$B,Summary_Employed!$B$2,Flat_file!$C:$C,"Men",Flat_file!$D:$D,"35-39",Flat_file!$E:$E,"354",Flat_file!$F:$F,"E")</f>
        <v>0</v>
      </c>
      <c r="I10" s="89">
        <f>SUMIFS(Flat_file!$G:$G,Flat_file!$B:$B,Summary_Employed!$B$2,Flat_file!$C:$C,"Men",Flat_file!$D:$D,"35-39",Flat_file!$E:$E,"443",Flat_file!$F:$F,"E")+SUMIFS(Flat_file!$G:$G,Flat_file!$B:$B,Summary_Employed!$B$2,Flat_file!$C:$C,"Men",Flat_file!$D:$D,"35-39",Flat_file!$E:$E,"444",Flat_file!$F:$F,"E")+SUMIFS(Flat_file!$G:$G,Flat_file!$B:$B,Summary_Employed!$B$2,Flat_file!$C:$C,"Men",Flat_file!$D:$D,"35-39",Flat_file!$E:$E,"453",Flat_file!$F:$F,"E")+SUMIFS(Flat_file!$G:$G,Flat_file!$B:$B,Summary_Employed!$B$2,Flat_file!$C:$C,"Men",Flat_file!$D:$D,"35-39",Flat_file!$E:$E,"454",Flat_file!$F:$F,"E")</f>
        <v>0</v>
      </c>
      <c r="J10" s="89">
        <f>SUMIFS(Flat_file!$G:$G,Flat_file!$B:$B,Summary_Employed!$B$2,Flat_file!$C:$C,"Men",Flat_file!$D:$D,"35-39",Flat_file!$E:$E,"540",Flat_file!$F:$F,"E")+SUMIFS(Flat_file!$G:$G,Flat_file!$B:$B,Summary_Employed!$B$2,Flat_file!$C:$C,"Men",Flat_file!$D:$D,"35-39",Flat_file!$E:$E,"550",Flat_file!$F:$F,"E")+SUMIFS(Flat_file!$G:$G,Flat_file!$B:$B,Summary_Employed!$B$2,Flat_file!$C:$C,"Men",Flat_file!$D:$D,"35-39",Flat_file!$E:$E,"560",Flat_file!$F:$F,"E")</f>
        <v>0</v>
      </c>
      <c r="K10" s="89">
        <f>SUMIFS(Flat_file!$G:$G,Flat_file!$B:$B,Summary_Employed!$B$2,Flat_file!$C:$C,"Men",Flat_file!$D:$D,"35-39",Flat_file!$E:$E,"640",Flat_file!$F:$F,"E")+SUMIFS(Flat_file!$G:$G,Flat_file!$B:$B,Summary_Employed!$B$2,Flat_file!$C:$C,"Men",Flat_file!$D:$D,"35-39",Flat_file!$E:$E,"650",Flat_file!$F:$F,"E")+SUMIFS(Flat_file!$G:$G,Flat_file!$B:$B,Summary_Employed!$B$2,Flat_file!$C:$C,"Men",Flat_file!$D:$D,"35-39",Flat_file!$E:$E,"660",Flat_file!$F:$F,"E")</f>
        <v>0</v>
      </c>
      <c r="L10" s="89">
        <f>SUMIFS(Flat_file!$G:$G,Flat_file!$B:$B,Summary_Employed!$B$2,Flat_file!$C:$C,"Men",Flat_file!$D:$D,"35-39",Flat_file!$E:$E,"740",Flat_file!$F:$F,"E")+SUMIFS(Flat_file!$G:$G,Flat_file!$B:$B,Summary_Employed!$B$2,Flat_file!$C:$C,"Men",Flat_file!$D:$D,"35-39",Flat_file!$E:$E,"750",Flat_file!$F:$F,"E")+SUMIFS(Flat_file!$G:$G,Flat_file!$B:$B,Summary_Employed!$B$2,Flat_file!$C:$C,"Men",Flat_file!$D:$D,"35-39",Flat_file!$E:$E,"760",Flat_file!$F:$F,"E")</f>
        <v>0</v>
      </c>
      <c r="M10" s="89">
        <f>SUMIFS(Flat_file!$G:$G,Flat_file!$B:$B,Summary_Employed!$B$2,Flat_file!$C:$C,"Men",Flat_file!$D:$D,"35-39",Flat_file!$E:$E,"840",Flat_file!$F:$F,"E")+SUMIFS(Flat_file!$G:$G,Flat_file!$B:$B,Summary_Employed!$B$2,Flat_file!$C:$C,"Men",Flat_file!$D:$D,"35-39",Flat_file!$E:$E,"850",Flat_file!$F:$F,"E")+SUMIFS(Flat_file!$G:$G,Flat_file!$B:$B,Summary_Employed!$B$2,Flat_file!$C:$C,"Men",Flat_file!$D:$D,"35-39",Flat_file!$E:$E,"860",Flat_file!$F:$F,"E")</f>
        <v>0</v>
      </c>
      <c r="N10" s="89">
        <f>SUMIFS(Flat_file!$G:$G,Flat_file!$B:$B,Summary_Employed!$B$2,Flat_file!$C:$C,"Men",Flat_file!$D:$D,"35-39",Flat_file!$E:$E,"999",Flat_file!$F:$F,"E")</f>
        <v>0</v>
      </c>
      <c r="O10" s="89">
        <f t="shared" si="0"/>
        <v>0</v>
      </c>
      <c r="P10" s="90"/>
      <c r="Q10" s="89">
        <f t="shared" si="1"/>
        <v>0</v>
      </c>
      <c r="R10" s="91"/>
      <c r="S10" s="89">
        <f t="shared" si="2"/>
        <v>0</v>
      </c>
      <c r="T10" s="89">
        <f t="shared" si="3"/>
        <v>0</v>
      </c>
      <c r="U10" s="89">
        <f t="shared" si="4"/>
        <v>0</v>
      </c>
      <c r="V10" s="90"/>
      <c r="W10" s="89">
        <f>SUMIFS(Flat_file!$G:$G,Flat_file!$B:$B,Summary_Employed!$B$2,Flat_file!$C:$C,"Men",Flat_file!$D:$D,"35-39",Flat_file!$E:$E,"343",Flat_file!$F:$F,"E")+SUMIFS(Flat_file!$G:$G,Flat_file!$B:$B,Summary_Employed!$B$2,Flat_file!$C:$C,"Men",Flat_file!$D:$D,"35-39",Flat_file!$E:$E,"344",Flat_file!$F:$F,"E")+SUMIFS(Flat_file!$G:$G,Flat_file!$B:$B,Summary_Employed!$B$2,Flat_file!$C:$C,"Men",Flat_file!$D:$D,"35-39",Flat_file!$E:$E,"443",Flat_file!$F:$F,"E")+SUMIFS(Flat_file!$G:$G,Flat_file!$B:$B,Summary_Employed!$B$2,Flat_file!$C:$C,"Men",Flat_file!$D:$D,"35-39",Flat_file!$E:$E,"444",Flat_file!$F:$F,"E")</f>
        <v>0</v>
      </c>
      <c r="X10" s="89">
        <f>SUMIFS(Flat_file!$G:$G,Flat_file!$B:$B,Summary_Employed!$B$2,Flat_file!$C:$C,"Men",Flat_file!$D:$D,"35-39",Flat_file!$E:$E,"353",Flat_file!$F:$F,"E")+SUMIFS(Flat_file!$G:$G,Flat_file!$B:$B,Summary_Employed!$B$2,Flat_file!$C:$C,"Men",Flat_file!$D:$D,"35-39",Flat_file!$E:$E,"354",Flat_file!$F:$F,"E")+SUMIFS(Flat_file!$G:$G,Flat_file!$B:$B,Summary_Employed!$B$2,Flat_file!$C:$C,"Men",Flat_file!$D:$D,"35-39",Flat_file!$E:$E,"453",Flat_file!$F:$F,"E")+SUMIFS(Flat_file!$G:$G,Flat_file!$B:$B,Summary_Employed!$B$2,Flat_file!$C:$C,"Men",Flat_file!$D:$D,"35-39",Flat_file!$E:$E,"454",Flat_file!$F:$F,"E")</f>
        <v>0</v>
      </c>
      <c r="Y10" s="90"/>
      <c r="Z10" s="89">
        <f>SUMIFS(Flat_file!$G:$G,Flat_file!$B:$B,Summary_Employed!$B$2,Flat_file!$C:$C,"Men",Flat_file!$D:$D,"35-39",Flat_file!$E:$E,"640",Flat_file!$F:$F,"E")+SUMIFS(Flat_file!$G:$G,Flat_file!$B:$B,Summary_Employed!$B$2,Flat_file!$C:$C,"Men",Flat_file!$D:$D,"35-39",Flat_file!$E:$E,"740",Flat_file!$F:$F,"E")+SUMIFS(Flat_file!$G:$G,Flat_file!$B:$B,Summary_Employed!$B$2,Flat_file!$C:$C,"Men",Flat_file!$D:$D,"35-39",Flat_file!$E:$E,"840",Flat_file!$F:$F,"E")</f>
        <v>0</v>
      </c>
      <c r="AA10" s="89">
        <f>SUMIFS(Flat_file!$G:$G,Flat_file!$B:$B,Summary_Employed!$B$2,Flat_file!$C:$C,"Men",Flat_file!$D:$D,"35-39",Flat_file!$E:$E,"650",Flat_file!$F:$F,"E")+SUMIFS(Flat_file!$G:$G,Flat_file!$B:$B,Summary_Employed!$B$2,Flat_file!$C:$C,"Men",Flat_file!$D:$D,"35-39",Flat_file!$E:$E,"750",Flat_file!$F:$F,"E")+SUMIFS(Flat_file!$G:$G,Flat_file!$B:$B,Summary_Employed!$B$2,Flat_file!$C:$C,"Men",Flat_file!$D:$D,"35-39",Flat_file!$E:$E,"850",Flat_file!$F:$F,"E")</f>
        <v>0</v>
      </c>
      <c r="AB10" s="89">
        <f>SUMIFS(Flat_file!$G:$G,Flat_file!$B:$B,Summary_Employed!$B$2,Flat_file!$C:$C,"Men",Flat_file!$D:$D,"35-39",Flat_file!$E:$E,"660",Flat_file!$F:$F,"E")+SUMIFS(Flat_file!$G:$G,Flat_file!$B:$B,Summary_Employed!$B$2,Flat_file!$C:$C,"Men",Flat_file!$D:$D,"35-39",Flat_file!$E:$E,"760",Flat_file!$F:$F,"E")+SUMIFS(Flat_file!$G:$G,Flat_file!$B:$B,Summary_Employed!$B$2,Flat_file!$C:$C,"Men",Flat_file!$D:$D,"35-39",Flat_file!$E:$E,"860",Flat_file!$F:$F,"E")</f>
        <v>0</v>
      </c>
      <c r="AC10" s="3"/>
      <c r="AD10" s="202"/>
      <c r="AE10" s="202" t="s">
        <v>90</v>
      </c>
      <c r="AF10" s="204">
        <v>100</v>
      </c>
      <c r="AG10" s="202"/>
      <c r="AH10" s="3"/>
      <c r="AI10" s="3"/>
    </row>
    <row r="11" spans="1:37" customFormat="1" x14ac:dyDescent="0.2">
      <c r="A11" s="352"/>
      <c r="B11" s="79" t="s">
        <v>92</v>
      </c>
      <c r="C11" s="89">
        <f>SUMIFS(Flat_file!$G:$G,Flat_file!$B:$B,Summary_Employed!$B$2,Flat_file!$C:$C,"Men",Flat_file!$D:$D,"40-44",Flat_file!$E:$E,"010",Flat_file!$F:$F,"E")+SUMIFS(Flat_file!$G:$G,Flat_file!$B:$B,Summary_Employed!$B$2,Flat_file!$C:$C,"Men",Flat_file!$D:$D,"40-44",Flat_file!$E:$E,"020",Flat_file!$F:$F,"E")+SUMIFS(Flat_file!$G:$G,Flat_file!$B:$B,Summary_Employed!$B$2,Flat_file!$C:$C,"Men",Flat_file!$D:$D,"40-44",Flat_file!$E:$E,"030",Flat_file!$F:$F,"E")</f>
        <v>0</v>
      </c>
      <c r="D11" s="89">
        <f>SUMIFS(Flat_file!$G:$G,Flat_file!$B:$B,Summary_Employed!$B$2,Flat_file!$C:$C,"Men",Flat_file!$D:$D,"40-44",Flat_file!$E:$E,"100",Flat_file!$F:$F,"E")</f>
        <v>0</v>
      </c>
      <c r="E11" s="89">
        <f>SUMIFS(Flat_file!$G:$G,Flat_file!$B:$B,Summary_Employed!$B$2,Flat_file!$C:$C,"Men",Flat_file!$D:$D,"40-44",Flat_file!$E:$E,"242",Flat_file!$F:$F,"E")+SUMIFS(Flat_file!$G:$G,Flat_file!$B:$B,Summary_Employed!$B$2,Flat_file!$C:$C,"Men",Flat_file!$D:$D,"40-44",Flat_file!$E:$E,"252",Flat_file!$F:$F,"E")</f>
        <v>0</v>
      </c>
      <c r="F11" s="89">
        <f>SUMIFS(Flat_file!$G:$G,Flat_file!$B:$B,Summary_Employed!$B$2,Flat_file!$C:$C,"Men",Flat_file!$D:$D,"40-44",Flat_file!$E:$E,"243",Flat_file!$F:$F,"E")+SUMIFS(Flat_file!$G:$G,Flat_file!$B:$B,Summary_Employed!$B$2,Flat_file!$C:$C,"Men",Flat_file!$D:$D,"40-44",Flat_file!$E:$E,"244",Flat_file!$F:$F,"E")+SUMIFS(Flat_file!$G:$G,Flat_file!$B:$B,Summary_Employed!$B$2,Flat_file!$C:$C,"Men",Flat_file!$D:$D,"40-44",Flat_file!$E:$E,"253",Flat_file!$F:$F,"E")+SUMIFS(Flat_file!$G:$G,Flat_file!$B:$B,Summary_Employed!$B$2,Flat_file!$C:$C,"Men",Flat_file!$D:$D,"40-44",Flat_file!$E:$E,"254",Flat_file!$F:$F,"E")</f>
        <v>0</v>
      </c>
      <c r="G11" s="89">
        <f>SUMIFS(Flat_file!$G:$G,Flat_file!$B:$B,Summary_Employed!$B$2,Flat_file!$C:$C,"Men",Flat_file!$D:$D,"40-44",Flat_file!$E:$E,"342",Flat_file!$F:$F,"E")+SUMIFS(Flat_file!$G:$G,Flat_file!$B:$B,Summary_Employed!$B$2,Flat_file!$C:$C,"Men",Flat_file!$D:$D,"40-44",Flat_file!$E:$E,"352",Flat_file!$F:$F,"E")</f>
        <v>0</v>
      </c>
      <c r="H11" s="89">
        <f>SUMIFS(Flat_file!$G:$G,Flat_file!$B:$B,Summary_Employed!$B$2,Flat_file!$C:$C,"Men",Flat_file!$D:$D,"40-44",Flat_file!$E:$E,"343",Flat_file!$F:$F,"E")+SUMIFS(Flat_file!$G:$G,Flat_file!$B:$B,Summary_Employed!$B$2,Flat_file!$C:$C,"Men",Flat_file!$D:$D,"40-44",Flat_file!$E:$E,"344",Flat_file!$F:$F,"E")+SUMIFS(Flat_file!$G:$G,Flat_file!$B:$B,Summary_Employed!$B$2,Flat_file!$C:$C,"Men",Flat_file!$D:$D,"40-44",Flat_file!$E:$E,"353",Flat_file!$F:$F,"E")+SUMIFS(Flat_file!$G:$G,Flat_file!$B:$B,Summary_Employed!$B$2,Flat_file!$C:$C,"Men",Flat_file!$D:$D,"40-44",Flat_file!$E:$E,"354",Flat_file!$F:$F,"E")</f>
        <v>0</v>
      </c>
      <c r="I11" s="89">
        <f>SUMIFS(Flat_file!$G:$G,Flat_file!$B:$B,Summary_Employed!$B$2,Flat_file!$C:$C,"Men",Flat_file!$D:$D,"40-44",Flat_file!$E:$E,"443",Flat_file!$F:$F,"E")+SUMIFS(Flat_file!$G:$G,Flat_file!$B:$B,Summary_Employed!$B$2,Flat_file!$C:$C,"Men",Flat_file!$D:$D,"40-44",Flat_file!$E:$E,"444",Flat_file!$F:$F,"E")+SUMIFS(Flat_file!$G:$G,Flat_file!$B:$B,Summary_Employed!$B$2,Flat_file!$C:$C,"Men",Flat_file!$D:$D,"40-44",Flat_file!$E:$E,"453",Flat_file!$F:$F,"E")+SUMIFS(Flat_file!$G:$G,Flat_file!$B:$B,Summary_Employed!$B$2,Flat_file!$C:$C,"Men",Flat_file!$D:$D,"40-44",Flat_file!$E:$E,"454",Flat_file!$F:$F,"E")</f>
        <v>0</v>
      </c>
      <c r="J11" s="89">
        <f>SUMIFS(Flat_file!$G:$G,Flat_file!$B:$B,Summary_Employed!$B$2,Flat_file!$C:$C,"Men",Flat_file!$D:$D,"40-44",Flat_file!$E:$E,"540",Flat_file!$F:$F,"E")+SUMIFS(Flat_file!$G:$G,Flat_file!$B:$B,Summary_Employed!$B$2,Flat_file!$C:$C,"Men",Flat_file!$D:$D,"40-44",Flat_file!$E:$E,"550",Flat_file!$F:$F,"E")+SUMIFS(Flat_file!$G:$G,Flat_file!$B:$B,Summary_Employed!$B$2,Flat_file!$C:$C,"Men",Flat_file!$D:$D,"40-44",Flat_file!$E:$E,"560",Flat_file!$F:$F,"E")</f>
        <v>0</v>
      </c>
      <c r="K11" s="89">
        <f>SUMIFS(Flat_file!$G:$G,Flat_file!$B:$B,Summary_Employed!$B$2,Flat_file!$C:$C,"Men",Flat_file!$D:$D,"40-44",Flat_file!$E:$E,"640",Flat_file!$F:$F,"E")+SUMIFS(Flat_file!$G:$G,Flat_file!$B:$B,Summary_Employed!$B$2,Flat_file!$C:$C,"Men",Flat_file!$D:$D,"40-44",Flat_file!$E:$E,"650",Flat_file!$F:$F,"E")+SUMIFS(Flat_file!$G:$G,Flat_file!$B:$B,Summary_Employed!$B$2,Flat_file!$C:$C,"Men",Flat_file!$D:$D,"40-44",Flat_file!$E:$E,"660",Flat_file!$F:$F,"E")</f>
        <v>0</v>
      </c>
      <c r="L11" s="89">
        <f>SUMIFS(Flat_file!$G:$G,Flat_file!$B:$B,Summary_Employed!$B$2,Flat_file!$C:$C,"Men",Flat_file!$D:$D,"40-44",Flat_file!$E:$E,"740",Flat_file!$F:$F,"E")+SUMIFS(Flat_file!$G:$G,Flat_file!$B:$B,Summary_Employed!$B$2,Flat_file!$C:$C,"Men",Flat_file!$D:$D,"40-44",Flat_file!$E:$E,"750",Flat_file!$F:$F,"E")+SUMIFS(Flat_file!$G:$G,Flat_file!$B:$B,Summary_Employed!$B$2,Flat_file!$C:$C,"Men",Flat_file!$D:$D,"40-44",Flat_file!$E:$E,"760",Flat_file!$F:$F,"E")</f>
        <v>0</v>
      </c>
      <c r="M11" s="89">
        <f>SUMIFS(Flat_file!$G:$G,Flat_file!$B:$B,Summary_Employed!$B$2,Flat_file!$C:$C,"Men",Flat_file!$D:$D,"40-44",Flat_file!$E:$E,"840",Flat_file!$F:$F,"E")+SUMIFS(Flat_file!$G:$G,Flat_file!$B:$B,Summary_Employed!$B$2,Flat_file!$C:$C,"Men",Flat_file!$D:$D,"40-44",Flat_file!$E:$E,"850",Flat_file!$F:$F,"E")+SUMIFS(Flat_file!$G:$G,Flat_file!$B:$B,Summary_Employed!$B$2,Flat_file!$C:$C,"Men",Flat_file!$D:$D,"40-44",Flat_file!$E:$E,"860",Flat_file!$F:$F,"E")</f>
        <v>0</v>
      </c>
      <c r="N11" s="89">
        <f>SUMIFS(Flat_file!$G:$G,Flat_file!$B:$B,Summary_Employed!$B$2,Flat_file!$C:$C,"Men",Flat_file!$D:$D,"40-44",Flat_file!$E:$E,"999",Flat_file!$F:$F,"E")</f>
        <v>0</v>
      </c>
      <c r="O11" s="89">
        <f t="shared" si="0"/>
        <v>0</v>
      </c>
      <c r="P11" s="90"/>
      <c r="Q11" s="89">
        <f t="shared" si="1"/>
        <v>0</v>
      </c>
      <c r="R11" s="91"/>
      <c r="S11" s="89">
        <f t="shared" si="2"/>
        <v>0</v>
      </c>
      <c r="T11" s="89">
        <f t="shared" si="3"/>
        <v>0</v>
      </c>
      <c r="U11" s="89">
        <f t="shared" si="4"/>
        <v>0</v>
      </c>
      <c r="V11" s="90"/>
      <c r="W11" s="89">
        <f>SUMIFS(Flat_file!$G:$G,Flat_file!$B:$B,Summary_Employed!$B$2,Flat_file!$C:$C,"Men",Flat_file!$D:$D,"40-44",Flat_file!$E:$E,"343",Flat_file!$F:$F,"E")+SUMIFS(Flat_file!$G:$G,Flat_file!$B:$B,Summary_Employed!$B$2,Flat_file!$C:$C,"Men",Flat_file!$D:$D,"40-44",Flat_file!$E:$E,"344",Flat_file!$F:$F,"E")+SUMIFS(Flat_file!$G:$G,Flat_file!$B:$B,Summary_Employed!$B$2,Flat_file!$C:$C,"Men",Flat_file!$D:$D,"40-44",Flat_file!$E:$E,"443",Flat_file!$F:$F,"E")+SUMIFS(Flat_file!$G:$G,Flat_file!$B:$B,Summary_Employed!$B$2,Flat_file!$C:$C,"Men",Flat_file!$D:$D,"40-44",Flat_file!$E:$E,"444",Flat_file!$F:$F,"E")</f>
        <v>0</v>
      </c>
      <c r="X11" s="89">
        <f>SUMIFS(Flat_file!$G:$G,Flat_file!$B:$B,Summary_Employed!$B$2,Flat_file!$C:$C,"Men",Flat_file!$D:$D,"40-44",Flat_file!$E:$E,"353",Flat_file!$F:$F,"E")+SUMIFS(Flat_file!$G:$G,Flat_file!$B:$B,Summary_Employed!$B$2,Flat_file!$C:$C,"Men",Flat_file!$D:$D,"40-44",Flat_file!$E:$E,"354",Flat_file!$F:$F,"E")+SUMIFS(Flat_file!$G:$G,Flat_file!$B:$B,Summary_Employed!$B$2,Flat_file!$C:$C,"Men",Flat_file!$D:$D,"40-44",Flat_file!$E:$E,"453",Flat_file!$F:$F,"E")+SUMIFS(Flat_file!$G:$G,Flat_file!$B:$B,Summary_Employed!$B$2,Flat_file!$C:$C,"Men",Flat_file!$D:$D,"40-44",Flat_file!$E:$E,"454",Flat_file!$F:$F,"E")</f>
        <v>0</v>
      </c>
      <c r="Y11" s="90"/>
      <c r="Z11" s="89">
        <f>SUMIFS(Flat_file!$G:$G,Flat_file!$B:$B,Summary_Employed!$B$2,Flat_file!$C:$C,"Men",Flat_file!$D:$D,"40-44",Flat_file!$E:$E,"640",Flat_file!$F:$F,"E")+SUMIFS(Flat_file!$G:$G,Flat_file!$B:$B,Summary_Employed!$B$2,Flat_file!$C:$C,"Men",Flat_file!$D:$D,"40-44",Flat_file!$E:$E,"740",Flat_file!$F:$F,"E")+SUMIFS(Flat_file!$G:$G,Flat_file!$B:$B,Summary_Employed!$B$2,Flat_file!$C:$C,"Men",Flat_file!$D:$D,"40-44",Flat_file!$E:$E,"840",Flat_file!$F:$F,"E")</f>
        <v>0</v>
      </c>
      <c r="AA11" s="89">
        <f>SUMIFS(Flat_file!$G:$G,Flat_file!$B:$B,Summary_Employed!$B$2,Flat_file!$C:$C,"Men",Flat_file!$D:$D,"40-44",Flat_file!$E:$E,"650",Flat_file!$F:$F,"E")+SUMIFS(Flat_file!$G:$G,Flat_file!$B:$B,Summary_Employed!$B$2,Flat_file!$C:$C,"Men",Flat_file!$D:$D,"40-44",Flat_file!$E:$E,"750",Flat_file!$F:$F,"E")+SUMIFS(Flat_file!$G:$G,Flat_file!$B:$B,Summary_Employed!$B$2,Flat_file!$C:$C,"Men",Flat_file!$D:$D,"40-44",Flat_file!$E:$E,"850",Flat_file!$F:$F,"E")</f>
        <v>0</v>
      </c>
      <c r="AB11" s="89">
        <f>SUMIFS(Flat_file!$G:$G,Flat_file!$B:$B,Summary_Employed!$B$2,Flat_file!$C:$C,"Men",Flat_file!$D:$D,"40-44",Flat_file!$E:$E,"660",Flat_file!$F:$F,"E")+SUMIFS(Flat_file!$G:$G,Flat_file!$B:$B,Summary_Employed!$B$2,Flat_file!$C:$C,"Men",Flat_file!$D:$D,"40-44",Flat_file!$E:$E,"760",Flat_file!$F:$F,"E")+SUMIFS(Flat_file!$G:$G,Flat_file!$B:$B,Summary_Employed!$B$2,Flat_file!$C:$C,"Men",Flat_file!$D:$D,"40-44",Flat_file!$E:$E,"860",Flat_file!$F:$F,"E")</f>
        <v>0</v>
      </c>
      <c r="AC11" s="3"/>
      <c r="AD11" s="202"/>
      <c r="AE11" s="202" t="s">
        <v>91</v>
      </c>
      <c r="AF11" s="204">
        <v>242</v>
      </c>
      <c r="AG11" s="202"/>
      <c r="AH11" s="3"/>
      <c r="AI11" s="3"/>
    </row>
    <row r="12" spans="1:37" customFormat="1" x14ac:dyDescent="0.2">
      <c r="A12" s="352"/>
      <c r="B12" s="79" t="s">
        <v>93</v>
      </c>
      <c r="C12" s="89">
        <f>SUMIFS(Flat_file!$G:$G,Flat_file!$B:$B,Summary_Employed!$B$2,Flat_file!$C:$C,"Men",Flat_file!$D:$D,"45-49",Flat_file!$E:$E,"010",Flat_file!$F:$F,"E")+SUMIFS(Flat_file!$G:$G,Flat_file!$B:$B,Summary_Employed!$B$2,Flat_file!$C:$C,"Men",Flat_file!$D:$D,"45-49",Flat_file!$E:$E,"020",Flat_file!$F:$F,"E")+SUMIFS(Flat_file!$G:$G,Flat_file!$B:$B,Summary_Employed!$B$2,Flat_file!$C:$C,"Men",Flat_file!$D:$D,"45-49",Flat_file!$E:$E,"030",Flat_file!$F:$F,"E")</f>
        <v>0</v>
      </c>
      <c r="D12" s="89">
        <f>SUMIFS(Flat_file!$G:$G,Flat_file!$B:$B,Summary_Employed!$B$2,Flat_file!$C:$C,"Men",Flat_file!$D:$D,"45-49",Flat_file!$E:$E,"100",Flat_file!$F:$F,"E")</f>
        <v>0</v>
      </c>
      <c r="E12" s="89">
        <f>SUMIFS(Flat_file!$G:$G,Flat_file!$B:$B,Summary_Employed!$B$2,Flat_file!$C:$C,"Men",Flat_file!$D:$D,"45-49",Flat_file!$E:$E,"242",Flat_file!$F:$F,"E")+SUMIFS(Flat_file!$G:$G,Flat_file!$B:$B,Summary_Employed!$B$2,Flat_file!$C:$C,"Men",Flat_file!$D:$D,"45-49",Flat_file!$E:$E,"252",Flat_file!$F:$F,"E")</f>
        <v>0</v>
      </c>
      <c r="F12" s="89">
        <f>SUMIFS(Flat_file!$G:$G,Flat_file!$B:$B,Summary_Employed!$B$2,Flat_file!$C:$C,"Men",Flat_file!$D:$D,"45-49",Flat_file!$E:$E,"243",Flat_file!$F:$F,"E")+SUMIFS(Flat_file!$G:$G,Flat_file!$B:$B,Summary_Employed!$B$2,Flat_file!$C:$C,"Men",Flat_file!$D:$D,"45-49",Flat_file!$E:$E,"244",Flat_file!$F:$F,"E")+SUMIFS(Flat_file!$G:$G,Flat_file!$B:$B,Summary_Employed!$B$2,Flat_file!$C:$C,"Men",Flat_file!$D:$D,"45-49",Flat_file!$E:$E,"253",Flat_file!$F:$F,"E")+SUMIFS(Flat_file!$G:$G,Flat_file!$B:$B,Summary_Employed!$B$2,Flat_file!$C:$C,"Men",Flat_file!$D:$D,"45-49",Flat_file!$E:$E,"254",Flat_file!$F:$F,"E")</f>
        <v>0</v>
      </c>
      <c r="G12" s="89">
        <f>SUMIFS(Flat_file!$G:$G,Flat_file!$B:$B,Summary_Employed!$B$2,Flat_file!$C:$C,"Men",Flat_file!$D:$D,"45-49",Flat_file!$E:$E,"342",Flat_file!$F:$F,"E")+SUMIFS(Flat_file!$G:$G,Flat_file!$B:$B,Summary_Employed!$B$2,Flat_file!$C:$C,"Men",Flat_file!$D:$D,"45-49",Flat_file!$E:$E,"352",Flat_file!$F:$F,"E")</f>
        <v>0</v>
      </c>
      <c r="H12" s="89">
        <f>SUMIFS(Flat_file!$G:$G,Flat_file!$B:$B,Summary_Employed!$B$2,Flat_file!$C:$C,"Men",Flat_file!$D:$D,"45-49",Flat_file!$E:$E,"343",Flat_file!$F:$F,"E")+SUMIFS(Flat_file!$G:$G,Flat_file!$B:$B,Summary_Employed!$B$2,Flat_file!$C:$C,"Men",Flat_file!$D:$D,"45-49",Flat_file!$E:$E,"344",Flat_file!$F:$F,"E")+SUMIFS(Flat_file!$G:$G,Flat_file!$B:$B,Summary_Employed!$B$2,Flat_file!$C:$C,"Men",Flat_file!$D:$D,"45-49",Flat_file!$E:$E,"353",Flat_file!$F:$F,"E")+SUMIFS(Flat_file!$G:$G,Flat_file!$B:$B,Summary_Employed!$B$2,Flat_file!$C:$C,"Men",Flat_file!$D:$D,"45-49",Flat_file!$E:$E,"354",Flat_file!$F:$F,"E")</f>
        <v>0</v>
      </c>
      <c r="I12" s="89">
        <f>SUMIFS(Flat_file!$G:$G,Flat_file!$B:$B,Summary_Employed!$B$2,Flat_file!$C:$C,"Men",Flat_file!$D:$D,"45-49",Flat_file!$E:$E,"443",Flat_file!$F:$F,"E")+SUMIFS(Flat_file!$G:$G,Flat_file!$B:$B,Summary_Employed!$B$2,Flat_file!$C:$C,"Men",Flat_file!$D:$D,"45-49",Flat_file!$E:$E,"444",Flat_file!$F:$F,"E")+SUMIFS(Flat_file!$G:$G,Flat_file!$B:$B,Summary_Employed!$B$2,Flat_file!$C:$C,"Men",Flat_file!$D:$D,"45-49",Flat_file!$E:$E,"453",Flat_file!$F:$F,"E")+SUMIFS(Flat_file!$G:$G,Flat_file!$B:$B,Summary_Employed!$B$2,Flat_file!$C:$C,"Men",Flat_file!$D:$D,"45-49",Flat_file!$E:$E,"454",Flat_file!$F:$F,"E")</f>
        <v>0</v>
      </c>
      <c r="J12" s="89">
        <f>SUMIFS(Flat_file!$G:$G,Flat_file!$B:$B,Summary_Employed!$B$2,Flat_file!$C:$C,"Men",Flat_file!$D:$D,"45-49",Flat_file!$E:$E,"540",Flat_file!$F:$F,"E")+SUMIFS(Flat_file!$G:$G,Flat_file!$B:$B,Summary_Employed!$B$2,Flat_file!$C:$C,"Men",Flat_file!$D:$D,"45-49",Flat_file!$E:$E,"550",Flat_file!$F:$F,"E")+SUMIFS(Flat_file!$G:$G,Flat_file!$B:$B,Summary_Employed!$B$2,Flat_file!$C:$C,"Men",Flat_file!$D:$D,"45-49",Flat_file!$E:$E,"560",Flat_file!$F:$F,"E")</f>
        <v>0</v>
      </c>
      <c r="K12" s="89">
        <f>SUMIFS(Flat_file!$G:$G,Flat_file!$B:$B,Summary_Employed!$B$2,Flat_file!$C:$C,"Men",Flat_file!$D:$D,"45-49",Flat_file!$E:$E,"640",Flat_file!$F:$F,"E")+SUMIFS(Flat_file!$G:$G,Flat_file!$B:$B,Summary_Employed!$B$2,Flat_file!$C:$C,"Men",Flat_file!$D:$D,"45-49",Flat_file!$E:$E,"650",Flat_file!$F:$F,"E")+SUMIFS(Flat_file!$G:$G,Flat_file!$B:$B,Summary_Employed!$B$2,Flat_file!$C:$C,"Men",Flat_file!$D:$D,"45-49",Flat_file!$E:$E,"660",Flat_file!$F:$F,"E")</f>
        <v>0</v>
      </c>
      <c r="L12" s="89">
        <f>SUMIFS(Flat_file!$G:$G,Flat_file!$B:$B,Summary_Employed!$B$2,Flat_file!$C:$C,"Men",Flat_file!$D:$D,"45-49",Flat_file!$E:$E,"740",Flat_file!$F:$F,"E")+SUMIFS(Flat_file!$G:$G,Flat_file!$B:$B,Summary_Employed!$B$2,Flat_file!$C:$C,"Men",Flat_file!$D:$D,"45-49",Flat_file!$E:$E,"750",Flat_file!$F:$F,"E")+SUMIFS(Flat_file!$G:$G,Flat_file!$B:$B,Summary_Employed!$B$2,Flat_file!$C:$C,"Men",Flat_file!$D:$D,"45-49",Flat_file!$E:$E,"760",Flat_file!$F:$F,"E")</f>
        <v>0</v>
      </c>
      <c r="M12" s="89">
        <f>SUMIFS(Flat_file!$G:$G,Flat_file!$B:$B,Summary_Employed!$B$2,Flat_file!$C:$C,"Men",Flat_file!$D:$D,"45-49",Flat_file!$E:$E,"840",Flat_file!$F:$F,"E")+SUMIFS(Flat_file!$G:$G,Flat_file!$B:$B,Summary_Employed!$B$2,Flat_file!$C:$C,"Men",Flat_file!$D:$D,"45-49",Flat_file!$E:$E,"850",Flat_file!$F:$F,"E")+SUMIFS(Flat_file!$G:$G,Flat_file!$B:$B,Summary_Employed!$B$2,Flat_file!$C:$C,"Men",Flat_file!$D:$D,"45-49",Flat_file!$E:$E,"860",Flat_file!$F:$F,"E")</f>
        <v>0</v>
      </c>
      <c r="N12" s="89">
        <f>SUMIFS(Flat_file!$G:$G,Flat_file!$B:$B,Summary_Employed!$B$2,Flat_file!$C:$C,"Men",Flat_file!$D:$D,"45-49",Flat_file!$E:$E,"999",Flat_file!$F:$F,"E")</f>
        <v>0</v>
      </c>
      <c r="O12" s="89">
        <f t="shared" si="0"/>
        <v>0</v>
      </c>
      <c r="P12" s="90"/>
      <c r="Q12" s="89">
        <f t="shared" si="1"/>
        <v>0</v>
      </c>
      <c r="R12" s="91"/>
      <c r="S12" s="89">
        <f t="shared" si="2"/>
        <v>0</v>
      </c>
      <c r="T12" s="89">
        <f t="shared" si="3"/>
        <v>0</v>
      </c>
      <c r="U12" s="89">
        <f t="shared" si="4"/>
        <v>0</v>
      </c>
      <c r="V12" s="90"/>
      <c r="W12" s="89">
        <f>SUMIFS(Flat_file!$G:$G,Flat_file!$B:$B,Summary_Employed!$B$2,Flat_file!$C:$C,"Men",Flat_file!$D:$D,"45-49",Flat_file!$E:$E,"343",Flat_file!$F:$F,"E")+SUMIFS(Flat_file!$G:$G,Flat_file!$B:$B,Summary_Employed!$B$2,Flat_file!$C:$C,"Men",Flat_file!$D:$D,"45-49",Flat_file!$E:$E,"344",Flat_file!$F:$F,"E")+SUMIFS(Flat_file!$G:$G,Flat_file!$B:$B,Summary_Employed!$B$2,Flat_file!$C:$C,"Men",Flat_file!$D:$D,"45-49",Flat_file!$E:$E,"443",Flat_file!$F:$F,"E")+SUMIFS(Flat_file!$G:$G,Flat_file!$B:$B,Summary_Employed!$B$2,Flat_file!$C:$C,"Men",Flat_file!$D:$D,"45-49",Flat_file!$E:$E,"444",Flat_file!$F:$F,"E")</f>
        <v>0</v>
      </c>
      <c r="X12" s="89">
        <f>SUMIFS(Flat_file!$G:$G,Flat_file!$B:$B,Summary_Employed!$B$2,Flat_file!$C:$C,"Men",Flat_file!$D:$D,"45-49",Flat_file!$E:$E,"353",Flat_file!$F:$F,"E")+SUMIFS(Flat_file!$G:$G,Flat_file!$B:$B,Summary_Employed!$B$2,Flat_file!$C:$C,"Men",Flat_file!$D:$D,"45-49",Flat_file!$E:$E,"354",Flat_file!$F:$F,"E")+SUMIFS(Flat_file!$G:$G,Flat_file!$B:$B,Summary_Employed!$B$2,Flat_file!$C:$C,"Men",Flat_file!$D:$D,"45-49",Flat_file!$E:$E,"453",Flat_file!$F:$F,"E")+SUMIFS(Flat_file!$G:$G,Flat_file!$B:$B,Summary_Employed!$B$2,Flat_file!$C:$C,"Men",Flat_file!$D:$D,"45-49",Flat_file!$E:$E,"454",Flat_file!$F:$F,"E")</f>
        <v>0</v>
      </c>
      <c r="Y12" s="90"/>
      <c r="Z12" s="89">
        <f>SUMIFS(Flat_file!$G:$G,Flat_file!$B:$B,Summary_Employed!$B$2,Flat_file!$C:$C,"Men",Flat_file!$D:$D,"45-49",Flat_file!$E:$E,"640",Flat_file!$F:$F,"E")+SUMIFS(Flat_file!$G:$G,Flat_file!$B:$B,Summary_Employed!$B$2,Flat_file!$C:$C,"Men",Flat_file!$D:$D,"45-49",Flat_file!$E:$E,"740",Flat_file!$F:$F,"E")+SUMIFS(Flat_file!$G:$G,Flat_file!$B:$B,Summary_Employed!$B$2,Flat_file!$C:$C,"Men",Flat_file!$D:$D,"45-49",Flat_file!$E:$E,"840",Flat_file!$F:$F,"E")</f>
        <v>0</v>
      </c>
      <c r="AA12" s="89">
        <f>SUMIFS(Flat_file!$G:$G,Flat_file!$B:$B,Summary_Employed!$B$2,Flat_file!$C:$C,"Men",Flat_file!$D:$D,"45-49",Flat_file!$E:$E,"650",Flat_file!$F:$F,"E")+SUMIFS(Flat_file!$G:$G,Flat_file!$B:$B,Summary_Employed!$B$2,Flat_file!$C:$C,"Men",Flat_file!$D:$D,"45-49",Flat_file!$E:$E,"750",Flat_file!$F:$F,"E")+SUMIFS(Flat_file!$G:$G,Flat_file!$B:$B,Summary_Employed!$B$2,Flat_file!$C:$C,"Men",Flat_file!$D:$D,"45-49",Flat_file!$E:$E,"850",Flat_file!$F:$F,"E")</f>
        <v>0</v>
      </c>
      <c r="AB12" s="89">
        <f>SUMIFS(Flat_file!$G:$G,Flat_file!$B:$B,Summary_Employed!$B$2,Flat_file!$C:$C,"Men",Flat_file!$D:$D,"45-49",Flat_file!$E:$E,"660",Flat_file!$F:$F,"E")+SUMIFS(Flat_file!$G:$G,Flat_file!$B:$B,Summary_Employed!$B$2,Flat_file!$C:$C,"Men",Flat_file!$D:$D,"45-49",Flat_file!$E:$E,"760",Flat_file!$F:$F,"E")+SUMIFS(Flat_file!$G:$G,Flat_file!$B:$B,Summary_Employed!$B$2,Flat_file!$C:$C,"Men",Flat_file!$D:$D,"45-49",Flat_file!$E:$E,"860",Flat_file!$F:$F,"E")</f>
        <v>0</v>
      </c>
      <c r="AC12" s="3"/>
      <c r="AD12" s="202"/>
      <c r="AE12" s="202" t="s">
        <v>92</v>
      </c>
      <c r="AF12" s="204">
        <v>252</v>
      </c>
      <c r="AG12" s="202"/>
      <c r="AH12" s="3"/>
      <c r="AI12" s="3"/>
    </row>
    <row r="13" spans="1:37" customFormat="1" x14ac:dyDescent="0.2">
      <c r="A13" s="352"/>
      <c r="B13" s="79" t="s">
        <v>94</v>
      </c>
      <c r="C13" s="89">
        <f>SUMIFS(Flat_file!$G:$G,Flat_file!$B:$B,Summary_Employed!$B$2,Flat_file!$C:$C,"Men",Flat_file!$D:$D,"50-54",Flat_file!$E:$E,"010",Flat_file!$F:$F,"E")+SUMIFS(Flat_file!$G:$G,Flat_file!$B:$B,Summary_Employed!$B$2,Flat_file!$C:$C,"Men",Flat_file!$D:$D,"50-54",Flat_file!$E:$E,"020",Flat_file!$F:$F,"E")+SUMIFS(Flat_file!$G:$G,Flat_file!$B:$B,Summary_Employed!$B$2,Flat_file!$C:$C,"Men",Flat_file!$D:$D,"50-54",Flat_file!$E:$E,"030",Flat_file!$F:$F,"E")</f>
        <v>0</v>
      </c>
      <c r="D13" s="89">
        <f>SUMIFS(Flat_file!$G:$G,Flat_file!$B:$B,Summary_Employed!$B$2,Flat_file!$C:$C,"Men",Flat_file!$D:$D,"50-54",Flat_file!$E:$E,"100",Flat_file!$F:$F,"E")</f>
        <v>0</v>
      </c>
      <c r="E13" s="89">
        <f>SUMIFS(Flat_file!$G:$G,Flat_file!$B:$B,Summary_Employed!$B$2,Flat_file!$C:$C,"Men",Flat_file!$D:$D,"50-54",Flat_file!$E:$E,"242",Flat_file!$F:$F,"E")+SUMIFS(Flat_file!$G:$G,Flat_file!$B:$B,Summary_Employed!$B$2,Flat_file!$C:$C,"Men",Flat_file!$D:$D,"50-54",Flat_file!$E:$E,"252",Flat_file!$F:$F,"E")</f>
        <v>0</v>
      </c>
      <c r="F13" s="89">
        <f>SUMIFS(Flat_file!$G:$G,Flat_file!$B:$B,Summary_Employed!$B$2,Flat_file!$C:$C,"Men",Flat_file!$D:$D,"50-54",Flat_file!$E:$E,"243",Flat_file!$F:$F,"E")+SUMIFS(Flat_file!$G:$G,Flat_file!$B:$B,Summary_Employed!$B$2,Flat_file!$C:$C,"Men",Flat_file!$D:$D,"50-54",Flat_file!$E:$E,"244",Flat_file!$F:$F,"E")+SUMIFS(Flat_file!$G:$G,Flat_file!$B:$B,Summary_Employed!$B$2,Flat_file!$C:$C,"Men",Flat_file!$D:$D,"50-54",Flat_file!$E:$E,"253",Flat_file!$F:$F,"E")+SUMIFS(Flat_file!$G:$G,Flat_file!$B:$B,Summary_Employed!$B$2,Flat_file!$C:$C,"Men",Flat_file!$D:$D,"50-54",Flat_file!$E:$E,"254",Flat_file!$F:$F,"E")</f>
        <v>0</v>
      </c>
      <c r="G13" s="89">
        <f>SUMIFS(Flat_file!$G:$G,Flat_file!$B:$B,Summary_Employed!$B$2,Flat_file!$C:$C,"Men",Flat_file!$D:$D,"50-54",Flat_file!$E:$E,"342",Flat_file!$F:$F,"E")+SUMIFS(Flat_file!$G:$G,Flat_file!$B:$B,Summary_Employed!$B$2,Flat_file!$C:$C,"Men",Flat_file!$D:$D,"50-54",Flat_file!$E:$E,"352",Flat_file!$F:$F,"E")</f>
        <v>0</v>
      </c>
      <c r="H13" s="89">
        <f>SUMIFS(Flat_file!$G:$G,Flat_file!$B:$B,Summary_Employed!$B$2,Flat_file!$C:$C,"Men",Flat_file!$D:$D,"50-54",Flat_file!$E:$E,"343",Flat_file!$F:$F,"E")+SUMIFS(Flat_file!$G:$G,Flat_file!$B:$B,Summary_Employed!$B$2,Flat_file!$C:$C,"Men",Flat_file!$D:$D,"50-54",Flat_file!$E:$E,"344",Flat_file!$F:$F,"E")+SUMIFS(Flat_file!$G:$G,Flat_file!$B:$B,Summary_Employed!$B$2,Flat_file!$C:$C,"Men",Flat_file!$D:$D,"50-54",Flat_file!$E:$E,"353",Flat_file!$F:$F,"E")+SUMIFS(Flat_file!$G:$G,Flat_file!$B:$B,Summary_Employed!$B$2,Flat_file!$C:$C,"Men",Flat_file!$D:$D,"50-54",Flat_file!$E:$E,"354",Flat_file!$F:$F,"E")</f>
        <v>0</v>
      </c>
      <c r="I13" s="89">
        <f>SUMIFS(Flat_file!$G:$G,Flat_file!$B:$B,Summary_Employed!$B$2,Flat_file!$C:$C,"Men",Flat_file!$D:$D,"50-54",Flat_file!$E:$E,"443",Flat_file!$F:$F,"E")+SUMIFS(Flat_file!$G:$G,Flat_file!$B:$B,Summary_Employed!$B$2,Flat_file!$C:$C,"Men",Flat_file!$D:$D,"50-54",Flat_file!$E:$E,"444",Flat_file!$F:$F,"E")+SUMIFS(Flat_file!$G:$G,Flat_file!$B:$B,Summary_Employed!$B$2,Flat_file!$C:$C,"Men",Flat_file!$D:$D,"50-54",Flat_file!$E:$E,"453",Flat_file!$F:$F,"E")+SUMIFS(Flat_file!$G:$G,Flat_file!$B:$B,Summary_Employed!$B$2,Flat_file!$C:$C,"Men",Flat_file!$D:$D,"50-54",Flat_file!$E:$E,"454",Flat_file!$F:$F,"E")</f>
        <v>0</v>
      </c>
      <c r="J13" s="89">
        <f>SUMIFS(Flat_file!$G:$G,Flat_file!$B:$B,Summary_Employed!$B$2,Flat_file!$C:$C,"Men",Flat_file!$D:$D,"50-54",Flat_file!$E:$E,"540",Flat_file!$F:$F,"E")+SUMIFS(Flat_file!$G:$G,Flat_file!$B:$B,Summary_Employed!$B$2,Flat_file!$C:$C,"Men",Flat_file!$D:$D,"50-54",Flat_file!$E:$E,"550",Flat_file!$F:$F,"E")+SUMIFS(Flat_file!$G:$G,Flat_file!$B:$B,Summary_Employed!$B$2,Flat_file!$C:$C,"Men",Flat_file!$D:$D,"50-54",Flat_file!$E:$E,"560",Flat_file!$F:$F,"E")</f>
        <v>0</v>
      </c>
      <c r="K13" s="89">
        <f>SUMIFS(Flat_file!$G:$G,Flat_file!$B:$B,Summary_Employed!$B$2,Flat_file!$C:$C,"Men",Flat_file!$D:$D,"50-54",Flat_file!$E:$E,"640",Flat_file!$F:$F,"E")+SUMIFS(Flat_file!$G:$G,Flat_file!$B:$B,Summary_Employed!$B$2,Flat_file!$C:$C,"Men",Flat_file!$D:$D,"50-54",Flat_file!$E:$E,"650",Flat_file!$F:$F,"E")+SUMIFS(Flat_file!$G:$G,Flat_file!$B:$B,Summary_Employed!$B$2,Flat_file!$C:$C,"Men",Flat_file!$D:$D,"50-54",Flat_file!$E:$E,"660",Flat_file!$F:$F,"E")</f>
        <v>0</v>
      </c>
      <c r="L13" s="89">
        <f>SUMIFS(Flat_file!$G:$G,Flat_file!$B:$B,Summary_Employed!$B$2,Flat_file!$C:$C,"Men",Flat_file!$D:$D,"50-54",Flat_file!$E:$E,"740",Flat_file!$F:$F,"E")+SUMIFS(Flat_file!$G:$G,Flat_file!$B:$B,Summary_Employed!$B$2,Flat_file!$C:$C,"Men",Flat_file!$D:$D,"50-54",Flat_file!$E:$E,"750",Flat_file!$F:$F,"E")+SUMIFS(Flat_file!$G:$G,Flat_file!$B:$B,Summary_Employed!$B$2,Flat_file!$C:$C,"Men",Flat_file!$D:$D,"50-54",Flat_file!$E:$E,"760",Flat_file!$F:$F,"E")</f>
        <v>0</v>
      </c>
      <c r="M13" s="89">
        <f>SUMIFS(Flat_file!$G:$G,Flat_file!$B:$B,Summary_Employed!$B$2,Flat_file!$C:$C,"Men",Flat_file!$D:$D,"50-54",Flat_file!$E:$E,"840",Flat_file!$F:$F,"E")+SUMIFS(Flat_file!$G:$G,Flat_file!$B:$B,Summary_Employed!$B$2,Flat_file!$C:$C,"Men",Flat_file!$D:$D,"50-54",Flat_file!$E:$E,"850",Flat_file!$F:$F,"E")+SUMIFS(Flat_file!$G:$G,Flat_file!$B:$B,Summary_Employed!$B$2,Flat_file!$C:$C,"Men",Flat_file!$D:$D,"50-54",Flat_file!$E:$E,"860",Flat_file!$F:$F,"E")</f>
        <v>0</v>
      </c>
      <c r="N13" s="89">
        <f>SUMIFS(Flat_file!$G:$G,Flat_file!$B:$B,Summary_Employed!$B$2,Flat_file!$C:$C,"Men",Flat_file!$D:$D,"50-54",Flat_file!$E:$E,"999",Flat_file!$F:$F,"E")</f>
        <v>0</v>
      </c>
      <c r="O13" s="89">
        <f t="shared" si="0"/>
        <v>0</v>
      </c>
      <c r="P13" s="90"/>
      <c r="Q13" s="89">
        <f t="shared" si="1"/>
        <v>0</v>
      </c>
      <c r="R13" s="91"/>
      <c r="S13" s="89">
        <f t="shared" si="2"/>
        <v>0</v>
      </c>
      <c r="T13" s="89">
        <f t="shared" si="3"/>
        <v>0</v>
      </c>
      <c r="U13" s="89">
        <f t="shared" si="4"/>
        <v>0</v>
      </c>
      <c r="V13" s="90"/>
      <c r="W13" s="89">
        <f>SUMIFS(Flat_file!$G:$G,Flat_file!$B:$B,Summary_Employed!$B$2,Flat_file!$C:$C,"Men",Flat_file!$D:$D,"50-54",Flat_file!$E:$E,"343",Flat_file!$F:$F,"E")+SUMIFS(Flat_file!$G:$G,Flat_file!$B:$B,Summary_Employed!$B$2,Flat_file!$C:$C,"Men",Flat_file!$D:$D,"50-54",Flat_file!$E:$E,"344",Flat_file!$F:$F,"E")+SUMIFS(Flat_file!$G:$G,Flat_file!$B:$B,Summary_Employed!$B$2,Flat_file!$C:$C,"Men",Flat_file!$D:$D,"50-54",Flat_file!$E:$E,"443",Flat_file!$F:$F,"E")+SUMIFS(Flat_file!$G:$G,Flat_file!$B:$B,Summary_Employed!$B$2,Flat_file!$C:$C,"Men",Flat_file!$D:$D,"50-54",Flat_file!$E:$E,"444",Flat_file!$F:$F,"E")</f>
        <v>0</v>
      </c>
      <c r="X13" s="89">
        <f>SUMIFS(Flat_file!$G:$G,Flat_file!$B:$B,Summary_Employed!$B$2,Flat_file!$C:$C,"Men",Flat_file!$D:$D,"50-54",Flat_file!$E:$E,"353",Flat_file!$F:$F,"E")+SUMIFS(Flat_file!$G:$G,Flat_file!$B:$B,Summary_Employed!$B$2,Flat_file!$C:$C,"Men",Flat_file!$D:$D,"50-54",Flat_file!$E:$E,"354",Flat_file!$F:$F,"E")+SUMIFS(Flat_file!$G:$G,Flat_file!$B:$B,Summary_Employed!$B$2,Flat_file!$C:$C,"Men",Flat_file!$D:$D,"50-54",Flat_file!$E:$E,"453",Flat_file!$F:$F,"E")+SUMIFS(Flat_file!$G:$G,Flat_file!$B:$B,Summary_Employed!$B$2,Flat_file!$C:$C,"Men",Flat_file!$D:$D,"50-54",Flat_file!$E:$E,"454",Flat_file!$F:$F,"E")</f>
        <v>0</v>
      </c>
      <c r="Y13" s="90"/>
      <c r="Z13" s="89">
        <f>SUMIFS(Flat_file!$G:$G,Flat_file!$B:$B,Summary_Employed!$B$2,Flat_file!$C:$C,"Men",Flat_file!$D:$D,"50-54",Flat_file!$E:$E,"640",Flat_file!$F:$F,"E")+SUMIFS(Flat_file!$G:$G,Flat_file!$B:$B,Summary_Employed!$B$2,Flat_file!$C:$C,"Men",Flat_file!$D:$D,"50-54",Flat_file!$E:$E,"740",Flat_file!$F:$F,"E")+SUMIFS(Flat_file!$G:$G,Flat_file!$B:$B,Summary_Employed!$B$2,Flat_file!$C:$C,"Men",Flat_file!$D:$D,"50-54",Flat_file!$E:$E,"840",Flat_file!$F:$F,"E")</f>
        <v>0</v>
      </c>
      <c r="AA13" s="89">
        <f>SUMIFS(Flat_file!$G:$G,Flat_file!$B:$B,Summary_Employed!$B$2,Flat_file!$C:$C,"Men",Flat_file!$D:$D,"50-54",Flat_file!$E:$E,"650",Flat_file!$F:$F,"E")+SUMIFS(Flat_file!$G:$G,Flat_file!$B:$B,Summary_Employed!$B$2,Flat_file!$C:$C,"Men",Flat_file!$D:$D,"50-54",Flat_file!$E:$E,"750",Flat_file!$F:$F,"E")+SUMIFS(Flat_file!$G:$G,Flat_file!$B:$B,Summary_Employed!$B$2,Flat_file!$C:$C,"Men",Flat_file!$D:$D,"50-54",Flat_file!$E:$E,"850",Flat_file!$F:$F,"E")</f>
        <v>0</v>
      </c>
      <c r="AB13" s="89">
        <f>SUMIFS(Flat_file!$G:$G,Flat_file!$B:$B,Summary_Employed!$B$2,Flat_file!$C:$C,"Men",Flat_file!$D:$D,"50-54",Flat_file!$E:$E,"660",Flat_file!$F:$F,"E")+SUMIFS(Flat_file!$G:$G,Flat_file!$B:$B,Summary_Employed!$B$2,Flat_file!$C:$C,"Men",Flat_file!$D:$D,"50-54",Flat_file!$E:$E,"760",Flat_file!$F:$F,"E")+SUMIFS(Flat_file!$G:$G,Flat_file!$B:$B,Summary_Employed!$B$2,Flat_file!$C:$C,"Men",Flat_file!$D:$D,"50-54",Flat_file!$E:$E,"860",Flat_file!$F:$F,"E")</f>
        <v>0</v>
      </c>
      <c r="AC13" s="3"/>
      <c r="AD13" s="202"/>
      <c r="AE13" s="202" t="s">
        <v>93</v>
      </c>
      <c r="AF13" s="204">
        <v>243</v>
      </c>
      <c r="AG13" s="202"/>
      <c r="AH13" s="3"/>
      <c r="AI13" s="3"/>
    </row>
    <row r="14" spans="1:37" customFormat="1" x14ac:dyDescent="0.2">
      <c r="A14" s="352"/>
      <c r="B14" s="79" t="s">
        <v>95</v>
      </c>
      <c r="C14" s="89">
        <f>SUMIFS(Flat_file!$G:$G,Flat_file!$B:$B,Summary_Employed!$B$2,Flat_file!$C:$C,"Men",Flat_file!$D:$D,"55-59",Flat_file!$E:$E,"010",Flat_file!$F:$F,"E")+SUMIFS(Flat_file!$G:$G,Flat_file!$B:$B,Summary_Employed!$B$2,Flat_file!$C:$C,"Men",Flat_file!$D:$D,"55-59",Flat_file!$E:$E,"020",Flat_file!$F:$F,"E")+SUMIFS(Flat_file!$G:$G,Flat_file!$B:$B,Summary_Employed!$B$2,Flat_file!$C:$C,"Men",Flat_file!$D:$D,"55-59",Flat_file!$E:$E,"030",Flat_file!$F:$F,"E")</f>
        <v>0</v>
      </c>
      <c r="D14" s="89">
        <f>SUMIFS(Flat_file!$G:$G,Flat_file!$B:$B,Summary_Employed!$B$2,Flat_file!$C:$C,"Men",Flat_file!$D:$D,"55-59",Flat_file!$E:$E,"100",Flat_file!$F:$F,"E")</f>
        <v>0</v>
      </c>
      <c r="E14" s="89">
        <f>SUMIFS(Flat_file!$G:$G,Flat_file!$B:$B,Summary_Employed!$B$2,Flat_file!$C:$C,"Men",Flat_file!$D:$D,"55-59",Flat_file!$E:$E,"242",Flat_file!$F:$F,"E")+SUMIFS(Flat_file!$G:$G,Flat_file!$B:$B,Summary_Employed!$B$2,Flat_file!$C:$C,"Men",Flat_file!$D:$D,"55-59",Flat_file!$E:$E,"252",Flat_file!$F:$F,"E")</f>
        <v>0</v>
      </c>
      <c r="F14" s="89">
        <f>SUMIFS(Flat_file!$G:$G,Flat_file!$B:$B,Summary_Employed!$B$2,Flat_file!$C:$C,"Men",Flat_file!$D:$D,"55-59",Flat_file!$E:$E,"243",Flat_file!$F:$F,"E")+SUMIFS(Flat_file!$G:$G,Flat_file!$B:$B,Summary_Employed!$B$2,Flat_file!$C:$C,"Men",Flat_file!$D:$D,"55-59",Flat_file!$E:$E,"244",Flat_file!$F:$F,"E")+SUMIFS(Flat_file!$G:$G,Flat_file!$B:$B,Summary_Employed!$B$2,Flat_file!$C:$C,"Men",Flat_file!$D:$D,"55-59",Flat_file!$E:$E,"253",Flat_file!$F:$F,"E")+SUMIFS(Flat_file!$G:$G,Flat_file!$B:$B,Summary_Employed!$B$2,Flat_file!$C:$C,"Men",Flat_file!$D:$D,"55-59",Flat_file!$E:$E,"254",Flat_file!$F:$F,"E")</f>
        <v>0</v>
      </c>
      <c r="G14" s="89">
        <f>SUMIFS(Flat_file!$G:$G,Flat_file!$B:$B,Summary_Employed!$B$2,Flat_file!$C:$C,"Men",Flat_file!$D:$D,"55-59",Flat_file!$E:$E,"342",Flat_file!$F:$F,"E")+SUMIFS(Flat_file!$G:$G,Flat_file!$B:$B,Summary_Employed!$B$2,Flat_file!$C:$C,"Men",Flat_file!$D:$D,"55-59",Flat_file!$E:$E,"352",Flat_file!$F:$F,"E")</f>
        <v>0</v>
      </c>
      <c r="H14" s="89">
        <f>SUMIFS(Flat_file!$G:$G,Flat_file!$B:$B,Summary_Employed!$B$2,Flat_file!$C:$C,"Men",Flat_file!$D:$D,"55-59",Flat_file!$E:$E,"343",Flat_file!$F:$F,"E")+SUMIFS(Flat_file!$G:$G,Flat_file!$B:$B,Summary_Employed!$B$2,Flat_file!$C:$C,"Men",Flat_file!$D:$D,"55-59",Flat_file!$E:$E,"344",Flat_file!$F:$F,"E")+SUMIFS(Flat_file!$G:$G,Flat_file!$B:$B,Summary_Employed!$B$2,Flat_file!$C:$C,"Men",Flat_file!$D:$D,"55-59",Flat_file!$E:$E,"353",Flat_file!$F:$F,"E")+SUMIFS(Flat_file!$G:$G,Flat_file!$B:$B,Summary_Employed!$B$2,Flat_file!$C:$C,"Men",Flat_file!$D:$D,"55-59",Flat_file!$E:$E,"354",Flat_file!$F:$F,"E")</f>
        <v>0</v>
      </c>
      <c r="I14" s="89">
        <f>SUMIFS(Flat_file!$G:$G,Flat_file!$B:$B,Summary_Employed!$B$2,Flat_file!$C:$C,"Men",Flat_file!$D:$D,"55-59",Flat_file!$E:$E,"443",Flat_file!$F:$F,"E")+SUMIFS(Flat_file!$G:$G,Flat_file!$B:$B,Summary_Employed!$B$2,Flat_file!$C:$C,"Men",Flat_file!$D:$D,"55-59",Flat_file!$E:$E,"444",Flat_file!$F:$F,"E")+SUMIFS(Flat_file!$G:$G,Flat_file!$B:$B,Summary_Employed!$B$2,Flat_file!$C:$C,"Men",Flat_file!$D:$D,"55-59",Flat_file!$E:$E,"453",Flat_file!$F:$F,"E")+SUMIFS(Flat_file!$G:$G,Flat_file!$B:$B,Summary_Employed!$B$2,Flat_file!$C:$C,"Men",Flat_file!$D:$D,"55-59",Flat_file!$E:$E,"454",Flat_file!$F:$F,"E")</f>
        <v>0</v>
      </c>
      <c r="J14" s="89">
        <f>SUMIFS(Flat_file!$G:$G,Flat_file!$B:$B,Summary_Employed!$B$2,Flat_file!$C:$C,"Men",Flat_file!$D:$D,"55-59",Flat_file!$E:$E,"540",Flat_file!$F:$F,"E")+SUMIFS(Flat_file!$G:$G,Flat_file!$B:$B,Summary_Employed!$B$2,Flat_file!$C:$C,"Men",Flat_file!$D:$D,"55-59",Flat_file!$E:$E,"550",Flat_file!$F:$F,"E")+SUMIFS(Flat_file!$G:$G,Flat_file!$B:$B,Summary_Employed!$B$2,Flat_file!$C:$C,"Men",Flat_file!$D:$D,"55-59",Flat_file!$E:$E,"560",Flat_file!$F:$F,"E")</f>
        <v>0</v>
      </c>
      <c r="K14" s="89">
        <f>SUMIFS(Flat_file!$G:$G,Flat_file!$B:$B,Summary_Employed!$B$2,Flat_file!$C:$C,"Men",Flat_file!$D:$D,"55-59",Flat_file!$E:$E,"640",Flat_file!$F:$F,"E")+SUMIFS(Flat_file!$G:$G,Flat_file!$B:$B,Summary_Employed!$B$2,Flat_file!$C:$C,"Men",Flat_file!$D:$D,"55-59",Flat_file!$E:$E,"650",Flat_file!$F:$F,"E")+SUMIFS(Flat_file!$G:$G,Flat_file!$B:$B,Summary_Employed!$B$2,Flat_file!$C:$C,"Men",Flat_file!$D:$D,"55-59",Flat_file!$E:$E,"660",Flat_file!$F:$F,"E")</f>
        <v>0</v>
      </c>
      <c r="L14" s="89">
        <f>SUMIFS(Flat_file!$G:$G,Flat_file!$B:$B,Summary_Employed!$B$2,Flat_file!$C:$C,"Men",Flat_file!$D:$D,"55-59",Flat_file!$E:$E,"740",Flat_file!$F:$F,"E")+SUMIFS(Flat_file!$G:$G,Flat_file!$B:$B,Summary_Employed!$B$2,Flat_file!$C:$C,"Men",Flat_file!$D:$D,"55-59",Flat_file!$E:$E,"750",Flat_file!$F:$F,"E")+SUMIFS(Flat_file!$G:$G,Flat_file!$B:$B,Summary_Employed!$B$2,Flat_file!$C:$C,"Men",Flat_file!$D:$D,"55-59",Flat_file!$E:$E,"760",Flat_file!$F:$F,"E")</f>
        <v>0</v>
      </c>
      <c r="M14" s="89">
        <f>SUMIFS(Flat_file!$G:$G,Flat_file!$B:$B,Summary_Employed!$B$2,Flat_file!$C:$C,"Men",Flat_file!$D:$D,"55-59",Flat_file!$E:$E,"840",Flat_file!$F:$F,"E")+SUMIFS(Flat_file!$G:$G,Flat_file!$B:$B,Summary_Employed!$B$2,Flat_file!$C:$C,"Men",Flat_file!$D:$D,"55-59",Flat_file!$E:$E,"850",Flat_file!$F:$F,"E")+SUMIFS(Flat_file!$G:$G,Flat_file!$B:$B,Summary_Employed!$B$2,Flat_file!$C:$C,"Men",Flat_file!$D:$D,"55-59",Flat_file!$E:$E,"860",Flat_file!$F:$F,"E")</f>
        <v>0</v>
      </c>
      <c r="N14" s="89">
        <f>SUMIFS(Flat_file!$G:$G,Flat_file!$B:$B,Summary_Employed!$B$2,Flat_file!$C:$C,"Men",Flat_file!$D:$D,"55-59",Flat_file!$E:$E,"999",Flat_file!$F:$F,"E")</f>
        <v>0</v>
      </c>
      <c r="O14" s="89">
        <f t="shared" si="0"/>
        <v>0</v>
      </c>
      <c r="P14" s="90"/>
      <c r="Q14" s="89">
        <f t="shared" si="1"/>
        <v>0</v>
      </c>
      <c r="R14" s="91"/>
      <c r="S14" s="89">
        <f t="shared" si="2"/>
        <v>0</v>
      </c>
      <c r="T14" s="89">
        <f t="shared" si="3"/>
        <v>0</v>
      </c>
      <c r="U14" s="89">
        <f t="shared" si="4"/>
        <v>0</v>
      </c>
      <c r="V14" s="90"/>
      <c r="W14" s="89">
        <f>SUMIFS(Flat_file!$G:$G,Flat_file!$B:$B,Summary_Employed!$B$2,Flat_file!$C:$C,"Men",Flat_file!$D:$D,"55-59",Flat_file!$E:$E,"343",Flat_file!$F:$F,"E")+SUMIFS(Flat_file!$G:$G,Flat_file!$B:$B,Summary_Employed!$B$2,Flat_file!$C:$C,"Men",Flat_file!$D:$D,"55-59",Flat_file!$E:$E,"344",Flat_file!$F:$F,"E")+SUMIFS(Flat_file!$G:$G,Flat_file!$B:$B,Summary_Employed!$B$2,Flat_file!$C:$C,"Men",Flat_file!$D:$D,"55-59",Flat_file!$E:$E,"443",Flat_file!$F:$F,"E")+SUMIFS(Flat_file!$G:$G,Flat_file!$B:$B,Summary_Employed!$B$2,Flat_file!$C:$C,"Men",Flat_file!$D:$D,"55-59",Flat_file!$E:$E,"444",Flat_file!$F:$F,"E")</f>
        <v>0</v>
      </c>
      <c r="X14" s="89">
        <f>SUMIFS(Flat_file!$G:$G,Flat_file!$B:$B,Summary_Employed!$B$2,Flat_file!$C:$C,"Men",Flat_file!$D:$D,"55-59",Flat_file!$E:$E,"353",Flat_file!$F:$F,"E")+SUMIFS(Flat_file!$G:$G,Flat_file!$B:$B,Summary_Employed!$B$2,Flat_file!$C:$C,"Men",Flat_file!$D:$D,"55-59",Flat_file!$E:$E,"354",Flat_file!$F:$F,"E")+SUMIFS(Flat_file!$G:$G,Flat_file!$B:$B,Summary_Employed!$B$2,Flat_file!$C:$C,"Men",Flat_file!$D:$D,"55-59",Flat_file!$E:$E,"453",Flat_file!$F:$F,"E")+SUMIFS(Flat_file!$G:$G,Flat_file!$B:$B,Summary_Employed!$B$2,Flat_file!$C:$C,"Men",Flat_file!$D:$D,"55-59",Flat_file!$E:$E,"454",Flat_file!$F:$F,"E")</f>
        <v>0</v>
      </c>
      <c r="Y14" s="90"/>
      <c r="Z14" s="89">
        <f>SUMIFS(Flat_file!$G:$G,Flat_file!$B:$B,Summary_Employed!$B$2,Flat_file!$C:$C,"Men",Flat_file!$D:$D,"55-59",Flat_file!$E:$E,"640",Flat_file!$F:$F,"E")+SUMIFS(Flat_file!$G:$G,Flat_file!$B:$B,Summary_Employed!$B$2,Flat_file!$C:$C,"Men",Flat_file!$D:$D,"55-59",Flat_file!$E:$E,"740",Flat_file!$F:$F,"E")+SUMIFS(Flat_file!$G:$G,Flat_file!$B:$B,Summary_Employed!$B$2,Flat_file!$C:$C,"Men",Flat_file!$D:$D,"55-59",Flat_file!$E:$E,"840",Flat_file!$F:$F,"E")</f>
        <v>0</v>
      </c>
      <c r="AA14" s="89">
        <f>SUMIFS(Flat_file!$G:$G,Flat_file!$B:$B,Summary_Employed!$B$2,Flat_file!$C:$C,"Men",Flat_file!$D:$D,"55-59",Flat_file!$E:$E,"650",Flat_file!$F:$F,"E")+SUMIFS(Flat_file!$G:$G,Flat_file!$B:$B,Summary_Employed!$B$2,Flat_file!$C:$C,"Men",Flat_file!$D:$D,"55-59",Flat_file!$E:$E,"750",Flat_file!$F:$F,"E")+SUMIFS(Flat_file!$G:$G,Flat_file!$B:$B,Summary_Employed!$B$2,Flat_file!$C:$C,"Men",Flat_file!$D:$D,"55-59",Flat_file!$E:$E,"850",Flat_file!$F:$F,"E")</f>
        <v>0</v>
      </c>
      <c r="AB14" s="89">
        <f>SUMIFS(Flat_file!$G:$G,Flat_file!$B:$B,Summary_Employed!$B$2,Flat_file!$C:$C,"Men",Flat_file!$D:$D,"55-59",Flat_file!$E:$E,"660",Flat_file!$F:$F,"E")+SUMIFS(Flat_file!$G:$G,Flat_file!$B:$B,Summary_Employed!$B$2,Flat_file!$C:$C,"Men",Flat_file!$D:$D,"55-59",Flat_file!$E:$E,"760",Flat_file!$F:$F,"E")+SUMIFS(Flat_file!$G:$G,Flat_file!$B:$B,Summary_Employed!$B$2,Flat_file!$C:$C,"Men",Flat_file!$D:$D,"55-59",Flat_file!$E:$E,"860",Flat_file!$F:$F,"E")</f>
        <v>0</v>
      </c>
      <c r="AC14" s="3"/>
      <c r="AD14" s="202"/>
      <c r="AE14" s="202" t="s">
        <v>94</v>
      </c>
      <c r="AF14" s="204">
        <v>244</v>
      </c>
      <c r="AG14" s="202"/>
      <c r="AH14" s="3"/>
      <c r="AI14" s="3"/>
    </row>
    <row r="15" spans="1:37" customFormat="1" x14ac:dyDescent="0.2">
      <c r="A15" s="352"/>
      <c r="B15" s="79" t="s">
        <v>96</v>
      </c>
      <c r="C15" s="89">
        <f>SUMIFS(Flat_file!$G:$G,Flat_file!$B:$B,Summary_Employed!$B$2,Flat_file!$C:$C,"Men",Flat_file!$D:$D,"60-64",Flat_file!$E:$E,"010",Flat_file!$F:$F,"E")+SUMIFS(Flat_file!$G:$G,Flat_file!$B:$B,Summary_Employed!$B$2,Flat_file!$C:$C,"Men",Flat_file!$D:$D,"60-64",Flat_file!$E:$E,"020",Flat_file!$F:$F,"E")+SUMIFS(Flat_file!$G:$G,Flat_file!$B:$B,Summary_Employed!$B$2,Flat_file!$C:$C,"Men",Flat_file!$D:$D,"60-64",Flat_file!$E:$E,"030",Flat_file!$F:$F,"E")</f>
        <v>0</v>
      </c>
      <c r="D15" s="89">
        <f>SUMIFS(Flat_file!$G:$G,Flat_file!$B:$B,Summary_Employed!$B$2,Flat_file!$C:$C,"Men",Flat_file!$D:$D,"60-64",Flat_file!$E:$E,"100",Flat_file!$F:$F,"E")</f>
        <v>0</v>
      </c>
      <c r="E15" s="89">
        <f>SUMIFS(Flat_file!$G:$G,Flat_file!$B:$B,Summary_Employed!$B$2,Flat_file!$C:$C,"Men",Flat_file!$D:$D,"60-64",Flat_file!$E:$E,"242",Flat_file!$F:$F,"E")+SUMIFS(Flat_file!$G:$G,Flat_file!$B:$B,Summary_Employed!$B$2,Flat_file!$C:$C,"Men",Flat_file!$D:$D,"60-64",Flat_file!$E:$E,"252",Flat_file!$F:$F,"E")</f>
        <v>0</v>
      </c>
      <c r="F15" s="89">
        <f>SUMIFS(Flat_file!$G:$G,Flat_file!$B:$B,Summary_Employed!$B$2,Flat_file!$C:$C,"Men",Flat_file!$D:$D,"60-64",Flat_file!$E:$E,"243",Flat_file!$F:$F,"E")+SUMIFS(Flat_file!$G:$G,Flat_file!$B:$B,Summary_Employed!$B$2,Flat_file!$C:$C,"Men",Flat_file!$D:$D,"60-64",Flat_file!$E:$E,"244",Flat_file!$F:$F,"E")+SUMIFS(Flat_file!$G:$G,Flat_file!$B:$B,Summary_Employed!$B$2,Flat_file!$C:$C,"Men",Flat_file!$D:$D,"60-64",Flat_file!$E:$E,"253",Flat_file!$F:$F,"E")+SUMIFS(Flat_file!$G:$G,Flat_file!$B:$B,Summary_Employed!$B$2,Flat_file!$C:$C,"Men",Flat_file!$D:$D,"60-64",Flat_file!$E:$E,"254",Flat_file!$F:$F,"E")</f>
        <v>0</v>
      </c>
      <c r="G15" s="89">
        <f>SUMIFS(Flat_file!$G:$G,Flat_file!$B:$B,Summary_Employed!$B$2,Flat_file!$C:$C,"Men",Flat_file!$D:$D,"60-64",Flat_file!$E:$E,"342",Flat_file!$F:$F,"E")+SUMIFS(Flat_file!$G:$G,Flat_file!$B:$B,Summary_Employed!$B$2,Flat_file!$C:$C,"Men",Flat_file!$D:$D,"60-64",Flat_file!$E:$E,"352",Flat_file!$F:$F,"E")</f>
        <v>0</v>
      </c>
      <c r="H15" s="89">
        <f>SUMIFS(Flat_file!$G:$G,Flat_file!$B:$B,Summary_Employed!$B$2,Flat_file!$C:$C,"Men",Flat_file!$D:$D,"60-64",Flat_file!$E:$E,"343",Flat_file!$F:$F,"E")+SUMIFS(Flat_file!$G:$G,Flat_file!$B:$B,Summary_Employed!$B$2,Flat_file!$C:$C,"Men",Flat_file!$D:$D,"60-64",Flat_file!$E:$E,"344",Flat_file!$F:$F,"E")+SUMIFS(Flat_file!$G:$G,Flat_file!$B:$B,Summary_Employed!$B$2,Flat_file!$C:$C,"Men",Flat_file!$D:$D,"60-64",Flat_file!$E:$E,"353",Flat_file!$F:$F,"E")+SUMIFS(Flat_file!$G:$G,Flat_file!$B:$B,Summary_Employed!$B$2,Flat_file!$C:$C,"Men",Flat_file!$D:$D,"60-64",Flat_file!$E:$E,"354",Flat_file!$F:$F,"E")</f>
        <v>0</v>
      </c>
      <c r="I15" s="89">
        <f>SUMIFS(Flat_file!$G:$G,Flat_file!$B:$B,Summary_Employed!$B$2,Flat_file!$C:$C,"Men",Flat_file!$D:$D,"60-64",Flat_file!$E:$E,"443",Flat_file!$F:$F,"E")+SUMIFS(Flat_file!$G:$G,Flat_file!$B:$B,Summary_Employed!$B$2,Flat_file!$C:$C,"Men",Flat_file!$D:$D,"60-64",Flat_file!$E:$E,"444",Flat_file!$F:$F,"E")+SUMIFS(Flat_file!$G:$G,Flat_file!$B:$B,Summary_Employed!$B$2,Flat_file!$C:$C,"Men",Flat_file!$D:$D,"60-64",Flat_file!$E:$E,"453",Flat_file!$F:$F,"E")+SUMIFS(Flat_file!$G:$G,Flat_file!$B:$B,Summary_Employed!$B$2,Flat_file!$C:$C,"Men",Flat_file!$D:$D,"60-64",Flat_file!$E:$E,"454",Flat_file!$F:$F,"E")</f>
        <v>0</v>
      </c>
      <c r="J15" s="89">
        <f>SUMIFS(Flat_file!$G:$G,Flat_file!$B:$B,Summary_Employed!$B$2,Flat_file!$C:$C,"Men",Flat_file!$D:$D,"60-64",Flat_file!$E:$E,"540",Flat_file!$F:$F,"E")+SUMIFS(Flat_file!$G:$G,Flat_file!$B:$B,Summary_Employed!$B$2,Flat_file!$C:$C,"Men",Flat_file!$D:$D,"60-64",Flat_file!$E:$E,"550",Flat_file!$F:$F,"E")+SUMIFS(Flat_file!$G:$G,Flat_file!$B:$B,Summary_Employed!$B$2,Flat_file!$C:$C,"Men",Flat_file!$D:$D,"60-64",Flat_file!$E:$E,"560",Flat_file!$F:$F,"E")</f>
        <v>0</v>
      </c>
      <c r="K15" s="89">
        <f>SUMIFS(Flat_file!$G:$G,Flat_file!$B:$B,Summary_Employed!$B$2,Flat_file!$C:$C,"Men",Flat_file!$D:$D,"60-64",Flat_file!$E:$E,"640",Flat_file!$F:$F,"E")+SUMIFS(Flat_file!$G:$G,Flat_file!$B:$B,Summary_Employed!$B$2,Flat_file!$C:$C,"Men",Flat_file!$D:$D,"60-64",Flat_file!$E:$E,"650",Flat_file!$F:$F,"E")+SUMIFS(Flat_file!$G:$G,Flat_file!$B:$B,Summary_Employed!$B$2,Flat_file!$C:$C,"Men",Flat_file!$D:$D,"60-64",Flat_file!$E:$E,"660",Flat_file!$F:$F,"E")</f>
        <v>0</v>
      </c>
      <c r="L15" s="89">
        <f>SUMIFS(Flat_file!$G:$G,Flat_file!$B:$B,Summary_Employed!$B$2,Flat_file!$C:$C,"Men",Flat_file!$D:$D,"60-64",Flat_file!$E:$E,"740",Flat_file!$F:$F,"E")+SUMIFS(Flat_file!$G:$G,Flat_file!$B:$B,Summary_Employed!$B$2,Flat_file!$C:$C,"Men",Flat_file!$D:$D,"60-64",Flat_file!$E:$E,"750",Flat_file!$F:$F,"E")+SUMIFS(Flat_file!$G:$G,Flat_file!$B:$B,Summary_Employed!$B$2,Flat_file!$C:$C,"Men",Flat_file!$D:$D,"60-64",Flat_file!$E:$E,"760",Flat_file!$F:$F,"E")</f>
        <v>0</v>
      </c>
      <c r="M15" s="89">
        <f>SUMIFS(Flat_file!$G:$G,Flat_file!$B:$B,Summary_Employed!$B$2,Flat_file!$C:$C,"Men",Flat_file!$D:$D,"60-64",Flat_file!$E:$E,"840",Flat_file!$F:$F,"E")+SUMIFS(Flat_file!$G:$G,Flat_file!$B:$B,Summary_Employed!$B$2,Flat_file!$C:$C,"Men",Flat_file!$D:$D,"60-64",Flat_file!$E:$E,"850",Flat_file!$F:$F,"E")+SUMIFS(Flat_file!$G:$G,Flat_file!$B:$B,Summary_Employed!$B$2,Flat_file!$C:$C,"Men",Flat_file!$D:$D,"60-64",Flat_file!$E:$E,"860",Flat_file!$F:$F,"E")</f>
        <v>0</v>
      </c>
      <c r="N15" s="89">
        <f>SUMIFS(Flat_file!$G:$G,Flat_file!$B:$B,Summary_Employed!$B$2,Flat_file!$C:$C,"Men",Flat_file!$D:$D,"60-64",Flat_file!$E:$E,"999",Flat_file!$F:$F,"E")</f>
        <v>0</v>
      </c>
      <c r="O15" s="89">
        <f t="shared" si="0"/>
        <v>0</v>
      </c>
      <c r="P15" s="90"/>
      <c r="Q15" s="89">
        <f t="shared" si="1"/>
        <v>0</v>
      </c>
      <c r="R15" s="91"/>
      <c r="S15" s="89">
        <f t="shared" si="2"/>
        <v>0</v>
      </c>
      <c r="T15" s="89">
        <f t="shared" si="3"/>
        <v>0</v>
      </c>
      <c r="U15" s="89">
        <f t="shared" si="4"/>
        <v>0</v>
      </c>
      <c r="V15" s="90"/>
      <c r="W15" s="89">
        <f>SUMIFS(Flat_file!$G:$G,Flat_file!$B:$B,Summary_Employed!$B$2,Flat_file!$C:$C,"Men",Flat_file!$D:$D,"60-64",Flat_file!$E:$E,"343",Flat_file!$F:$F,"E")+SUMIFS(Flat_file!$G:$G,Flat_file!$B:$B,Summary_Employed!$B$2,Flat_file!$C:$C,"Men",Flat_file!$D:$D,"60-64",Flat_file!$E:$E,"344",Flat_file!$F:$F,"E")+SUMIFS(Flat_file!$G:$G,Flat_file!$B:$B,Summary_Employed!$B$2,Flat_file!$C:$C,"Men",Flat_file!$D:$D,"60-64",Flat_file!$E:$E,"443",Flat_file!$F:$F,"E")+SUMIFS(Flat_file!$G:$G,Flat_file!$B:$B,Summary_Employed!$B$2,Flat_file!$C:$C,"Men",Flat_file!$D:$D,"60-64",Flat_file!$E:$E,"444",Flat_file!$F:$F,"E")</f>
        <v>0</v>
      </c>
      <c r="X15" s="89">
        <f>SUMIFS(Flat_file!$G:$G,Flat_file!$B:$B,Summary_Employed!$B$2,Flat_file!$C:$C,"Men",Flat_file!$D:$D,"60-64",Flat_file!$E:$E,"353",Flat_file!$F:$F,"E")+SUMIFS(Flat_file!$G:$G,Flat_file!$B:$B,Summary_Employed!$B$2,Flat_file!$C:$C,"Men",Flat_file!$D:$D,"60-64",Flat_file!$E:$E,"354",Flat_file!$F:$F,"E")+SUMIFS(Flat_file!$G:$G,Flat_file!$B:$B,Summary_Employed!$B$2,Flat_file!$C:$C,"Men",Flat_file!$D:$D,"60-64",Flat_file!$E:$E,"453",Flat_file!$F:$F,"E")+SUMIFS(Flat_file!$G:$G,Flat_file!$B:$B,Summary_Employed!$B$2,Flat_file!$C:$C,"Men",Flat_file!$D:$D,"60-64",Flat_file!$E:$E,"454",Flat_file!$F:$F,"E")</f>
        <v>0</v>
      </c>
      <c r="Y15" s="90"/>
      <c r="Z15" s="89">
        <f>SUMIFS(Flat_file!$G:$G,Flat_file!$B:$B,Summary_Employed!$B$2,Flat_file!$C:$C,"Men",Flat_file!$D:$D,"60-64",Flat_file!$E:$E,"640",Flat_file!$F:$F,"E")+SUMIFS(Flat_file!$G:$G,Flat_file!$B:$B,Summary_Employed!$B$2,Flat_file!$C:$C,"Men",Flat_file!$D:$D,"60-64",Flat_file!$E:$E,"740",Flat_file!$F:$F,"E")+SUMIFS(Flat_file!$G:$G,Flat_file!$B:$B,Summary_Employed!$B$2,Flat_file!$C:$C,"Men",Flat_file!$D:$D,"60-64",Flat_file!$E:$E,"840",Flat_file!$F:$F,"E")</f>
        <v>0</v>
      </c>
      <c r="AA15" s="89">
        <f>SUMIFS(Flat_file!$G:$G,Flat_file!$B:$B,Summary_Employed!$B$2,Flat_file!$C:$C,"Men",Flat_file!$D:$D,"60-64",Flat_file!$E:$E,"650",Flat_file!$F:$F,"E")+SUMIFS(Flat_file!$G:$G,Flat_file!$B:$B,Summary_Employed!$B$2,Flat_file!$C:$C,"Men",Flat_file!$D:$D,"60-64",Flat_file!$E:$E,"750",Flat_file!$F:$F,"E")+SUMIFS(Flat_file!$G:$G,Flat_file!$B:$B,Summary_Employed!$B$2,Flat_file!$C:$C,"Men",Flat_file!$D:$D,"60-64",Flat_file!$E:$E,"850",Flat_file!$F:$F,"E")</f>
        <v>0</v>
      </c>
      <c r="AB15" s="89">
        <f>SUMIFS(Flat_file!$G:$G,Flat_file!$B:$B,Summary_Employed!$B$2,Flat_file!$C:$C,"Men",Flat_file!$D:$D,"60-64",Flat_file!$E:$E,"660",Flat_file!$F:$F,"E")+SUMIFS(Flat_file!$G:$G,Flat_file!$B:$B,Summary_Employed!$B$2,Flat_file!$C:$C,"Men",Flat_file!$D:$D,"60-64",Flat_file!$E:$E,"760",Flat_file!$F:$F,"E")+SUMIFS(Flat_file!$G:$G,Flat_file!$B:$B,Summary_Employed!$B$2,Flat_file!$C:$C,"Men",Flat_file!$D:$D,"60-64",Flat_file!$E:$E,"860",Flat_file!$F:$F,"E")</f>
        <v>0</v>
      </c>
      <c r="AC15" s="3"/>
      <c r="AD15" s="202"/>
      <c r="AE15" s="202" t="s">
        <v>95</v>
      </c>
      <c r="AF15" s="204">
        <v>253</v>
      </c>
      <c r="AG15" s="202"/>
      <c r="AH15" s="3"/>
      <c r="AI15" s="3"/>
    </row>
    <row r="16" spans="1:37" customFormat="1" x14ac:dyDescent="0.2">
      <c r="A16" s="352"/>
      <c r="B16" s="79" t="s">
        <v>258</v>
      </c>
      <c r="C16" s="225">
        <f>SUMIFS(Flat_file!$G:$G,Flat_file!$B:$B,Summary_Employed!$B$2,Flat_file!$C:$C,"Men",Flat_file!$D:$D,"65-69",Flat_file!$E:$E,"010",Flat_file!$F:$F,"E")+SUMIFS(Flat_file!$G:$G,Flat_file!$B:$B,Summary_Employed!$B$2,Flat_file!$C:$C,"Men",Flat_file!$D:$D,"65-69",Flat_file!$E:$E,"020",Flat_file!$F:$F,"E")+SUMIFS(Flat_file!$G:$G,Flat_file!$B:$B,Summary_Employed!$B$2,Flat_file!$C:$C,"Men",Flat_file!$D:$D,"65-69",Flat_file!$E:$E,"030",Flat_file!$F:$F,"E")</f>
        <v>0</v>
      </c>
      <c r="D16" s="225">
        <f>SUMIFS(Flat_file!$G:$G,Flat_file!$B:$B,Summary_Employed!$B$2,Flat_file!$C:$C,"Men",Flat_file!$D:$D,"65-69",Flat_file!$E:$E,"100",Flat_file!$F:$F,"E")</f>
        <v>0</v>
      </c>
      <c r="E16" s="225">
        <f>SUMIFS(Flat_file!$G:$G,Flat_file!$B:$B,Summary_Employed!$B$2,Flat_file!$C:$C,"Men",Flat_file!$D:$D,"65-69",Flat_file!$E:$E,"242",Flat_file!$F:$F,"E")+SUMIFS(Flat_file!$G:$G,Flat_file!$B:$B,Summary_Employed!$B$2,Flat_file!$C:$C,"Men",Flat_file!$D:$D,"65-69",Flat_file!$E:$E,"252",Flat_file!$F:$F,"E")</f>
        <v>0</v>
      </c>
      <c r="F16" s="225">
        <f>SUMIFS(Flat_file!$G:$G,Flat_file!$B:$B,Summary_Employed!$B$2,Flat_file!$C:$C,"Men",Flat_file!$D:$D,"65-69",Flat_file!$E:$E,"243",Flat_file!$F:$F,"E")+SUMIFS(Flat_file!$G:$G,Flat_file!$B:$B,Summary_Employed!$B$2,Flat_file!$C:$C,"Men",Flat_file!$D:$D,"65-69",Flat_file!$E:$E,"244",Flat_file!$F:$F,"E")+SUMIFS(Flat_file!$G:$G,Flat_file!$B:$B,Summary_Employed!$B$2,Flat_file!$C:$C,"Men",Flat_file!$D:$D,"65-69",Flat_file!$E:$E,"253",Flat_file!$F:$F,"E")+SUMIFS(Flat_file!$G:$G,Flat_file!$B:$B,Summary_Employed!$B$2,Flat_file!$C:$C,"Men",Flat_file!$D:$D,"65-69",Flat_file!$E:$E,"254",Flat_file!$F:$F,"E")</f>
        <v>0</v>
      </c>
      <c r="G16" s="225">
        <f>SUMIFS(Flat_file!$G:$G,Flat_file!$B:$B,Summary_Employed!$B$2,Flat_file!$C:$C,"Men",Flat_file!$D:$D,"65-69",Flat_file!$E:$E,"342",Flat_file!$F:$F,"E")+SUMIFS(Flat_file!$G:$G,Flat_file!$B:$B,Summary_Employed!$B$2,Flat_file!$C:$C,"Men",Flat_file!$D:$D,"65-69",Flat_file!$E:$E,"352",Flat_file!$F:$F,"E")</f>
        <v>0</v>
      </c>
      <c r="H16" s="225">
        <f>SUMIFS(Flat_file!$G:$G,Flat_file!$B:$B,Summary_Employed!$B$2,Flat_file!$C:$C,"Men",Flat_file!$D:$D,"65-69",Flat_file!$E:$E,"343",Flat_file!$F:$F,"E")+SUMIFS(Flat_file!$G:$G,Flat_file!$B:$B,Summary_Employed!$B$2,Flat_file!$C:$C,"Men",Flat_file!$D:$D,"65-69",Flat_file!$E:$E,"344",Flat_file!$F:$F,"E")+SUMIFS(Flat_file!$G:$G,Flat_file!$B:$B,Summary_Employed!$B$2,Flat_file!$C:$C,"Men",Flat_file!$D:$D,"65-69",Flat_file!$E:$E,"353",Flat_file!$F:$F,"E")+SUMIFS(Flat_file!$G:$G,Flat_file!$B:$B,Summary_Employed!$B$2,Flat_file!$C:$C,"Men",Flat_file!$D:$D,"65-69",Flat_file!$E:$E,"354",Flat_file!$F:$F,"E")</f>
        <v>0</v>
      </c>
      <c r="I16" s="225">
        <f>SUMIFS(Flat_file!$G:$G,Flat_file!$B:$B,Summary_Employed!$B$2,Flat_file!$C:$C,"Men",Flat_file!$D:$D,"65-69",Flat_file!$E:$E,"443",Flat_file!$F:$F,"E")+SUMIFS(Flat_file!$G:$G,Flat_file!$B:$B,Summary_Employed!$B$2,Flat_file!$C:$C,"Men",Flat_file!$D:$D,"65-69",Flat_file!$E:$E,"444",Flat_file!$F:$F,"E")+SUMIFS(Flat_file!$G:$G,Flat_file!$B:$B,Summary_Employed!$B$2,Flat_file!$C:$C,"Men",Flat_file!$D:$D,"65-69",Flat_file!$E:$E,"453",Flat_file!$F:$F,"E")+SUMIFS(Flat_file!$G:$G,Flat_file!$B:$B,Summary_Employed!$B$2,Flat_file!$C:$C,"Men",Flat_file!$D:$D,"65-69",Flat_file!$E:$E,"454",Flat_file!$F:$F,"E")</f>
        <v>0</v>
      </c>
      <c r="J16" s="225">
        <f>SUMIFS(Flat_file!$G:$G,Flat_file!$B:$B,Summary_Employed!$B$2,Flat_file!$C:$C,"Men",Flat_file!$D:$D,"65-69",Flat_file!$E:$E,"540",Flat_file!$F:$F,"E")+SUMIFS(Flat_file!$G:$G,Flat_file!$B:$B,Summary_Employed!$B$2,Flat_file!$C:$C,"Men",Flat_file!$D:$D,"65-69",Flat_file!$E:$E,"550",Flat_file!$F:$F,"E")+SUMIFS(Flat_file!$G:$G,Flat_file!$B:$B,Summary_Employed!$B$2,Flat_file!$C:$C,"Men",Flat_file!$D:$D,"65-69",Flat_file!$E:$E,"560",Flat_file!$F:$F,"E")</f>
        <v>0</v>
      </c>
      <c r="K16" s="225">
        <f>SUMIFS(Flat_file!$G:$G,Flat_file!$B:$B,Summary_Employed!$B$2,Flat_file!$C:$C,"Men",Flat_file!$D:$D,"65-69",Flat_file!$E:$E,"640",Flat_file!$F:$F,"E")+SUMIFS(Flat_file!$G:$G,Flat_file!$B:$B,Summary_Employed!$B$2,Flat_file!$C:$C,"Men",Flat_file!$D:$D,"65-69",Flat_file!$E:$E,"650",Flat_file!$F:$F,"E")+SUMIFS(Flat_file!$G:$G,Flat_file!$B:$B,Summary_Employed!$B$2,Flat_file!$C:$C,"Men",Flat_file!$D:$D,"65-69",Flat_file!$E:$E,"660",Flat_file!$F:$F,"E")</f>
        <v>0</v>
      </c>
      <c r="L16" s="225">
        <f>SUMIFS(Flat_file!$G:$G,Flat_file!$B:$B,Summary_Employed!$B$2,Flat_file!$C:$C,"Men",Flat_file!$D:$D,"65-69",Flat_file!$E:$E,"740",Flat_file!$F:$F,"E")+SUMIFS(Flat_file!$G:$G,Flat_file!$B:$B,Summary_Employed!$B$2,Flat_file!$C:$C,"Men",Flat_file!$D:$D,"65-69",Flat_file!$E:$E,"750",Flat_file!$F:$F,"E")+SUMIFS(Flat_file!$G:$G,Flat_file!$B:$B,Summary_Employed!$B$2,Flat_file!$C:$C,"Men",Flat_file!$D:$D,"65-69",Flat_file!$E:$E,"760",Flat_file!$F:$F,"E")</f>
        <v>0</v>
      </c>
      <c r="M16" s="225">
        <f>SUMIFS(Flat_file!$G:$G,Flat_file!$B:$B,Summary_Employed!$B$2,Flat_file!$C:$C,"Men",Flat_file!$D:$D,"65-69",Flat_file!$E:$E,"840",Flat_file!$F:$F,"E")+SUMIFS(Flat_file!$G:$G,Flat_file!$B:$B,Summary_Employed!$B$2,Flat_file!$C:$C,"Men",Flat_file!$D:$D,"65-69",Flat_file!$E:$E,"850",Flat_file!$F:$F,"E")+SUMIFS(Flat_file!$G:$G,Flat_file!$B:$B,Summary_Employed!$B$2,Flat_file!$C:$C,"Men",Flat_file!$D:$D,"65-69",Flat_file!$E:$E,"860",Flat_file!$F:$F,"E")</f>
        <v>0</v>
      </c>
      <c r="N16" s="225">
        <f>SUMIFS(Flat_file!$G:$G,Flat_file!$B:$B,Summary_Employed!$B$2,Flat_file!$C:$C,"Men",Flat_file!$D:$D,"65-69",Flat_file!$E:$E,"999",Flat_file!$F:$F,"E")</f>
        <v>0</v>
      </c>
      <c r="O16" s="89">
        <f t="shared" si="0"/>
        <v>0</v>
      </c>
      <c r="P16" s="90"/>
      <c r="Q16" s="89">
        <f t="shared" si="1"/>
        <v>0</v>
      </c>
      <c r="R16" s="91"/>
      <c r="S16" s="89">
        <f t="shared" si="2"/>
        <v>0</v>
      </c>
      <c r="T16" s="89">
        <f t="shared" si="3"/>
        <v>0</v>
      </c>
      <c r="U16" s="89">
        <f t="shared" si="4"/>
        <v>0</v>
      </c>
      <c r="V16" s="90"/>
      <c r="W16" s="225">
        <f>SUMIFS(Flat_file!$G:$G,Flat_file!$B:$B,Summary_Employed!$B$2,Flat_file!$C:$C,"Men",Flat_file!$D:$D,"65-69",Flat_file!$E:$E,"343",Flat_file!$F:$F,"E")+SUMIFS(Flat_file!$G:$G,Flat_file!$B:$B,Summary_Employed!$B$2,Flat_file!$C:$C,"Men",Flat_file!$D:$D,"65-69",Flat_file!$E:$E,"344",Flat_file!$F:$F,"E")+SUMIFS(Flat_file!$G:$G,Flat_file!$B:$B,Summary_Employed!$B$2,Flat_file!$C:$C,"Men",Flat_file!$D:$D,"65-69",Flat_file!$E:$E,"443",Flat_file!$F:$F,"E")+SUMIFS(Flat_file!$G:$G,Flat_file!$B:$B,Summary_Employed!$B$2,Flat_file!$C:$C,"Men",Flat_file!$D:$D,"65-69",Flat_file!$E:$E,"444",Flat_file!$F:$F,"E")</f>
        <v>0</v>
      </c>
      <c r="X16" s="225">
        <f>SUMIFS(Flat_file!$G:$G,Flat_file!$B:$B,Summary_Employed!$B$2,Flat_file!$C:$C,"Men",Flat_file!$D:$D,"65-69",Flat_file!$E:$E,"353",Flat_file!$F:$F,"E")+SUMIFS(Flat_file!$G:$G,Flat_file!$B:$B,Summary_Employed!$B$2,Flat_file!$C:$C,"Men",Flat_file!$D:$D,"65-69",Flat_file!$E:$E,"354",Flat_file!$F:$F,"E")+SUMIFS(Flat_file!$G:$G,Flat_file!$B:$B,Summary_Employed!$B$2,Flat_file!$C:$C,"Men",Flat_file!$D:$D,"65-69",Flat_file!$E:$E,"453",Flat_file!$F:$F,"E")+SUMIFS(Flat_file!$G:$G,Flat_file!$B:$B,Summary_Employed!$B$2,Flat_file!$C:$C,"Men",Flat_file!$D:$D,"65-69",Flat_file!$E:$E,"454",Flat_file!$F:$F,"E")</f>
        <v>0</v>
      </c>
      <c r="Y16" s="90"/>
      <c r="Z16" s="225">
        <f>SUMIFS(Flat_file!$G:$G,Flat_file!$B:$B,Summary_Employed!$B$2,Flat_file!$C:$C,"Men",Flat_file!$D:$D,"65-69",Flat_file!$E:$E,"640",Flat_file!$F:$F,"E")+SUMIFS(Flat_file!$G:$G,Flat_file!$B:$B,Summary_Employed!$B$2,Flat_file!$C:$C,"Men",Flat_file!$D:$D,"65-69",Flat_file!$E:$E,"740",Flat_file!$F:$F,"E")+SUMIFS(Flat_file!$G:$G,Flat_file!$B:$B,Summary_Employed!$B$2,Flat_file!$C:$C,"Men",Flat_file!$D:$D,"65-69",Flat_file!$E:$E,"840",Flat_file!$F:$F,"E")</f>
        <v>0</v>
      </c>
      <c r="AA16" s="225">
        <f>SUMIFS(Flat_file!$G:$G,Flat_file!$B:$B,Summary_Employed!$B$2,Flat_file!$C:$C,"Men",Flat_file!$D:$D,"65-69",Flat_file!$E:$E,"650",Flat_file!$F:$F,"E")+SUMIFS(Flat_file!$G:$G,Flat_file!$B:$B,Summary_Employed!$B$2,Flat_file!$C:$C,"Men",Flat_file!$D:$D,"65-69",Flat_file!$E:$E,"750",Flat_file!$F:$F,"E")+SUMIFS(Flat_file!$G:$G,Flat_file!$B:$B,Summary_Employed!$B$2,Flat_file!$C:$C,"Men",Flat_file!$D:$D,"65-69",Flat_file!$E:$E,"850",Flat_file!$F:$F,"E")</f>
        <v>0</v>
      </c>
      <c r="AB16" s="225">
        <f>SUMIFS(Flat_file!$G:$G,Flat_file!$B:$B,Summary_Employed!$B$2,Flat_file!$C:$C,"Men",Flat_file!$D:$D,"65-69",Flat_file!$E:$E,"660",Flat_file!$F:$F,"E")+SUMIFS(Flat_file!$G:$G,Flat_file!$B:$B,Summary_Employed!$B$2,Flat_file!$C:$C,"Men",Flat_file!$D:$D,"65-69",Flat_file!$E:$E,"760",Flat_file!$F:$F,"E")+SUMIFS(Flat_file!$G:$G,Flat_file!$B:$B,Summary_Employed!$B$2,Flat_file!$C:$C,"Men",Flat_file!$D:$D,"65-69",Flat_file!$E:$E,"860",Flat_file!$F:$F,"E")</f>
        <v>0</v>
      </c>
      <c r="AC16" s="3"/>
      <c r="AD16" s="202"/>
      <c r="AE16" s="202" t="s">
        <v>96</v>
      </c>
      <c r="AF16" s="204">
        <v>254</v>
      </c>
      <c r="AG16" s="202"/>
      <c r="AH16" s="3"/>
      <c r="AI16" s="3"/>
    </row>
    <row r="17" spans="1:35" customFormat="1" x14ac:dyDescent="0.2">
      <c r="A17" s="352"/>
      <c r="B17" s="79" t="s">
        <v>260</v>
      </c>
      <c r="C17" s="225">
        <f>SUMIFS(Flat_file!$G:$G,Flat_file!$B:$B,Summary_Employed!$B$2,Flat_file!$C:$C,"Men",Flat_file!$D:$D,"70-74",Flat_file!$E:$E,"010",Flat_file!$F:$F,"E")+SUMIFS(Flat_file!$G:$G,Flat_file!$B:$B,Summary_Employed!$B$2,Flat_file!$C:$C,"Men",Flat_file!$D:$D,"70-74",Flat_file!$E:$E,"020",Flat_file!$F:$F,"E")+SUMIFS(Flat_file!$G:$G,Flat_file!$B:$B,Summary_Employed!$B$2,Flat_file!$C:$C,"Men",Flat_file!$D:$D,"70-74",Flat_file!$E:$E,"030",Flat_file!$F:$F,"E")</f>
        <v>0</v>
      </c>
      <c r="D17" s="225">
        <f>SUMIFS(Flat_file!$G:$G,Flat_file!$B:$B,Summary_Employed!$B$2,Flat_file!$C:$C,"Men",Flat_file!$D:$D,"70-74",Flat_file!$E:$E,"100",Flat_file!$F:$F,"E")</f>
        <v>0</v>
      </c>
      <c r="E17" s="225">
        <f>SUMIFS(Flat_file!$G:$G,Flat_file!$B:$B,Summary_Employed!$B$2,Flat_file!$C:$C,"Men",Flat_file!$D:$D,"70-74",Flat_file!$E:$E,"242",Flat_file!$F:$F,"E")+SUMIFS(Flat_file!$G:$G,Flat_file!$B:$B,Summary_Employed!$B$2,Flat_file!$C:$C,"Men",Flat_file!$D:$D,"70-74",Flat_file!$E:$E,"252",Flat_file!$F:$F,"E")</f>
        <v>0</v>
      </c>
      <c r="F17" s="225">
        <f>SUMIFS(Flat_file!$G:$G,Flat_file!$B:$B,Summary_Employed!$B$2,Flat_file!$C:$C,"Men",Flat_file!$D:$D,"70-74",Flat_file!$E:$E,"243",Flat_file!$F:$F,"E")+SUMIFS(Flat_file!$G:$G,Flat_file!$B:$B,Summary_Employed!$B$2,Flat_file!$C:$C,"Men",Flat_file!$D:$D,"70-74",Flat_file!$E:$E,"244",Flat_file!$F:$F,"E")+SUMIFS(Flat_file!$G:$G,Flat_file!$B:$B,Summary_Employed!$B$2,Flat_file!$C:$C,"Men",Flat_file!$D:$D,"70-74",Flat_file!$E:$E,"253",Flat_file!$F:$F,"E")+SUMIFS(Flat_file!$G:$G,Flat_file!$B:$B,Summary_Employed!$B$2,Flat_file!$C:$C,"Men",Flat_file!$D:$D,"70-74",Flat_file!$E:$E,"254",Flat_file!$F:$F,"E")</f>
        <v>0</v>
      </c>
      <c r="G17" s="225">
        <f>SUMIFS(Flat_file!$G:$G,Flat_file!$B:$B,Summary_Employed!$B$2,Flat_file!$C:$C,"Men",Flat_file!$D:$D,"70-74",Flat_file!$E:$E,"342",Flat_file!$F:$F,"E")+SUMIFS(Flat_file!$G:$G,Flat_file!$B:$B,Summary_Employed!$B$2,Flat_file!$C:$C,"Men",Flat_file!$D:$D,"70-74",Flat_file!$E:$E,"352",Flat_file!$F:$F,"E")</f>
        <v>0</v>
      </c>
      <c r="H17" s="225">
        <f>SUMIFS(Flat_file!$G:$G,Flat_file!$B:$B,Summary_Employed!$B$2,Flat_file!$C:$C,"Men",Flat_file!$D:$D,"70-74",Flat_file!$E:$E,"343",Flat_file!$F:$F,"E")+SUMIFS(Flat_file!$G:$G,Flat_file!$B:$B,Summary_Employed!$B$2,Flat_file!$C:$C,"Men",Flat_file!$D:$D,"70-74",Flat_file!$E:$E,"344",Flat_file!$F:$F,"E")+SUMIFS(Flat_file!$G:$G,Flat_file!$B:$B,Summary_Employed!$B$2,Flat_file!$C:$C,"Men",Flat_file!$D:$D,"70-74",Flat_file!$E:$E,"353",Flat_file!$F:$F,"E")+SUMIFS(Flat_file!$G:$G,Flat_file!$B:$B,Summary_Employed!$B$2,Flat_file!$C:$C,"Men",Flat_file!$D:$D,"70-74",Flat_file!$E:$E,"354",Flat_file!$F:$F,"E")</f>
        <v>0</v>
      </c>
      <c r="I17" s="225">
        <f>SUMIFS(Flat_file!$G:$G,Flat_file!$B:$B,Summary_Employed!$B$2,Flat_file!$C:$C,"Men",Flat_file!$D:$D,"70-74",Flat_file!$E:$E,"443",Flat_file!$F:$F,"E")+SUMIFS(Flat_file!$G:$G,Flat_file!$B:$B,Summary_Employed!$B$2,Flat_file!$C:$C,"Men",Flat_file!$D:$D,"70-74",Flat_file!$E:$E,"444",Flat_file!$F:$F,"E")+SUMIFS(Flat_file!$G:$G,Flat_file!$B:$B,Summary_Employed!$B$2,Flat_file!$C:$C,"Men",Flat_file!$D:$D,"70-74",Flat_file!$E:$E,"453",Flat_file!$F:$F,"E")+SUMIFS(Flat_file!$G:$G,Flat_file!$B:$B,Summary_Employed!$B$2,Flat_file!$C:$C,"Men",Flat_file!$D:$D,"70-74",Flat_file!$E:$E,"454",Flat_file!$F:$F,"E")</f>
        <v>0</v>
      </c>
      <c r="J17" s="225">
        <f>SUMIFS(Flat_file!$G:$G,Flat_file!$B:$B,Summary_Employed!$B$2,Flat_file!$C:$C,"Men",Flat_file!$D:$D,"70-74",Flat_file!$E:$E,"540",Flat_file!$F:$F,"E")+SUMIFS(Flat_file!$G:$G,Flat_file!$B:$B,Summary_Employed!$B$2,Flat_file!$C:$C,"Men",Flat_file!$D:$D,"70-74",Flat_file!$E:$E,"550",Flat_file!$F:$F,"E")+SUMIFS(Flat_file!$G:$G,Flat_file!$B:$B,Summary_Employed!$B$2,Flat_file!$C:$C,"Men",Flat_file!$D:$D,"70-74",Flat_file!$E:$E,"560",Flat_file!$F:$F,"E")</f>
        <v>0</v>
      </c>
      <c r="K17" s="225">
        <f>SUMIFS(Flat_file!$G:$G,Flat_file!$B:$B,Summary_Employed!$B$2,Flat_file!$C:$C,"Men",Flat_file!$D:$D,"70-74",Flat_file!$E:$E,"640",Flat_file!$F:$F,"E")+SUMIFS(Flat_file!$G:$G,Flat_file!$B:$B,Summary_Employed!$B$2,Flat_file!$C:$C,"Men",Flat_file!$D:$D,"70-74",Flat_file!$E:$E,"650",Flat_file!$F:$F,"E")+SUMIFS(Flat_file!$G:$G,Flat_file!$B:$B,Summary_Employed!$B$2,Flat_file!$C:$C,"Men",Flat_file!$D:$D,"70-74",Flat_file!$E:$E,"660",Flat_file!$F:$F,"E")</f>
        <v>0</v>
      </c>
      <c r="L17" s="225">
        <f>SUMIFS(Flat_file!$G:$G,Flat_file!$B:$B,Summary_Employed!$B$2,Flat_file!$C:$C,"Men",Flat_file!$D:$D,"70-74",Flat_file!$E:$E,"740",Flat_file!$F:$F,"E")+SUMIFS(Flat_file!$G:$G,Flat_file!$B:$B,Summary_Employed!$B$2,Flat_file!$C:$C,"Men",Flat_file!$D:$D,"70-74",Flat_file!$E:$E,"750",Flat_file!$F:$F,"E")+SUMIFS(Flat_file!$G:$G,Flat_file!$B:$B,Summary_Employed!$B$2,Flat_file!$C:$C,"Men",Flat_file!$D:$D,"70-74",Flat_file!$E:$E,"760",Flat_file!$F:$F,"E")</f>
        <v>0</v>
      </c>
      <c r="M17" s="225">
        <f>SUMIFS(Flat_file!$G:$G,Flat_file!$B:$B,Summary_Employed!$B$2,Flat_file!$C:$C,"Men",Flat_file!$D:$D,"70-74",Flat_file!$E:$E,"840",Flat_file!$F:$F,"E")+SUMIFS(Flat_file!$G:$G,Flat_file!$B:$B,Summary_Employed!$B$2,Flat_file!$C:$C,"Men",Flat_file!$D:$D,"70-74",Flat_file!$E:$E,"850",Flat_file!$F:$F,"E")+SUMIFS(Flat_file!$G:$G,Flat_file!$B:$B,Summary_Employed!$B$2,Flat_file!$C:$C,"Men",Flat_file!$D:$D,"70-74",Flat_file!$E:$E,"860",Flat_file!$F:$F,"E")</f>
        <v>0</v>
      </c>
      <c r="N17" s="225">
        <f>SUMIFS(Flat_file!$G:$G,Flat_file!$B:$B,Summary_Employed!$B$2,Flat_file!$C:$C,"Men",Flat_file!$D:$D,"70-74",Flat_file!$E:$E,"999",Flat_file!$F:$F,"E")</f>
        <v>0</v>
      </c>
      <c r="O17" s="89">
        <f t="shared" si="0"/>
        <v>0</v>
      </c>
      <c r="P17" s="90"/>
      <c r="Q17" s="89">
        <f t="shared" si="1"/>
        <v>0</v>
      </c>
      <c r="R17" s="91"/>
      <c r="S17" s="89">
        <f t="shared" si="2"/>
        <v>0</v>
      </c>
      <c r="T17" s="89">
        <f t="shared" si="3"/>
        <v>0</v>
      </c>
      <c r="U17" s="89">
        <f t="shared" si="4"/>
        <v>0</v>
      </c>
      <c r="V17" s="90"/>
      <c r="W17" s="225">
        <f>SUMIFS(Flat_file!$G:$G,Flat_file!$B:$B,Summary_Employed!$B$2,Flat_file!$C:$C,"Men",Flat_file!$D:$D,"70-74",Flat_file!$E:$E,"343",Flat_file!$F:$F,"E")+SUMIFS(Flat_file!$G:$G,Flat_file!$B:$B,Summary_Employed!$B$2,Flat_file!$C:$C,"Men",Flat_file!$D:$D,"70-74",Flat_file!$E:$E,"344",Flat_file!$F:$F,"E")+SUMIFS(Flat_file!$G:$G,Flat_file!$B:$B,Summary_Employed!$B$2,Flat_file!$C:$C,"Men",Flat_file!$D:$D,"70-74",Flat_file!$E:$E,"443",Flat_file!$F:$F,"E")+SUMIFS(Flat_file!$G:$G,Flat_file!$B:$B,Summary_Employed!$B$2,Flat_file!$C:$C,"Men",Flat_file!$D:$D,"70-74",Flat_file!$E:$E,"444",Flat_file!$F:$F,"E")</f>
        <v>0</v>
      </c>
      <c r="X17" s="225">
        <f>SUMIFS(Flat_file!$G:$G,Flat_file!$B:$B,Summary_Employed!$B$2,Flat_file!$C:$C,"Men",Flat_file!$D:$D,"70-74",Flat_file!$E:$E,"353",Flat_file!$F:$F,"E")+SUMIFS(Flat_file!$G:$G,Flat_file!$B:$B,Summary_Employed!$B$2,Flat_file!$C:$C,"Men",Flat_file!$D:$D,"70-74",Flat_file!$E:$E,"354",Flat_file!$F:$F,"E")+SUMIFS(Flat_file!$G:$G,Flat_file!$B:$B,Summary_Employed!$B$2,Flat_file!$C:$C,"Men",Flat_file!$D:$D,"70-74",Flat_file!$E:$E,"453",Flat_file!$F:$F,"E")+SUMIFS(Flat_file!$G:$G,Flat_file!$B:$B,Summary_Employed!$B$2,Flat_file!$C:$C,"Men",Flat_file!$D:$D,"70-74",Flat_file!$E:$E,"454",Flat_file!$F:$F,"E")</f>
        <v>0</v>
      </c>
      <c r="Y17" s="90"/>
      <c r="Z17" s="225">
        <f>SUMIFS(Flat_file!$G:$G,Flat_file!$B:$B,Summary_Employed!$B$2,Flat_file!$C:$C,"Men",Flat_file!$D:$D,"70-74",Flat_file!$E:$E,"640",Flat_file!$F:$F,"E")+SUMIFS(Flat_file!$G:$G,Flat_file!$B:$B,Summary_Employed!$B$2,Flat_file!$C:$C,"Men",Flat_file!$D:$D,"70-74",Flat_file!$E:$E,"740",Flat_file!$F:$F,"E")+SUMIFS(Flat_file!$G:$G,Flat_file!$B:$B,Summary_Employed!$B$2,Flat_file!$C:$C,"Men",Flat_file!$D:$D,"70-74",Flat_file!$E:$E,"840",Flat_file!$F:$F,"E")</f>
        <v>0</v>
      </c>
      <c r="AA17" s="225">
        <f>SUMIFS(Flat_file!$G:$G,Flat_file!$B:$B,Summary_Employed!$B$2,Flat_file!$C:$C,"Men",Flat_file!$D:$D,"70-74",Flat_file!$E:$E,"650",Flat_file!$F:$F,"E")+SUMIFS(Flat_file!$G:$G,Flat_file!$B:$B,Summary_Employed!$B$2,Flat_file!$C:$C,"Men",Flat_file!$D:$D,"70-74",Flat_file!$E:$E,"750",Flat_file!$F:$F,"E")+SUMIFS(Flat_file!$G:$G,Flat_file!$B:$B,Summary_Employed!$B$2,Flat_file!$C:$C,"Men",Flat_file!$D:$D,"70-74",Flat_file!$E:$E,"850",Flat_file!$F:$F,"E")</f>
        <v>0</v>
      </c>
      <c r="AB17" s="225">
        <f>SUMIFS(Flat_file!$G:$G,Flat_file!$B:$B,Summary_Employed!$B$2,Flat_file!$C:$C,"Men",Flat_file!$D:$D,"70-74",Flat_file!$E:$E,"660",Flat_file!$F:$F,"E")+SUMIFS(Flat_file!$G:$G,Flat_file!$B:$B,Summary_Employed!$B$2,Flat_file!$C:$C,"Men",Flat_file!$D:$D,"70-74",Flat_file!$E:$E,"760",Flat_file!$F:$F,"E")+SUMIFS(Flat_file!$G:$G,Flat_file!$B:$B,Summary_Employed!$B$2,Flat_file!$C:$C,"Men",Flat_file!$D:$D,"70-74",Flat_file!$E:$E,"860",Flat_file!$F:$F,"E")</f>
        <v>0</v>
      </c>
      <c r="AC17" s="3"/>
      <c r="AD17" s="202"/>
      <c r="AE17" s="202" t="s">
        <v>258</v>
      </c>
      <c r="AF17" s="204">
        <v>342</v>
      </c>
      <c r="AG17" s="202"/>
      <c r="AH17" s="3"/>
      <c r="AI17" s="3"/>
    </row>
    <row r="18" spans="1:35" customFormat="1" ht="13.5" thickBot="1" x14ac:dyDescent="0.25">
      <c r="A18" s="352"/>
      <c r="B18" s="79" t="s">
        <v>261</v>
      </c>
      <c r="C18" s="225">
        <f>SUMIFS(Flat_file!$G:$G,Flat_file!$B:$B,Summary_Employed!$B$2,Flat_file!$C:$C,"Men",Flat_file!$D:$D,"75+",Flat_file!$E:$E,"010",Flat_file!$F:$F,"E")+SUMIFS(Flat_file!$G:$G,Flat_file!$B:$B,Summary_Employed!$B$2,Flat_file!$C:$C,"Men",Flat_file!$D:$D,"75+",Flat_file!$E:$E,"020",Flat_file!$F:$F,"E")+SUMIFS(Flat_file!$G:$G,Flat_file!$B:$B,Summary_Employed!$B$2,Flat_file!$C:$C,"Men",Flat_file!$D:$D,"75+",Flat_file!$E:$E,"030",Flat_file!$F:$F,"E")</f>
        <v>0</v>
      </c>
      <c r="D18" s="225">
        <f>SUMIFS(Flat_file!$G:$G,Flat_file!$B:$B,Summary_Employed!$B$2,Flat_file!$C:$C,"Men",Flat_file!$D:$D,"75+",Flat_file!$E:$E,"100",Flat_file!$F:$F,"E")</f>
        <v>0</v>
      </c>
      <c r="E18" s="225">
        <f>SUMIFS(Flat_file!$G:$G,Flat_file!$B:$B,Summary_Employed!$B$2,Flat_file!$C:$C,"Men",Flat_file!$D:$D,"75+",Flat_file!$E:$E,"242",Flat_file!$F:$F,"E")+SUMIFS(Flat_file!$G:$G,Flat_file!$B:$B,Summary_Employed!$B$2,Flat_file!$C:$C,"Men",Flat_file!$D:$D,"75+",Flat_file!$E:$E,"252",Flat_file!$F:$F,"E")</f>
        <v>0</v>
      </c>
      <c r="F18" s="225">
        <f>SUMIFS(Flat_file!$G:$G,Flat_file!$B:$B,Summary_Employed!$B$2,Flat_file!$C:$C,"Men",Flat_file!$D:$D,"75+",Flat_file!$E:$E,"243",Flat_file!$F:$F,"E")+SUMIFS(Flat_file!$G:$G,Flat_file!$B:$B,Summary_Employed!$B$2,Flat_file!$C:$C,"Men",Flat_file!$D:$D,"75+",Flat_file!$E:$E,"244",Flat_file!$F:$F,"E")+SUMIFS(Flat_file!$G:$G,Flat_file!$B:$B,Summary_Employed!$B$2,Flat_file!$C:$C,"Men",Flat_file!$D:$D,"75+",Flat_file!$E:$E,"253",Flat_file!$F:$F,"E")+SUMIFS(Flat_file!$G:$G,Flat_file!$B:$B,Summary_Employed!$B$2,Flat_file!$C:$C,"Men",Flat_file!$D:$D,"75+",Flat_file!$E:$E,"254",Flat_file!$F:$F,"E")</f>
        <v>0</v>
      </c>
      <c r="G18" s="225">
        <f>SUMIFS(Flat_file!$G:$G,Flat_file!$B:$B,Summary_Employed!$B$2,Flat_file!$C:$C,"Men",Flat_file!$D:$D,"75+",Flat_file!$E:$E,"342",Flat_file!$F:$F,"E")+SUMIFS(Flat_file!$G:$G,Flat_file!$B:$B,Summary_Employed!$B$2,Flat_file!$C:$C,"Men",Flat_file!$D:$D,"75+",Flat_file!$E:$E,"352",Flat_file!$F:$F,"E")</f>
        <v>0</v>
      </c>
      <c r="H18" s="225">
        <f>SUMIFS(Flat_file!$G:$G,Flat_file!$B:$B,Summary_Employed!$B$2,Flat_file!$C:$C,"Men",Flat_file!$D:$D,"75+",Flat_file!$E:$E,"343",Flat_file!$F:$F,"E")+SUMIFS(Flat_file!$G:$G,Flat_file!$B:$B,Summary_Employed!$B$2,Flat_file!$C:$C,"Men",Flat_file!$D:$D,"75+",Flat_file!$E:$E,"344",Flat_file!$F:$F,"E")+SUMIFS(Flat_file!$G:$G,Flat_file!$B:$B,Summary_Employed!$B$2,Flat_file!$C:$C,"Men",Flat_file!$D:$D,"75+",Flat_file!$E:$E,"353",Flat_file!$F:$F,"E")+SUMIFS(Flat_file!$G:$G,Flat_file!$B:$B,Summary_Employed!$B$2,Flat_file!$C:$C,"Men",Flat_file!$D:$D,"75+",Flat_file!$E:$E,"354",Flat_file!$F:$F,"E")</f>
        <v>0</v>
      </c>
      <c r="I18" s="225">
        <f>SUMIFS(Flat_file!$G:$G,Flat_file!$B:$B,Summary_Employed!$B$2,Flat_file!$C:$C,"Men",Flat_file!$D:$D,"75+",Flat_file!$E:$E,"443",Flat_file!$F:$F,"E")+SUMIFS(Flat_file!$G:$G,Flat_file!$B:$B,Summary_Employed!$B$2,Flat_file!$C:$C,"Men",Flat_file!$D:$D,"75+",Flat_file!$E:$E,"444",Flat_file!$F:$F,"E")+SUMIFS(Flat_file!$G:$G,Flat_file!$B:$B,Summary_Employed!$B$2,Flat_file!$C:$C,"Men",Flat_file!$D:$D,"75+",Flat_file!$E:$E,"453",Flat_file!$F:$F,"E")+SUMIFS(Flat_file!$G:$G,Flat_file!$B:$B,Summary_Employed!$B$2,Flat_file!$C:$C,"Men",Flat_file!$D:$D,"75+",Flat_file!$E:$E,"454",Flat_file!$F:$F,"E")</f>
        <v>0</v>
      </c>
      <c r="J18" s="225">
        <f>SUMIFS(Flat_file!$G:$G,Flat_file!$B:$B,Summary_Employed!$B$2,Flat_file!$C:$C,"Men",Flat_file!$D:$D,"75+",Flat_file!$E:$E,"540",Flat_file!$F:$F,"E")+SUMIFS(Flat_file!$G:$G,Flat_file!$B:$B,Summary_Employed!$B$2,Flat_file!$C:$C,"Men",Flat_file!$D:$D,"75+",Flat_file!$E:$E,"550",Flat_file!$F:$F,"E")+SUMIFS(Flat_file!$G:$G,Flat_file!$B:$B,Summary_Employed!$B$2,Flat_file!$C:$C,"Men",Flat_file!$D:$D,"75+",Flat_file!$E:$E,"560",Flat_file!$F:$F,"E")</f>
        <v>0</v>
      </c>
      <c r="K18" s="225">
        <f>SUMIFS(Flat_file!$G:$G,Flat_file!$B:$B,Summary_Employed!$B$2,Flat_file!$C:$C,"Men",Flat_file!$D:$D,"75+",Flat_file!$E:$E,"640",Flat_file!$F:$F,"E")+SUMIFS(Flat_file!$G:$G,Flat_file!$B:$B,Summary_Employed!$B$2,Flat_file!$C:$C,"Men",Flat_file!$D:$D,"75+",Flat_file!$E:$E,"650",Flat_file!$F:$F,"E")+SUMIFS(Flat_file!$G:$G,Flat_file!$B:$B,Summary_Employed!$B$2,Flat_file!$C:$C,"Men",Flat_file!$D:$D,"75+",Flat_file!$E:$E,"660",Flat_file!$F:$F,"E")</f>
        <v>0</v>
      </c>
      <c r="L18" s="225">
        <f>SUMIFS(Flat_file!$G:$G,Flat_file!$B:$B,Summary_Employed!$B$2,Flat_file!$C:$C,"Men",Flat_file!$D:$D,"75+",Flat_file!$E:$E,"740",Flat_file!$F:$F,"E")+SUMIFS(Flat_file!$G:$G,Flat_file!$B:$B,Summary_Employed!$B$2,Flat_file!$C:$C,"Men",Flat_file!$D:$D,"75+",Flat_file!$E:$E,"750",Flat_file!$F:$F,"E")+SUMIFS(Flat_file!$G:$G,Flat_file!$B:$B,Summary_Employed!$B$2,Flat_file!$C:$C,"Men",Flat_file!$D:$D,"75+",Flat_file!$E:$E,"760",Flat_file!$F:$F,"E")</f>
        <v>0</v>
      </c>
      <c r="M18" s="225">
        <f>SUMIFS(Flat_file!$G:$G,Flat_file!$B:$B,Summary_Employed!$B$2,Flat_file!$C:$C,"Men",Flat_file!$D:$D,"75+",Flat_file!$E:$E,"840",Flat_file!$F:$F,"E")+SUMIFS(Flat_file!$G:$G,Flat_file!$B:$B,Summary_Employed!$B$2,Flat_file!$C:$C,"Men",Flat_file!$D:$D,"75+",Flat_file!$E:$E,"850",Flat_file!$F:$F,"E")+SUMIFS(Flat_file!$G:$G,Flat_file!$B:$B,Summary_Employed!$B$2,Flat_file!$C:$C,"Men",Flat_file!$D:$D,"75+",Flat_file!$E:$E,"860",Flat_file!$F:$F,"E")</f>
        <v>0</v>
      </c>
      <c r="N18" s="225">
        <f>SUMIFS(Flat_file!$G:$G,Flat_file!$B:$B,Summary_Employed!$B$2,Flat_file!$C:$C,"Men",Flat_file!$D:$D,"75+",Flat_file!$E:$E,"999",Flat_file!$F:$F,"E")</f>
        <v>0</v>
      </c>
      <c r="O18" s="89">
        <f t="shared" si="0"/>
        <v>0</v>
      </c>
      <c r="P18" s="90"/>
      <c r="Q18" s="89">
        <f t="shared" si="1"/>
        <v>0</v>
      </c>
      <c r="R18" s="91"/>
      <c r="S18" s="89">
        <f t="shared" si="2"/>
        <v>0</v>
      </c>
      <c r="T18" s="89">
        <f t="shared" si="3"/>
        <v>0</v>
      </c>
      <c r="U18" s="89">
        <f t="shared" si="4"/>
        <v>0</v>
      </c>
      <c r="V18" s="90"/>
      <c r="W18" s="225">
        <f>SUMIFS(Flat_file!$G:$G,Flat_file!$B:$B,Summary_Employed!$B$2,Flat_file!$C:$C,"Men",Flat_file!$D:$D,"75+",Flat_file!$E:$E,"343",Flat_file!$F:$F,"E")+SUMIFS(Flat_file!$G:$G,Flat_file!$B:$B,Summary_Employed!$B$2,Flat_file!$C:$C,"Men",Flat_file!$D:$D,"75+",Flat_file!$E:$E,"344",Flat_file!$F:$F,"E")+SUMIFS(Flat_file!$G:$G,Flat_file!$B:$B,Summary_Employed!$B$2,Flat_file!$C:$C,"Men",Flat_file!$D:$D,"75+",Flat_file!$E:$E,"443",Flat_file!$F:$F,"E")+SUMIFS(Flat_file!$G:$G,Flat_file!$B:$B,Summary_Employed!$B$2,Flat_file!$C:$C,"Men",Flat_file!$D:$D,"75+",Flat_file!$E:$E,"444",Flat_file!$F:$F,"E")</f>
        <v>0</v>
      </c>
      <c r="X18" s="225">
        <f>SUMIFS(Flat_file!$G:$G,Flat_file!$B:$B,Summary_Employed!$B$2,Flat_file!$C:$C,"Men",Flat_file!$D:$D,"75+",Flat_file!$E:$E,"353",Flat_file!$F:$F,"E")+SUMIFS(Flat_file!$G:$G,Flat_file!$B:$B,Summary_Employed!$B$2,Flat_file!$C:$C,"Men",Flat_file!$D:$D,"75+",Flat_file!$E:$E,"354",Flat_file!$F:$F,"E")+SUMIFS(Flat_file!$G:$G,Flat_file!$B:$B,Summary_Employed!$B$2,Flat_file!$C:$C,"Men",Flat_file!$D:$D,"75+",Flat_file!$E:$E,"453",Flat_file!$F:$F,"E")+SUMIFS(Flat_file!$G:$G,Flat_file!$B:$B,Summary_Employed!$B$2,Flat_file!$C:$C,"Men",Flat_file!$D:$D,"75+",Flat_file!$E:$E,"454",Flat_file!$F:$F,"E")</f>
        <v>0</v>
      </c>
      <c r="Y18" s="90"/>
      <c r="Z18" s="225">
        <f>SUMIFS(Flat_file!$G:$G,Flat_file!$B:$B,Summary_Employed!$B$2,Flat_file!$C:$C,"Men",Flat_file!$D:$D,"75+",Flat_file!$E:$E,"640",Flat_file!$F:$F,"E")+SUMIFS(Flat_file!$G:$G,Flat_file!$B:$B,Summary_Employed!$B$2,Flat_file!$C:$C,"Men",Flat_file!$D:$D,"75+",Flat_file!$E:$E,"740",Flat_file!$F:$F,"E")+SUMIFS(Flat_file!$G:$G,Flat_file!$B:$B,Summary_Employed!$B$2,Flat_file!$C:$C,"Men",Flat_file!$D:$D,"75+",Flat_file!$E:$E,"840",Flat_file!$F:$F,"E")</f>
        <v>0</v>
      </c>
      <c r="AA18" s="225">
        <f>SUMIFS(Flat_file!$G:$G,Flat_file!$B:$B,Summary_Employed!$B$2,Flat_file!$C:$C,"Men",Flat_file!$D:$D,"75+",Flat_file!$E:$E,"650",Flat_file!$F:$F,"E")+SUMIFS(Flat_file!$G:$G,Flat_file!$B:$B,Summary_Employed!$B$2,Flat_file!$C:$C,"Men",Flat_file!$D:$D,"75+",Flat_file!$E:$E,"750",Flat_file!$F:$F,"E")+SUMIFS(Flat_file!$G:$G,Flat_file!$B:$B,Summary_Employed!$B$2,Flat_file!$C:$C,"Men",Flat_file!$D:$D,"75+",Flat_file!$E:$E,"850",Flat_file!$F:$F,"E")</f>
        <v>0</v>
      </c>
      <c r="AB18" s="225">
        <f>SUMIFS(Flat_file!$G:$G,Flat_file!$B:$B,Summary_Employed!$B$2,Flat_file!$C:$C,"Men",Flat_file!$D:$D,"75+",Flat_file!$E:$E,"660",Flat_file!$F:$F,"E")+SUMIFS(Flat_file!$G:$G,Flat_file!$B:$B,Summary_Employed!$B$2,Flat_file!$C:$C,"Men",Flat_file!$D:$D,"75+",Flat_file!$E:$E,"760",Flat_file!$F:$F,"E")+SUMIFS(Flat_file!$G:$G,Flat_file!$B:$B,Summary_Employed!$B$2,Flat_file!$C:$C,"Men",Flat_file!$D:$D,"75+",Flat_file!$E:$E,"860",Flat_file!$F:$F,"E")</f>
        <v>0</v>
      </c>
      <c r="AC18" s="3"/>
      <c r="AD18" s="202"/>
      <c r="AE18" s="202" t="s">
        <v>260</v>
      </c>
      <c r="AF18" s="204">
        <v>352</v>
      </c>
      <c r="AG18" s="202"/>
      <c r="AH18" s="3"/>
      <c r="AI18" s="3"/>
    </row>
    <row r="19" spans="1:35" customFormat="1" x14ac:dyDescent="0.2">
      <c r="A19" s="351" t="s">
        <v>6</v>
      </c>
      <c r="B19" s="78" t="s">
        <v>87</v>
      </c>
      <c r="C19" s="86">
        <f>SUMIFS(Flat_file!$G:$G,Flat_file!$B:$B,Summary_Employed!$B$2,Flat_file!$C:$C,"Women",Flat_file!$D:$D,"15-19",Flat_file!$E:$E,"010",Flat_file!$F:$F,"E")+SUMIFS(Flat_file!$G:$G,Flat_file!$B:$B,Summary_Employed!$B$2,Flat_file!$C:$C,"Women",Flat_file!$D:$D,"15-19",Flat_file!$E:$E,"020",Flat_file!$F:$F,"E")+SUMIFS(Flat_file!$G:$G,Flat_file!$B:$B,Summary_Employed!$B$2,Flat_file!$C:$C,"Women",Flat_file!$D:$D,"15-19",Flat_file!$E:$E,"030",Flat_file!$F:$F,"E")</f>
        <v>0</v>
      </c>
      <c r="D19" s="86">
        <f>SUMIFS(Flat_file!$G:$G,Flat_file!$B:$B,Summary_Employed!$B$2,Flat_file!$C:$C,"Women",Flat_file!$D:$D,"15-19",Flat_file!$E:$E,"100",Flat_file!$F:$F,"E")</f>
        <v>0</v>
      </c>
      <c r="E19" s="86">
        <f>SUMIFS(Flat_file!$G:$G,Flat_file!$B:$B,Summary_Employed!$B$2,Flat_file!$C:$C,"Women",Flat_file!$D:$D,"15-19",Flat_file!$E:$E,"242",Flat_file!$F:$F,"E")+SUMIFS(Flat_file!$G:$G,Flat_file!$B:$B,Summary_Employed!$B$2,Flat_file!$C:$C,"Women",Flat_file!$D:$D,"15-19",Flat_file!$E:$E,"252",Flat_file!$F:$F,"E")</f>
        <v>0</v>
      </c>
      <c r="F19" s="86">
        <f>SUMIFS(Flat_file!$G:$G,Flat_file!$B:$B,Summary_Employed!$B$2,Flat_file!$C:$C,"Women",Flat_file!$D:$D,"15-19",Flat_file!$E:$E,"243",Flat_file!$F:$F,"E")+SUMIFS(Flat_file!$G:$G,Flat_file!$B:$B,Summary_Employed!$B$2,Flat_file!$C:$C,"Women",Flat_file!$D:$D,"15-19",Flat_file!$E:$E,"244",Flat_file!$F:$F,"E")+SUMIFS(Flat_file!$G:$G,Flat_file!$B:$B,Summary_Employed!$B$2,Flat_file!$C:$C,"Women",Flat_file!$D:$D,"15-19",Flat_file!$E:$E,"253",Flat_file!$F:$F,"E")+SUMIFS(Flat_file!$G:$G,Flat_file!$B:$B,Summary_Employed!$B$2,Flat_file!$C:$C,"Women",Flat_file!$D:$D,"15-19",Flat_file!$E:$E,"254",Flat_file!$F:$F,"E")</f>
        <v>0</v>
      </c>
      <c r="G19" s="86">
        <f>SUMIFS(Flat_file!$G:$G,Flat_file!$B:$B,Summary_Employed!$B$2,Flat_file!$C:$C,"Women",Flat_file!$D:$D,"15-19",Flat_file!$E:$E,"342",Flat_file!$F:$F,"E")+SUMIFS(Flat_file!$G:$G,Flat_file!$B:$B,Summary_Employed!$B$2,Flat_file!$C:$C,"Women",Flat_file!$D:$D,"15-19",Flat_file!$E:$E,"352",Flat_file!$F:$F,"E")</f>
        <v>0</v>
      </c>
      <c r="H19" s="86">
        <f>SUMIFS(Flat_file!$G:$G,Flat_file!$B:$B,Summary_Employed!$B$2,Flat_file!$C:$C,"Women",Flat_file!$D:$D,"15-19",Flat_file!$E:$E,"343",Flat_file!$F:$F,"E")+SUMIFS(Flat_file!$G:$G,Flat_file!$B:$B,Summary_Employed!$B$2,Flat_file!$C:$C,"Women",Flat_file!$D:$D,"15-19",Flat_file!$E:$E,"344",Flat_file!$F:$F,"E")+SUMIFS(Flat_file!$G:$G,Flat_file!$B:$B,Summary_Employed!$B$2,Flat_file!$C:$C,"Women",Flat_file!$D:$D,"15-19",Flat_file!$E:$E,"353",Flat_file!$F:$F,"E")+SUMIFS(Flat_file!$G:$G,Flat_file!$B:$B,Summary_Employed!$B$2,Flat_file!$C:$C,"Women",Flat_file!$D:$D,"15-19",Flat_file!$E:$E,"354",Flat_file!$F:$F,"E")</f>
        <v>0</v>
      </c>
      <c r="I19" s="86">
        <f>SUMIFS(Flat_file!$G:$G,Flat_file!$B:$B,Summary_Employed!$B$2,Flat_file!$C:$C,"Women",Flat_file!$D:$D,"15-19",Flat_file!$E:$E,"443",Flat_file!$F:$F,"E")+SUMIFS(Flat_file!$G:$G,Flat_file!$B:$B,Summary_Employed!$B$2,Flat_file!$C:$C,"Women",Flat_file!$D:$D,"15-19",Flat_file!$E:$E,"444",Flat_file!$F:$F,"E")+SUMIFS(Flat_file!$G:$G,Flat_file!$B:$B,Summary_Employed!$B$2,Flat_file!$C:$C,"Women",Flat_file!$D:$D,"15-19",Flat_file!$E:$E,"453",Flat_file!$F:$F,"E")+SUMIFS(Flat_file!$G:$G,Flat_file!$B:$B,Summary_Employed!$B$2,Flat_file!$C:$C,"Women",Flat_file!$D:$D,"15-19",Flat_file!$E:$E,"454",Flat_file!$F:$F,"E")</f>
        <v>0</v>
      </c>
      <c r="J19" s="86">
        <f>SUMIFS(Flat_file!$G:$G,Flat_file!$B:$B,Summary_Employed!$B$2,Flat_file!$C:$C,"Women",Flat_file!$D:$D,"15-19",Flat_file!$E:$E,"540",Flat_file!$F:$F,"E")+SUMIFS(Flat_file!$G:$G,Flat_file!$B:$B,Summary_Employed!$B$2,Flat_file!$C:$C,"Women",Flat_file!$D:$D,"15-19",Flat_file!$E:$E,"550",Flat_file!$F:$F,"E")+SUMIFS(Flat_file!$G:$G,Flat_file!$B:$B,Summary_Employed!$B$2,Flat_file!$C:$C,"Women",Flat_file!$D:$D,"15-19",Flat_file!$E:$E,"560",Flat_file!$F:$F,"E")</f>
        <v>0</v>
      </c>
      <c r="K19" s="86">
        <f>SUMIFS(Flat_file!$G:$G,Flat_file!$B:$B,Summary_Employed!$B$2,Flat_file!$C:$C,"Women",Flat_file!$D:$D,"15-19",Flat_file!$E:$E,"640",Flat_file!$F:$F,"E")+SUMIFS(Flat_file!$G:$G,Flat_file!$B:$B,Summary_Employed!$B$2,Flat_file!$C:$C,"Women",Flat_file!$D:$D,"15-19",Flat_file!$E:$E,"650",Flat_file!$F:$F,"E")+SUMIFS(Flat_file!$G:$G,Flat_file!$B:$B,Summary_Employed!$B$2,Flat_file!$C:$C,"Women",Flat_file!$D:$D,"15-19",Flat_file!$E:$E,"660",Flat_file!$F:$F,"E")</f>
        <v>0</v>
      </c>
      <c r="L19" s="86">
        <f>SUMIFS(Flat_file!$G:$G,Flat_file!$B:$B,Summary_Employed!$B$2,Flat_file!$C:$C,"Women",Flat_file!$D:$D,"15-19",Flat_file!$E:$E,"740",Flat_file!$F:$F,"E")+SUMIFS(Flat_file!$G:$G,Flat_file!$B:$B,Summary_Employed!$B$2,Flat_file!$C:$C,"Women",Flat_file!$D:$D,"15-19",Flat_file!$E:$E,"750",Flat_file!$F:$F,"E")+SUMIFS(Flat_file!$G:$G,Flat_file!$B:$B,Summary_Employed!$B$2,Flat_file!$C:$C,"Women",Flat_file!$D:$D,"15-19",Flat_file!$E:$E,"760",Flat_file!$F:$F,"E")</f>
        <v>0</v>
      </c>
      <c r="M19" s="86">
        <f>SUMIFS(Flat_file!$G:$G,Flat_file!$B:$B,Summary_Employed!$B$2,Flat_file!$C:$C,"Women",Flat_file!$D:$D,"15-19",Flat_file!$E:$E,"840",Flat_file!$F:$F,"E")+SUMIFS(Flat_file!$G:$G,Flat_file!$B:$B,Summary_Employed!$B$2,Flat_file!$C:$C,"Women",Flat_file!$D:$D,"15-19",Flat_file!$E:$E,"850",Flat_file!$F:$F,"E")+SUMIFS(Flat_file!$G:$G,Flat_file!$B:$B,Summary_Employed!$B$2,Flat_file!$C:$C,"Women",Flat_file!$D:$D,"15-19",Flat_file!$E:$E,"860",Flat_file!$F:$F,"E")</f>
        <v>0</v>
      </c>
      <c r="N19" s="86">
        <f>SUMIFS(Flat_file!$G:$G,Flat_file!$B:$B,Summary_Employed!$B$2,Flat_file!$C:$C,"Women",Flat_file!$D:$D,"15-19",Flat_file!$E:$E,"999",Flat_file!$F:$F,"E")</f>
        <v>0</v>
      </c>
      <c r="O19" s="86">
        <f>SUM(C19:M19)</f>
        <v>0</v>
      </c>
      <c r="P19" s="87"/>
      <c r="Q19" s="86">
        <f>SUM(H19:M19)</f>
        <v>0</v>
      </c>
      <c r="R19" s="88"/>
      <c r="S19" s="86">
        <f>SUM(C19:G19)</f>
        <v>0</v>
      </c>
      <c r="T19" s="86">
        <f>SUM(H19:I19)</f>
        <v>0</v>
      </c>
      <c r="U19" s="86">
        <f>SUM(J19:M19)</f>
        <v>0</v>
      </c>
      <c r="V19" s="87"/>
      <c r="W19" s="86">
        <f>SUMIFS(Flat_file!$G:$G,Flat_file!$B:$B,Summary_Employed!$B$2,Flat_file!$C:$C,"Women",Flat_file!$D:$D,"15-19",Flat_file!$E:$E,"343",Flat_file!$F:$F,"E")+SUMIFS(Flat_file!$G:$G,Flat_file!$B:$B,Summary_Employed!$B$2,Flat_file!$C:$C,"Women",Flat_file!$D:$D,"15-19",Flat_file!$E:$E,"344",Flat_file!$F:$F,"E")+SUMIFS(Flat_file!$G:$G,Flat_file!$B:$B,Summary_Employed!$B$2,Flat_file!$C:$C,"Women",Flat_file!$D:$D,"15-19",Flat_file!$E:$E,"443",Flat_file!$F:$F,"E")+SUMIFS(Flat_file!$G:$G,Flat_file!$B:$B,Summary_Employed!$B$2,Flat_file!$C:$C,"Women",Flat_file!$D:$D,"15-19",Flat_file!$E:$E,"444",Flat_file!$F:$F,"E")</f>
        <v>0</v>
      </c>
      <c r="X19" s="86">
        <f>SUMIFS(Flat_file!$G:$G,Flat_file!$B:$B,Summary_Employed!$B$2,Flat_file!$C:$C,"Women",Flat_file!$D:$D,"15-19",Flat_file!$E:$E,"353",Flat_file!$F:$F,"E")+SUMIFS(Flat_file!$G:$G,Flat_file!$B:$B,Summary_Employed!$B$2,Flat_file!$C:$C,"Women",Flat_file!$D:$D,"15-19",Flat_file!$E:$E,"354",Flat_file!$F:$F,"E")+SUMIFS(Flat_file!$G:$G,Flat_file!$B:$B,Summary_Employed!$B$2,Flat_file!$C:$C,"Women",Flat_file!$D:$D,"15-19",Flat_file!$E:$E,"453",Flat_file!$F:$F,"E")+SUMIFS(Flat_file!$G:$G,Flat_file!$B:$B,Summary_Employed!$B$2,Flat_file!$C:$C,"Women",Flat_file!$D:$D,"15-19",Flat_file!$E:$E,"454",Flat_file!$F:$F,"E")</f>
        <v>0</v>
      </c>
      <c r="Y19" s="87"/>
      <c r="Z19" s="86">
        <f>SUMIFS(Flat_file!$G:$G,Flat_file!$B:$B,Summary_Employed!$B$2,Flat_file!$C:$C,"Women",Flat_file!$D:$D,"15-19",Flat_file!$E:$E,"640",Flat_file!$F:$F,"E")+SUMIFS(Flat_file!$G:$G,Flat_file!$B:$B,Summary_Employed!$B$2,Flat_file!$C:$C,"Women",Flat_file!$D:$D,"15-19",Flat_file!$E:$E,"740",Flat_file!$F:$F,"E")+SUMIFS(Flat_file!$G:$G,Flat_file!$B:$B,Summary_Employed!$B$2,Flat_file!$C:$C,"Women",Flat_file!$D:$D,"15-19",Flat_file!$E:$E,"840",Flat_file!$F:$F,"E")</f>
        <v>0</v>
      </c>
      <c r="AA19" s="86">
        <f>SUMIFS(Flat_file!$G:$G,Flat_file!$B:$B,Summary_Employed!$B$2,Flat_file!$C:$C,"Women",Flat_file!$D:$D,"15-19",Flat_file!$E:$E,"650",Flat_file!$F:$F,"E")+SUMIFS(Flat_file!$G:$G,Flat_file!$B:$B,Summary_Employed!$B$2,Flat_file!$C:$C,"Women",Flat_file!$D:$D,"15-19",Flat_file!$E:$E,"750",Flat_file!$F:$F,"E")+SUMIFS(Flat_file!$G:$G,Flat_file!$B:$B,Summary_Employed!$B$2,Flat_file!$C:$C,"Women",Flat_file!$D:$D,"15-19",Flat_file!$E:$E,"850",Flat_file!$F:$F,"E")</f>
        <v>0</v>
      </c>
      <c r="AB19" s="86">
        <f>SUMIFS(Flat_file!$G:$G,Flat_file!$B:$B,Summary_Employed!$B$2,Flat_file!$C:$C,"Women",Flat_file!$D:$D,"15-19",Flat_file!$E:$E,"660",Flat_file!$F:$F,"E")+SUMIFS(Flat_file!$G:$G,Flat_file!$B:$B,Summary_Employed!$B$2,Flat_file!$C:$C,"Women",Flat_file!$D:$D,"15-19",Flat_file!$E:$E,"760",Flat_file!$F:$F,"E")+SUMIFS(Flat_file!$G:$G,Flat_file!$B:$B,Summary_Employed!$B$2,Flat_file!$C:$C,"Women",Flat_file!$D:$D,"15-19",Flat_file!$E:$E,"860",Flat_file!$F:$F,"E")</f>
        <v>0</v>
      </c>
      <c r="AC19" s="3"/>
      <c r="AD19" s="202"/>
      <c r="AE19" s="202" t="s">
        <v>261</v>
      </c>
      <c r="AF19" s="204">
        <v>343</v>
      </c>
      <c r="AG19" s="202"/>
      <c r="AH19" s="3"/>
      <c r="AI19" s="3"/>
    </row>
    <row r="20" spans="1:35" customFormat="1" x14ac:dyDescent="0.2">
      <c r="A20" s="352"/>
      <c r="B20" s="79" t="s">
        <v>88</v>
      </c>
      <c r="C20" s="89">
        <f>SUMIFS(Flat_file!$G:$G,Flat_file!$B:$B,Summary_Employed!$B$2,Flat_file!$C:$C,"Women",Flat_file!$D:$D,"20-24",Flat_file!$E:$E,"010",Flat_file!$F:$F,"E")+SUMIFS(Flat_file!$G:$G,Flat_file!$B:$B,Summary_Employed!$B$2,Flat_file!$C:$C,"Women",Flat_file!$D:$D,"20-24",Flat_file!$E:$E,"020",Flat_file!$F:$F,"E")+SUMIFS(Flat_file!$G:$G,Flat_file!$B:$B,Summary_Employed!$B$2,Flat_file!$C:$C,"Women",Flat_file!$D:$D,"20-24",Flat_file!$E:$E,"030",Flat_file!$F:$F,"E")</f>
        <v>0</v>
      </c>
      <c r="D20" s="89">
        <f>SUMIFS(Flat_file!$G:$G,Flat_file!$B:$B,Summary_Employed!$B$2,Flat_file!$C:$C,"Women",Flat_file!$D:$D,"20-24",Flat_file!$E:$E,"100",Flat_file!$F:$F,"E")</f>
        <v>0</v>
      </c>
      <c r="E20" s="89">
        <f>SUMIFS(Flat_file!$G:$G,Flat_file!$B:$B,Summary_Employed!$B$2,Flat_file!$C:$C,"Women",Flat_file!$D:$D,"20-24",Flat_file!$E:$E,"242",Flat_file!$F:$F,"E")+SUMIFS(Flat_file!$G:$G,Flat_file!$B:$B,Summary_Employed!$B$2,Flat_file!$C:$C,"Women",Flat_file!$D:$D,"20-24",Flat_file!$E:$E,"252",Flat_file!$F:$F,"E")</f>
        <v>0</v>
      </c>
      <c r="F20" s="89">
        <f>SUMIFS(Flat_file!$G:$G,Flat_file!$B:$B,Summary_Employed!$B$2,Flat_file!$C:$C,"Women",Flat_file!$D:$D,"20-24",Flat_file!$E:$E,"243",Flat_file!$F:$F,"E")+SUMIFS(Flat_file!$G:$G,Flat_file!$B:$B,Summary_Employed!$B$2,Flat_file!$C:$C,"Women",Flat_file!$D:$D,"20-24",Flat_file!$E:$E,"244",Flat_file!$F:$F,"E")+SUMIFS(Flat_file!$G:$G,Flat_file!$B:$B,Summary_Employed!$B$2,Flat_file!$C:$C,"Women",Flat_file!$D:$D,"20-24",Flat_file!$E:$E,"253",Flat_file!$F:$F,"E")+SUMIFS(Flat_file!$G:$G,Flat_file!$B:$B,Summary_Employed!$B$2,Flat_file!$C:$C,"Women",Flat_file!$D:$D,"20-24",Flat_file!$E:$E,"254",Flat_file!$F:$F,"E")</f>
        <v>0</v>
      </c>
      <c r="G20" s="89">
        <f>SUMIFS(Flat_file!$G:$G,Flat_file!$B:$B,Summary_Employed!$B$2,Flat_file!$C:$C,"Women",Flat_file!$D:$D,"20-24",Flat_file!$E:$E,"342",Flat_file!$F:$F,"E")+SUMIFS(Flat_file!$G:$G,Flat_file!$B:$B,Summary_Employed!$B$2,Flat_file!$C:$C,"Women",Flat_file!$D:$D,"20-24",Flat_file!$E:$E,"352",Flat_file!$F:$F,"E")</f>
        <v>0</v>
      </c>
      <c r="H20" s="89">
        <f>SUMIFS(Flat_file!$G:$G,Flat_file!$B:$B,Summary_Employed!$B$2,Flat_file!$C:$C,"Women",Flat_file!$D:$D,"20-24",Flat_file!$E:$E,"343",Flat_file!$F:$F,"E")+SUMIFS(Flat_file!$G:$G,Flat_file!$B:$B,Summary_Employed!$B$2,Flat_file!$C:$C,"Women",Flat_file!$D:$D,"20-24",Flat_file!$E:$E,"344",Flat_file!$F:$F,"E")+SUMIFS(Flat_file!$G:$G,Flat_file!$B:$B,Summary_Employed!$B$2,Flat_file!$C:$C,"Women",Flat_file!$D:$D,"20-24",Flat_file!$E:$E,"353",Flat_file!$F:$F,"E")+SUMIFS(Flat_file!$G:$G,Flat_file!$B:$B,Summary_Employed!$B$2,Flat_file!$C:$C,"Women",Flat_file!$D:$D,"20-24",Flat_file!$E:$E,"354",Flat_file!$F:$F,"E")</f>
        <v>0</v>
      </c>
      <c r="I20" s="89">
        <f>SUMIFS(Flat_file!$G:$G,Flat_file!$B:$B,Summary_Employed!$B$2,Flat_file!$C:$C,"Women",Flat_file!$D:$D,"20-24",Flat_file!$E:$E,"443",Flat_file!$F:$F,"E")+SUMIFS(Flat_file!$G:$G,Flat_file!$B:$B,Summary_Employed!$B$2,Flat_file!$C:$C,"Women",Flat_file!$D:$D,"20-24",Flat_file!$E:$E,"444",Flat_file!$F:$F,"E")+SUMIFS(Flat_file!$G:$G,Flat_file!$B:$B,Summary_Employed!$B$2,Flat_file!$C:$C,"Women",Flat_file!$D:$D,"20-24",Flat_file!$E:$E,"453",Flat_file!$F:$F,"E")+SUMIFS(Flat_file!$G:$G,Flat_file!$B:$B,Summary_Employed!$B$2,Flat_file!$C:$C,"Women",Flat_file!$D:$D,"20-24",Flat_file!$E:$E,"454",Flat_file!$F:$F,"E")</f>
        <v>0</v>
      </c>
      <c r="J20" s="89">
        <f>SUMIFS(Flat_file!$G:$G,Flat_file!$B:$B,Summary_Employed!$B$2,Flat_file!$C:$C,"Women",Flat_file!$D:$D,"20-24",Flat_file!$E:$E,"540",Flat_file!$F:$F,"E")+SUMIFS(Flat_file!$G:$G,Flat_file!$B:$B,Summary_Employed!$B$2,Flat_file!$C:$C,"Women",Flat_file!$D:$D,"20-24",Flat_file!$E:$E,"550",Flat_file!$F:$F,"E")+SUMIFS(Flat_file!$G:$G,Flat_file!$B:$B,Summary_Employed!$B$2,Flat_file!$C:$C,"Women",Flat_file!$D:$D,"20-24",Flat_file!$E:$E,"560",Flat_file!$F:$F,"E")</f>
        <v>0</v>
      </c>
      <c r="K20" s="89">
        <f>SUMIFS(Flat_file!$G:$G,Flat_file!$B:$B,Summary_Employed!$B$2,Flat_file!$C:$C,"Women",Flat_file!$D:$D,"20-24",Flat_file!$E:$E,"640",Flat_file!$F:$F,"E")+SUMIFS(Flat_file!$G:$G,Flat_file!$B:$B,Summary_Employed!$B$2,Flat_file!$C:$C,"Women",Flat_file!$D:$D,"20-24",Flat_file!$E:$E,"650",Flat_file!$F:$F,"E")+SUMIFS(Flat_file!$G:$G,Flat_file!$B:$B,Summary_Employed!$B$2,Flat_file!$C:$C,"Women",Flat_file!$D:$D,"20-24",Flat_file!$E:$E,"660",Flat_file!$F:$F,"E")</f>
        <v>0</v>
      </c>
      <c r="L20" s="89">
        <f>SUMIFS(Flat_file!$G:$G,Flat_file!$B:$B,Summary_Employed!$B$2,Flat_file!$C:$C,"Women",Flat_file!$D:$D,"20-24",Flat_file!$E:$E,"740",Flat_file!$F:$F,"E")+SUMIFS(Flat_file!$G:$G,Flat_file!$B:$B,Summary_Employed!$B$2,Flat_file!$C:$C,"Women",Flat_file!$D:$D,"20-24",Flat_file!$E:$E,"750",Flat_file!$F:$F,"E")+SUMIFS(Flat_file!$G:$G,Flat_file!$B:$B,Summary_Employed!$B$2,Flat_file!$C:$C,"Women",Flat_file!$D:$D,"20-24",Flat_file!$E:$E,"760",Flat_file!$F:$F,"E")</f>
        <v>0</v>
      </c>
      <c r="M20" s="89">
        <f>SUMIFS(Flat_file!$G:$G,Flat_file!$B:$B,Summary_Employed!$B$2,Flat_file!$C:$C,"Women",Flat_file!$D:$D,"20-24",Flat_file!$E:$E,"840",Flat_file!$F:$F,"E")+SUMIFS(Flat_file!$G:$G,Flat_file!$B:$B,Summary_Employed!$B$2,Flat_file!$C:$C,"Women",Flat_file!$D:$D,"20-24",Flat_file!$E:$E,"850",Flat_file!$F:$F,"E")+SUMIFS(Flat_file!$G:$G,Flat_file!$B:$B,Summary_Employed!$B$2,Flat_file!$C:$C,"Women",Flat_file!$D:$D,"20-24",Flat_file!$E:$E,"860",Flat_file!$F:$F,"E")</f>
        <v>0</v>
      </c>
      <c r="N20" s="89">
        <f>SUMIFS(Flat_file!$G:$G,Flat_file!$B:$B,Summary_Employed!$B$2,Flat_file!$C:$C,"Women",Flat_file!$D:$D,"20-24",Flat_file!$E:$E,"999",Flat_file!$F:$F,"E")</f>
        <v>0</v>
      </c>
      <c r="O20" s="89">
        <f t="shared" ref="O20:O31" si="5">SUM(C20:M20)</f>
        <v>0</v>
      </c>
      <c r="P20" s="90"/>
      <c r="Q20" s="89">
        <f t="shared" ref="Q20:Q31" si="6">SUM(H20:M20)</f>
        <v>0</v>
      </c>
      <c r="R20" s="91"/>
      <c r="S20" s="89">
        <f t="shared" ref="S20:S31" si="7">SUM(C20:G20)</f>
        <v>0</v>
      </c>
      <c r="T20" s="89">
        <f t="shared" ref="T20:T31" si="8">SUM(H20:I20)</f>
        <v>0</v>
      </c>
      <c r="U20" s="89">
        <f t="shared" ref="U20:U31" si="9">SUM(J20:M20)</f>
        <v>0</v>
      </c>
      <c r="V20" s="90"/>
      <c r="W20" s="89">
        <f>SUMIFS(Flat_file!$G:$G,Flat_file!$B:$B,Summary_Employed!$B$2,Flat_file!$C:$C,"Women",Flat_file!$D:$D,"20-24",Flat_file!$E:$E,"343",Flat_file!$F:$F,"E")+SUMIFS(Flat_file!$G:$G,Flat_file!$B:$B,Summary_Employed!$B$2,Flat_file!$C:$C,"Women",Flat_file!$D:$D,"20-24",Flat_file!$E:$E,"344",Flat_file!$F:$F,"E")+SUMIFS(Flat_file!$G:$G,Flat_file!$B:$B,Summary_Employed!$B$2,Flat_file!$C:$C,"Women",Flat_file!$D:$D,"20-24",Flat_file!$E:$E,"443",Flat_file!$F:$F,"E")+SUMIFS(Flat_file!$G:$G,Flat_file!$B:$B,Summary_Employed!$B$2,Flat_file!$C:$C,"Women",Flat_file!$D:$D,"20-24",Flat_file!$E:$E,"444",Flat_file!$F:$F,"E")</f>
        <v>0</v>
      </c>
      <c r="X20" s="89">
        <f>SUMIFS(Flat_file!$G:$G,Flat_file!$B:$B,Summary_Employed!$B$2,Flat_file!$C:$C,"Women",Flat_file!$D:$D,"20-24",Flat_file!$E:$E,"353",Flat_file!$F:$F,"E")+SUMIFS(Flat_file!$G:$G,Flat_file!$B:$B,Summary_Employed!$B$2,Flat_file!$C:$C,"Women",Flat_file!$D:$D,"20-24",Flat_file!$E:$E,"354",Flat_file!$F:$F,"E")+SUMIFS(Flat_file!$G:$G,Flat_file!$B:$B,Summary_Employed!$B$2,Flat_file!$C:$C,"Women",Flat_file!$D:$D,"20-24",Flat_file!$E:$E,"453",Flat_file!$F:$F,"E")+SUMIFS(Flat_file!$G:$G,Flat_file!$B:$B,Summary_Employed!$B$2,Flat_file!$C:$C,"Women",Flat_file!$D:$D,"20-24",Flat_file!$E:$E,"454",Flat_file!$F:$F,"E")</f>
        <v>0</v>
      </c>
      <c r="Y20" s="90"/>
      <c r="Z20" s="89">
        <f>SUMIFS(Flat_file!$G:$G,Flat_file!$B:$B,Summary_Employed!$B$2,Flat_file!$C:$C,"Women",Flat_file!$D:$D,"20-24",Flat_file!$E:$E,"640",Flat_file!$F:$F,"E")+SUMIFS(Flat_file!$G:$G,Flat_file!$B:$B,Summary_Employed!$B$2,Flat_file!$C:$C,"Women",Flat_file!$D:$D,"20-24",Flat_file!$E:$E,"740",Flat_file!$F:$F,"E")+SUMIFS(Flat_file!$G:$G,Flat_file!$B:$B,Summary_Employed!$B$2,Flat_file!$C:$C,"Women",Flat_file!$D:$D,"20-24",Flat_file!$E:$E,"840",Flat_file!$F:$F,"E")</f>
        <v>0</v>
      </c>
      <c r="AA20" s="89">
        <f>SUMIFS(Flat_file!$G:$G,Flat_file!$B:$B,Summary_Employed!$B$2,Flat_file!$C:$C,"Women",Flat_file!$D:$D,"20-24",Flat_file!$E:$E,"650",Flat_file!$F:$F,"E")+SUMIFS(Flat_file!$G:$G,Flat_file!$B:$B,Summary_Employed!$B$2,Flat_file!$C:$C,"Women",Flat_file!$D:$D,"20-24",Flat_file!$E:$E,"750",Flat_file!$F:$F,"E")+SUMIFS(Flat_file!$G:$G,Flat_file!$B:$B,Summary_Employed!$B$2,Flat_file!$C:$C,"Women",Flat_file!$D:$D,"20-24",Flat_file!$E:$E,"850",Flat_file!$F:$F,"E")</f>
        <v>0</v>
      </c>
      <c r="AB20" s="89">
        <f>SUMIFS(Flat_file!$G:$G,Flat_file!$B:$B,Summary_Employed!$B$2,Flat_file!$C:$C,"Women",Flat_file!$D:$D,"20-24",Flat_file!$E:$E,"660",Flat_file!$F:$F,"E")+SUMIFS(Flat_file!$G:$G,Flat_file!$B:$B,Summary_Employed!$B$2,Flat_file!$C:$C,"Women",Flat_file!$D:$D,"20-24",Flat_file!$E:$E,"760",Flat_file!$F:$F,"E")+SUMIFS(Flat_file!$G:$G,Flat_file!$B:$B,Summary_Employed!$B$2,Flat_file!$C:$C,"Women",Flat_file!$D:$D,"20-24",Flat_file!$E:$E,"860",Flat_file!$F:$F,"E")</f>
        <v>0</v>
      </c>
      <c r="AC20" s="3"/>
      <c r="AD20" s="202"/>
      <c r="AE20" s="202"/>
      <c r="AF20" s="204">
        <v>344</v>
      </c>
      <c r="AG20" s="202"/>
      <c r="AH20" s="3"/>
      <c r="AI20" s="3"/>
    </row>
    <row r="21" spans="1:35" customFormat="1" x14ac:dyDescent="0.2">
      <c r="A21" s="352"/>
      <c r="B21" s="79" t="s">
        <v>89</v>
      </c>
      <c r="C21" s="89">
        <f>SUMIFS(Flat_file!$G:$G,Flat_file!$B:$B,Summary_Employed!$B$2,Flat_file!$C:$C,"Women",Flat_file!$D:$D,"25-29",Flat_file!$E:$E,"010",Flat_file!$F:$F,"E")+SUMIFS(Flat_file!$G:$G,Flat_file!$B:$B,Summary_Employed!$B$2,Flat_file!$C:$C,"Women",Flat_file!$D:$D,"25-29",Flat_file!$E:$E,"020",Flat_file!$F:$F,"E")+SUMIFS(Flat_file!$G:$G,Flat_file!$B:$B,Summary_Employed!$B$2,Flat_file!$C:$C,"Women",Flat_file!$D:$D,"25-29",Flat_file!$E:$E,"030",Flat_file!$F:$F,"E")</f>
        <v>0</v>
      </c>
      <c r="D21" s="89">
        <f>SUMIFS(Flat_file!$G:$G,Flat_file!$B:$B,Summary_Employed!$B$2,Flat_file!$C:$C,"Women",Flat_file!$D:$D,"25-29",Flat_file!$E:$E,"100",Flat_file!$F:$F,"E")</f>
        <v>0</v>
      </c>
      <c r="E21" s="89">
        <f>SUMIFS(Flat_file!$G:$G,Flat_file!$B:$B,Summary_Employed!$B$2,Flat_file!$C:$C,"Women",Flat_file!$D:$D,"25-29",Flat_file!$E:$E,"242",Flat_file!$F:$F,"E")+SUMIFS(Flat_file!$G:$G,Flat_file!$B:$B,Summary_Employed!$B$2,Flat_file!$C:$C,"Women",Flat_file!$D:$D,"25-29",Flat_file!$E:$E,"252",Flat_file!$F:$F,"E")</f>
        <v>0</v>
      </c>
      <c r="F21" s="89">
        <f>SUMIFS(Flat_file!$G:$G,Flat_file!$B:$B,Summary_Employed!$B$2,Flat_file!$C:$C,"Women",Flat_file!$D:$D,"25-29",Flat_file!$E:$E,"243",Flat_file!$F:$F,"E")+SUMIFS(Flat_file!$G:$G,Flat_file!$B:$B,Summary_Employed!$B$2,Flat_file!$C:$C,"Women",Flat_file!$D:$D,"25-29",Flat_file!$E:$E,"244",Flat_file!$F:$F,"E")+SUMIFS(Flat_file!$G:$G,Flat_file!$B:$B,Summary_Employed!$B$2,Flat_file!$C:$C,"Women",Flat_file!$D:$D,"25-29",Flat_file!$E:$E,"253",Flat_file!$F:$F,"E")+SUMIFS(Flat_file!$G:$G,Flat_file!$B:$B,Summary_Employed!$B$2,Flat_file!$C:$C,"Women",Flat_file!$D:$D,"25-29",Flat_file!$E:$E,"254",Flat_file!$F:$F,"E")</f>
        <v>0</v>
      </c>
      <c r="G21" s="89">
        <f>SUMIFS(Flat_file!$G:$G,Flat_file!$B:$B,Summary_Employed!$B$2,Flat_file!$C:$C,"Women",Flat_file!$D:$D,"25-29",Flat_file!$E:$E,"342",Flat_file!$F:$F,"E")+SUMIFS(Flat_file!$G:$G,Flat_file!$B:$B,Summary_Employed!$B$2,Flat_file!$C:$C,"Women",Flat_file!$D:$D,"25-29",Flat_file!$E:$E,"352",Flat_file!$F:$F,"E")</f>
        <v>0</v>
      </c>
      <c r="H21" s="89">
        <f>SUMIFS(Flat_file!$G:$G,Flat_file!$B:$B,Summary_Employed!$B$2,Flat_file!$C:$C,"Women",Flat_file!$D:$D,"25-29",Flat_file!$E:$E,"343",Flat_file!$F:$F,"E")+SUMIFS(Flat_file!$G:$G,Flat_file!$B:$B,Summary_Employed!$B$2,Flat_file!$C:$C,"Women",Flat_file!$D:$D,"25-29",Flat_file!$E:$E,"344",Flat_file!$F:$F,"E")+SUMIFS(Flat_file!$G:$G,Flat_file!$B:$B,Summary_Employed!$B$2,Flat_file!$C:$C,"Women",Flat_file!$D:$D,"25-29",Flat_file!$E:$E,"353",Flat_file!$F:$F,"E")+SUMIFS(Flat_file!$G:$G,Flat_file!$B:$B,Summary_Employed!$B$2,Flat_file!$C:$C,"Women",Flat_file!$D:$D,"25-29",Flat_file!$E:$E,"354",Flat_file!$F:$F,"E")</f>
        <v>0</v>
      </c>
      <c r="I21" s="89">
        <f>SUMIFS(Flat_file!$G:$G,Flat_file!$B:$B,Summary_Employed!$B$2,Flat_file!$C:$C,"Women",Flat_file!$D:$D,"25-29",Flat_file!$E:$E,"443",Flat_file!$F:$F,"E")+SUMIFS(Flat_file!$G:$G,Flat_file!$B:$B,Summary_Employed!$B$2,Flat_file!$C:$C,"Women",Flat_file!$D:$D,"25-29",Flat_file!$E:$E,"444",Flat_file!$F:$F,"E")+SUMIFS(Flat_file!$G:$G,Flat_file!$B:$B,Summary_Employed!$B$2,Flat_file!$C:$C,"Women",Flat_file!$D:$D,"25-29",Flat_file!$E:$E,"453",Flat_file!$F:$F,"E")+SUMIFS(Flat_file!$G:$G,Flat_file!$B:$B,Summary_Employed!$B$2,Flat_file!$C:$C,"Women",Flat_file!$D:$D,"25-29",Flat_file!$E:$E,"454",Flat_file!$F:$F,"E")</f>
        <v>0</v>
      </c>
      <c r="J21" s="89">
        <f>SUMIFS(Flat_file!$G:$G,Flat_file!$B:$B,Summary_Employed!$B$2,Flat_file!$C:$C,"Women",Flat_file!$D:$D,"25-29",Flat_file!$E:$E,"540",Flat_file!$F:$F,"E")+SUMIFS(Flat_file!$G:$G,Flat_file!$B:$B,Summary_Employed!$B$2,Flat_file!$C:$C,"Women",Flat_file!$D:$D,"25-29",Flat_file!$E:$E,"550",Flat_file!$F:$F,"E")+SUMIFS(Flat_file!$G:$G,Flat_file!$B:$B,Summary_Employed!$B$2,Flat_file!$C:$C,"Women",Flat_file!$D:$D,"25-29",Flat_file!$E:$E,"560",Flat_file!$F:$F,"E")</f>
        <v>0</v>
      </c>
      <c r="K21" s="89">
        <f>SUMIFS(Flat_file!$G:$G,Flat_file!$B:$B,Summary_Employed!$B$2,Flat_file!$C:$C,"Women",Flat_file!$D:$D,"25-29",Flat_file!$E:$E,"640",Flat_file!$F:$F,"E")+SUMIFS(Flat_file!$G:$G,Flat_file!$B:$B,Summary_Employed!$B$2,Flat_file!$C:$C,"Women",Flat_file!$D:$D,"25-29",Flat_file!$E:$E,"650",Flat_file!$F:$F,"E")+SUMIFS(Flat_file!$G:$G,Flat_file!$B:$B,Summary_Employed!$B$2,Flat_file!$C:$C,"Women",Flat_file!$D:$D,"25-29",Flat_file!$E:$E,"660",Flat_file!$F:$F,"E")</f>
        <v>0</v>
      </c>
      <c r="L21" s="89">
        <f>SUMIFS(Flat_file!$G:$G,Flat_file!$B:$B,Summary_Employed!$B$2,Flat_file!$C:$C,"Women",Flat_file!$D:$D,"25-29",Flat_file!$E:$E,"740",Flat_file!$F:$F,"E")+SUMIFS(Flat_file!$G:$G,Flat_file!$B:$B,Summary_Employed!$B$2,Flat_file!$C:$C,"Women",Flat_file!$D:$D,"25-29",Flat_file!$E:$E,"750",Flat_file!$F:$F,"E")+SUMIFS(Flat_file!$G:$G,Flat_file!$B:$B,Summary_Employed!$B$2,Flat_file!$C:$C,"Women",Flat_file!$D:$D,"25-29",Flat_file!$E:$E,"760",Flat_file!$F:$F,"E")</f>
        <v>0</v>
      </c>
      <c r="M21" s="89">
        <f>SUMIFS(Flat_file!$G:$G,Flat_file!$B:$B,Summary_Employed!$B$2,Flat_file!$C:$C,"Women",Flat_file!$D:$D,"25-29",Flat_file!$E:$E,"840",Flat_file!$F:$F,"E")+SUMIFS(Flat_file!$G:$G,Flat_file!$B:$B,Summary_Employed!$B$2,Flat_file!$C:$C,"Women",Flat_file!$D:$D,"25-29",Flat_file!$E:$E,"850",Flat_file!$F:$F,"E")+SUMIFS(Flat_file!$G:$G,Flat_file!$B:$B,Summary_Employed!$B$2,Flat_file!$C:$C,"Women",Flat_file!$D:$D,"25-29",Flat_file!$E:$E,"860",Flat_file!$F:$F,"E")</f>
        <v>0</v>
      </c>
      <c r="N21" s="89">
        <f>SUMIFS(Flat_file!$G:$G,Flat_file!$B:$B,Summary_Employed!$B$2,Flat_file!$C:$C,"Women",Flat_file!$D:$D,"25-29",Flat_file!$E:$E,"999",Flat_file!$F:$F,"E")</f>
        <v>0</v>
      </c>
      <c r="O21" s="89">
        <f t="shared" si="5"/>
        <v>0</v>
      </c>
      <c r="P21" s="90"/>
      <c r="Q21" s="89">
        <f t="shared" si="6"/>
        <v>0</v>
      </c>
      <c r="R21" s="91"/>
      <c r="S21" s="89">
        <f t="shared" si="7"/>
        <v>0</v>
      </c>
      <c r="T21" s="89">
        <f t="shared" si="8"/>
        <v>0</v>
      </c>
      <c r="U21" s="89">
        <f t="shared" si="9"/>
        <v>0</v>
      </c>
      <c r="V21" s="90"/>
      <c r="W21" s="89">
        <f>SUMIFS(Flat_file!$G:$G,Flat_file!$B:$B,Summary_Employed!$B$2,Flat_file!$C:$C,"Women",Flat_file!$D:$D,"25-29",Flat_file!$E:$E,"343",Flat_file!$F:$F,"E")+SUMIFS(Flat_file!$G:$G,Flat_file!$B:$B,Summary_Employed!$B$2,Flat_file!$C:$C,"Women",Flat_file!$D:$D,"25-29",Flat_file!$E:$E,"344",Flat_file!$F:$F,"E")+SUMIFS(Flat_file!$G:$G,Flat_file!$B:$B,Summary_Employed!$B$2,Flat_file!$C:$C,"Women",Flat_file!$D:$D,"25-29",Flat_file!$E:$E,"443",Flat_file!$F:$F,"E")+SUMIFS(Flat_file!$G:$G,Flat_file!$B:$B,Summary_Employed!$B$2,Flat_file!$C:$C,"Women",Flat_file!$D:$D,"25-29",Flat_file!$E:$E,"444",Flat_file!$F:$F,"E")</f>
        <v>0</v>
      </c>
      <c r="X21" s="89">
        <f>SUMIFS(Flat_file!$G:$G,Flat_file!$B:$B,Summary_Employed!$B$2,Flat_file!$C:$C,"Women",Flat_file!$D:$D,"25-29",Flat_file!$E:$E,"353",Flat_file!$F:$F,"E")+SUMIFS(Flat_file!$G:$G,Flat_file!$B:$B,Summary_Employed!$B$2,Flat_file!$C:$C,"Women",Flat_file!$D:$D,"25-29",Flat_file!$E:$E,"354",Flat_file!$F:$F,"E")+SUMIFS(Flat_file!$G:$G,Flat_file!$B:$B,Summary_Employed!$B$2,Flat_file!$C:$C,"Women",Flat_file!$D:$D,"25-29",Flat_file!$E:$E,"453",Flat_file!$F:$F,"E")+SUMIFS(Flat_file!$G:$G,Flat_file!$B:$B,Summary_Employed!$B$2,Flat_file!$C:$C,"Women",Flat_file!$D:$D,"25-29",Flat_file!$E:$E,"454",Flat_file!$F:$F,"E")</f>
        <v>0</v>
      </c>
      <c r="Y21" s="90"/>
      <c r="Z21" s="89">
        <f>SUMIFS(Flat_file!$G:$G,Flat_file!$B:$B,Summary_Employed!$B$2,Flat_file!$C:$C,"Women",Flat_file!$D:$D,"25-29",Flat_file!$E:$E,"640",Flat_file!$F:$F,"E")+SUMIFS(Flat_file!$G:$G,Flat_file!$B:$B,Summary_Employed!$B$2,Flat_file!$C:$C,"Women",Flat_file!$D:$D,"25-29",Flat_file!$E:$E,"740",Flat_file!$F:$F,"E")+SUMIFS(Flat_file!$G:$G,Flat_file!$B:$B,Summary_Employed!$B$2,Flat_file!$C:$C,"Women",Flat_file!$D:$D,"25-29",Flat_file!$E:$E,"840",Flat_file!$F:$F,"E")</f>
        <v>0</v>
      </c>
      <c r="AA21" s="89">
        <f>SUMIFS(Flat_file!$G:$G,Flat_file!$B:$B,Summary_Employed!$B$2,Flat_file!$C:$C,"Women",Flat_file!$D:$D,"25-29",Flat_file!$E:$E,"650",Flat_file!$F:$F,"E")+SUMIFS(Flat_file!$G:$G,Flat_file!$B:$B,Summary_Employed!$B$2,Flat_file!$C:$C,"Women",Flat_file!$D:$D,"25-29",Flat_file!$E:$E,"750",Flat_file!$F:$F,"E")+SUMIFS(Flat_file!$G:$G,Flat_file!$B:$B,Summary_Employed!$B$2,Flat_file!$C:$C,"Women",Flat_file!$D:$D,"25-29",Flat_file!$E:$E,"850",Flat_file!$F:$F,"E")</f>
        <v>0</v>
      </c>
      <c r="AB21" s="89">
        <f>SUMIFS(Flat_file!$G:$G,Flat_file!$B:$B,Summary_Employed!$B$2,Flat_file!$C:$C,"Women",Flat_file!$D:$D,"25-29",Flat_file!$E:$E,"660",Flat_file!$F:$F,"E")+SUMIFS(Flat_file!$G:$G,Flat_file!$B:$B,Summary_Employed!$B$2,Flat_file!$C:$C,"Women",Flat_file!$D:$D,"25-29",Flat_file!$E:$E,"760",Flat_file!$F:$F,"E")+SUMIFS(Flat_file!$G:$G,Flat_file!$B:$B,Summary_Employed!$B$2,Flat_file!$C:$C,"Women",Flat_file!$D:$D,"25-29",Flat_file!$E:$E,"860",Flat_file!$F:$F,"E")</f>
        <v>0</v>
      </c>
      <c r="AC21" s="3"/>
      <c r="AD21" s="202"/>
      <c r="AE21" s="202"/>
      <c r="AF21" s="204">
        <v>353</v>
      </c>
      <c r="AG21" s="202"/>
      <c r="AH21" s="3"/>
      <c r="AI21" s="3"/>
    </row>
    <row r="22" spans="1:35" customFormat="1" x14ac:dyDescent="0.2">
      <c r="A22" s="352"/>
      <c r="B22" s="79" t="s">
        <v>90</v>
      </c>
      <c r="C22" s="89">
        <f>SUMIFS(Flat_file!$G:$G,Flat_file!$B:$B,Summary_Employed!$B$2,Flat_file!$C:$C,"Women",Flat_file!$D:$D,"30-34",Flat_file!$E:$E,"010",Flat_file!$F:$F,"E")+SUMIFS(Flat_file!$G:$G,Flat_file!$B:$B,Summary_Employed!$B$2,Flat_file!$C:$C,"Women",Flat_file!$D:$D,"30-34",Flat_file!$E:$E,"020",Flat_file!$F:$F,"E")+SUMIFS(Flat_file!$G:$G,Flat_file!$B:$B,Summary_Employed!$B$2,Flat_file!$C:$C,"Women",Flat_file!$D:$D,"30-34",Flat_file!$E:$E,"030",Flat_file!$F:$F,"E")</f>
        <v>0</v>
      </c>
      <c r="D22" s="89">
        <f>SUMIFS(Flat_file!$G:$G,Flat_file!$B:$B,Summary_Employed!$B$2,Flat_file!$C:$C,"Women",Flat_file!$D:$D,"30-34",Flat_file!$E:$E,"100",Flat_file!$F:$F,"E")</f>
        <v>0</v>
      </c>
      <c r="E22" s="89">
        <f>SUMIFS(Flat_file!$G:$G,Flat_file!$B:$B,Summary_Employed!$B$2,Flat_file!$C:$C,"Women",Flat_file!$D:$D,"30-34",Flat_file!$E:$E,"242",Flat_file!$F:$F,"E")+SUMIFS(Flat_file!$G:$G,Flat_file!$B:$B,Summary_Employed!$B$2,Flat_file!$C:$C,"Women",Flat_file!$D:$D,"30-34",Flat_file!$E:$E,"252",Flat_file!$F:$F,"E")</f>
        <v>0</v>
      </c>
      <c r="F22" s="89">
        <f>SUMIFS(Flat_file!$G:$G,Flat_file!$B:$B,Summary_Employed!$B$2,Flat_file!$C:$C,"Women",Flat_file!$D:$D,"30-34",Flat_file!$E:$E,"243",Flat_file!$F:$F,"E")+SUMIFS(Flat_file!$G:$G,Flat_file!$B:$B,Summary_Employed!$B$2,Flat_file!$C:$C,"Women",Flat_file!$D:$D,"30-34",Flat_file!$E:$E,"244",Flat_file!$F:$F,"E")+SUMIFS(Flat_file!$G:$G,Flat_file!$B:$B,Summary_Employed!$B$2,Flat_file!$C:$C,"Women",Flat_file!$D:$D,"30-34",Flat_file!$E:$E,"253",Flat_file!$F:$F,"E")+SUMIFS(Flat_file!$G:$G,Flat_file!$B:$B,Summary_Employed!$B$2,Flat_file!$C:$C,"Women",Flat_file!$D:$D,"30-34",Flat_file!$E:$E,"254",Flat_file!$F:$F,"E")</f>
        <v>0</v>
      </c>
      <c r="G22" s="89">
        <f>SUMIFS(Flat_file!$G:$G,Flat_file!$B:$B,Summary_Employed!$B$2,Flat_file!$C:$C,"Women",Flat_file!$D:$D,"30-34",Flat_file!$E:$E,"342",Flat_file!$F:$F,"E")+SUMIFS(Flat_file!$G:$G,Flat_file!$B:$B,Summary_Employed!$B$2,Flat_file!$C:$C,"Women",Flat_file!$D:$D,"30-34",Flat_file!$E:$E,"352",Flat_file!$F:$F,"E")</f>
        <v>0</v>
      </c>
      <c r="H22" s="89">
        <f>SUMIFS(Flat_file!$G:$G,Flat_file!$B:$B,Summary_Employed!$B$2,Flat_file!$C:$C,"Women",Flat_file!$D:$D,"30-34",Flat_file!$E:$E,"343",Flat_file!$F:$F,"E")+SUMIFS(Flat_file!$G:$G,Flat_file!$B:$B,Summary_Employed!$B$2,Flat_file!$C:$C,"Women",Flat_file!$D:$D,"30-34",Flat_file!$E:$E,"344",Flat_file!$F:$F,"E")+SUMIFS(Flat_file!$G:$G,Flat_file!$B:$B,Summary_Employed!$B$2,Flat_file!$C:$C,"Women",Flat_file!$D:$D,"30-34",Flat_file!$E:$E,"353",Flat_file!$F:$F,"E")+SUMIFS(Flat_file!$G:$G,Flat_file!$B:$B,Summary_Employed!$B$2,Flat_file!$C:$C,"Women",Flat_file!$D:$D,"30-34",Flat_file!$E:$E,"354",Flat_file!$F:$F,"E")</f>
        <v>0</v>
      </c>
      <c r="I22" s="89">
        <f>SUMIFS(Flat_file!$G:$G,Flat_file!$B:$B,Summary_Employed!$B$2,Flat_file!$C:$C,"Women",Flat_file!$D:$D,"30-34",Flat_file!$E:$E,"443",Flat_file!$F:$F,"E")+SUMIFS(Flat_file!$G:$G,Flat_file!$B:$B,Summary_Employed!$B$2,Flat_file!$C:$C,"Women",Flat_file!$D:$D,"30-34",Flat_file!$E:$E,"444",Flat_file!$F:$F,"E")+SUMIFS(Flat_file!$G:$G,Flat_file!$B:$B,Summary_Employed!$B$2,Flat_file!$C:$C,"Women",Flat_file!$D:$D,"30-34",Flat_file!$E:$E,"453",Flat_file!$F:$F,"E")+SUMIFS(Flat_file!$G:$G,Flat_file!$B:$B,Summary_Employed!$B$2,Flat_file!$C:$C,"Women",Flat_file!$D:$D,"30-34",Flat_file!$E:$E,"454",Flat_file!$F:$F,"E")</f>
        <v>0</v>
      </c>
      <c r="J22" s="89">
        <f>SUMIFS(Flat_file!$G:$G,Flat_file!$B:$B,Summary_Employed!$B$2,Flat_file!$C:$C,"Women",Flat_file!$D:$D,"30-34",Flat_file!$E:$E,"540",Flat_file!$F:$F,"E")+SUMIFS(Flat_file!$G:$G,Flat_file!$B:$B,Summary_Employed!$B$2,Flat_file!$C:$C,"Women",Flat_file!$D:$D,"30-34",Flat_file!$E:$E,"550",Flat_file!$F:$F,"E")+SUMIFS(Flat_file!$G:$G,Flat_file!$B:$B,Summary_Employed!$B$2,Flat_file!$C:$C,"Women",Flat_file!$D:$D,"30-34",Flat_file!$E:$E,"560",Flat_file!$F:$F,"E")</f>
        <v>0</v>
      </c>
      <c r="K22" s="89">
        <f>SUMIFS(Flat_file!$G:$G,Flat_file!$B:$B,Summary_Employed!$B$2,Flat_file!$C:$C,"Women",Flat_file!$D:$D,"30-34",Flat_file!$E:$E,"640",Flat_file!$F:$F,"E")+SUMIFS(Flat_file!$G:$G,Flat_file!$B:$B,Summary_Employed!$B$2,Flat_file!$C:$C,"Women",Flat_file!$D:$D,"30-34",Flat_file!$E:$E,"650",Flat_file!$F:$F,"E")+SUMIFS(Flat_file!$G:$G,Flat_file!$B:$B,Summary_Employed!$B$2,Flat_file!$C:$C,"Women",Flat_file!$D:$D,"30-34",Flat_file!$E:$E,"660",Flat_file!$F:$F,"E")</f>
        <v>0</v>
      </c>
      <c r="L22" s="89">
        <f>SUMIFS(Flat_file!$G:$G,Flat_file!$B:$B,Summary_Employed!$B$2,Flat_file!$C:$C,"Women",Flat_file!$D:$D,"30-34",Flat_file!$E:$E,"740",Flat_file!$F:$F,"E")+SUMIFS(Flat_file!$G:$G,Flat_file!$B:$B,Summary_Employed!$B$2,Flat_file!$C:$C,"Women",Flat_file!$D:$D,"30-34",Flat_file!$E:$E,"750",Flat_file!$F:$F,"E")+SUMIFS(Flat_file!$G:$G,Flat_file!$B:$B,Summary_Employed!$B$2,Flat_file!$C:$C,"Women",Flat_file!$D:$D,"30-34",Flat_file!$E:$E,"760",Flat_file!$F:$F,"E")</f>
        <v>0</v>
      </c>
      <c r="M22" s="89">
        <f>SUMIFS(Flat_file!$G:$G,Flat_file!$B:$B,Summary_Employed!$B$2,Flat_file!$C:$C,"Women",Flat_file!$D:$D,"30-34",Flat_file!$E:$E,"840",Flat_file!$F:$F,"E")+SUMIFS(Flat_file!$G:$G,Flat_file!$B:$B,Summary_Employed!$B$2,Flat_file!$C:$C,"Women",Flat_file!$D:$D,"30-34",Flat_file!$E:$E,"850",Flat_file!$F:$F,"E")+SUMIFS(Flat_file!$G:$G,Flat_file!$B:$B,Summary_Employed!$B$2,Flat_file!$C:$C,"Women",Flat_file!$D:$D,"30-34",Flat_file!$E:$E,"860",Flat_file!$F:$F,"E")</f>
        <v>0</v>
      </c>
      <c r="N22" s="89">
        <f>SUMIFS(Flat_file!$G:$G,Flat_file!$B:$B,Summary_Employed!$B$2,Flat_file!$C:$C,"Women",Flat_file!$D:$D,"30-34",Flat_file!$E:$E,"999",Flat_file!$F:$F,"E")</f>
        <v>0</v>
      </c>
      <c r="O22" s="89">
        <f t="shared" si="5"/>
        <v>0</v>
      </c>
      <c r="P22" s="90"/>
      <c r="Q22" s="89">
        <f t="shared" si="6"/>
        <v>0</v>
      </c>
      <c r="R22" s="91"/>
      <c r="S22" s="89">
        <f t="shared" si="7"/>
        <v>0</v>
      </c>
      <c r="T22" s="89">
        <f t="shared" si="8"/>
        <v>0</v>
      </c>
      <c r="U22" s="89">
        <f t="shared" si="9"/>
        <v>0</v>
      </c>
      <c r="V22" s="90"/>
      <c r="W22" s="89">
        <f>SUMIFS(Flat_file!$G:$G,Flat_file!$B:$B,Summary_Employed!$B$2,Flat_file!$C:$C,"Women",Flat_file!$D:$D,"30-34",Flat_file!$E:$E,"343",Flat_file!$F:$F,"E")+SUMIFS(Flat_file!$G:$G,Flat_file!$B:$B,Summary_Employed!$B$2,Flat_file!$C:$C,"Women",Flat_file!$D:$D,"30-34",Flat_file!$E:$E,"344",Flat_file!$F:$F,"E")+SUMIFS(Flat_file!$G:$G,Flat_file!$B:$B,Summary_Employed!$B$2,Flat_file!$C:$C,"Women",Flat_file!$D:$D,"30-34",Flat_file!$E:$E,"443",Flat_file!$F:$F,"E")+SUMIFS(Flat_file!$G:$G,Flat_file!$B:$B,Summary_Employed!$B$2,Flat_file!$C:$C,"Women",Flat_file!$D:$D,"30-34",Flat_file!$E:$E,"444",Flat_file!$F:$F,"E")</f>
        <v>0</v>
      </c>
      <c r="X22" s="89">
        <f>SUMIFS(Flat_file!$G:$G,Flat_file!$B:$B,Summary_Employed!$B$2,Flat_file!$C:$C,"Women",Flat_file!$D:$D,"30-34",Flat_file!$E:$E,"353",Flat_file!$F:$F,"E")+SUMIFS(Flat_file!$G:$G,Flat_file!$B:$B,Summary_Employed!$B$2,Flat_file!$C:$C,"Women",Flat_file!$D:$D,"30-34",Flat_file!$E:$E,"354",Flat_file!$F:$F,"E")+SUMIFS(Flat_file!$G:$G,Flat_file!$B:$B,Summary_Employed!$B$2,Flat_file!$C:$C,"Women",Flat_file!$D:$D,"30-34",Flat_file!$E:$E,"453",Flat_file!$F:$F,"E")+SUMIFS(Flat_file!$G:$G,Flat_file!$B:$B,Summary_Employed!$B$2,Flat_file!$C:$C,"Women",Flat_file!$D:$D,"30-34",Flat_file!$E:$E,"454",Flat_file!$F:$F,"E")</f>
        <v>0</v>
      </c>
      <c r="Y22" s="90"/>
      <c r="Z22" s="89">
        <f>SUMIFS(Flat_file!$G:$G,Flat_file!$B:$B,Summary_Employed!$B$2,Flat_file!$C:$C,"Women",Flat_file!$D:$D,"30-34",Flat_file!$E:$E,"640",Flat_file!$F:$F,"E")+SUMIFS(Flat_file!$G:$G,Flat_file!$B:$B,Summary_Employed!$B$2,Flat_file!$C:$C,"Women",Flat_file!$D:$D,"30-34",Flat_file!$E:$E,"740",Flat_file!$F:$F,"E")+SUMIFS(Flat_file!$G:$G,Flat_file!$B:$B,Summary_Employed!$B$2,Flat_file!$C:$C,"Women",Flat_file!$D:$D,"30-34",Flat_file!$E:$E,"840",Flat_file!$F:$F,"E")</f>
        <v>0</v>
      </c>
      <c r="AA22" s="89">
        <f>SUMIFS(Flat_file!$G:$G,Flat_file!$B:$B,Summary_Employed!$B$2,Flat_file!$C:$C,"Women",Flat_file!$D:$D,"30-34",Flat_file!$E:$E,"650",Flat_file!$F:$F,"E")+SUMIFS(Flat_file!$G:$G,Flat_file!$B:$B,Summary_Employed!$B$2,Flat_file!$C:$C,"Women",Flat_file!$D:$D,"30-34",Flat_file!$E:$E,"750",Flat_file!$F:$F,"E")+SUMIFS(Flat_file!$G:$G,Flat_file!$B:$B,Summary_Employed!$B$2,Flat_file!$C:$C,"Women",Flat_file!$D:$D,"30-34",Flat_file!$E:$E,"850",Flat_file!$F:$F,"E")</f>
        <v>0</v>
      </c>
      <c r="AB22" s="89">
        <f>SUMIFS(Flat_file!$G:$G,Flat_file!$B:$B,Summary_Employed!$B$2,Flat_file!$C:$C,"Women",Flat_file!$D:$D,"30-34",Flat_file!$E:$E,"660",Flat_file!$F:$F,"E")+SUMIFS(Flat_file!$G:$G,Flat_file!$B:$B,Summary_Employed!$B$2,Flat_file!$C:$C,"Women",Flat_file!$D:$D,"30-34",Flat_file!$E:$E,"760",Flat_file!$F:$F,"E")+SUMIFS(Flat_file!$G:$G,Flat_file!$B:$B,Summary_Employed!$B$2,Flat_file!$C:$C,"Women",Flat_file!$D:$D,"30-34",Flat_file!$E:$E,"860",Flat_file!$F:$F,"E")</f>
        <v>0</v>
      </c>
      <c r="AC22" s="3"/>
      <c r="AD22" s="202"/>
      <c r="AE22" s="202"/>
      <c r="AF22" s="204">
        <v>354</v>
      </c>
      <c r="AG22" s="202"/>
      <c r="AH22" s="3"/>
      <c r="AI22" s="3"/>
    </row>
    <row r="23" spans="1:35" customFormat="1" x14ac:dyDescent="0.2">
      <c r="A23" s="352"/>
      <c r="B23" s="79" t="s">
        <v>91</v>
      </c>
      <c r="C23" s="89">
        <f>SUMIFS(Flat_file!$G:$G,Flat_file!$B:$B,Summary_Employed!$B$2,Flat_file!$C:$C,"Women",Flat_file!$D:$D,"35-39",Flat_file!$E:$E,"010",Flat_file!$F:$F,"E")+SUMIFS(Flat_file!$G:$G,Flat_file!$B:$B,Summary_Employed!$B$2,Flat_file!$C:$C,"Women",Flat_file!$D:$D,"35-39",Flat_file!$E:$E,"020",Flat_file!$F:$F,"E")+SUMIFS(Flat_file!$G:$G,Flat_file!$B:$B,Summary_Employed!$B$2,Flat_file!$C:$C,"Women",Flat_file!$D:$D,"35-39",Flat_file!$E:$E,"030",Flat_file!$F:$F,"E")</f>
        <v>0</v>
      </c>
      <c r="D23" s="89">
        <f>SUMIFS(Flat_file!$G:$G,Flat_file!$B:$B,Summary_Employed!$B$2,Flat_file!$C:$C,"Women",Flat_file!$D:$D,"35-39",Flat_file!$E:$E,"100",Flat_file!$F:$F,"E")</f>
        <v>0</v>
      </c>
      <c r="E23" s="89">
        <f>SUMIFS(Flat_file!$G:$G,Flat_file!$B:$B,Summary_Employed!$B$2,Flat_file!$C:$C,"Women",Flat_file!$D:$D,"35-39",Flat_file!$E:$E,"242",Flat_file!$F:$F,"E")+SUMIFS(Flat_file!$G:$G,Flat_file!$B:$B,Summary_Employed!$B$2,Flat_file!$C:$C,"Women",Flat_file!$D:$D,"35-39",Flat_file!$E:$E,"252",Flat_file!$F:$F,"E")</f>
        <v>0</v>
      </c>
      <c r="F23" s="89">
        <f>SUMIFS(Flat_file!$G:$G,Flat_file!$B:$B,Summary_Employed!$B$2,Flat_file!$C:$C,"Women",Flat_file!$D:$D,"35-39",Flat_file!$E:$E,"243",Flat_file!$F:$F,"E")+SUMIFS(Flat_file!$G:$G,Flat_file!$B:$B,Summary_Employed!$B$2,Flat_file!$C:$C,"Women",Flat_file!$D:$D,"35-39",Flat_file!$E:$E,"244",Flat_file!$F:$F,"E")+SUMIFS(Flat_file!$G:$G,Flat_file!$B:$B,Summary_Employed!$B$2,Flat_file!$C:$C,"Women",Flat_file!$D:$D,"35-39",Flat_file!$E:$E,"253",Flat_file!$F:$F,"E")+SUMIFS(Flat_file!$G:$G,Flat_file!$B:$B,Summary_Employed!$B$2,Flat_file!$C:$C,"Women",Flat_file!$D:$D,"35-39",Flat_file!$E:$E,"254",Flat_file!$F:$F,"E")</f>
        <v>0</v>
      </c>
      <c r="G23" s="89">
        <f>SUMIFS(Flat_file!$G:$G,Flat_file!$B:$B,Summary_Employed!$B$2,Flat_file!$C:$C,"Women",Flat_file!$D:$D,"35-39",Flat_file!$E:$E,"342",Flat_file!$F:$F,"E")+SUMIFS(Flat_file!$G:$G,Flat_file!$B:$B,Summary_Employed!$B$2,Flat_file!$C:$C,"Women",Flat_file!$D:$D,"35-39",Flat_file!$E:$E,"352",Flat_file!$F:$F,"E")</f>
        <v>0</v>
      </c>
      <c r="H23" s="89">
        <f>SUMIFS(Flat_file!$G:$G,Flat_file!$B:$B,Summary_Employed!$B$2,Flat_file!$C:$C,"Women",Flat_file!$D:$D,"35-39",Flat_file!$E:$E,"343",Flat_file!$F:$F,"E")+SUMIFS(Flat_file!$G:$G,Flat_file!$B:$B,Summary_Employed!$B$2,Flat_file!$C:$C,"Women",Flat_file!$D:$D,"35-39",Flat_file!$E:$E,"344",Flat_file!$F:$F,"E")+SUMIFS(Flat_file!$G:$G,Flat_file!$B:$B,Summary_Employed!$B$2,Flat_file!$C:$C,"Women",Flat_file!$D:$D,"35-39",Flat_file!$E:$E,"353",Flat_file!$F:$F,"E")+SUMIFS(Flat_file!$G:$G,Flat_file!$B:$B,Summary_Employed!$B$2,Flat_file!$C:$C,"Women",Flat_file!$D:$D,"35-39",Flat_file!$E:$E,"354",Flat_file!$F:$F,"E")</f>
        <v>0</v>
      </c>
      <c r="I23" s="89">
        <f>SUMIFS(Flat_file!$G:$G,Flat_file!$B:$B,Summary_Employed!$B$2,Flat_file!$C:$C,"Women",Flat_file!$D:$D,"35-39",Flat_file!$E:$E,"443",Flat_file!$F:$F,"E")+SUMIFS(Flat_file!$G:$G,Flat_file!$B:$B,Summary_Employed!$B$2,Flat_file!$C:$C,"Women",Flat_file!$D:$D,"35-39",Flat_file!$E:$E,"444",Flat_file!$F:$F,"E")+SUMIFS(Flat_file!$G:$G,Flat_file!$B:$B,Summary_Employed!$B$2,Flat_file!$C:$C,"Women",Flat_file!$D:$D,"35-39",Flat_file!$E:$E,"453",Flat_file!$F:$F,"E")+SUMIFS(Flat_file!$G:$G,Flat_file!$B:$B,Summary_Employed!$B$2,Flat_file!$C:$C,"Women",Flat_file!$D:$D,"35-39",Flat_file!$E:$E,"454",Flat_file!$F:$F,"E")</f>
        <v>0</v>
      </c>
      <c r="J23" s="89">
        <f>SUMIFS(Flat_file!$G:$G,Flat_file!$B:$B,Summary_Employed!$B$2,Flat_file!$C:$C,"Women",Flat_file!$D:$D,"35-39",Flat_file!$E:$E,"540",Flat_file!$F:$F,"E")+SUMIFS(Flat_file!$G:$G,Flat_file!$B:$B,Summary_Employed!$B$2,Flat_file!$C:$C,"Women",Flat_file!$D:$D,"35-39",Flat_file!$E:$E,"550",Flat_file!$F:$F,"E")+SUMIFS(Flat_file!$G:$G,Flat_file!$B:$B,Summary_Employed!$B$2,Flat_file!$C:$C,"Women",Flat_file!$D:$D,"35-39",Flat_file!$E:$E,"560",Flat_file!$F:$F,"E")</f>
        <v>0</v>
      </c>
      <c r="K23" s="89">
        <f>SUMIFS(Flat_file!$G:$G,Flat_file!$B:$B,Summary_Employed!$B$2,Flat_file!$C:$C,"Women",Flat_file!$D:$D,"35-39",Flat_file!$E:$E,"640",Flat_file!$F:$F,"E")+SUMIFS(Flat_file!$G:$G,Flat_file!$B:$B,Summary_Employed!$B$2,Flat_file!$C:$C,"Women",Flat_file!$D:$D,"35-39",Flat_file!$E:$E,"650",Flat_file!$F:$F,"E")+SUMIFS(Flat_file!$G:$G,Flat_file!$B:$B,Summary_Employed!$B$2,Flat_file!$C:$C,"Women",Flat_file!$D:$D,"35-39",Flat_file!$E:$E,"660",Flat_file!$F:$F,"E")</f>
        <v>0</v>
      </c>
      <c r="L23" s="89">
        <f>SUMIFS(Flat_file!$G:$G,Flat_file!$B:$B,Summary_Employed!$B$2,Flat_file!$C:$C,"Women",Flat_file!$D:$D,"35-39",Flat_file!$E:$E,"740",Flat_file!$F:$F,"E")+SUMIFS(Flat_file!$G:$G,Flat_file!$B:$B,Summary_Employed!$B$2,Flat_file!$C:$C,"Women",Flat_file!$D:$D,"35-39",Flat_file!$E:$E,"750",Flat_file!$F:$F,"E")+SUMIFS(Flat_file!$G:$G,Flat_file!$B:$B,Summary_Employed!$B$2,Flat_file!$C:$C,"Women",Flat_file!$D:$D,"35-39",Flat_file!$E:$E,"760",Flat_file!$F:$F,"E")</f>
        <v>0</v>
      </c>
      <c r="M23" s="89">
        <f>SUMIFS(Flat_file!$G:$G,Flat_file!$B:$B,Summary_Employed!$B$2,Flat_file!$C:$C,"Women",Flat_file!$D:$D,"35-39",Flat_file!$E:$E,"840",Flat_file!$F:$F,"E")+SUMIFS(Flat_file!$G:$G,Flat_file!$B:$B,Summary_Employed!$B$2,Flat_file!$C:$C,"Women",Flat_file!$D:$D,"35-39",Flat_file!$E:$E,"850",Flat_file!$F:$F,"E")+SUMIFS(Flat_file!$G:$G,Flat_file!$B:$B,Summary_Employed!$B$2,Flat_file!$C:$C,"Women",Flat_file!$D:$D,"35-39",Flat_file!$E:$E,"860",Flat_file!$F:$F,"E")</f>
        <v>0</v>
      </c>
      <c r="N23" s="89">
        <f>SUMIFS(Flat_file!$G:$G,Flat_file!$B:$B,Summary_Employed!$B$2,Flat_file!$C:$C,"Women",Flat_file!$D:$D,"35-39",Flat_file!$E:$E,"999",Flat_file!$F:$F,"E")</f>
        <v>0</v>
      </c>
      <c r="O23" s="89">
        <f t="shared" si="5"/>
        <v>0</v>
      </c>
      <c r="P23" s="90"/>
      <c r="Q23" s="89">
        <f t="shared" si="6"/>
        <v>0</v>
      </c>
      <c r="R23" s="91"/>
      <c r="S23" s="89">
        <f t="shared" si="7"/>
        <v>0</v>
      </c>
      <c r="T23" s="89">
        <f t="shared" si="8"/>
        <v>0</v>
      </c>
      <c r="U23" s="89">
        <f t="shared" si="9"/>
        <v>0</v>
      </c>
      <c r="V23" s="90"/>
      <c r="W23" s="89">
        <f>SUMIFS(Flat_file!$G:$G,Flat_file!$B:$B,Summary_Employed!$B$2,Flat_file!$C:$C,"Women",Flat_file!$D:$D,"35-39",Flat_file!$E:$E,"343",Flat_file!$F:$F,"E")+SUMIFS(Flat_file!$G:$G,Flat_file!$B:$B,Summary_Employed!$B$2,Flat_file!$C:$C,"Women",Flat_file!$D:$D,"35-39",Flat_file!$E:$E,"344",Flat_file!$F:$F,"E")+SUMIFS(Flat_file!$G:$G,Flat_file!$B:$B,Summary_Employed!$B$2,Flat_file!$C:$C,"Women",Flat_file!$D:$D,"35-39",Flat_file!$E:$E,"443",Flat_file!$F:$F,"E")+SUMIFS(Flat_file!$G:$G,Flat_file!$B:$B,Summary_Employed!$B$2,Flat_file!$C:$C,"Women",Flat_file!$D:$D,"35-39",Flat_file!$E:$E,"444",Flat_file!$F:$F,"E")</f>
        <v>0</v>
      </c>
      <c r="X23" s="89">
        <f>SUMIFS(Flat_file!$G:$G,Flat_file!$B:$B,Summary_Employed!$B$2,Flat_file!$C:$C,"Women",Flat_file!$D:$D,"35-39",Flat_file!$E:$E,"353",Flat_file!$F:$F,"E")+SUMIFS(Flat_file!$G:$G,Flat_file!$B:$B,Summary_Employed!$B$2,Flat_file!$C:$C,"Women",Flat_file!$D:$D,"35-39",Flat_file!$E:$E,"354",Flat_file!$F:$F,"E")+SUMIFS(Flat_file!$G:$G,Flat_file!$B:$B,Summary_Employed!$B$2,Flat_file!$C:$C,"Women",Flat_file!$D:$D,"35-39",Flat_file!$E:$E,"453",Flat_file!$F:$F,"E")+SUMIFS(Flat_file!$G:$G,Flat_file!$B:$B,Summary_Employed!$B$2,Flat_file!$C:$C,"Women",Flat_file!$D:$D,"35-39",Flat_file!$E:$E,"454",Flat_file!$F:$F,"E")</f>
        <v>0</v>
      </c>
      <c r="Y23" s="90"/>
      <c r="Z23" s="89">
        <f>SUMIFS(Flat_file!$G:$G,Flat_file!$B:$B,Summary_Employed!$B$2,Flat_file!$C:$C,"Women",Flat_file!$D:$D,"35-39",Flat_file!$E:$E,"640",Flat_file!$F:$F,"E")+SUMIFS(Flat_file!$G:$G,Flat_file!$B:$B,Summary_Employed!$B$2,Flat_file!$C:$C,"Women",Flat_file!$D:$D,"35-39",Flat_file!$E:$E,"740",Flat_file!$F:$F,"E")+SUMIFS(Flat_file!$G:$G,Flat_file!$B:$B,Summary_Employed!$B$2,Flat_file!$C:$C,"Women",Flat_file!$D:$D,"35-39",Flat_file!$E:$E,"840",Flat_file!$F:$F,"E")</f>
        <v>0</v>
      </c>
      <c r="AA23" s="89">
        <f>SUMIFS(Flat_file!$G:$G,Flat_file!$B:$B,Summary_Employed!$B$2,Flat_file!$C:$C,"Women",Flat_file!$D:$D,"35-39",Flat_file!$E:$E,"650",Flat_file!$F:$F,"E")+SUMIFS(Flat_file!$G:$G,Flat_file!$B:$B,Summary_Employed!$B$2,Flat_file!$C:$C,"Women",Flat_file!$D:$D,"35-39",Flat_file!$E:$E,"750",Flat_file!$F:$F,"E")+SUMIFS(Flat_file!$G:$G,Flat_file!$B:$B,Summary_Employed!$B$2,Flat_file!$C:$C,"Women",Flat_file!$D:$D,"35-39",Flat_file!$E:$E,"850",Flat_file!$F:$F,"E")</f>
        <v>0</v>
      </c>
      <c r="AB23" s="89">
        <f>SUMIFS(Flat_file!$G:$G,Flat_file!$B:$B,Summary_Employed!$B$2,Flat_file!$C:$C,"Women",Flat_file!$D:$D,"35-39",Flat_file!$E:$E,"660",Flat_file!$F:$F,"E")+SUMIFS(Flat_file!$G:$G,Flat_file!$B:$B,Summary_Employed!$B$2,Flat_file!$C:$C,"Women",Flat_file!$D:$D,"35-39",Flat_file!$E:$E,"760",Flat_file!$F:$F,"E")+SUMIFS(Flat_file!$G:$G,Flat_file!$B:$B,Summary_Employed!$B$2,Flat_file!$C:$C,"Women",Flat_file!$D:$D,"35-39",Flat_file!$E:$E,"860",Flat_file!$F:$F,"E")</f>
        <v>0</v>
      </c>
      <c r="AC23" s="3"/>
      <c r="AD23" s="202"/>
      <c r="AE23" s="202"/>
      <c r="AF23" s="204">
        <v>443</v>
      </c>
      <c r="AG23" s="202"/>
      <c r="AH23" s="3"/>
      <c r="AI23" s="3"/>
    </row>
    <row r="24" spans="1:35" customFormat="1" x14ac:dyDescent="0.2">
      <c r="A24" s="352"/>
      <c r="B24" s="79" t="s">
        <v>92</v>
      </c>
      <c r="C24" s="89">
        <f>SUMIFS(Flat_file!$G:$G,Flat_file!$B:$B,Summary_Employed!$B$2,Flat_file!$C:$C,"Women",Flat_file!$D:$D,"40-44",Flat_file!$E:$E,"010",Flat_file!$F:$F,"E")+SUMIFS(Flat_file!$G:$G,Flat_file!$B:$B,Summary_Employed!$B$2,Flat_file!$C:$C,"Women",Flat_file!$D:$D,"40-44",Flat_file!$E:$E,"020",Flat_file!$F:$F,"E")+SUMIFS(Flat_file!$G:$G,Flat_file!$B:$B,Summary_Employed!$B$2,Flat_file!$C:$C,"Women",Flat_file!$D:$D,"40-44",Flat_file!$E:$E,"030",Flat_file!$F:$F,"E")</f>
        <v>0</v>
      </c>
      <c r="D24" s="89">
        <f>SUMIFS(Flat_file!$G:$G,Flat_file!$B:$B,Summary_Employed!$B$2,Flat_file!$C:$C,"Women",Flat_file!$D:$D,"40-44",Flat_file!$E:$E,"100",Flat_file!$F:$F,"E")</f>
        <v>0</v>
      </c>
      <c r="E24" s="89">
        <f>SUMIFS(Flat_file!$G:$G,Flat_file!$B:$B,Summary_Employed!$B$2,Flat_file!$C:$C,"Women",Flat_file!$D:$D,"40-44",Flat_file!$E:$E,"242",Flat_file!$F:$F,"E")+SUMIFS(Flat_file!$G:$G,Flat_file!$B:$B,Summary_Employed!$B$2,Flat_file!$C:$C,"Women",Flat_file!$D:$D,"40-44",Flat_file!$E:$E,"252",Flat_file!$F:$F,"E")</f>
        <v>0</v>
      </c>
      <c r="F24" s="89">
        <f>SUMIFS(Flat_file!$G:$G,Flat_file!$B:$B,Summary_Employed!$B$2,Flat_file!$C:$C,"Women",Flat_file!$D:$D,"40-44",Flat_file!$E:$E,"243",Flat_file!$F:$F,"E")+SUMIFS(Flat_file!$G:$G,Flat_file!$B:$B,Summary_Employed!$B$2,Flat_file!$C:$C,"Women",Flat_file!$D:$D,"40-44",Flat_file!$E:$E,"244",Flat_file!$F:$F,"E")+SUMIFS(Flat_file!$G:$G,Flat_file!$B:$B,Summary_Employed!$B$2,Flat_file!$C:$C,"Women",Flat_file!$D:$D,"40-44",Flat_file!$E:$E,"253",Flat_file!$F:$F,"E")+SUMIFS(Flat_file!$G:$G,Flat_file!$B:$B,Summary_Employed!$B$2,Flat_file!$C:$C,"Women",Flat_file!$D:$D,"40-44",Flat_file!$E:$E,"254",Flat_file!$F:$F,"E")</f>
        <v>0</v>
      </c>
      <c r="G24" s="89">
        <f>SUMIFS(Flat_file!$G:$G,Flat_file!$B:$B,Summary_Employed!$B$2,Flat_file!$C:$C,"Women",Flat_file!$D:$D,"40-44",Flat_file!$E:$E,"342",Flat_file!$F:$F,"E")+SUMIFS(Flat_file!$G:$G,Flat_file!$B:$B,Summary_Employed!$B$2,Flat_file!$C:$C,"Women",Flat_file!$D:$D,"40-44",Flat_file!$E:$E,"352",Flat_file!$F:$F,"E")</f>
        <v>0</v>
      </c>
      <c r="H24" s="89">
        <f>SUMIFS(Flat_file!$G:$G,Flat_file!$B:$B,Summary_Employed!$B$2,Flat_file!$C:$C,"Women",Flat_file!$D:$D,"40-44",Flat_file!$E:$E,"343",Flat_file!$F:$F,"E")+SUMIFS(Flat_file!$G:$G,Flat_file!$B:$B,Summary_Employed!$B$2,Flat_file!$C:$C,"Women",Flat_file!$D:$D,"40-44",Flat_file!$E:$E,"344",Flat_file!$F:$F,"E")+SUMIFS(Flat_file!$G:$G,Flat_file!$B:$B,Summary_Employed!$B$2,Flat_file!$C:$C,"Women",Flat_file!$D:$D,"40-44",Flat_file!$E:$E,"353",Flat_file!$F:$F,"E")+SUMIFS(Flat_file!$G:$G,Flat_file!$B:$B,Summary_Employed!$B$2,Flat_file!$C:$C,"Women",Flat_file!$D:$D,"40-44",Flat_file!$E:$E,"354",Flat_file!$F:$F,"E")</f>
        <v>0</v>
      </c>
      <c r="I24" s="89">
        <f>SUMIFS(Flat_file!$G:$G,Flat_file!$B:$B,Summary_Employed!$B$2,Flat_file!$C:$C,"Women",Flat_file!$D:$D,"40-44",Flat_file!$E:$E,"443",Flat_file!$F:$F,"E")+SUMIFS(Flat_file!$G:$G,Flat_file!$B:$B,Summary_Employed!$B$2,Flat_file!$C:$C,"Women",Flat_file!$D:$D,"40-44",Flat_file!$E:$E,"444",Flat_file!$F:$F,"E")+SUMIFS(Flat_file!$G:$G,Flat_file!$B:$B,Summary_Employed!$B$2,Flat_file!$C:$C,"Women",Flat_file!$D:$D,"40-44",Flat_file!$E:$E,"453",Flat_file!$F:$F,"E")+SUMIFS(Flat_file!$G:$G,Flat_file!$B:$B,Summary_Employed!$B$2,Flat_file!$C:$C,"Women",Flat_file!$D:$D,"40-44",Flat_file!$E:$E,"454",Flat_file!$F:$F,"E")</f>
        <v>0</v>
      </c>
      <c r="J24" s="89">
        <f>SUMIFS(Flat_file!$G:$G,Flat_file!$B:$B,Summary_Employed!$B$2,Flat_file!$C:$C,"Women",Flat_file!$D:$D,"40-44",Flat_file!$E:$E,"540",Flat_file!$F:$F,"E")+SUMIFS(Flat_file!$G:$G,Flat_file!$B:$B,Summary_Employed!$B$2,Flat_file!$C:$C,"Women",Flat_file!$D:$D,"40-44",Flat_file!$E:$E,"550",Flat_file!$F:$F,"E")+SUMIFS(Flat_file!$G:$G,Flat_file!$B:$B,Summary_Employed!$B$2,Flat_file!$C:$C,"Women",Flat_file!$D:$D,"40-44",Flat_file!$E:$E,"560",Flat_file!$F:$F,"E")</f>
        <v>0</v>
      </c>
      <c r="K24" s="89">
        <f>SUMIFS(Flat_file!$G:$G,Flat_file!$B:$B,Summary_Employed!$B$2,Flat_file!$C:$C,"Women",Flat_file!$D:$D,"40-44",Flat_file!$E:$E,"640",Flat_file!$F:$F,"E")+SUMIFS(Flat_file!$G:$G,Flat_file!$B:$B,Summary_Employed!$B$2,Flat_file!$C:$C,"Women",Flat_file!$D:$D,"40-44",Flat_file!$E:$E,"650",Flat_file!$F:$F,"E")+SUMIFS(Flat_file!$G:$G,Flat_file!$B:$B,Summary_Employed!$B$2,Flat_file!$C:$C,"Women",Flat_file!$D:$D,"40-44",Flat_file!$E:$E,"660",Flat_file!$F:$F,"E")</f>
        <v>0</v>
      </c>
      <c r="L24" s="89">
        <f>SUMIFS(Flat_file!$G:$G,Flat_file!$B:$B,Summary_Employed!$B$2,Flat_file!$C:$C,"Women",Flat_file!$D:$D,"40-44",Flat_file!$E:$E,"740",Flat_file!$F:$F,"E")+SUMIFS(Flat_file!$G:$G,Flat_file!$B:$B,Summary_Employed!$B$2,Flat_file!$C:$C,"Women",Flat_file!$D:$D,"40-44",Flat_file!$E:$E,"750",Flat_file!$F:$F,"E")+SUMIFS(Flat_file!$G:$G,Flat_file!$B:$B,Summary_Employed!$B$2,Flat_file!$C:$C,"Women",Flat_file!$D:$D,"40-44",Flat_file!$E:$E,"760",Flat_file!$F:$F,"E")</f>
        <v>0</v>
      </c>
      <c r="M24" s="89">
        <f>SUMIFS(Flat_file!$G:$G,Flat_file!$B:$B,Summary_Employed!$B$2,Flat_file!$C:$C,"Women",Flat_file!$D:$D,"40-44",Flat_file!$E:$E,"840",Flat_file!$F:$F,"E")+SUMIFS(Flat_file!$G:$G,Flat_file!$B:$B,Summary_Employed!$B$2,Flat_file!$C:$C,"Women",Flat_file!$D:$D,"40-44",Flat_file!$E:$E,"850",Flat_file!$F:$F,"E")+SUMIFS(Flat_file!$G:$G,Flat_file!$B:$B,Summary_Employed!$B$2,Flat_file!$C:$C,"Women",Flat_file!$D:$D,"40-44",Flat_file!$E:$E,"860",Flat_file!$F:$F,"E")</f>
        <v>0</v>
      </c>
      <c r="N24" s="89">
        <f>SUMIFS(Flat_file!$G:$G,Flat_file!$B:$B,Summary_Employed!$B$2,Flat_file!$C:$C,"Women",Flat_file!$D:$D,"40-44",Flat_file!$E:$E,"999",Flat_file!$F:$F,"E")</f>
        <v>0</v>
      </c>
      <c r="O24" s="89">
        <f t="shared" si="5"/>
        <v>0</v>
      </c>
      <c r="P24" s="90"/>
      <c r="Q24" s="89">
        <f t="shared" si="6"/>
        <v>0</v>
      </c>
      <c r="R24" s="91"/>
      <c r="S24" s="89">
        <f t="shared" si="7"/>
        <v>0</v>
      </c>
      <c r="T24" s="89">
        <f t="shared" si="8"/>
        <v>0</v>
      </c>
      <c r="U24" s="89">
        <f t="shared" si="9"/>
        <v>0</v>
      </c>
      <c r="V24" s="90"/>
      <c r="W24" s="89">
        <f>SUMIFS(Flat_file!$G:$G,Flat_file!$B:$B,Summary_Employed!$B$2,Flat_file!$C:$C,"Women",Flat_file!$D:$D,"40-44",Flat_file!$E:$E,"343",Flat_file!$F:$F,"E")+SUMIFS(Flat_file!$G:$G,Flat_file!$B:$B,Summary_Employed!$B$2,Flat_file!$C:$C,"Women",Flat_file!$D:$D,"40-44",Flat_file!$E:$E,"344",Flat_file!$F:$F,"E")+SUMIFS(Flat_file!$G:$G,Flat_file!$B:$B,Summary_Employed!$B$2,Flat_file!$C:$C,"Women",Flat_file!$D:$D,"40-44",Flat_file!$E:$E,"443",Flat_file!$F:$F,"E")+SUMIFS(Flat_file!$G:$G,Flat_file!$B:$B,Summary_Employed!$B$2,Flat_file!$C:$C,"Women",Flat_file!$D:$D,"40-44",Flat_file!$E:$E,"444",Flat_file!$F:$F,"E")</f>
        <v>0</v>
      </c>
      <c r="X24" s="89">
        <f>SUMIFS(Flat_file!$G:$G,Flat_file!$B:$B,Summary_Employed!$B$2,Flat_file!$C:$C,"Women",Flat_file!$D:$D,"40-44",Flat_file!$E:$E,"353",Flat_file!$F:$F,"E")+SUMIFS(Flat_file!$G:$G,Flat_file!$B:$B,Summary_Employed!$B$2,Flat_file!$C:$C,"Women",Flat_file!$D:$D,"40-44",Flat_file!$E:$E,"354",Flat_file!$F:$F,"E")+SUMIFS(Flat_file!$G:$G,Flat_file!$B:$B,Summary_Employed!$B$2,Flat_file!$C:$C,"Women",Flat_file!$D:$D,"40-44",Flat_file!$E:$E,"453",Flat_file!$F:$F,"E")+SUMIFS(Flat_file!$G:$G,Flat_file!$B:$B,Summary_Employed!$B$2,Flat_file!$C:$C,"Women",Flat_file!$D:$D,"40-44",Flat_file!$E:$E,"454",Flat_file!$F:$F,"E")</f>
        <v>0</v>
      </c>
      <c r="Y24" s="90"/>
      <c r="Z24" s="89">
        <f>SUMIFS(Flat_file!$G:$G,Flat_file!$B:$B,Summary_Employed!$B$2,Flat_file!$C:$C,"Women",Flat_file!$D:$D,"40-44",Flat_file!$E:$E,"640",Flat_file!$F:$F,"E")+SUMIFS(Flat_file!$G:$G,Flat_file!$B:$B,Summary_Employed!$B$2,Flat_file!$C:$C,"Women",Flat_file!$D:$D,"40-44",Flat_file!$E:$E,"740",Flat_file!$F:$F,"E")+SUMIFS(Flat_file!$G:$G,Flat_file!$B:$B,Summary_Employed!$B$2,Flat_file!$C:$C,"Women",Flat_file!$D:$D,"40-44",Flat_file!$E:$E,"840",Flat_file!$F:$F,"E")</f>
        <v>0</v>
      </c>
      <c r="AA24" s="89">
        <f>SUMIFS(Flat_file!$G:$G,Flat_file!$B:$B,Summary_Employed!$B$2,Flat_file!$C:$C,"Women",Flat_file!$D:$D,"40-44",Flat_file!$E:$E,"650",Flat_file!$F:$F,"E")+SUMIFS(Flat_file!$G:$G,Flat_file!$B:$B,Summary_Employed!$B$2,Flat_file!$C:$C,"Women",Flat_file!$D:$D,"40-44",Flat_file!$E:$E,"750",Flat_file!$F:$F,"E")+SUMIFS(Flat_file!$G:$G,Flat_file!$B:$B,Summary_Employed!$B$2,Flat_file!$C:$C,"Women",Flat_file!$D:$D,"40-44",Flat_file!$E:$E,"850",Flat_file!$F:$F,"E")</f>
        <v>0</v>
      </c>
      <c r="AB24" s="89">
        <f>SUMIFS(Flat_file!$G:$G,Flat_file!$B:$B,Summary_Employed!$B$2,Flat_file!$C:$C,"Women",Flat_file!$D:$D,"40-44",Flat_file!$E:$E,"660",Flat_file!$F:$F,"E")+SUMIFS(Flat_file!$G:$G,Flat_file!$B:$B,Summary_Employed!$B$2,Flat_file!$C:$C,"Women",Flat_file!$D:$D,"40-44",Flat_file!$E:$E,"760",Flat_file!$F:$F,"E")+SUMIFS(Flat_file!$G:$G,Flat_file!$B:$B,Summary_Employed!$B$2,Flat_file!$C:$C,"Women",Flat_file!$D:$D,"40-44",Flat_file!$E:$E,"860",Flat_file!$F:$F,"E")</f>
        <v>0</v>
      </c>
      <c r="AC24" s="3"/>
      <c r="AD24" s="202"/>
      <c r="AE24" s="202"/>
      <c r="AF24" s="204">
        <v>444</v>
      </c>
      <c r="AG24" s="202"/>
      <c r="AH24" s="3"/>
      <c r="AI24" s="3"/>
    </row>
    <row r="25" spans="1:35" customFormat="1" x14ac:dyDescent="0.2">
      <c r="A25" s="352"/>
      <c r="B25" s="79" t="s">
        <v>93</v>
      </c>
      <c r="C25" s="89">
        <f>SUMIFS(Flat_file!$G:$G,Flat_file!$B:$B,Summary_Employed!$B$2,Flat_file!$C:$C,"Women",Flat_file!$D:$D,"45-49",Flat_file!$E:$E,"010",Flat_file!$F:$F,"E")+SUMIFS(Flat_file!$G:$G,Flat_file!$B:$B,Summary_Employed!$B$2,Flat_file!$C:$C,"Women",Flat_file!$D:$D,"45-49",Flat_file!$E:$E,"020",Flat_file!$F:$F,"E")+SUMIFS(Flat_file!$G:$G,Flat_file!$B:$B,Summary_Employed!$B$2,Flat_file!$C:$C,"Women",Flat_file!$D:$D,"45-49",Flat_file!$E:$E,"030",Flat_file!$F:$F,"E")</f>
        <v>0</v>
      </c>
      <c r="D25" s="89">
        <f>SUMIFS(Flat_file!$G:$G,Flat_file!$B:$B,Summary_Employed!$B$2,Flat_file!$C:$C,"Women",Flat_file!$D:$D,"45-49",Flat_file!$E:$E,"100",Flat_file!$F:$F,"E")</f>
        <v>0</v>
      </c>
      <c r="E25" s="89">
        <f>SUMIFS(Flat_file!$G:$G,Flat_file!$B:$B,Summary_Employed!$B$2,Flat_file!$C:$C,"Women",Flat_file!$D:$D,"45-49",Flat_file!$E:$E,"242",Flat_file!$F:$F,"E")+SUMIFS(Flat_file!$G:$G,Flat_file!$B:$B,Summary_Employed!$B$2,Flat_file!$C:$C,"Women",Flat_file!$D:$D,"45-49",Flat_file!$E:$E,"252",Flat_file!$F:$F,"E")</f>
        <v>0</v>
      </c>
      <c r="F25" s="89">
        <f>SUMIFS(Flat_file!$G:$G,Flat_file!$B:$B,Summary_Employed!$B$2,Flat_file!$C:$C,"Women",Flat_file!$D:$D,"45-49",Flat_file!$E:$E,"243",Flat_file!$F:$F,"E")+SUMIFS(Flat_file!$G:$G,Flat_file!$B:$B,Summary_Employed!$B$2,Flat_file!$C:$C,"Women",Flat_file!$D:$D,"45-49",Flat_file!$E:$E,"244",Flat_file!$F:$F,"E")+SUMIFS(Flat_file!$G:$G,Flat_file!$B:$B,Summary_Employed!$B$2,Flat_file!$C:$C,"Women",Flat_file!$D:$D,"45-49",Flat_file!$E:$E,"253",Flat_file!$F:$F,"E")+SUMIFS(Flat_file!$G:$G,Flat_file!$B:$B,Summary_Employed!$B$2,Flat_file!$C:$C,"Women",Flat_file!$D:$D,"45-49",Flat_file!$E:$E,"254",Flat_file!$F:$F,"E")</f>
        <v>0</v>
      </c>
      <c r="G25" s="89">
        <f>SUMIFS(Flat_file!$G:$G,Flat_file!$B:$B,Summary_Employed!$B$2,Flat_file!$C:$C,"Women",Flat_file!$D:$D,"45-49",Flat_file!$E:$E,"342",Flat_file!$F:$F,"E")+SUMIFS(Flat_file!$G:$G,Flat_file!$B:$B,Summary_Employed!$B$2,Flat_file!$C:$C,"Women",Flat_file!$D:$D,"45-49",Flat_file!$E:$E,"352",Flat_file!$F:$F,"E")</f>
        <v>0</v>
      </c>
      <c r="H25" s="89">
        <f>SUMIFS(Flat_file!$G:$G,Flat_file!$B:$B,Summary_Employed!$B$2,Flat_file!$C:$C,"Women",Flat_file!$D:$D,"45-49",Flat_file!$E:$E,"343",Flat_file!$F:$F,"E")+SUMIFS(Flat_file!$G:$G,Flat_file!$B:$B,Summary_Employed!$B$2,Flat_file!$C:$C,"Women",Flat_file!$D:$D,"45-49",Flat_file!$E:$E,"344",Flat_file!$F:$F,"E")+SUMIFS(Flat_file!$G:$G,Flat_file!$B:$B,Summary_Employed!$B$2,Flat_file!$C:$C,"Women",Flat_file!$D:$D,"45-49",Flat_file!$E:$E,"353",Flat_file!$F:$F,"E")+SUMIFS(Flat_file!$G:$G,Flat_file!$B:$B,Summary_Employed!$B$2,Flat_file!$C:$C,"Women",Flat_file!$D:$D,"45-49",Flat_file!$E:$E,"354",Flat_file!$F:$F,"E")</f>
        <v>0</v>
      </c>
      <c r="I25" s="89">
        <f>SUMIFS(Flat_file!$G:$G,Flat_file!$B:$B,Summary_Employed!$B$2,Flat_file!$C:$C,"Women",Flat_file!$D:$D,"45-49",Flat_file!$E:$E,"443",Flat_file!$F:$F,"E")+SUMIFS(Flat_file!$G:$G,Flat_file!$B:$B,Summary_Employed!$B$2,Flat_file!$C:$C,"Women",Flat_file!$D:$D,"45-49",Flat_file!$E:$E,"444",Flat_file!$F:$F,"E")+SUMIFS(Flat_file!$G:$G,Flat_file!$B:$B,Summary_Employed!$B$2,Flat_file!$C:$C,"Women",Flat_file!$D:$D,"45-49",Flat_file!$E:$E,"453",Flat_file!$F:$F,"E")+SUMIFS(Flat_file!$G:$G,Flat_file!$B:$B,Summary_Employed!$B$2,Flat_file!$C:$C,"Women",Flat_file!$D:$D,"45-49",Flat_file!$E:$E,"454",Flat_file!$F:$F,"E")</f>
        <v>0</v>
      </c>
      <c r="J25" s="89">
        <f>SUMIFS(Flat_file!$G:$G,Flat_file!$B:$B,Summary_Employed!$B$2,Flat_file!$C:$C,"Women",Flat_file!$D:$D,"45-49",Flat_file!$E:$E,"540",Flat_file!$F:$F,"E")+SUMIFS(Flat_file!$G:$G,Flat_file!$B:$B,Summary_Employed!$B$2,Flat_file!$C:$C,"Women",Flat_file!$D:$D,"45-49",Flat_file!$E:$E,"550",Flat_file!$F:$F,"E")+SUMIFS(Flat_file!$G:$G,Flat_file!$B:$B,Summary_Employed!$B$2,Flat_file!$C:$C,"Women",Flat_file!$D:$D,"45-49",Flat_file!$E:$E,"560",Flat_file!$F:$F,"E")</f>
        <v>0</v>
      </c>
      <c r="K25" s="89">
        <f>SUMIFS(Flat_file!$G:$G,Flat_file!$B:$B,Summary_Employed!$B$2,Flat_file!$C:$C,"Women",Flat_file!$D:$D,"45-49",Flat_file!$E:$E,"640",Flat_file!$F:$F,"E")+SUMIFS(Flat_file!$G:$G,Flat_file!$B:$B,Summary_Employed!$B$2,Flat_file!$C:$C,"Women",Flat_file!$D:$D,"45-49",Flat_file!$E:$E,"650",Flat_file!$F:$F,"E")+SUMIFS(Flat_file!$G:$G,Flat_file!$B:$B,Summary_Employed!$B$2,Flat_file!$C:$C,"Women",Flat_file!$D:$D,"45-49",Flat_file!$E:$E,"660",Flat_file!$F:$F,"E")</f>
        <v>0</v>
      </c>
      <c r="L25" s="89">
        <f>SUMIFS(Flat_file!$G:$G,Flat_file!$B:$B,Summary_Employed!$B$2,Flat_file!$C:$C,"Women",Flat_file!$D:$D,"45-49",Flat_file!$E:$E,"740",Flat_file!$F:$F,"E")+SUMIFS(Flat_file!$G:$G,Flat_file!$B:$B,Summary_Employed!$B$2,Flat_file!$C:$C,"Women",Flat_file!$D:$D,"45-49",Flat_file!$E:$E,"750",Flat_file!$F:$F,"E")+SUMIFS(Flat_file!$G:$G,Flat_file!$B:$B,Summary_Employed!$B$2,Flat_file!$C:$C,"Women",Flat_file!$D:$D,"45-49",Flat_file!$E:$E,"760",Flat_file!$F:$F,"E")</f>
        <v>0</v>
      </c>
      <c r="M25" s="89">
        <f>SUMIFS(Flat_file!$G:$G,Flat_file!$B:$B,Summary_Employed!$B$2,Flat_file!$C:$C,"Women",Flat_file!$D:$D,"45-49",Flat_file!$E:$E,"840",Flat_file!$F:$F,"E")+SUMIFS(Flat_file!$G:$G,Flat_file!$B:$B,Summary_Employed!$B$2,Flat_file!$C:$C,"Women",Flat_file!$D:$D,"45-49",Flat_file!$E:$E,"850",Flat_file!$F:$F,"E")+SUMIFS(Flat_file!$G:$G,Flat_file!$B:$B,Summary_Employed!$B$2,Flat_file!$C:$C,"Women",Flat_file!$D:$D,"45-49",Flat_file!$E:$E,"860",Flat_file!$F:$F,"E")</f>
        <v>0</v>
      </c>
      <c r="N25" s="89">
        <f>SUMIFS(Flat_file!$G:$G,Flat_file!$B:$B,Summary_Employed!$B$2,Flat_file!$C:$C,"Women",Flat_file!$D:$D,"45-49",Flat_file!$E:$E,"999",Flat_file!$F:$F,"E")</f>
        <v>0</v>
      </c>
      <c r="O25" s="89">
        <f t="shared" si="5"/>
        <v>0</v>
      </c>
      <c r="P25" s="90"/>
      <c r="Q25" s="89">
        <f t="shared" si="6"/>
        <v>0</v>
      </c>
      <c r="R25" s="91"/>
      <c r="S25" s="89">
        <f t="shared" si="7"/>
        <v>0</v>
      </c>
      <c r="T25" s="89">
        <f t="shared" si="8"/>
        <v>0</v>
      </c>
      <c r="U25" s="89">
        <f t="shared" si="9"/>
        <v>0</v>
      </c>
      <c r="V25" s="90"/>
      <c r="W25" s="89">
        <f>SUMIFS(Flat_file!$G:$G,Flat_file!$B:$B,Summary_Employed!$B$2,Flat_file!$C:$C,"Women",Flat_file!$D:$D,"45-49",Flat_file!$E:$E,"343",Flat_file!$F:$F,"E")+SUMIFS(Flat_file!$G:$G,Flat_file!$B:$B,Summary_Employed!$B$2,Flat_file!$C:$C,"Women",Flat_file!$D:$D,"45-49",Flat_file!$E:$E,"344",Flat_file!$F:$F,"E")+SUMIFS(Flat_file!$G:$G,Flat_file!$B:$B,Summary_Employed!$B$2,Flat_file!$C:$C,"Women",Flat_file!$D:$D,"45-49",Flat_file!$E:$E,"443",Flat_file!$F:$F,"E")+SUMIFS(Flat_file!$G:$G,Flat_file!$B:$B,Summary_Employed!$B$2,Flat_file!$C:$C,"Women",Flat_file!$D:$D,"45-49",Flat_file!$E:$E,"444",Flat_file!$F:$F,"E")</f>
        <v>0</v>
      </c>
      <c r="X25" s="89">
        <f>SUMIFS(Flat_file!$G:$G,Flat_file!$B:$B,Summary_Employed!$B$2,Flat_file!$C:$C,"Women",Flat_file!$D:$D,"45-49",Flat_file!$E:$E,"353",Flat_file!$F:$F,"E")+SUMIFS(Flat_file!$G:$G,Flat_file!$B:$B,Summary_Employed!$B$2,Flat_file!$C:$C,"Women",Flat_file!$D:$D,"45-49",Flat_file!$E:$E,"354",Flat_file!$F:$F,"E")+SUMIFS(Flat_file!$G:$G,Flat_file!$B:$B,Summary_Employed!$B$2,Flat_file!$C:$C,"Women",Flat_file!$D:$D,"45-49",Flat_file!$E:$E,"453",Flat_file!$F:$F,"E")+SUMIFS(Flat_file!$G:$G,Flat_file!$B:$B,Summary_Employed!$B$2,Flat_file!$C:$C,"Women",Flat_file!$D:$D,"45-49",Flat_file!$E:$E,"454",Flat_file!$F:$F,"E")</f>
        <v>0</v>
      </c>
      <c r="Y25" s="90"/>
      <c r="Z25" s="89">
        <f>SUMIFS(Flat_file!$G:$G,Flat_file!$B:$B,Summary_Employed!$B$2,Flat_file!$C:$C,"Women",Flat_file!$D:$D,"45-49",Flat_file!$E:$E,"640",Flat_file!$F:$F,"E")+SUMIFS(Flat_file!$G:$G,Flat_file!$B:$B,Summary_Employed!$B$2,Flat_file!$C:$C,"Women",Flat_file!$D:$D,"45-49",Flat_file!$E:$E,"740",Flat_file!$F:$F,"E")+SUMIFS(Flat_file!$G:$G,Flat_file!$B:$B,Summary_Employed!$B$2,Flat_file!$C:$C,"Women",Flat_file!$D:$D,"45-49",Flat_file!$E:$E,"840",Flat_file!$F:$F,"E")</f>
        <v>0</v>
      </c>
      <c r="AA25" s="89">
        <f>SUMIFS(Flat_file!$G:$G,Flat_file!$B:$B,Summary_Employed!$B$2,Flat_file!$C:$C,"Women",Flat_file!$D:$D,"45-49",Flat_file!$E:$E,"650",Flat_file!$F:$F,"E")+SUMIFS(Flat_file!$G:$G,Flat_file!$B:$B,Summary_Employed!$B$2,Flat_file!$C:$C,"Women",Flat_file!$D:$D,"45-49",Flat_file!$E:$E,"750",Flat_file!$F:$F,"E")+SUMIFS(Flat_file!$G:$G,Flat_file!$B:$B,Summary_Employed!$B$2,Flat_file!$C:$C,"Women",Flat_file!$D:$D,"45-49",Flat_file!$E:$E,"850",Flat_file!$F:$F,"E")</f>
        <v>0</v>
      </c>
      <c r="AB25" s="89">
        <f>SUMIFS(Flat_file!$G:$G,Flat_file!$B:$B,Summary_Employed!$B$2,Flat_file!$C:$C,"Women",Flat_file!$D:$D,"45-49",Flat_file!$E:$E,"660",Flat_file!$F:$F,"E")+SUMIFS(Flat_file!$G:$G,Flat_file!$B:$B,Summary_Employed!$B$2,Flat_file!$C:$C,"Women",Flat_file!$D:$D,"45-49",Flat_file!$E:$E,"760",Flat_file!$F:$F,"E")+SUMIFS(Flat_file!$G:$G,Flat_file!$B:$B,Summary_Employed!$B$2,Flat_file!$C:$C,"Women",Flat_file!$D:$D,"45-49",Flat_file!$E:$E,"860",Flat_file!$F:$F,"E")</f>
        <v>0</v>
      </c>
      <c r="AC25" s="3"/>
      <c r="AD25" s="202"/>
      <c r="AE25" s="202"/>
      <c r="AF25" s="204">
        <v>453</v>
      </c>
      <c r="AG25" s="202"/>
      <c r="AH25" s="3"/>
      <c r="AI25" s="3"/>
    </row>
    <row r="26" spans="1:35" customFormat="1" x14ac:dyDescent="0.2">
      <c r="A26" s="352"/>
      <c r="B26" s="79" t="s">
        <v>94</v>
      </c>
      <c r="C26" s="89">
        <f>SUMIFS(Flat_file!$G:$G,Flat_file!$B:$B,Summary_Employed!$B$2,Flat_file!$C:$C,"Women",Flat_file!$D:$D,"50-54",Flat_file!$E:$E,"010",Flat_file!$F:$F,"E")+SUMIFS(Flat_file!$G:$G,Flat_file!$B:$B,Summary_Employed!$B$2,Flat_file!$C:$C,"Women",Flat_file!$D:$D,"50-54",Flat_file!$E:$E,"020",Flat_file!$F:$F,"E")+SUMIFS(Flat_file!$G:$G,Flat_file!$B:$B,Summary_Employed!$B$2,Flat_file!$C:$C,"Women",Flat_file!$D:$D,"50-54",Flat_file!$E:$E,"030",Flat_file!$F:$F,"E")</f>
        <v>0</v>
      </c>
      <c r="D26" s="89">
        <f>SUMIFS(Flat_file!$G:$G,Flat_file!$B:$B,Summary_Employed!$B$2,Flat_file!$C:$C,"Women",Flat_file!$D:$D,"50-54",Flat_file!$E:$E,"100",Flat_file!$F:$F,"E")</f>
        <v>0</v>
      </c>
      <c r="E26" s="89">
        <f>SUMIFS(Flat_file!$G:$G,Flat_file!$B:$B,Summary_Employed!$B$2,Flat_file!$C:$C,"Women",Flat_file!$D:$D,"50-54",Flat_file!$E:$E,"242",Flat_file!$F:$F,"E")+SUMIFS(Flat_file!$G:$G,Flat_file!$B:$B,Summary_Employed!$B$2,Flat_file!$C:$C,"Women",Flat_file!$D:$D,"50-54",Flat_file!$E:$E,"252",Flat_file!$F:$F,"E")</f>
        <v>0</v>
      </c>
      <c r="F26" s="89">
        <f>SUMIFS(Flat_file!$G:$G,Flat_file!$B:$B,Summary_Employed!$B$2,Flat_file!$C:$C,"Women",Flat_file!$D:$D,"50-54",Flat_file!$E:$E,"243",Flat_file!$F:$F,"E")+SUMIFS(Flat_file!$G:$G,Flat_file!$B:$B,Summary_Employed!$B$2,Flat_file!$C:$C,"Women",Flat_file!$D:$D,"50-54",Flat_file!$E:$E,"244",Flat_file!$F:$F,"E")+SUMIFS(Flat_file!$G:$G,Flat_file!$B:$B,Summary_Employed!$B$2,Flat_file!$C:$C,"Women",Flat_file!$D:$D,"50-54",Flat_file!$E:$E,"253",Flat_file!$F:$F,"E")+SUMIFS(Flat_file!$G:$G,Flat_file!$B:$B,Summary_Employed!$B$2,Flat_file!$C:$C,"Women",Flat_file!$D:$D,"50-54",Flat_file!$E:$E,"254",Flat_file!$F:$F,"E")</f>
        <v>0</v>
      </c>
      <c r="G26" s="89">
        <f>SUMIFS(Flat_file!$G:$G,Flat_file!$B:$B,Summary_Employed!$B$2,Flat_file!$C:$C,"Women",Flat_file!$D:$D,"50-54",Flat_file!$E:$E,"342",Flat_file!$F:$F,"E")+SUMIFS(Flat_file!$G:$G,Flat_file!$B:$B,Summary_Employed!$B$2,Flat_file!$C:$C,"Women",Flat_file!$D:$D,"50-54",Flat_file!$E:$E,"352",Flat_file!$F:$F,"E")</f>
        <v>0</v>
      </c>
      <c r="H26" s="89">
        <f>SUMIFS(Flat_file!$G:$G,Flat_file!$B:$B,Summary_Employed!$B$2,Flat_file!$C:$C,"Women",Flat_file!$D:$D,"50-54",Flat_file!$E:$E,"343",Flat_file!$F:$F,"E")+SUMIFS(Flat_file!$G:$G,Flat_file!$B:$B,Summary_Employed!$B$2,Flat_file!$C:$C,"Women",Flat_file!$D:$D,"50-54",Flat_file!$E:$E,"344",Flat_file!$F:$F,"E")+SUMIFS(Flat_file!$G:$G,Flat_file!$B:$B,Summary_Employed!$B$2,Flat_file!$C:$C,"Women",Flat_file!$D:$D,"50-54",Flat_file!$E:$E,"353",Flat_file!$F:$F,"E")+SUMIFS(Flat_file!$G:$G,Flat_file!$B:$B,Summary_Employed!$B$2,Flat_file!$C:$C,"Women",Flat_file!$D:$D,"50-54",Flat_file!$E:$E,"354",Flat_file!$F:$F,"E")</f>
        <v>0</v>
      </c>
      <c r="I26" s="89">
        <f>SUMIFS(Flat_file!$G:$G,Flat_file!$B:$B,Summary_Employed!$B$2,Flat_file!$C:$C,"Women",Flat_file!$D:$D,"50-54",Flat_file!$E:$E,"443",Flat_file!$F:$F,"E")+SUMIFS(Flat_file!$G:$G,Flat_file!$B:$B,Summary_Employed!$B$2,Flat_file!$C:$C,"Women",Flat_file!$D:$D,"50-54",Flat_file!$E:$E,"444",Flat_file!$F:$F,"E")+SUMIFS(Flat_file!$G:$G,Flat_file!$B:$B,Summary_Employed!$B$2,Flat_file!$C:$C,"Women",Flat_file!$D:$D,"50-54",Flat_file!$E:$E,"453",Flat_file!$F:$F,"E")+SUMIFS(Flat_file!$G:$G,Flat_file!$B:$B,Summary_Employed!$B$2,Flat_file!$C:$C,"Women",Flat_file!$D:$D,"50-54",Flat_file!$E:$E,"454",Flat_file!$F:$F,"E")</f>
        <v>0</v>
      </c>
      <c r="J26" s="89">
        <f>SUMIFS(Flat_file!$G:$G,Flat_file!$B:$B,Summary_Employed!$B$2,Flat_file!$C:$C,"Women",Flat_file!$D:$D,"50-54",Flat_file!$E:$E,"540",Flat_file!$F:$F,"E")+SUMIFS(Flat_file!$G:$G,Flat_file!$B:$B,Summary_Employed!$B$2,Flat_file!$C:$C,"Women",Flat_file!$D:$D,"50-54",Flat_file!$E:$E,"550",Flat_file!$F:$F,"E")+SUMIFS(Flat_file!$G:$G,Flat_file!$B:$B,Summary_Employed!$B$2,Flat_file!$C:$C,"Women",Flat_file!$D:$D,"50-54",Flat_file!$E:$E,"560",Flat_file!$F:$F,"E")</f>
        <v>0</v>
      </c>
      <c r="K26" s="89">
        <f>SUMIFS(Flat_file!$G:$G,Flat_file!$B:$B,Summary_Employed!$B$2,Flat_file!$C:$C,"Women",Flat_file!$D:$D,"50-54",Flat_file!$E:$E,"640",Flat_file!$F:$F,"E")+SUMIFS(Flat_file!$G:$G,Flat_file!$B:$B,Summary_Employed!$B$2,Flat_file!$C:$C,"Women",Flat_file!$D:$D,"50-54",Flat_file!$E:$E,"650",Flat_file!$F:$F,"E")+SUMIFS(Flat_file!$G:$G,Flat_file!$B:$B,Summary_Employed!$B$2,Flat_file!$C:$C,"Women",Flat_file!$D:$D,"50-54",Flat_file!$E:$E,"660",Flat_file!$F:$F,"E")</f>
        <v>0</v>
      </c>
      <c r="L26" s="89">
        <f>SUMIFS(Flat_file!$G:$G,Flat_file!$B:$B,Summary_Employed!$B$2,Flat_file!$C:$C,"Women",Flat_file!$D:$D,"50-54",Flat_file!$E:$E,"740",Flat_file!$F:$F,"E")+SUMIFS(Flat_file!$G:$G,Flat_file!$B:$B,Summary_Employed!$B$2,Flat_file!$C:$C,"Women",Flat_file!$D:$D,"50-54",Flat_file!$E:$E,"750",Flat_file!$F:$F,"E")+SUMIFS(Flat_file!$G:$G,Flat_file!$B:$B,Summary_Employed!$B$2,Flat_file!$C:$C,"Women",Flat_file!$D:$D,"50-54",Flat_file!$E:$E,"760",Flat_file!$F:$F,"E")</f>
        <v>0</v>
      </c>
      <c r="M26" s="89">
        <f>SUMIFS(Flat_file!$G:$G,Flat_file!$B:$B,Summary_Employed!$B$2,Flat_file!$C:$C,"Women",Flat_file!$D:$D,"50-54",Flat_file!$E:$E,"840",Flat_file!$F:$F,"E")+SUMIFS(Flat_file!$G:$G,Flat_file!$B:$B,Summary_Employed!$B$2,Flat_file!$C:$C,"Women",Flat_file!$D:$D,"50-54",Flat_file!$E:$E,"850",Flat_file!$F:$F,"E")+SUMIFS(Flat_file!$G:$G,Flat_file!$B:$B,Summary_Employed!$B$2,Flat_file!$C:$C,"Women",Flat_file!$D:$D,"50-54",Flat_file!$E:$E,"860",Flat_file!$F:$F,"E")</f>
        <v>0</v>
      </c>
      <c r="N26" s="89">
        <f>SUMIFS(Flat_file!$G:$G,Flat_file!$B:$B,Summary_Employed!$B$2,Flat_file!$C:$C,"Women",Flat_file!$D:$D,"50-54",Flat_file!$E:$E,"999",Flat_file!$F:$F,"E")</f>
        <v>0</v>
      </c>
      <c r="O26" s="89">
        <f t="shared" si="5"/>
        <v>0</v>
      </c>
      <c r="P26" s="90"/>
      <c r="Q26" s="89">
        <f t="shared" si="6"/>
        <v>0</v>
      </c>
      <c r="R26" s="91"/>
      <c r="S26" s="89">
        <f t="shared" si="7"/>
        <v>0</v>
      </c>
      <c r="T26" s="89">
        <f t="shared" si="8"/>
        <v>0</v>
      </c>
      <c r="U26" s="89">
        <f t="shared" si="9"/>
        <v>0</v>
      </c>
      <c r="V26" s="90"/>
      <c r="W26" s="89">
        <f>SUMIFS(Flat_file!$G:$G,Flat_file!$B:$B,Summary_Employed!$B$2,Flat_file!$C:$C,"Women",Flat_file!$D:$D,"50-54",Flat_file!$E:$E,"343",Flat_file!$F:$F,"E")+SUMIFS(Flat_file!$G:$G,Flat_file!$B:$B,Summary_Employed!$B$2,Flat_file!$C:$C,"Women",Flat_file!$D:$D,"50-54",Flat_file!$E:$E,"344",Flat_file!$F:$F,"E")+SUMIFS(Flat_file!$G:$G,Flat_file!$B:$B,Summary_Employed!$B$2,Flat_file!$C:$C,"Women",Flat_file!$D:$D,"50-54",Flat_file!$E:$E,"443",Flat_file!$F:$F,"E")+SUMIFS(Flat_file!$G:$G,Flat_file!$B:$B,Summary_Employed!$B$2,Flat_file!$C:$C,"Women",Flat_file!$D:$D,"50-54",Flat_file!$E:$E,"444",Flat_file!$F:$F,"E")</f>
        <v>0</v>
      </c>
      <c r="X26" s="89">
        <f>SUMIFS(Flat_file!$G:$G,Flat_file!$B:$B,Summary_Employed!$B$2,Flat_file!$C:$C,"Women",Flat_file!$D:$D,"50-54",Flat_file!$E:$E,"353",Flat_file!$F:$F,"E")+SUMIFS(Flat_file!$G:$G,Flat_file!$B:$B,Summary_Employed!$B$2,Flat_file!$C:$C,"Women",Flat_file!$D:$D,"50-54",Flat_file!$E:$E,"354",Flat_file!$F:$F,"E")+SUMIFS(Flat_file!$G:$G,Flat_file!$B:$B,Summary_Employed!$B$2,Flat_file!$C:$C,"Women",Flat_file!$D:$D,"50-54",Flat_file!$E:$E,"453",Flat_file!$F:$F,"E")+SUMIFS(Flat_file!$G:$G,Flat_file!$B:$B,Summary_Employed!$B$2,Flat_file!$C:$C,"Women",Flat_file!$D:$D,"50-54",Flat_file!$E:$E,"454",Flat_file!$F:$F,"E")</f>
        <v>0</v>
      </c>
      <c r="Y26" s="90"/>
      <c r="Z26" s="89">
        <f>SUMIFS(Flat_file!$G:$G,Flat_file!$B:$B,Summary_Employed!$B$2,Flat_file!$C:$C,"Women",Flat_file!$D:$D,"50-54",Flat_file!$E:$E,"640",Flat_file!$F:$F,"E")+SUMIFS(Flat_file!$G:$G,Flat_file!$B:$B,Summary_Employed!$B$2,Flat_file!$C:$C,"Women",Flat_file!$D:$D,"50-54",Flat_file!$E:$E,"740",Flat_file!$F:$F,"E")+SUMIFS(Flat_file!$G:$G,Flat_file!$B:$B,Summary_Employed!$B$2,Flat_file!$C:$C,"Women",Flat_file!$D:$D,"50-54",Flat_file!$E:$E,"840",Flat_file!$F:$F,"E")</f>
        <v>0</v>
      </c>
      <c r="AA26" s="89">
        <f>SUMIFS(Flat_file!$G:$G,Flat_file!$B:$B,Summary_Employed!$B$2,Flat_file!$C:$C,"Women",Flat_file!$D:$D,"50-54",Flat_file!$E:$E,"650",Flat_file!$F:$F,"E")+SUMIFS(Flat_file!$G:$G,Flat_file!$B:$B,Summary_Employed!$B$2,Flat_file!$C:$C,"Women",Flat_file!$D:$D,"50-54",Flat_file!$E:$E,"750",Flat_file!$F:$F,"E")+SUMIFS(Flat_file!$G:$G,Flat_file!$B:$B,Summary_Employed!$B$2,Flat_file!$C:$C,"Women",Flat_file!$D:$D,"50-54",Flat_file!$E:$E,"850",Flat_file!$F:$F,"E")</f>
        <v>0</v>
      </c>
      <c r="AB26" s="89">
        <f>SUMIFS(Flat_file!$G:$G,Flat_file!$B:$B,Summary_Employed!$B$2,Flat_file!$C:$C,"Women",Flat_file!$D:$D,"50-54",Flat_file!$E:$E,"660",Flat_file!$F:$F,"E")+SUMIFS(Flat_file!$G:$G,Flat_file!$B:$B,Summary_Employed!$B$2,Flat_file!$C:$C,"Women",Flat_file!$D:$D,"50-54",Flat_file!$E:$E,"760",Flat_file!$F:$F,"E")+SUMIFS(Flat_file!$G:$G,Flat_file!$B:$B,Summary_Employed!$B$2,Flat_file!$C:$C,"Women",Flat_file!$D:$D,"50-54",Flat_file!$E:$E,"860",Flat_file!$F:$F,"E")</f>
        <v>0</v>
      </c>
      <c r="AC26" s="3"/>
      <c r="AD26" s="202"/>
      <c r="AE26" s="202"/>
      <c r="AF26" s="204">
        <v>454</v>
      </c>
      <c r="AG26" s="202"/>
      <c r="AH26" s="3"/>
      <c r="AI26" s="3"/>
    </row>
    <row r="27" spans="1:35" customFormat="1" x14ac:dyDescent="0.2">
      <c r="A27" s="352"/>
      <c r="B27" s="79" t="s">
        <v>95</v>
      </c>
      <c r="C27" s="89">
        <f>SUMIFS(Flat_file!$G:$G,Flat_file!$B:$B,Summary_Employed!$B$2,Flat_file!$C:$C,"Women",Flat_file!$D:$D,"55-59",Flat_file!$E:$E,"010",Flat_file!$F:$F,"E")+SUMIFS(Flat_file!$G:$G,Flat_file!$B:$B,Summary_Employed!$B$2,Flat_file!$C:$C,"Women",Flat_file!$D:$D,"55-59",Flat_file!$E:$E,"020",Flat_file!$F:$F,"E")+SUMIFS(Flat_file!$G:$G,Flat_file!$B:$B,Summary_Employed!$B$2,Flat_file!$C:$C,"Women",Flat_file!$D:$D,"55-59",Flat_file!$E:$E,"030",Flat_file!$F:$F,"E")</f>
        <v>0</v>
      </c>
      <c r="D27" s="89">
        <f>SUMIFS(Flat_file!$G:$G,Flat_file!$B:$B,Summary_Employed!$B$2,Flat_file!$C:$C,"Women",Flat_file!$D:$D,"55-59",Flat_file!$E:$E,"100",Flat_file!$F:$F,"E")</f>
        <v>0</v>
      </c>
      <c r="E27" s="89">
        <f>SUMIFS(Flat_file!$G:$G,Flat_file!$B:$B,Summary_Employed!$B$2,Flat_file!$C:$C,"Women",Flat_file!$D:$D,"55-59",Flat_file!$E:$E,"242",Flat_file!$F:$F,"E")+SUMIFS(Flat_file!$G:$G,Flat_file!$B:$B,Summary_Employed!$B$2,Flat_file!$C:$C,"Women",Flat_file!$D:$D,"55-59",Flat_file!$E:$E,"252",Flat_file!$F:$F,"E")</f>
        <v>0</v>
      </c>
      <c r="F27" s="89">
        <f>SUMIFS(Flat_file!$G:$G,Flat_file!$B:$B,Summary_Employed!$B$2,Flat_file!$C:$C,"Women",Flat_file!$D:$D,"55-59",Flat_file!$E:$E,"243",Flat_file!$F:$F,"E")+SUMIFS(Flat_file!$G:$G,Flat_file!$B:$B,Summary_Employed!$B$2,Flat_file!$C:$C,"Women",Flat_file!$D:$D,"55-59",Flat_file!$E:$E,"244",Flat_file!$F:$F,"E")+SUMIFS(Flat_file!$G:$G,Flat_file!$B:$B,Summary_Employed!$B$2,Flat_file!$C:$C,"Women",Flat_file!$D:$D,"55-59",Flat_file!$E:$E,"253",Flat_file!$F:$F,"E")+SUMIFS(Flat_file!$G:$G,Flat_file!$B:$B,Summary_Employed!$B$2,Flat_file!$C:$C,"Women",Flat_file!$D:$D,"55-59",Flat_file!$E:$E,"254",Flat_file!$F:$F,"E")</f>
        <v>0</v>
      </c>
      <c r="G27" s="89">
        <f>SUMIFS(Flat_file!$G:$G,Flat_file!$B:$B,Summary_Employed!$B$2,Flat_file!$C:$C,"Women",Flat_file!$D:$D,"55-59",Flat_file!$E:$E,"342",Flat_file!$F:$F,"E")+SUMIFS(Flat_file!$G:$G,Flat_file!$B:$B,Summary_Employed!$B$2,Flat_file!$C:$C,"Women",Flat_file!$D:$D,"55-59",Flat_file!$E:$E,"352",Flat_file!$F:$F,"E")</f>
        <v>0</v>
      </c>
      <c r="H27" s="89">
        <f>SUMIFS(Flat_file!$G:$G,Flat_file!$B:$B,Summary_Employed!$B$2,Flat_file!$C:$C,"Women",Flat_file!$D:$D,"55-59",Flat_file!$E:$E,"343",Flat_file!$F:$F,"E")+SUMIFS(Flat_file!$G:$G,Flat_file!$B:$B,Summary_Employed!$B$2,Flat_file!$C:$C,"Women",Flat_file!$D:$D,"55-59",Flat_file!$E:$E,"344",Flat_file!$F:$F,"E")+SUMIFS(Flat_file!$G:$G,Flat_file!$B:$B,Summary_Employed!$B$2,Flat_file!$C:$C,"Women",Flat_file!$D:$D,"55-59",Flat_file!$E:$E,"353",Flat_file!$F:$F,"E")+SUMIFS(Flat_file!$G:$G,Flat_file!$B:$B,Summary_Employed!$B$2,Flat_file!$C:$C,"Women",Flat_file!$D:$D,"55-59",Flat_file!$E:$E,"354",Flat_file!$F:$F,"E")</f>
        <v>0</v>
      </c>
      <c r="I27" s="89">
        <f>SUMIFS(Flat_file!$G:$G,Flat_file!$B:$B,Summary_Employed!$B$2,Flat_file!$C:$C,"Women",Flat_file!$D:$D,"55-59",Flat_file!$E:$E,"443",Flat_file!$F:$F,"E")+SUMIFS(Flat_file!$G:$G,Flat_file!$B:$B,Summary_Employed!$B$2,Flat_file!$C:$C,"Women",Flat_file!$D:$D,"55-59",Flat_file!$E:$E,"444",Flat_file!$F:$F,"E")+SUMIFS(Flat_file!$G:$G,Flat_file!$B:$B,Summary_Employed!$B$2,Flat_file!$C:$C,"Women",Flat_file!$D:$D,"55-59",Flat_file!$E:$E,"453",Flat_file!$F:$F,"E")+SUMIFS(Flat_file!$G:$G,Flat_file!$B:$B,Summary_Employed!$B$2,Flat_file!$C:$C,"Women",Flat_file!$D:$D,"55-59",Flat_file!$E:$E,"454",Flat_file!$F:$F,"E")</f>
        <v>0</v>
      </c>
      <c r="J27" s="89">
        <f>SUMIFS(Flat_file!$G:$G,Flat_file!$B:$B,Summary_Employed!$B$2,Flat_file!$C:$C,"Women",Flat_file!$D:$D,"55-59",Flat_file!$E:$E,"540",Flat_file!$F:$F,"E")+SUMIFS(Flat_file!$G:$G,Flat_file!$B:$B,Summary_Employed!$B$2,Flat_file!$C:$C,"Women",Flat_file!$D:$D,"55-59",Flat_file!$E:$E,"550",Flat_file!$F:$F,"E")+SUMIFS(Flat_file!$G:$G,Flat_file!$B:$B,Summary_Employed!$B$2,Flat_file!$C:$C,"Women",Flat_file!$D:$D,"55-59",Flat_file!$E:$E,"560",Flat_file!$F:$F,"E")</f>
        <v>0</v>
      </c>
      <c r="K27" s="89">
        <f>SUMIFS(Flat_file!$G:$G,Flat_file!$B:$B,Summary_Employed!$B$2,Flat_file!$C:$C,"Women",Flat_file!$D:$D,"55-59",Flat_file!$E:$E,"640",Flat_file!$F:$F,"E")+SUMIFS(Flat_file!$G:$G,Flat_file!$B:$B,Summary_Employed!$B$2,Flat_file!$C:$C,"Women",Flat_file!$D:$D,"55-59",Flat_file!$E:$E,"650",Flat_file!$F:$F,"E")+SUMIFS(Flat_file!$G:$G,Flat_file!$B:$B,Summary_Employed!$B$2,Flat_file!$C:$C,"Women",Flat_file!$D:$D,"55-59",Flat_file!$E:$E,"660",Flat_file!$F:$F,"E")</f>
        <v>0</v>
      </c>
      <c r="L27" s="89">
        <f>SUMIFS(Flat_file!$G:$G,Flat_file!$B:$B,Summary_Employed!$B$2,Flat_file!$C:$C,"Women",Flat_file!$D:$D,"55-59",Flat_file!$E:$E,"740",Flat_file!$F:$F,"E")+SUMIFS(Flat_file!$G:$G,Flat_file!$B:$B,Summary_Employed!$B$2,Flat_file!$C:$C,"Women",Flat_file!$D:$D,"55-59",Flat_file!$E:$E,"750",Flat_file!$F:$F,"E")+SUMIFS(Flat_file!$G:$G,Flat_file!$B:$B,Summary_Employed!$B$2,Flat_file!$C:$C,"Women",Flat_file!$D:$D,"55-59",Flat_file!$E:$E,"760",Flat_file!$F:$F,"E")</f>
        <v>0</v>
      </c>
      <c r="M27" s="89">
        <f>SUMIFS(Flat_file!$G:$G,Flat_file!$B:$B,Summary_Employed!$B$2,Flat_file!$C:$C,"Women",Flat_file!$D:$D,"55-59",Flat_file!$E:$E,"840",Flat_file!$F:$F,"E")+SUMIFS(Flat_file!$G:$G,Flat_file!$B:$B,Summary_Employed!$B$2,Flat_file!$C:$C,"Women",Flat_file!$D:$D,"55-59",Flat_file!$E:$E,"850",Flat_file!$F:$F,"E")+SUMIFS(Flat_file!$G:$G,Flat_file!$B:$B,Summary_Employed!$B$2,Flat_file!$C:$C,"Women",Flat_file!$D:$D,"55-59",Flat_file!$E:$E,"860",Flat_file!$F:$F,"E")</f>
        <v>0</v>
      </c>
      <c r="N27" s="89">
        <f>SUMIFS(Flat_file!$G:$G,Flat_file!$B:$B,Summary_Employed!$B$2,Flat_file!$C:$C,"Women",Flat_file!$D:$D,"55-59",Flat_file!$E:$E,"999",Flat_file!$F:$F,"E")</f>
        <v>0</v>
      </c>
      <c r="O27" s="89">
        <f t="shared" si="5"/>
        <v>0</v>
      </c>
      <c r="P27" s="90"/>
      <c r="Q27" s="89">
        <f t="shared" si="6"/>
        <v>0</v>
      </c>
      <c r="R27" s="91"/>
      <c r="S27" s="89">
        <f t="shared" si="7"/>
        <v>0</v>
      </c>
      <c r="T27" s="89">
        <f t="shared" si="8"/>
        <v>0</v>
      </c>
      <c r="U27" s="89">
        <f t="shared" si="9"/>
        <v>0</v>
      </c>
      <c r="V27" s="90"/>
      <c r="W27" s="89">
        <f>SUMIFS(Flat_file!$G:$G,Flat_file!$B:$B,Summary_Employed!$B$2,Flat_file!$C:$C,"Women",Flat_file!$D:$D,"55-59",Flat_file!$E:$E,"343",Flat_file!$F:$F,"E")+SUMIFS(Flat_file!$G:$G,Flat_file!$B:$B,Summary_Employed!$B$2,Flat_file!$C:$C,"Women",Flat_file!$D:$D,"55-59",Flat_file!$E:$E,"344",Flat_file!$F:$F,"E")+SUMIFS(Flat_file!$G:$G,Flat_file!$B:$B,Summary_Employed!$B$2,Flat_file!$C:$C,"Women",Flat_file!$D:$D,"55-59",Flat_file!$E:$E,"443",Flat_file!$F:$F,"E")+SUMIFS(Flat_file!$G:$G,Flat_file!$B:$B,Summary_Employed!$B$2,Flat_file!$C:$C,"Women",Flat_file!$D:$D,"55-59",Flat_file!$E:$E,"444",Flat_file!$F:$F,"E")</f>
        <v>0</v>
      </c>
      <c r="X27" s="89">
        <f>SUMIFS(Flat_file!$G:$G,Flat_file!$B:$B,Summary_Employed!$B$2,Flat_file!$C:$C,"Women",Flat_file!$D:$D,"55-59",Flat_file!$E:$E,"353",Flat_file!$F:$F,"E")+SUMIFS(Flat_file!$G:$G,Flat_file!$B:$B,Summary_Employed!$B$2,Flat_file!$C:$C,"Women",Flat_file!$D:$D,"55-59",Flat_file!$E:$E,"354",Flat_file!$F:$F,"E")+SUMIFS(Flat_file!$G:$G,Flat_file!$B:$B,Summary_Employed!$B$2,Flat_file!$C:$C,"Women",Flat_file!$D:$D,"55-59",Flat_file!$E:$E,"453",Flat_file!$F:$F,"E")+SUMIFS(Flat_file!$G:$G,Flat_file!$B:$B,Summary_Employed!$B$2,Flat_file!$C:$C,"Women",Flat_file!$D:$D,"55-59",Flat_file!$E:$E,"454",Flat_file!$F:$F,"E")</f>
        <v>0</v>
      </c>
      <c r="Y27" s="90"/>
      <c r="Z27" s="89">
        <f>SUMIFS(Flat_file!$G:$G,Flat_file!$B:$B,Summary_Employed!$B$2,Flat_file!$C:$C,"Women",Flat_file!$D:$D,"55-59",Flat_file!$E:$E,"640",Flat_file!$F:$F,"E")+SUMIFS(Flat_file!$G:$G,Flat_file!$B:$B,Summary_Employed!$B$2,Flat_file!$C:$C,"Women",Flat_file!$D:$D,"55-59",Flat_file!$E:$E,"740",Flat_file!$F:$F,"E")+SUMIFS(Flat_file!$G:$G,Flat_file!$B:$B,Summary_Employed!$B$2,Flat_file!$C:$C,"Women",Flat_file!$D:$D,"55-59",Flat_file!$E:$E,"840",Flat_file!$F:$F,"E")</f>
        <v>0</v>
      </c>
      <c r="AA27" s="89">
        <f>SUMIFS(Flat_file!$G:$G,Flat_file!$B:$B,Summary_Employed!$B$2,Flat_file!$C:$C,"Women",Flat_file!$D:$D,"55-59",Flat_file!$E:$E,"650",Flat_file!$F:$F,"E")+SUMIFS(Flat_file!$G:$G,Flat_file!$B:$B,Summary_Employed!$B$2,Flat_file!$C:$C,"Women",Flat_file!$D:$D,"55-59",Flat_file!$E:$E,"750",Flat_file!$F:$F,"E")+SUMIFS(Flat_file!$G:$G,Flat_file!$B:$B,Summary_Employed!$B$2,Flat_file!$C:$C,"Women",Flat_file!$D:$D,"55-59",Flat_file!$E:$E,"850",Flat_file!$F:$F,"E")</f>
        <v>0</v>
      </c>
      <c r="AB27" s="89">
        <f>SUMIFS(Flat_file!$G:$G,Flat_file!$B:$B,Summary_Employed!$B$2,Flat_file!$C:$C,"Women",Flat_file!$D:$D,"55-59",Flat_file!$E:$E,"660",Flat_file!$F:$F,"E")+SUMIFS(Flat_file!$G:$G,Flat_file!$B:$B,Summary_Employed!$B$2,Flat_file!$C:$C,"Women",Flat_file!$D:$D,"55-59",Flat_file!$E:$E,"760",Flat_file!$F:$F,"E")+SUMIFS(Flat_file!$G:$G,Flat_file!$B:$B,Summary_Employed!$B$2,Flat_file!$C:$C,"Women",Flat_file!$D:$D,"55-59",Flat_file!$E:$E,"860",Flat_file!$F:$F,"E")</f>
        <v>0</v>
      </c>
      <c r="AC27" s="3"/>
      <c r="AD27" s="202"/>
      <c r="AE27" s="202"/>
      <c r="AF27" s="204">
        <v>540</v>
      </c>
      <c r="AG27" s="202"/>
      <c r="AH27" s="3"/>
      <c r="AI27" s="3"/>
    </row>
    <row r="28" spans="1:35" customFormat="1" x14ac:dyDescent="0.2">
      <c r="A28" s="352"/>
      <c r="B28" s="79" t="s">
        <v>96</v>
      </c>
      <c r="C28" s="89">
        <f>SUMIFS(Flat_file!$G:$G,Flat_file!$B:$B,Summary_Employed!$B$2,Flat_file!$C:$C,"Women",Flat_file!$D:$D,"60-64",Flat_file!$E:$E,"010",Flat_file!$F:$F,"E")+SUMIFS(Flat_file!$G:$G,Flat_file!$B:$B,Summary_Employed!$B$2,Flat_file!$C:$C,"Women",Flat_file!$D:$D,"60-64",Flat_file!$E:$E,"020",Flat_file!$F:$F,"E")+SUMIFS(Flat_file!$G:$G,Flat_file!$B:$B,Summary_Employed!$B$2,Flat_file!$C:$C,"Women",Flat_file!$D:$D,"60-64",Flat_file!$E:$E,"030",Flat_file!$F:$F,"E")</f>
        <v>0</v>
      </c>
      <c r="D28" s="89">
        <f>SUMIFS(Flat_file!$G:$G,Flat_file!$B:$B,Summary_Employed!$B$2,Flat_file!$C:$C,"Women",Flat_file!$D:$D,"60-64",Flat_file!$E:$E,"100",Flat_file!$F:$F,"E")</f>
        <v>0</v>
      </c>
      <c r="E28" s="89">
        <f>SUMIFS(Flat_file!$G:$G,Flat_file!$B:$B,Summary_Employed!$B$2,Flat_file!$C:$C,"Women",Flat_file!$D:$D,"60-64",Flat_file!$E:$E,"242",Flat_file!$F:$F,"E")+SUMIFS(Flat_file!$G:$G,Flat_file!$B:$B,Summary_Employed!$B$2,Flat_file!$C:$C,"Women",Flat_file!$D:$D,"60-64",Flat_file!$E:$E,"252",Flat_file!$F:$F,"E")</f>
        <v>0</v>
      </c>
      <c r="F28" s="89">
        <f>SUMIFS(Flat_file!$G:$G,Flat_file!$B:$B,Summary_Employed!$B$2,Flat_file!$C:$C,"Women",Flat_file!$D:$D,"60-64",Flat_file!$E:$E,"243",Flat_file!$F:$F,"E")+SUMIFS(Flat_file!$G:$G,Flat_file!$B:$B,Summary_Employed!$B$2,Flat_file!$C:$C,"Women",Flat_file!$D:$D,"60-64",Flat_file!$E:$E,"244",Flat_file!$F:$F,"E")+SUMIFS(Flat_file!$G:$G,Flat_file!$B:$B,Summary_Employed!$B$2,Flat_file!$C:$C,"Women",Flat_file!$D:$D,"60-64",Flat_file!$E:$E,"253",Flat_file!$F:$F,"E")+SUMIFS(Flat_file!$G:$G,Flat_file!$B:$B,Summary_Employed!$B$2,Flat_file!$C:$C,"Women",Flat_file!$D:$D,"60-64",Flat_file!$E:$E,"254",Flat_file!$F:$F,"E")</f>
        <v>0</v>
      </c>
      <c r="G28" s="89">
        <f>SUMIFS(Flat_file!$G:$G,Flat_file!$B:$B,Summary_Employed!$B$2,Flat_file!$C:$C,"Women",Flat_file!$D:$D,"60-64",Flat_file!$E:$E,"342",Flat_file!$F:$F,"E")+SUMIFS(Flat_file!$G:$G,Flat_file!$B:$B,Summary_Employed!$B$2,Flat_file!$C:$C,"Women",Flat_file!$D:$D,"60-64",Flat_file!$E:$E,"352",Flat_file!$F:$F,"E")</f>
        <v>0</v>
      </c>
      <c r="H28" s="89">
        <f>SUMIFS(Flat_file!$G:$G,Flat_file!$B:$B,Summary_Employed!$B$2,Flat_file!$C:$C,"Women",Flat_file!$D:$D,"60-64",Flat_file!$E:$E,"343",Flat_file!$F:$F,"E")+SUMIFS(Flat_file!$G:$G,Flat_file!$B:$B,Summary_Employed!$B$2,Flat_file!$C:$C,"Women",Flat_file!$D:$D,"60-64",Flat_file!$E:$E,"344",Flat_file!$F:$F,"E")+SUMIFS(Flat_file!$G:$G,Flat_file!$B:$B,Summary_Employed!$B$2,Flat_file!$C:$C,"Women",Flat_file!$D:$D,"60-64",Flat_file!$E:$E,"353",Flat_file!$F:$F,"E")+SUMIFS(Flat_file!$G:$G,Flat_file!$B:$B,Summary_Employed!$B$2,Flat_file!$C:$C,"Women",Flat_file!$D:$D,"60-64",Flat_file!$E:$E,"354",Flat_file!$F:$F,"E")</f>
        <v>0</v>
      </c>
      <c r="I28" s="89">
        <f>SUMIFS(Flat_file!$G:$G,Flat_file!$B:$B,Summary_Employed!$B$2,Flat_file!$C:$C,"Women",Flat_file!$D:$D,"60-64",Flat_file!$E:$E,"443",Flat_file!$F:$F,"E")+SUMIFS(Flat_file!$G:$G,Flat_file!$B:$B,Summary_Employed!$B$2,Flat_file!$C:$C,"Women",Flat_file!$D:$D,"60-64",Flat_file!$E:$E,"444",Flat_file!$F:$F,"E")+SUMIFS(Flat_file!$G:$G,Flat_file!$B:$B,Summary_Employed!$B$2,Flat_file!$C:$C,"Women",Flat_file!$D:$D,"60-64",Flat_file!$E:$E,"453",Flat_file!$F:$F,"E")+SUMIFS(Flat_file!$G:$G,Flat_file!$B:$B,Summary_Employed!$B$2,Flat_file!$C:$C,"Women",Flat_file!$D:$D,"60-64",Flat_file!$E:$E,"454",Flat_file!$F:$F,"E")</f>
        <v>0</v>
      </c>
      <c r="J28" s="89">
        <f>SUMIFS(Flat_file!$G:$G,Flat_file!$B:$B,Summary_Employed!$B$2,Flat_file!$C:$C,"Women",Flat_file!$D:$D,"60-64",Flat_file!$E:$E,"540",Flat_file!$F:$F,"E")+SUMIFS(Flat_file!$G:$G,Flat_file!$B:$B,Summary_Employed!$B$2,Flat_file!$C:$C,"Women",Flat_file!$D:$D,"60-64",Flat_file!$E:$E,"550",Flat_file!$F:$F,"E")+SUMIFS(Flat_file!$G:$G,Flat_file!$B:$B,Summary_Employed!$B$2,Flat_file!$C:$C,"Women",Flat_file!$D:$D,"60-64",Flat_file!$E:$E,"560",Flat_file!$F:$F,"E")</f>
        <v>0</v>
      </c>
      <c r="K28" s="89">
        <f>SUMIFS(Flat_file!$G:$G,Flat_file!$B:$B,Summary_Employed!$B$2,Flat_file!$C:$C,"Women",Flat_file!$D:$D,"60-64",Flat_file!$E:$E,"640",Flat_file!$F:$F,"E")+SUMIFS(Flat_file!$G:$G,Flat_file!$B:$B,Summary_Employed!$B$2,Flat_file!$C:$C,"Women",Flat_file!$D:$D,"60-64",Flat_file!$E:$E,"650",Flat_file!$F:$F,"E")+SUMIFS(Flat_file!$G:$G,Flat_file!$B:$B,Summary_Employed!$B$2,Flat_file!$C:$C,"Women",Flat_file!$D:$D,"60-64",Flat_file!$E:$E,"660",Flat_file!$F:$F,"E")</f>
        <v>0</v>
      </c>
      <c r="L28" s="89">
        <f>SUMIFS(Flat_file!$G:$G,Flat_file!$B:$B,Summary_Employed!$B$2,Flat_file!$C:$C,"Women",Flat_file!$D:$D,"60-64",Flat_file!$E:$E,"740",Flat_file!$F:$F,"E")+SUMIFS(Flat_file!$G:$G,Flat_file!$B:$B,Summary_Employed!$B$2,Flat_file!$C:$C,"Women",Flat_file!$D:$D,"60-64",Flat_file!$E:$E,"750",Flat_file!$F:$F,"E")+SUMIFS(Flat_file!$G:$G,Flat_file!$B:$B,Summary_Employed!$B$2,Flat_file!$C:$C,"Women",Flat_file!$D:$D,"60-64",Flat_file!$E:$E,"760",Flat_file!$F:$F,"E")</f>
        <v>0</v>
      </c>
      <c r="M28" s="89">
        <f>SUMIFS(Flat_file!$G:$G,Flat_file!$B:$B,Summary_Employed!$B$2,Flat_file!$C:$C,"Women",Flat_file!$D:$D,"60-64",Flat_file!$E:$E,"840",Flat_file!$F:$F,"E")+SUMIFS(Flat_file!$G:$G,Flat_file!$B:$B,Summary_Employed!$B$2,Flat_file!$C:$C,"Women",Flat_file!$D:$D,"60-64",Flat_file!$E:$E,"850",Flat_file!$F:$F,"E")+SUMIFS(Flat_file!$G:$G,Flat_file!$B:$B,Summary_Employed!$B$2,Flat_file!$C:$C,"Women",Flat_file!$D:$D,"60-64",Flat_file!$E:$E,"860",Flat_file!$F:$F,"E")</f>
        <v>0</v>
      </c>
      <c r="N28" s="89">
        <f>SUMIFS(Flat_file!$G:$G,Flat_file!$B:$B,Summary_Employed!$B$2,Flat_file!$C:$C,"Women",Flat_file!$D:$D,"60-64",Flat_file!$E:$E,"999",Flat_file!$F:$F,"E")</f>
        <v>0</v>
      </c>
      <c r="O28" s="89">
        <f t="shared" si="5"/>
        <v>0</v>
      </c>
      <c r="P28" s="90"/>
      <c r="Q28" s="89">
        <f t="shared" si="6"/>
        <v>0</v>
      </c>
      <c r="R28" s="91"/>
      <c r="S28" s="89">
        <f t="shared" si="7"/>
        <v>0</v>
      </c>
      <c r="T28" s="89">
        <f t="shared" si="8"/>
        <v>0</v>
      </c>
      <c r="U28" s="89">
        <f t="shared" si="9"/>
        <v>0</v>
      </c>
      <c r="V28" s="90"/>
      <c r="W28" s="89">
        <f>SUMIFS(Flat_file!$G:$G,Flat_file!$B:$B,Summary_Employed!$B$2,Flat_file!$C:$C,"Women",Flat_file!$D:$D,"60-64",Flat_file!$E:$E,"343",Flat_file!$F:$F,"E")+SUMIFS(Flat_file!$G:$G,Flat_file!$B:$B,Summary_Employed!$B$2,Flat_file!$C:$C,"Women",Flat_file!$D:$D,"60-64",Flat_file!$E:$E,"344",Flat_file!$F:$F,"E")+SUMIFS(Flat_file!$G:$G,Flat_file!$B:$B,Summary_Employed!$B$2,Flat_file!$C:$C,"Women",Flat_file!$D:$D,"60-64",Flat_file!$E:$E,"443",Flat_file!$F:$F,"E")+SUMIFS(Flat_file!$G:$G,Flat_file!$B:$B,Summary_Employed!$B$2,Flat_file!$C:$C,"Women",Flat_file!$D:$D,"60-64",Flat_file!$E:$E,"444",Flat_file!$F:$F,"E")</f>
        <v>0</v>
      </c>
      <c r="X28" s="89">
        <f>SUMIFS(Flat_file!$G:$G,Flat_file!$B:$B,Summary_Employed!$B$2,Flat_file!$C:$C,"Women",Flat_file!$D:$D,"60-64",Flat_file!$E:$E,"353",Flat_file!$F:$F,"E")+SUMIFS(Flat_file!$G:$G,Flat_file!$B:$B,Summary_Employed!$B$2,Flat_file!$C:$C,"Women",Flat_file!$D:$D,"60-64",Flat_file!$E:$E,"354",Flat_file!$F:$F,"E")+SUMIFS(Flat_file!$G:$G,Flat_file!$B:$B,Summary_Employed!$B$2,Flat_file!$C:$C,"Women",Flat_file!$D:$D,"60-64",Flat_file!$E:$E,"453",Flat_file!$F:$F,"E")+SUMIFS(Flat_file!$G:$G,Flat_file!$B:$B,Summary_Employed!$B$2,Flat_file!$C:$C,"Women",Flat_file!$D:$D,"60-64",Flat_file!$E:$E,"454",Flat_file!$F:$F,"E")</f>
        <v>0</v>
      </c>
      <c r="Y28" s="90"/>
      <c r="Z28" s="89">
        <f>SUMIFS(Flat_file!$G:$G,Flat_file!$B:$B,Summary_Employed!$B$2,Flat_file!$C:$C,"Women",Flat_file!$D:$D,"60-64",Flat_file!$E:$E,"640",Flat_file!$F:$F,"E")+SUMIFS(Flat_file!$G:$G,Flat_file!$B:$B,Summary_Employed!$B$2,Flat_file!$C:$C,"Women",Flat_file!$D:$D,"60-64",Flat_file!$E:$E,"740",Flat_file!$F:$F,"E")+SUMIFS(Flat_file!$G:$G,Flat_file!$B:$B,Summary_Employed!$B$2,Flat_file!$C:$C,"Women",Flat_file!$D:$D,"60-64",Flat_file!$E:$E,"840",Flat_file!$F:$F,"E")</f>
        <v>0</v>
      </c>
      <c r="AA28" s="89">
        <f>SUMIFS(Flat_file!$G:$G,Flat_file!$B:$B,Summary_Employed!$B$2,Flat_file!$C:$C,"Women",Flat_file!$D:$D,"60-64",Flat_file!$E:$E,"650",Flat_file!$F:$F,"E")+SUMIFS(Flat_file!$G:$G,Flat_file!$B:$B,Summary_Employed!$B$2,Flat_file!$C:$C,"Women",Flat_file!$D:$D,"60-64",Flat_file!$E:$E,"750",Flat_file!$F:$F,"E")+SUMIFS(Flat_file!$G:$G,Flat_file!$B:$B,Summary_Employed!$B$2,Flat_file!$C:$C,"Women",Flat_file!$D:$D,"60-64",Flat_file!$E:$E,"850",Flat_file!$F:$F,"E")</f>
        <v>0</v>
      </c>
      <c r="AB28" s="89">
        <f>SUMIFS(Flat_file!$G:$G,Flat_file!$B:$B,Summary_Employed!$B$2,Flat_file!$C:$C,"Women",Flat_file!$D:$D,"60-64",Flat_file!$E:$E,"660",Flat_file!$F:$F,"E")+SUMIFS(Flat_file!$G:$G,Flat_file!$B:$B,Summary_Employed!$B$2,Flat_file!$C:$C,"Women",Flat_file!$D:$D,"60-64",Flat_file!$E:$E,"760",Flat_file!$F:$F,"E")+SUMIFS(Flat_file!$G:$G,Flat_file!$B:$B,Summary_Employed!$B$2,Flat_file!$C:$C,"Women",Flat_file!$D:$D,"60-64",Flat_file!$E:$E,"860",Flat_file!$F:$F,"E")</f>
        <v>0</v>
      </c>
      <c r="AC28" s="3"/>
      <c r="AD28" s="202"/>
      <c r="AE28" s="202"/>
      <c r="AF28" s="204">
        <v>550</v>
      </c>
      <c r="AG28" s="202"/>
      <c r="AH28" s="3"/>
      <c r="AI28" s="3"/>
    </row>
    <row r="29" spans="1:35" customFormat="1" x14ac:dyDescent="0.2">
      <c r="A29" s="352"/>
      <c r="B29" s="79" t="s">
        <v>258</v>
      </c>
      <c r="C29" s="225">
        <f>SUMIFS(Flat_file!$G:$G,Flat_file!$B:$B,Summary_Employed!$B$2,Flat_file!$C:$C,"Women",Flat_file!$D:$D,"65-69",Flat_file!$E:$E,"010",Flat_file!$F:$F,"E")+SUMIFS(Flat_file!$G:$G,Flat_file!$B:$B,Summary_Employed!$B$2,Flat_file!$C:$C,"Women",Flat_file!$D:$D,"65-69",Flat_file!$E:$E,"020",Flat_file!$F:$F,"E")+SUMIFS(Flat_file!$G:$G,Flat_file!$B:$B,Summary_Employed!$B$2,Flat_file!$C:$C,"Women",Flat_file!$D:$D,"65-69",Flat_file!$E:$E,"030",Flat_file!$F:$F,"E")</f>
        <v>0</v>
      </c>
      <c r="D29" s="225">
        <f>SUMIFS(Flat_file!$G:$G,Flat_file!$B:$B,Summary_Employed!$B$2,Flat_file!$C:$C,"Women",Flat_file!$D:$D,"65-69",Flat_file!$E:$E,"100",Flat_file!$F:$F,"E")</f>
        <v>0</v>
      </c>
      <c r="E29" s="225">
        <f>SUMIFS(Flat_file!$G:$G,Flat_file!$B:$B,Summary_Employed!$B$2,Flat_file!$C:$C,"Women",Flat_file!$D:$D,"65-69",Flat_file!$E:$E,"242",Flat_file!$F:$F,"E")+SUMIFS(Flat_file!$G:$G,Flat_file!$B:$B,Summary_Employed!$B$2,Flat_file!$C:$C,"Women",Flat_file!$D:$D,"65-69",Flat_file!$E:$E,"252",Flat_file!$F:$F,"E")</f>
        <v>0</v>
      </c>
      <c r="F29" s="225">
        <f>SUMIFS(Flat_file!$G:$G,Flat_file!$B:$B,Summary_Employed!$B$2,Flat_file!$C:$C,"Women",Flat_file!$D:$D,"65-69",Flat_file!$E:$E,"243",Flat_file!$F:$F,"E")+SUMIFS(Flat_file!$G:$G,Flat_file!$B:$B,Summary_Employed!$B$2,Flat_file!$C:$C,"Women",Flat_file!$D:$D,"65-69",Flat_file!$E:$E,"244",Flat_file!$F:$F,"E")+SUMIFS(Flat_file!$G:$G,Flat_file!$B:$B,Summary_Employed!$B$2,Flat_file!$C:$C,"Women",Flat_file!$D:$D,"65-69",Flat_file!$E:$E,"253",Flat_file!$F:$F,"E")+SUMIFS(Flat_file!$G:$G,Flat_file!$B:$B,Summary_Employed!$B$2,Flat_file!$C:$C,"Women",Flat_file!$D:$D,"65-69",Flat_file!$E:$E,"254",Flat_file!$F:$F,"E")</f>
        <v>0</v>
      </c>
      <c r="G29" s="225">
        <f>SUMIFS(Flat_file!$G:$G,Flat_file!$B:$B,Summary_Employed!$B$2,Flat_file!$C:$C,"Women",Flat_file!$D:$D,"65-69",Flat_file!$E:$E,"342",Flat_file!$F:$F,"E")+SUMIFS(Flat_file!$G:$G,Flat_file!$B:$B,Summary_Employed!$B$2,Flat_file!$C:$C,"Women",Flat_file!$D:$D,"65-69",Flat_file!$E:$E,"352",Flat_file!$F:$F,"E")</f>
        <v>0</v>
      </c>
      <c r="H29" s="225">
        <f>SUMIFS(Flat_file!$G:$G,Flat_file!$B:$B,Summary_Employed!$B$2,Flat_file!$C:$C,"Women",Flat_file!$D:$D,"65-69",Flat_file!$E:$E,"343",Flat_file!$F:$F,"E")+SUMIFS(Flat_file!$G:$G,Flat_file!$B:$B,Summary_Employed!$B$2,Flat_file!$C:$C,"Women",Flat_file!$D:$D,"65-69",Flat_file!$E:$E,"344",Flat_file!$F:$F,"E")+SUMIFS(Flat_file!$G:$G,Flat_file!$B:$B,Summary_Employed!$B$2,Flat_file!$C:$C,"Women",Flat_file!$D:$D,"65-69",Flat_file!$E:$E,"353",Flat_file!$F:$F,"E")+SUMIFS(Flat_file!$G:$G,Flat_file!$B:$B,Summary_Employed!$B$2,Flat_file!$C:$C,"Women",Flat_file!$D:$D,"65-69",Flat_file!$E:$E,"354",Flat_file!$F:$F,"E")</f>
        <v>0</v>
      </c>
      <c r="I29" s="225">
        <f>SUMIFS(Flat_file!$G:$G,Flat_file!$B:$B,Summary_Employed!$B$2,Flat_file!$C:$C,"Women",Flat_file!$D:$D,"65-69",Flat_file!$E:$E,"443",Flat_file!$F:$F,"E")+SUMIFS(Flat_file!$G:$G,Flat_file!$B:$B,Summary_Employed!$B$2,Flat_file!$C:$C,"Women",Flat_file!$D:$D,"65-69",Flat_file!$E:$E,"444",Flat_file!$F:$F,"E")+SUMIFS(Flat_file!$G:$G,Flat_file!$B:$B,Summary_Employed!$B$2,Flat_file!$C:$C,"Women",Flat_file!$D:$D,"65-69",Flat_file!$E:$E,"453",Flat_file!$F:$F,"E")+SUMIFS(Flat_file!$G:$G,Flat_file!$B:$B,Summary_Employed!$B$2,Flat_file!$C:$C,"Women",Flat_file!$D:$D,"65-69",Flat_file!$E:$E,"454",Flat_file!$F:$F,"E")</f>
        <v>0</v>
      </c>
      <c r="J29" s="225">
        <f>SUMIFS(Flat_file!$G:$G,Flat_file!$B:$B,Summary_Employed!$B$2,Flat_file!$C:$C,"Women",Flat_file!$D:$D,"65-69",Flat_file!$E:$E,"540",Flat_file!$F:$F,"E")+SUMIFS(Flat_file!$G:$G,Flat_file!$B:$B,Summary_Employed!$B$2,Flat_file!$C:$C,"Women",Flat_file!$D:$D,"65-69",Flat_file!$E:$E,"550",Flat_file!$F:$F,"E")+SUMIFS(Flat_file!$G:$G,Flat_file!$B:$B,Summary_Employed!$B$2,Flat_file!$C:$C,"Women",Flat_file!$D:$D,"65-69",Flat_file!$E:$E,"560",Flat_file!$F:$F,"E")</f>
        <v>0</v>
      </c>
      <c r="K29" s="225">
        <f>SUMIFS(Flat_file!$G:$G,Flat_file!$B:$B,Summary_Employed!$B$2,Flat_file!$C:$C,"Women",Flat_file!$D:$D,"65-69",Flat_file!$E:$E,"640",Flat_file!$F:$F,"E")+SUMIFS(Flat_file!$G:$G,Flat_file!$B:$B,Summary_Employed!$B$2,Flat_file!$C:$C,"Women",Flat_file!$D:$D,"65-69",Flat_file!$E:$E,"650",Flat_file!$F:$F,"E")+SUMIFS(Flat_file!$G:$G,Flat_file!$B:$B,Summary_Employed!$B$2,Flat_file!$C:$C,"Women",Flat_file!$D:$D,"65-69",Flat_file!$E:$E,"660",Flat_file!$F:$F,"E")</f>
        <v>0</v>
      </c>
      <c r="L29" s="225">
        <f>SUMIFS(Flat_file!$G:$G,Flat_file!$B:$B,Summary_Employed!$B$2,Flat_file!$C:$C,"Women",Flat_file!$D:$D,"65-69",Flat_file!$E:$E,"740",Flat_file!$F:$F,"E")+SUMIFS(Flat_file!$G:$G,Flat_file!$B:$B,Summary_Employed!$B$2,Flat_file!$C:$C,"Women",Flat_file!$D:$D,"65-69",Flat_file!$E:$E,"750",Flat_file!$F:$F,"E")+SUMIFS(Flat_file!$G:$G,Flat_file!$B:$B,Summary_Employed!$B$2,Flat_file!$C:$C,"Women",Flat_file!$D:$D,"65-69",Flat_file!$E:$E,"760",Flat_file!$F:$F,"E")</f>
        <v>0</v>
      </c>
      <c r="M29" s="225">
        <f>SUMIFS(Flat_file!$G:$G,Flat_file!$B:$B,Summary_Employed!$B$2,Flat_file!$C:$C,"Women",Flat_file!$D:$D,"65-69",Flat_file!$E:$E,"840",Flat_file!$F:$F,"E")+SUMIFS(Flat_file!$G:$G,Flat_file!$B:$B,Summary_Employed!$B$2,Flat_file!$C:$C,"Women",Flat_file!$D:$D,"65-69",Flat_file!$E:$E,"850",Flat_file!$F:$F,"E")+SUMIFS(Flat_file!$G:$G,Flat_file!$B:$B,Summary_Employed!$B$2,Flat_file!$C:$C,"Women",Flat_file!$D:$D,"65-69",Flat_file!$E:$E,"860",Flat_file!$F:$F,"E")</f>
        <v>0</v>
      </c>
      <c r="N29" s="225">
        <f>SUMIFS(Flat_file!$G:$G,Flat_file!$B:$B,Summary_Employed!$B$2,Flat_file!$C:$C,"Women",Flat_file!$D:$D,"65-69",Flat_file!$E:$E,"999",Flat_file!$F:$F,"E")</f>
        <v>0</v>
      </c>
      <c r="O29" s="89">
        <f t="shared" si="5"/>
        <v>0</v>
      </c>
      <c r="P29" s="90"/>
      <c r="Q29" s="89">
        <f t="shared" si="6"/>
        <v>0</v>
      </c>
      <c r="R29" s="91"/>
      <c r="S29" s="89">
        <f t="shared" si="7"/>
        <v>0</v>
      </c>
      <c r="T29" s="89">
        <f t="shared" si="8"/>
        <v>0</v>
      </c>
      <c r="U29" s="89">
        <f t="shared" si="9"/>
        <v>0</v>
      </c>
      <c r="V29" s="90"/>
      <c r="W29" s="225">
        <f>SUMIFS(Flat_file!$G:$G,Flat_file!$B:$B,Summary_Employed!$B$2,Flat_file!$C:$C,"Women",Flat_file!$D:$D,"65-69",Flat_file!$E:$E,"343",Flat_file!$F:$F,"E")+SUMIFS(Flat_file!$G:$G,Flat_file!$B:$B,Summary_Employed!$B$2,Flat_file!$C:$C,"Women",Flat_file!$D:$D,"65-69",Flat_file!$E:$E,"344",Flat_file!$F:$F,"E")+SUMIFS(Flat_file!$G:$G,Flat_file!$B:$B,Summary_Employed!$B$2,Flat_file!$C:$C,"Women",Flat_file!$D:$D,"65-69",Flat_file!$E:$E,"443",Flat_file!$F:$F,"E")+SUMIFS(Flat_file!$G:$G,Flat_file!$B:$B,Summary_Employed!$B$2,Flat_file!$C:$C,"Women",Flat_file!$D:$D,"65-69",Flat_file!$E:$E,"444",Flat_file!$F:$F,"E")</f>
        <v>0</v>
      </c>
      <c r="X29" s="225">
        <f>SUMIFS(Flat_file!$G:$G,Flat_file!$B:$B,Summary_Employed!$B$2,Flat_file!$C:$C,"Women",Flat_file!$D:$D,"65-69",Flat_file!$E:$E,"353",Flat_file!$F:$F,"E")+SUMIFS(Flat_file!$G:$G,Flat_file!$B:$B,Summary_Employed!$B$2,Flat_file!$C:$C,"Women",Flat_file!$D:$D,"65-69",Flat_file!$E:$E,"354",Flat_file!$F:$F,"E")+SUMIFS(Flat_file!$G:$G,Flat_file!$B:$B,Summary_Employed!$B$2,Flat_file!$C:$C,"Women",Flat_file!$D:$D,"65-69",Flat_file!$E:$E,"453",Flat_file!$F:$F,"E")+SUMIFS(Flat_file!$G:$G,Flat_file!$B:$B,Summary_Employed!$B$2,Flat_file!$C:$C,"Women",Flat_file!$D:$D,"65-69",Flat_file!$E:$E,"454",Flat_file!$F:$F,"E")</f>
        <v>0</v>
      </c>
      <c r="Y29" s="90"/>
      <c r="Z29" s="225">
        <f>SUMIFS(Flat_file!$G:$G,Flat_file!$B:$B,Summary_Employed!$B$2,Flat_file!$C:$C,"Women",Flat_file!$D:$D,"65-69",Flat_file!$E:$E,"640",Flat_file!$F:$F,"E")+SUMIFS(Flat_file!$G:$G,Flat_file!$B:$B,Summary_Employed!$B$2,Flat_file!$C:$C,"Women",Flat_file!$D:$D,"65-69",Flat_file!$E:$E,"740",Flat_file!$F:$F,"E")+SUMIFS(Flat_file!$G:$G,Flat_file!$B:$B,Summary_Employed!$B$2,Flat_file!$C:$C,"Women",Flat_file!$D:$D,"65-69",Flat_file!$E:$E,"840",Flat_file!$F:$F,"E")</f>
        <v>0</v>
      </c>
      <c r="AA29" s="225">
        <f>SUMIFS(Flat_file!$G:$G,Flat_file!$B:$B,Summary_Employed!$B$2,Flat_file!$C:$C,"Women",Flat_file!$D:$D,"65-69",Flat_file!$E:$E,"650",Flat_file!$F:$F,"E")+SUMIFS(Flat_file!$G:$G,Flat_file!$B:$B,Summary_Employed!$B$2,Flat_file!$C:$C,"Women",Flat_file!$D:$D,"65-69",Flat_file!$E:$E,"750",Flat_file!$F:$F,"E")+SUMIFS(Flat_file!$G:$G,Flat_file!$B:$B,Summary_Employed!$B$2,Flat_file!$C:$C,"Women",Flat_file!$D:$D,"65-69",Flat_file!$E:$E,"850",Flat_file!$F:$F,"E")</f>
        <v>0</v>
      </c>
      <c r="AB29" s="225">
        <f>SUMIFS(Flat_file!$G:$G,Flat_file!$B:$B,Summary_Employed!$B$2,Flat_file!$C:$C,"Women",Flat_file!$D:$D,"65-69",Flat_file!$E:$E,"660",Flat_file!$F:$F,"E")+SUMIFS(Flat_file!$G:$G,Flat_file!$B:$B,Summary_Employed!$B$2,Flat_file!$C:$C,"Women",Flat_file!$D:$D,"65-69",Flat_file!$E:$E,"760",Flat_file!$F:$F,"E")+SUMIFS(Flat_file!$G:$G,Flat_file!$B:$B,Summary_Employed!$B$2,Flat_file!$C:$C,"Women",Flat_file!$D:$D,"65-69",Flat_file!$E:$E,"860",Flat_file!$F:$F,"E")</f>
        <v>0</v>
      </c>
      <c r="AC29" s="3"/>
      <c r="AD29" s="202"/>
      <c r="AE29" s="202"/>
      <c r="AF29" s="204">
        <v>560</v>
      </c>
      <c r="AG29" s="202"/>
      <c r="AH29" s="3"/>
      <c r="AI29" s="3"/>
    </row>
    <row r="30" spans="1:35" customFormat="1" x14ac:dyDescent="0.2">
      <c r="A30" s="352"/>
      <c r="B30" s="79" t="s">
        <v>260</v>
      </c>
      <c r="C30" s="225">
        <f>SUMIFS(Flat_file!$G:$G,Flat_file!$B:$B,Summary_Employed!$B$2,Flat_file!$C:$C,"Women",Flat_file!$D:$D,"70-74",Flat_file!$E:$E,"010",Flat_file!$F:$F,"E")+SUMIFS(Flat_file!$G:$G,Flat_file!$B:$B,Summary_Employed!$B$2,Flat_file!$C:$C,"Women",Flat_file!$D:$D,"70-74",Flat_file!$E:$E,"020",Flat_file!$F:$F,"E")+SUMIFS(Flat_file!$G:$G,Flat_file!$B:$B,Summary_Employed!$B$2,Flat_file!$C:$C,"Women",Flat_file!$D:$D,"70-74",Flat_file!$E:$E,"030",Flat_file!$F:$F,"E")</f>
        <v>0</v>
      </c>
      <c r="D30" s="225">
        <f>SUMIFS(Flat_file!$G:$G,Flat_file!$B:$B,Summary_Employed!$B$2,Flat_file!$C:$C,"Women",Flat_file!$D:$D,"70-74",Flat_file!$E:$E,"100",Flat_file!$F:$F,"E")</f>
        <v>0</v>
      </c>
      <c r="E30" s="225">
        <f>SUMIFS(Flat_file!$G:$G,Flat_file!$B:$B,Summary_Employed!$B$2,Flat_file!$C:$C,"Women",Flat_file!$D:$D,"70-74",Flat_file!$E:$E,"242",Flat_file!$F:$F,"E")+SUMIFS(Flat_file!$G:$G,Flat_file!$B:$B,Summary_Employed!$B$2,Flat_file!$C:$C,"Women",Flat_file!$D:$D,"70-74",Flat_file!$E:$E,"252",Flat_file!$F:$F,"E")</f>
        <v>0</v>
      </c>
      <c r="F30" s="225">
        <f>SUMIFS(Flat_file!$G:$G,Flat_file!$B:$B,Summary_Employed!$B$2,Flat_file!$C:$C,"Women",Flat_file!$D:$D,"70-74",Flat_file!$E:$E,"243",Flat_file!$F:$F,"E")+SUMIFS(Flat_file!$G:$G,Flat_file!$B:$B,Summary_Employed!$B$2,Flat_file!$C:$C,"Women",Flat_file!$D:$D,"70-74",Flat_file!$E:$E,"244",Flat_file!$F:$F,"E")+SUMIFS(Flat_file!$G:$G,Flat_file!$B:$B,Summary_Employed!$B$2,Flat_file!$C:$C,"Women",Flat_file!$D:$D,"70-74",Flat_file!$E:$E,"253",Flat_file!$F:$F,"E")+SUMIFS(Flat_file!$G:$G,Flat_file!$B:$B,Summary_Employed!$B$2,Flat_file!$C:$C,"Women",Flat_file!$D:$D,"70-74",Flat_file!$E:$E,"254",Flat_file!$F:$F,"E")</f>
        <v>0</v>
      </c>
      <c r="G30" s="225">
        <f>SUMIFS(Flat_file!$G:$G,Flat_file!$B:$B,Summary_Employed!$B$2,Flat_file!$C:$C,"Women",Flat_file!$D:$D,"70-74",Flat_file!$E:$E,"342",Flat_file!$F:$F,"E")+SUMIFS(Flat_file!$G:$G,Flat_file!$B:$B,Summary_Employed!$B$2,Flat_file!$C:$C,"Women",Flat_file!$D:$D,"70-74",Flat_file!$E:$E,"352",Flat_file!$F:$F,"E")</f>
        <v>0</v>
      </c>
      <c r="H30" s="225">
        <f>SUMIFS(Flat_file!$G:$G,Flat_file!$B:$B,Summary_Employed!$B$2,Flat_file!$C:$C,"Women",Flat_file!$D:$D,"70-74",Flat_file!$E:$E,"343",Flat_file!$F:$F,"E")+SUMIFS(Flat_file!$G:$G,Flat_file!$B:$B,Summary_Employed!$B$2,Flat_file!$C:$C,"Women",Flat_file!$D:$D,"70-74",Flat_file!$E:$E,"344",Flat_file!$F:$F,"E")+SUMIFS(Flat_file!$G:$G,Flat_file!$B:$B,Summary_Employed!$B$2,Flat_file!$C:$C,"Women",Flat_file!$D:$D,"70-74",Flat_file!$E:$E,"353",Flat_file!$F:$F,"E")+SUMIFS(Flat_file!$G:$G,Flat_file!$B:$B,Summary_Employed!$B$2,Flat_file!$C:$C,"Women",Flat_file!$D:$D,"70-74",Flat_file!$E:$E,"354",Flat_file!$F:$F,"E")</f>
        <v>0</v>
      </c>
      <c r="I30" s="225">
        <f>SUMIFS(Flat_file!$G:$G,Flat_file!$B:$B,Summary_Employed!$B$2,Flat_file!$C:$C,"Women",Flat_file!$D:$D,"70-74",Flat_file!$E:$E,"443",Flat_file!$F:$F,"E")+SUMIFS(Flat_file!$G:$G,Flat_file!$B:$B,Summary_Employed!$B$2,Flat_file!$C:$C,"Women",Flat_file!$D:$D,"70-74",Flat_file!$E:$E,"444",Flat_file!$F:$F,"E")+SUMIFS(Flat_file!$G:$G,Flat_file!$B:$B,Summary_Employed!$B$2,Flat_file!$C:$C,"Women",Flat_file!$D:$D,"70-74",Flat_file!$E:$E,"453",Flat_file!$F:$F,"E")+SUMIFS(Flat_file!$G:$G,Flat_file!$B:$B,Summary_Employed!$B$2,Flat_file!$C:$C,"Women",Flat_file!$D:$D,"70-74",Flat_file!$E:$E,"454",Flat_file!$F:$F,"E")</f>
        <v>0</v>
      </c>
      <c r="J30" s="225">
        <f>SUMIFS(Flat_file!$G:$G,Flat_file!$B:$B,Summary_Employed!$B$2,Flat_file!$C:$C,"Women",Flat_file!$D:$D,"70-74",Flat_file!$E:$E,"540",Flat_file!$F:$F,"E")+SUMIFS(Flat_file!$G:$G,Flat_file!$B:$B,Summary_Employed!$B$2,Flat_file!$C:$C,"Women",Flat_file!$D:$D,"70-74",Flat_file!$E:$E,"550",Flat_file!$F:$F,"E")+SUMIFS(Flat_file!$G:$G,Flat_file!$B:$B,Summary_Employed!$B$2,Flat_file!$C:$C,"Women",Flat_file!$D:$D,"70-74",Flat_file!$E:$E,"560",Flat_file!$F:$F,"E")</f>
        <v>0</v>
      </c>
      <c r="K30" s="225">
        <f>SUMIFS(Flat_file!$G:$G,Flat_file!$B:$B,Summary_Employed!$B$2,Flat_file!$C:$C,"Women",Flat_file!$D:$D,"70-74",Flat_file!$E:$E,"640",Flat_file!$F:$F,"E")+SUMIFS(Flat_file!$G:$G,Flat_file!$B:$B,Summary_Employed!$B$2,Flat_file!$C:$C,"Women",Flat_file!$D:$D,"70-74",Flat_file!$E:$E,"650",Flat_file!$F:$F,"E")+SUMIFS(Flat_file!$G:$G,Flat_file!$B:$B,Summary_Employed!$B$2,Flat_file!$C:$C,"Women",Flat_file!$D:$D,"70-74",Flat_file!$E:$E,"660",Flat_file!$F:$F,"E")</f>
        <v>0</v>
      </c>
      <c r="L30" s="225">
        <f>SUMIFS(Flat_file!$G:$G,Flat_file!$B:$B,Summary_Employed!$B$2,Flat_file!$C:$C,"Women",Flat_file!$D:$D,"70-74",Flat_file!$E:$E,"740",Flat_file!$F:$F,"E")+SUMIFS(Flat_file!$G:$G,Flat_file!$B:$B,Summary_Employed!$B$2,Flat_file!$C:$C,"Women",Flat_file!$D:$D,"70-74",Flat_file!$E:$E,"750",Flat_file!$F:$F,"E")+SUMIFS(Flat_file!$G:$G,Flat_file!$B:$B,Summary_Employed!$B$2,Flat_file!$C:$C,"Women",Flat_file!$D:$D,"70-74",Flat_file!$E:$E,"760",Flat_file!$F:$F,"E")</f>
        <v>0</v>
      </c>
      <c r="M30" s="225">
        <f>SUMIFS(Flat_file!$G:$G,Flat_file!$B:$B,Summary_Employed!$B$2,Flat_file!$C:$C,"Women",Flat_file!$D:$D,"70-74",Flat_file!$E:$E,"840",Flat_file!$F:$F,"E")+SUMIFS(Flat_file!$G:$G,Flat_file!$B:$B,Summary_Employed!$B$2,Flat_file!$C:$C,"Women",Flat_file!$D:$D,"70-74",Flat_file!$E:$E,"850",Flat_file!$F:$F,"E")+SUMIFS(Flat_file!$G:$G,Flat_file!$B:$B,Summary_Employed!$B$2,Flat_file!$C:$C,"Women",Flat_file!$D:$D,"70-74",Flat_file!$E:$E,"860",Flat_file!$F:$F,"E")</f>
        <v>0</v>
      </c>
      <c r="N30" s="225">
        <f>SUMIFS(Flat_file!$G:$G,Flat_file!$B:$B,Summary_Employed!$B$2,Flat_file!$C:$C,"Women",Flat_file!$D:$D,"70-74",Flat_file!$E:$E,"999",Flat_file!$F:$F,"E")</f>
        <v>0</v>
      </c>
      <c r="O30" s="89">
        <f t="shared" si="5"/>
        <v>0</v>
      </c>
      <c r="P30" s="90"/>
      <c r="Q30" s="89">
        <f t="shared" si="6"/>
        <v>0</v>
      </c>
      <c r="R30" s="91"/>
      <c r="S30" s="89">
        <f t="shared" si="7"/>
        <v>0</v>
      </c>
      <c r="T30" s="89">
        <f t="shared" si="8"/>
        <v>0</v>
      </c>
      <c r="U30" s="89">
        <f t="shared" si="9"/>
        <v>0</v>
      </c>
      <c r="V30" s="90"/>
      <c r="W30" s="225">
        <f>SUMIFS(Flat_file!$G:$G,Flat_file!$B:$B,Summary_Employed!$B$2,Flat_file!$C:$C,"Women",Flat_file!$D:$D,"70-74",Flat_file!$E:$E,"343",Flat_file!$F:$F,"E")+SUMIFS(Flat_file!$G:$G,Flat_file!$B:$B,Summary_Employed!$B$2,Flat_file!$C:$C,"Women",Flat_file!$D:$D,"70-74",Flat_file!$E:$E,"344",Flat_file!$F:$F,"E")+SUMIFS(Flat_file!$G:$G,Flat_file!$B:$B,Summary_Employed!$B$2,Flat_file!$C:$C,"Women",Flat_file!$D:$D,"70-74",Flat_file!$E:$E,"443",Flat_file!$F:$F,"E")+SUMIFS(Flat_file!$G:$G,Flat_file!$B:$B,Summary_Employed!$B$2,Flat_file!$C:$C,"Women",Flat_file!$D:$D,"70-74",Flat_file!$E:$E,"444",Flat_file!$F:$F,"E")</f>
        <v>0</v>
      </c>
      <c r="X30" s="225">
        <f>SUMIFS(Flat_file!$G:$G,Flat_file!$B:$B,Summary_Employed!$B$2,Flat_file!$C:$C,"Women",Flat_file!$D:$D,"70-74",Flat_file!$E:$E,"353",Flat_file!$F:$F,"E")+SUMIFS(Flat_file!$G:$G,Flat_file!$B:$B,Summary_Employed!$B$2,Flat_file!$C:$C,"Women",Flat_file!$D:$D,"70-74",Flat_file!$E:$E,"354",Flat_file!$F:$F,"E")+SUMIFS(Flat_file!$G:$G,Flat_file!$B:$B,Summary_Employed!$B$2,Flat_file!$C:$C,"Women",Flat_file!$D:$D,"70-74",Flat_file!$E:$E,"453",Flat_file!$F:$F,"E")+SUMIFS(Flat_file!$G:$G,Flat_file!$B:$B,Summary_Employed!$B$2,Flat_file!$C:$C,"Women",Flat_file!$D:$D,"70-74",Flat_file!$E:$E,"454",Flat_file!$F:$F,"E")</f>
        <v>0</v>
      </c>
      <c r="Y30" s="90"/>
      <c r="Z30" s="225">
        <f>SUMIFS(Flat_file!$G:$G,Flat_file!$B:$B,Summary_Employed!$B$2,Flat_file!$C:$C,"Women",Flat_file!$D:$D,"70-74",Flat_file!$E:$E,"640",Flat_file!$F:$F,"E")+SUMIFS(Flat_file!$G:$G,Flat_file!$B:$B,Summary_Employed!$B$2,Flat_file!$C:$C,"Women",Flat_file!$D:$D,"70-74",Flat_file!$E:$E,"740",Flat_file!$F:$F,"E")+SUMIFS(Flat_file!$G:$G,Flat_file!$B:$B,Summary_Employed!$B$2,Flat_file!$C:$C,"Women",Flat_file!$D:$D,"70-74",Flat_file!$E:$E,"840",Flat_file!$F:$F,"E")</f>
        <v>0</v>
      </c>
      <c r="AA30" s="225">
        <f>SUMIFS(Flat_file!$G:$G,Flat_file!$B:$B,Summary_Employed!$B$2,Flat_file!$C:$C,"Women",Flat_file!$D:$D,"70-74",Flat_file!$E:$E,"650",Flat_file!$F:$F,"E")+SUMIFS(Flat_file!$G:$G,Flat_file!$B:$B,Summary_Employed!$B$2,Flat_file!$C:$C,"Women",Flat_file!$D:$D,"70-74",Flat_file!$E:$E,"750",Flat_file!$F:$F,"E")+SUMIFS(Flat_file!$G:$G,Flat_file!$B:$B,Summary_Employed!$B$2,Flat_file!$C:$C,"Women",Flat_file!$D:$D,"70-74",Flat_file!$E:$E,"850",Flat_file!$F:$F,"E")</f>
        <v>0</v>
      </c>
      <c r="AB30" s="225">
        <f>SUMIFS(Flat_file!$G:$G,Flat_file!$B:$B,Summary_Employed!$B$2,Flat_file!$C:$C,"Women",Flat_file!$D:$D,"70-74",Flat_file!$E:$E,"660",Flat_file!$F:$F,"E")+SUMIFS(Flat_file!$G:$G,Flat_file!$B:$B,Summary_Employed!$B$2,Flat_file!$C:$C,"Women",Flat_file!$D:$D,"70-74",Flat_file!$E:$E,"760",Flat_file!$F:$F,"E")+SUMIFS(Flat_file!$G:$G,Flat_file!$B:$B,Summary_Employed!$B$2,Flat_file!$C:$C,"Women",Flat_file!$D:$D,"70-74",Flat_file!$E:$E,"860",Flat_file!$F:$F,"E")</f>
        <v>0</v>
      </c>
      <c r="AC30" s="3"/>
      <c r="AD30" s="202"/>
      <c r="AE30" s="202"/>
      <c r="AF30" s="204">
        <v>640</v>
      </c>
      <c r="AG30" s="202"/>
      <c r="AH30" s="3"/>
      <c r="AI30" s="3"/>
    </row>
    <row r="31" spans="1:35" customFormat="1" ht="13.5" thickBot="1" x14ac:dyDescent="0.25">
      <c r="A31" s="352"/>
      <c r="B31" s="79" t="s">
        <v>261</v>
      </c>
      <c r="C31" s="225">
        <f>SUMIFS(Flat_file!$G:$G,Flat_file!$B:$B,Summary_Employed!$B$2,Flat_file!$C:$C,"Women",Flat_file!$D:$D,"75+",Flat_file!$E:$E,"010",Flat_file!$F:$F,"E")+SUMIFS(Flat_file!$G:$G,Flat_file!$B:$B,Summary_Employed!$B$2,Flat_file!$C:$C,"Women",Flat_file!$D:$D,"75+",Flat_file!$E:$E,"020",Flat_file!$F:$F,"E")+SUMIFS(Flat_file!$G:$G,Flat_file!$B:$B,Summary_Employed!$B$2,Flat_file!$C:$C,"Women",Flat_file!$D:$D,"75+",Flat_file!$E:$E,"030",Flat_file!$F:$F,"E")</f>
        <v>0</v>
      </c>
      <c r="D31" s="225">
        <f>SUMIFS(Flat_file!$G:$G,Flat_file!$B:$B,Summary_Employed!$B$2,Flat_file!$C:$C,"Women",Flat_file!$D:$D,"75+",Flat_file!$E:$E,"100",Flat_file!$F:$F,"E")</f>
        <v>0</v>
      </c>
      <c r="E31" s="225">
        <f>SUMIFS(Flat_file!$G:$G,Flat_file!$B:$B,Summary_Employed!$B$2,Flat_file!$C:$C,"Women",Flat_file!$D:$D,"75+",Flat_file!$E:$E,"242",Flat_file!$F:$F,"E")+SUMIFS(Flat_file!$G:$G,Flat_file!$B:$B,Summary_Employed!$B$2,Flat_file!$C:$C,"Women",Flat_file!$D:$D,"75+",Flat_file!$E:$E,"252",Flat_file!$F:$F,"E")</f>
        <v>0</v>
      </c>
      <c r="F31" s="225">
        <f>SUMIFS(Flat_file!$G:$G,Flat_file!$B:$B,Summary_Employed!$B$2,Flat_file!$C:$C,"Women",Flat_file!$D:$D,"75+",Flat_file!$E:$E,"243",Flat_file!$F:$F,"E")+SUMIFS(Flat_file!$G:$G,Flat_file!$B:$B,Summary_Employed!$B$2,Flat_file!$C:$C,"Women",Flat_file!$D:$D,"75+",Flat_file!$E:$E,"244",Flat_file!$F:$F,"E")+SUMIFS(Flat_file!$G:$G,Flat_file!$B:$B,Summary_Employed!$B$2,Flat_file!$C:$C,"Women",Flat_file!$D:$D,"75+",Flat_file!$E:$E,"253",Flat_file!$F:$F,"E")+SUMIFS(Flat_file!$G:$G,Flat_file!$B:$B,Summary_Employed!$B$2,Flat_file!$C:$C,"Women",Flat_file!$D:$D,"75+",Flat_file!$E:$E,"254",Flat_file!$F:$F,"E")</f>
        <v>0</v>
      </c>
      <c r="G31" s="225">
        <f>SUMIFS(Flat_file!$G:$G,Flat_file!$B:$B,Summary_Employed!$B$2,Flat_file!$C:$C,"Women",Flat_file!$D:$D,"75+",Flat_file!$E:$E,"342",Flat_file!$F:$F,"E")+SUMIFS(Flat_file!$G:$G,Flat_file!$B:$B,Summary_Employed!$B$2,Flat_file!$C:$C,"Women",Flat_file!$D:$D,"75+",Flat_file!$E:$E,"352",Flat_file!$F:$F,"E")</f>
        <v>0</v>
      </c>
      <c r="H31" s="225">
        <f>SUMIFS(Flat_file!$G:$G,Flat_file!$B:$B,Summary_Employed!$B$2,Flat_file!$C:$C,"Women",Flat_file!$D:$D,"75+",Flat_file!$E:$E,"343",Flat_file!$F:$F,"E")+SUMIFS(Flat_file!$G:$G,Flat_file!$B:$B,Summary_Employed!$B$2,Flat_file!$C:$C,"Women",Flat_file!$D:$D,"75+",Flat_file!$E:$E,"344",Flat_file!$F:$F,"E")+SUMIFS(Flat_file!$G:$G,Flat_file!$B:$B,Summary_Employed!$B$2,Flat_file!$C:$C,"Women",Flat_file!$D:$D,"75+",Flat_file!$E:$E,"353",Flat_file!$F:$F,"E")+SUMIFS(Flat_file!$G:$G,Flat_file!$B:$B,Summary_Employed!$B$2,Flat_file!$C:$C,"Women",Flat_file!$D:$D,"75+",Flat_file!$E:$E,"354",Flat_file!$F:$F,"E")</f>
        <v>0</v>
      </c>
      <c r="I31" s="225">
        <f>SUMIFS(Flat_file!$G:$G,Flat_file!$B:$B,Summary_Employed!$B$2,Flat_file!$C:$C,"Women",Flat_file!$D:$D,"75+",Flat_file!$E:$E,"443",Flat_file!$F:$F,"E")+SUMIFS(Flat_file!$G:$G,Flat_file!$B:$B,Summary_Employed!$B$2,Flat_file!$C:$C,"Women",Flat_file!$D:$D,"75+",Flat_file!$E:$E,"444",Flat_file!$F:$F,"E")+SUMIFS(Flat_file!$G:$G,Flat_file!$B:$B,Summary_Employed!$B$2,Flat_file!$C:$C,"Women",Flat_file!$D:$D,"75+",Flat_file!$E:$E,"453",Flat_file!$F:$F,"E")+SUMIFS(Flat_file!$G:$G,Flat_file!$B:$B,Summary_Employed!$B$2,Flat_file!$C:$C,"Women",Flat_file!$D:$D,"75+",Flat_file!$E:$E,"454",Flat_file!$F:$F,"E")</f>
        <v>0</v>
      </c>
      <c r="J31" s="225">
        <f>SUMIFS(Flat_file!$G:$G,Flat_file!$B:$B,Summary_Employed!$B$2,Flat_file!$C:$C,"Women",Flat_file!$D:$D,"75+",Flat_file!$E:$E,"540",Flat_file!$F:$F,"E")+SUMIFS(Flat_file!$G:$G,Flat_file!$B:$B,Summary_Employed!$B$2,Flat_file!$C:$C,"Women",Flat_file!$D:$D,"75+",Flat_file!$E:$E,"550",Flat_file!$F:$F,"E")+SUMIFS(Flat_file!$G:$G,Flat_file!$B:$B,Summary_Employed!$B$2,Flat_file!$C:$C,"Women",Flat_file!$D:$D,"75+",Flat_file!$E:$E,"560",Flat_file!$F:$F,"E")</f>
        <v>0</v>
      </c>
      <c r="K31" s="225">
        <f>SUMIFS(Flat_file!$G:$G,Flat_file!$B:$B,Summary_Employed!$B$2,Flat_file!$C:$C,"Women",Flat_file!$D:$D,"75+",Flat_file!$E:$E,"640",Flat_file!$F:$F,"E")+SUMIFS(Flat_file!$G:$G,Flat_file!$B:$B,Summary_Employed!$B$2,Flat_file!$C:$C,"Women",Flat_file!$D:$D,"75+",Flat_file!$E:$E,"650",Flat_file!$F:$F,"E")+SUMIFS(Flat_file!$G:$G,Flat_file!$B:$B,Summary_Employed!$B$2,Flat_file!$C:$C,"Women",Flat_file!$D:$D,"75+",Flat_file!$E:$E,"660",Flat_file!$F:$F,"E")</f>
        <v>0</v>
      </c>
      <c r="L31" s="225">
        <f>SUMIFS(Flat_file!$G:$G,Flat_file!$B:$B,Summary_Employed!$B$2,Flat_file!$C:$C,"Women",Flat_file!$D:$D,"75+",Flat_file!$E:$E,"740",Flat_file!$F:$F,"E")+SUMIFS(Flat_file!$G:$G,Flat_file!$B:$B,Summary_Employed!$B$2,Flat_file!$C:$C,"Women",Flat_file!$D:$D,"75+",Flat_file!$E:$E,"750",Flat_file!$F:$F,"E")+SUMIFS(Flat_file!$G:$G,Flat_file!$B:$B,Summary_Employed!$B$2,Flat_file!$C:$C,"Women",Flat_file!$D:$D,"75+",Flat_file!$E:$E,"760",Flat_file!$F:$F,"E")</f>
        <v>0</v>
      </c>
      <c r="M31" s="225">
        <f>SUMIFS(Flat_file!$G:$G,Flat_file!$B:$B,Summary_Employed!$B$2,Flat_file!$C:$C,"Women",Flat_file!$D:$D,"75+",Flat_file!$E:$E,"840",Flat_file!$F:$F,"E")+SUMIFS(Flat_file!$G:$G,Flat_file!$B:$B,Summary_Employed!$B$2,Flat_file!$C:$C,"Women",Flat_file!$D:$D,"75+",Flat_file!$E:$E,"850",Flat_file!$F:$F,"E")+SUMIFS(Flat_file!$G:$G,Flat_file!$B:$B,Summary_Employed!$B$2,Flat_file!$C:$C,"Women",Flat_file!$D:$D,"75+",Flat_file!$E:$E,"860",Flat_file!$F:$F,"E")</f>
        <v>0</v>
      </c>
      <c r="N31" s="225">
        <f>SUMIFS(Flat_file!$G:$G,Flat_file!$B:$B,Summary_Employed!$B$2,Flat_file!$C:$C,"Women",Flat_file!$D:$D,"75+",Flat_file!$E:$E,"999",Flat_file!$F:$F,"E")</f>
        <v>0</v>
      </c>
      <c r="O31" s="89">
        <f t="shared" si="5"/>
        <v>0</v>
      </c>
      <c r="P31" s="90"/>
      <c r="Q31" s="89">
        <f t="shared" si="6"/>
        <v>0</v>
      </c>
      <c r="R31" s="91"/>
      <c r="S31" s="89">
        <f t="shared" si="7"/>
        <v>0</v>
      </c>
      <c r="T31" s="89">
        <f t="shared" si="8"/>
        <v>0</v>
      </c>
      <c r="U31" s="89">
        <f t="shared" si="9"/>
        <v>0</v>
      </c>
      <c r="V31" s="90"/>
      <c r="W31" s="225">
        <f>SUMIFS(Flat_file!$G:$G,Flat_file!$B:$B,Summary_Employed!$B$2,Flat_file!$C:$C,"Women",Flat_file!$D:$D,"75+",Flat_file!$E:$E,"343",Flat_file!$F:$F,"E")+SUMIFS(Flat_file!$G:$G,Flat_file!$B:$B,Summary_Employed!$B$2,Flat_file!$C:$C,"Women",Flat_file!$D:$D,"75+",Flat_file!$E:$E,"344",Flat_file!$F:$F,"E")+SUMIFS(Flat_file!$G:$G,Flat_file!$B:$B,Summary_Employed!$B$2,Flat_file!$C:$C,"Women",Flat_file!$D:$D,"75+",Flat_file!$E:$E,"443",Flat_file!$F:$F,"E")+SUMIFS(Flat_file!$G:$G,Flat_file!$B:$B,Summary_Employed!$B$2,Flat_file!$C:$C,"Women",Flat_file!$D:$D,"75+",Flat_file!$E:$E,"444",Flat_file!$F:$F,"E")</f>
        <v>0</v>
      </c>
      <c r="X31" s="225">
        <f>SUMIFS(Flat_file!$G:$G,Flat_file!$B:$B,Summary_Employed!$B$2,Flat_file!$C:$C,"Women",Flat_file!$D:$D,"75+",Flat_file!$E:$E,"353",Flat_file!$F:$F,"E")+SUMIFS(Flat_file!$G:$G,Flat_file!$B:$B,Summary_Employed!$B$2,Flat_file!$C:$C,"Women",Flat_file!$D:$D,"75+",Flat_file!$E:$E,"354",Flat_file!$F:$F,"E")+SUMIFS(Flat_file!$G:$G,Flat_file!$B:$B,Summary_Employed!$B$2,Flat_file!$C:$C,"Women",Flat_file!$D:$D,"75+",Flat_file!$E:$E,"453",Flat_file!$F:$F,"E")+SUMIFS(Flat_file!$G:$G,Flat_file!$B:$B,Summary_Employed!$B$2,Flat_file!$C:$C,"Women",Flat_file!$D:$D,"75+",Flat_file!$E:$E,"454",Flat_file!$F:$F,"E")</f>
        <v>0</v>
      </c>
      <c r="Y31" s="90"/>
      <c r="Z31" s="225">
        <f>SUMIFS(Flat_file!$G:$G,Flat_file!$B:$B,Summary_Employed!$B$2,Flat_file!$C:$C,"Women",Flat_file!$D:$D,"75+",Flat_file!$E:$E,"640",Flat_file!$F:$F,"E")+SUMIFS(Flat_file!$G:$G,Flat_file!$B:$B,Summary_Employed!$B$2,Flat_file!$C:$C,"Women",Flat_file!$D:$D,"75+",Flat_file!$E:$E,"740",Flat_file!$F:$F,"E")+SUMIFS(Flat_file!$G:$G,Flat_file!$B:$B,Summary_Employed!$B$2,Flat_file!$C:$C,"Women",Flat_file!$D:$D,"75+",Flat_file!$E:$E,"840",Flat_file!$F:$F,"E")</f>
        <v>0</v>
      </c>
      <c r="AA31" s="225">
        <f>SUMIFS(Flat_file!$G:$G,Flat_file!$B:$B,Summary_Employed!$B$2,Flat_file!$C:$C,"Women",Flat_file!$D:$D,"75+",Flat_file!$E:$E,"650",Flat_file!$F:$F,"E")+SUMIFS(Flat_file!$G:$G,Flat_file!$B:$B,Summary_Employed!$B$2,Flat_file!$C:$C,"Women",Flat_file!$D:$D,"75+",Flat_file!$E:$E,"750",Flat_file!$F:$F,"E")+SUMIFS(Flat_file!$G:$G,Flat_file!$B:$B,Summary_Employed!$B$2,Flat_file!$C:$C,"Women",Flat_file!$D:$D,"75+",Flat_file!$E:$E,"850",Flat_file!$F:$F,"E")</f>
        <v>0</v>
      </c>
      <c r="AB31" s="225">
        <f>SUMIFS(Flat_file!$G:$G,Flat_file!$B:$B,Summary_Employed!$B$2,Flat_file!$C:$C,"Women",Flat_file!$D:$D,"75+",Flat_file!$E:$E,"660",Flat_file!$F:$F,"E")+SUMIFS(Flat_file!$G:$G,Flat_file!$B:$B,Summary_Employed!$B$2,Flat_file!$C:$C,"Women",Flat_file!$D:$D,"75+",Flat_file!$E:$E,"760",Flat_file!$F:$F,"E")+SUMIFS(Flat_file!$G:$G,Flat_file!$B:$B,Summary_Employed!$B$2,Flat_file!$C:$C,"Women",Flat_file!$D:$D,"75+",Flat_file!$E:$E,"860",Flat_file!$F:$F,"E")</f>
        <v>0</v>
      </c>
      <c r="AC31" s="3"/>
      <c r="AD31" s="202"/>
      <c r="AE31" s="202"/>
      <c r="AF31" s="204">
        <v>650</v>
      </c>
      <c r="AG31" s="202"/>
      <c r="AH31" s="3"/>
      <c r="AI31" s="3"/>
    </row>
    <row r="32" spans="1:35" customFormat="1" x14ac:dyDescent="0.2">
      <c r="A32" s="351" t="s">
        <v>133</v>
      </c>
      <c r="B32" s="78" t="s">
        <v>87</v>
      </c>
      <c r="C32" s="86">
        <f t="shared" ref="C32:O32" si="10">C6+C19</f>
        <v>0</v>
      </c>
      <c r="D32" s="86">
        <f t="shared" si="10"/>
        <v>0</v>
      </c>
      <c r="E32" s="86">
        <f t="shared" si="10"/>
        <v>0</v>
      </c>
      <c r="F32" s="86">
        <f t="shared" si="10"/>
        <v>0</v>
      </c>
      <c r="G32" s="86">
        <f t="shared" si="10"/>
        <v>0</v>
      </c>
      <c r="H32" s="86">
        <f t="shared" si="10"/>
        <v>0</v>
      </c>
      <c r="I32" s="86">
        <f t="shared" si="10"/>
        <v>0</v>
      </c>
      <c r="J32" s="86">
        <f t="shared" si="10"/>
        <v>0</v>
      </c>
      <c r="K32" s="86">
        <f t="shared" si="10"/>
        <v>0</v>
      </c>
      <c r="L32" s="86">
        <f t="shared" si="10"/>
        <v>0</v>
      </c>
      <c r="M32" s="86">
        <f t="shared" si="10"/>
        <v>0</v>
      </c>
      <c r="N32" s="86">
        <f t="shared" si="10"/>
        <v>0</v>
      </c>
      <c r="O32" s="86">
        <f t="shared" si="10"/>
        <v>0</v>
      </c>
      <c r="P32" s="87"/>
      <c r="Q32" s="86">
        <f t="shared" ref="Q32:Q44" si="11">Q6+Q19</f>
        <v>0</v>
      </c>
      <c r="R32" s="88"/>
      <c r="S32" s="86">
        <f t="shared" ref="S32:U41" si="12">S6+S19</f>
        <v>0</v>
      </c>
      <c r="T32" s="86">
        <f t="shared" si="12"/>
        <v>0</v>
      </c>
      <c r="U32" s="86">
        <f t="shared" si="12"/>
        <v>0</v>
      </c>
      <c r="V32" s="87"/>
      <c r="W32" s="86">
        <f t="shared" ref="W32:X41" si="13">W6+W19</f>
        <v>0</v>
      </c>
      <c r="X32" s="86">
        <f t="shared" si="13"/>
        <v>0</v>
      </c>
      <c r="Y32" s="87"/>
      <c r="Z32" s="86">
        <f t="shared" ref="Z32:AB41" si="14">Z6+Z19</f>
        <v>0</v>
      </c>
      <c r="AA32" s="86">
        <f t="shared" si="14"/>
        <v>0</v>
      </c>
      <c r="AB32" s="86">
        <f t="shared" si="14"/>
        <v>0</v>
      </c>
      <c r="AC32" s="3"/>
      <c r="AD32" s="202"/>
      <c r="AE32" s="202"/>
      <c r="AF32" s="204">
        <v>660</v>
      </c>
      <c r="AG32" s="202"/>
      <c r="AH32" s="3"/>
      <c r="AI32" s="3"/>
    </row>
    <row r="33" spans="1:35" customFormat="1" x14ac:dyDescent="0.2">
      <c r="A33" s="352"/>
      <c r="B33" s="79" t="s">
        <v>88</v>
      </c>
      <c r="C33" s="89">
        <f t="shared" ref="C33:O33" si="15">C7+C20</f>
        <v>0</v>
      </c>
      <c r="D33" s="89">
        <f t="shared" si="15"/>
        <v>0</v>
      </c>
      <c r="E33" s="89">
        <f t="shared" si="15"/>
        <v>0</v>
      </c>
      <c r="F33" s="89">
        <f t="shared" si="15"/>
        <v>0</v>
      </c>
      <c r="G33" s="89">
        <f t="shared" si="15"/>
        <v>0</v>
      </c>
      <c r="H33" s="89">
        <f t="shared" si="15"/>
        <v>0</v>
      </c>
      <c r="I33" s="89">
        <f t="shared" si="15"/>
        <v>0</v>
      </c>
      <c r="J33" s="89">
        <f t="shared" si="15"/>
        <v>0</v>
      </c>
      <c r="K33" s="89">
        <f t="shared" si="15"/>
        <v>0</v>
      </c>
      <c r="L33" s="89">
        <f t="shared" si="15"/>
        <v>0</v>
      </c>
      <c r="M33" s="89">
        <f t="shared" si="15"/>
        <v>0</v>
      </c>
      <c r="N33" s="89">
        <f t="shared" si="15"/>
        <v>0</v>
      </c>
      <c r="O33" s="89">
        <f t="shared" si="15"/>
        <v>0</v>
      </c>
      <c r="P33" s="90"/>
      <c r="Q33" s="89">
        <f t="shared" si="11"/>
        <v>0</v>
      </c>
      <c r="R33" s="91"/>
      <c r="S33" s="89">
        <f t="shared" si="12"/>
        <v>0</v>
      </c>
      <c r="T33" s="89">
        <f t="shared" si="12"/>
        <v>0</v>
      </c>
      <c r="U33" s="89">
        <f t="shared" si="12"/>
        <v>0</v>
      </c>
      <c r="V33" s="90"/>
      <c r="W33" s="89">
        <f t="shared" si="13"/>
        <v>0</v>
      </c>
      <c r="X33" s="89">
        <f t="shared" si="13"/>
        <v>0</v>
      </c>
      <c r="Y33" s="90"/>
      <c r="Z33" s="89">
        <f t="shared" si="14"/>
        <v>0</v>
      </c>
      <c r="AA33" s="89">
        <f t="shared" si="14"/>
        <v>0</v>
      </c>
      <c r="AB33" s="89">
        <f t="shared" si="14"/>
        <v>0</v>
      </c>
      <c r="AC33" s="3"/>
      <c r="AD33" s="202"/>
      <c r="AE33" s="202"/>
      <c r="AF33" s="204">
        <v>740</v>
      </c>
      <c r="AG33" s="202"/>
      <c r="AH33" s="3"/>
      <c r="AI33" s="3"/>
    </row>
    <row r="34" spans="1:35" customFormat="1" x14ac:dyDescent="0.2">
      <c r="A34" s="352"/>
      <c r="B34" s="79" t="s">
        <v>89</v>
      </c>
      <c r="C34" s="89">
        <f t="shared" ref="C34:O34" si="16">C8+C21</f>
        <v>0</v>
      </c>
      <c r="D34" s="89">
        <f t="shared" si="16"/>
        <v>0</v>
      </c>
      <c r="E34" s="89">
        <f t="shared" si="16"/>
        <v>0</v>
      </c>
      <c r="F34" s="89">
        <f t="shared" si="16"/>
        <v>0</v>
      </c>
      <c r="G34" s="89">
        <f t="shared" si="16"/>
        <v>0</v>
      </c>
      <c r="H34" s="89">
        <f t="shared" si="16"/>
        <v>0</v>
      </c>
      <c r="I34" s="89">
        <f t="shared" si="16"/>
        <v>0</v>
      </c>
      <c r="J34" s="89">
        <f t="shared" si="16"/>
        <v>0</v>
      </c>
      <c r="K34" s="89">
        <f t="shared" si="16"/>
        <v>0</v>
      </c>
      <c r="L34" s="89">
        <f t="shared" si="16"/>
        <v>0</v>
      </c>
      <c r="M34" s="89">
        <f t="shared" si="16"/>
        <v>0</v>
      </c>
      <c r="N34" s="89">
        <f t="shared" si="16"/>
        <v>0</v>
      </c>
      <c r="O34" s="89">
        <f t="shared" si="16"/>
        <v>0</v>
      </c>
      <c r="P34" s="90"/>
      <c r="Q34" s="89">
        <f t="shared" si="11"/>
        <v>0</v>
      </c>
      <c r="R34" s="91"/>
      <c r="S34" s="89">
        <f t="shared" si="12"/>
        <v>0</v>
      </c>
      <c r="T34" s="89">
        <f t="shared" si="12"/>
        <v>0</v>
      </c>
      <c r="U34" s="89">
        <f t="shared" si="12"/>
        <v>0</v>
      </c>
      <c r="V34" s="90"/>
      <c r="W34" s="89">
        <f t="shared" si="13"/>
        <v>0</v>
      </c>
      <c r="X34" s="89">
        <f t="shared" si="13"/>
        <v>0</v>
      </c>
      <c r="Y34" s="90"/>
      <c r="Z34" s="89">
        <f t="shared" si="14"/>
        <v>0</v>
      </c>
      <c r="AA34" s="89">
        <f t="shared" si="14"/>
        <v>0</v>
      </c>
      <c r="AB34" s="89">
        <f t="shared" si="14"/>
        <v>0</v>
      </c>
      <c r="AC34" s="3"/>
      <c r="AD34" s="202"/>
      <c r="AE34" s="202"/>
      <c r="AF34" s="204">
        <v>750</v>
      </c>
      <c r="AG34" s="202"/>
      <c r="AH34" s="3"/>
      <c r="AI34" s="3"/>
    </row>
    <row r="35" spans="1:35" customFormat="1" x14ac:dyDescent="0.2">
      <c r="A35" s="352"/>
      <c r="B35" s="79" t="s">
        <v>90</v>
      </c>
      <c r="C35" s="89">
        <f t="shared" ref="C35:O35" si="17">C9+C22</f>
        <v>0</v>
      </c>
      <c r="D35" s="89">
        <f t="shared" si="17"/>
        <v>0</v>
      </c>
      <c r="E35" s="89">
        <f t="shared" si="17"/>
        <v>0</v>
      </c>
      <c r="F35" s="89">
        <f t="shared" si="17"/>
        <v>0</v>
      </c>
      <c r="G35" s="89">
        <f t="shared" si="17"/>
        <v>0</v>
      </c>
      <c r="H35" s="89">
        <f t="shared" si="17"/>
        <v>0</v>
      </c>
      <c r="I35" s="89">
        <f t="shared" si="17"/>
        <v>0</v>
      </c>
      <c r="J35" s="89">
        <f t="shared" si="17"/>
        <v>0</v>
      </c>
      <c r="K35" s="89">
        <f t="shared" si="17"/>
        <v>0</v>
      </c>
      <c r="L35" s="89">
        <f t="shared" si="17"/>
        <v>0</v>
      </c>
      <c r="M35" s="89">
        <f t="shared" si="17"/>
        <v>0</v>
      </c>
      <c r="N35" s="89">
        <f t="shared" si="17"/>
        <v>0</v>
      </c>
      <c r="O35" s="89">
        <f t="shared" si="17"/>
        <v>0</v>
      </c>
      <c r="P35" s="90"/>
      <c r="Q35" s="89">
        <f t="shared" si="11"/>
        <v>0</v>
      </c>
      <c r="R35" s="91"/>
      <c r="S35" s="89">
        <f t="shared" si="12"/>
        <v>0</v>
      </c>
      <c r="T35" s="89">
        <f t="shared" si="12"/>
        <v>0</v>
      </c>
      <c r="U35" s="89">
        <f t="shared" si="12"/>
        <v>0</v>
      </c>
      <c r="V35" s="90"/>
      <c r="W35" s="89">
        <f t="shared" si="13"/>
        <v>0</v>
      </c>
      <c r="X35" s="89">
        <f t="shared" si="13"/>
        <v>0</v>
      </c>
      <c r="Y35" s="90"/>
      <c r="Z35" s="89">
        <f t="shared" si="14"/>
        <v>0</v>
      </c>
      <c r="AA35" s="89">
        <f t="shared" si="14"/>
        <v>0</v>
      </c>
      <c r="AB35" s="89">
        <f t="shared" si="14"/>
        <v>0</v>
      </c>
      <c r="AC35" s="3"/>
      <c r="AD35" s="202"/>
      <c r="AE35" s="202"/>
      <c r="AF35" s="204">
        <v>760</v>
      </c>
      <c r="AG35" s="202"/>
      <c r="AH35" s="3"/>
      <c r="AI35" s="3"/>
    </row>
    <row r="36" spans="1:35" customFormat="1" x14ac:dyDescent="0.2">
      <c r="A36" s="352"/>
      <c r="B36" s="79" t="s">
        <v>91</v>
      </c>
      <c r="C36" s="89">
        <f t="shared" ref="C36:O36" si="18">C10+C23</f>
        <v>0</v>
      </c>
      <c r="D36" s="89">
        <f t="shared" si="18"/>
        <v>0</v>
      </c>
      <c r="E36" s="89">
        <f t="shared" si="18"/>
        <v>0</v>
      </c>
      <c r="F36" s="89">
        <f t="shared" si="18"/>
        <v>0</v>
      </c>
      <c r="G36" s="89">
        <f t="shared" si="18"/>
        <v>0</v>
      </c>
      <c r="H36" s="89">
        <f t="shared" si="18"/>
        <v>0</v>
      </c>
      <c r="I36" s="89">
        <f t="shared" si="18"/>
        <v>0</v>
      </c>
      <c r="J36" s="89">
        <f t="shared" si="18"/>
        <v>0</v>
      </c>
      <c r="K36" s="89">
        <f t="shared" si="18"/>
        <v>0</v>
      </c>
      <c r="L36" s="89">
        <f t="shared" si="18"/>
        <v>0</v>
      </c>
      <c r="M36" s="89">
        <f t="shared" si="18"/>
        <v>0</v>
      </c>
      <c r="N36" s="89">
        <f t="shared" si="18"/>
        <v>0</v>
      </c>
      <c r="O36" s="89">
        <f t="shared" si="18"/>
        <v>0</v>
      </c>
      <c r="P36" s="90"/>
      <c r="Q36" s="89">
        <f t="shared" si="11"/>
        <v>0</v>
      </c>
      <c r="R36" s="91"/>
      <c r="S36" s="89">
        <f t="shared" si="12"/>
        <v>0</v>
      </c>
      <c r="T36" s="89">
        <f t="shared" si="12"/>
        <v>0</v>
      </c>
      <c r="U36" s="89">
        <f t="shared" si="12"/>
        <v>0</v>
      </c>
      <c r="V36" s="90"/>
      <c r="W36" s="89">
        <f t="shared" si="13"/>
        <v>0</v>
      </c>
      <c r="X36" s="89">
        <f t="shared" si="13"/>
        <v>0</v>
      </c>
      <c r="Y36" s="90"/>
      <c r="Z36" s="89">
        <f t="shared" si="14"/>
        <v>0</v>
      </c>
      <c r="AA36" s="89">
        <f t="shared" si="14"/>
        <v>0</v>
      </c>
      <c r="AB36" s="89">
        <f t="shared" si="14"/>
        <v>0</v>
      </c>
      <c r="AC36" s="3"/>
      <c r="AD36" s="202"/>
      <c r="AE36" s="202"/>
      <c r="AF36" s="204">
        <v>840</v>
      </c>
      <c r="AG36" s="202"/>
      <c r="AH36" s="3"/>
      <c r="AI36" s="3"/>
    </row>
    <row r="37" spans="1:35" customFormat="1" x14ac:dyDescent="0.2">
      <c r="A37" s="352"/>
      <c r="B37" s="79" t="s">
        <v>92</v>
      </c>
      <c r="C37" s="89">
        <f t="shared" ref="C37:O37" si="19">C11+C24</f>
        <v>0</v>
      </c>
      <c r="D37" s="89">
        <f t="shared" si="19"/>
        <v>0</v>
      </c>
      <c r="E37" s="89">
        <f t="shared" si="19"/>
        <v>0</v>
      </c>
      <c r="F37" s="89">
        <f t="shared" si="19"/>
        <v>0</v>
      </c>
      <c r="G37" s="89">
        <f t="shared" si="19"/>
        <v>0</v>
      </c>
      <c r="H37" s="89">
        <f t="shared" si="19"/>
        <v>0</v>
      </c>
      <c r="I37" s="89">
        <f t="shared" si="19"/>
        <v>0</v>
      </c>
      <c r="J37" s="89">
        <f t="shared" si="19"/>
        <v>0</v>
      </c>
      <c r="K37" s="89">
        <f t="shared" si="19"/>
        <v>0</v>
      </c>
      <c r="L37" s="89">
        <f t="shared" si="19"/>
        <v>0</v>
      </c>
      <c r="M37" s="89">
        <f t="shared" si="19"/>
        <v>0</v>
      </c>
      <c r="N37" s="89">
        <f t="shared" si="19"/>
        <v>0</v>
      </c>
      <c r="O37" s="89">
        <f t="shared" si="19"/>
        <v>0</v>
      </c>
      <c r="P37" s="90"/>
      <c r="Q37" s="89">
        <f t="shared" si="11"/>
        <v>0</v>
      </c>
      <c r="R37" s="91"/>
      <c r="S37" s="89">
        <f t="shared" si="12"/>
        <v>0</v>
      </c>
      <c r="T37" s="89">
        <f t="shared" si="12"/>
        <v>0</v>
      </c>
      <c r="U37" s="89">
        <f t="shared" si="12"/>
        <v>0</v>
      </c>
      <c r="V37" s="90"/>
      <c r="W37" s="89">
        <f t="shared" si="13"/>
        <v>0</v>
      </c>
      <c r="X37" s="89">
        <f t="shared" si="13"/>
        <v>0</v>
      </c>
      <c r="Y37" s="90"/>
      <c r="Z37" s="89">
        <f t="shared" si="14"/>
        <v>0</v>
      </c>
      <c r="AA37" s="89">
        <f t="shared" si="14"/>
        <v>0</v>
      </c>
      <c r="AB37" s="89">
        <f t="shared" si="14"/>
        <v>0</v>
      </c>
      <c r="AC37" s="3"/>
      <c r="AD37" s="202"/>
      <c r="AE37" s="202"/>
      <c r="AF37" s="204">
        <v>850</v>
      </c>
      <c r="AG37" s="202"/>
      <c r="AH37" s="3"/>
      <c r="AI37" s="3"/>
    </row>
    <row r="38" spans="1:35" customFormat="1" x14ac:dyDescent="0.2">
      <c r="A38" s="352"/>
      <c r="B38" s="79" t="s">
        <v>93</v>
      </c>
      <c r="C38" s="89">
        <f t="shared" ref="C38:O38" si="20">C12+C25</f>
        <v>0</v>
      </c>
      <c r="D38" s="89">
        <f t="shared" si="20"/>
        <v>0</v>
      </c>
      <c r="E38" s="89">
        <f t="shared" si="20"/>
        <v>0</v>
      </c>
      <c r="F38" s="89">
        <f t="shared" si="20"/>
        <v>0</v>
      </c>
      <c r="G38" s="89">
        <f t="shared" si="20"/>
        <v>0</v>
      </c>
      <c r="H38" s="89">
        <f t="shared" si="20"/>
        <v>0</v>
      </c>
      <c r="I38" s="89">
        <f t="shared" si="20"/>
        <v>0</v>
      </c>
      <c r="J38" s="89">
        <f t="shared" si="20"/>
        <v>0</v>
      </c>
      <c r="K38" s="89">
        <f t="shared" si="20"/>
        <v>0</v>
      </c>
      <c r="L38" s="89">
        <f t="shared" si="20"/>
        <v>0</v>
      </c>
      <c r="M38" s="89">
        <f t="shared" si="20"/>
        <v>0</v>
      </c>
      <c r="N38" s="89">
        <f t="shared" si="20"/>
        <v>0</v>
      </c>
      <c r="O38" s="89">
        <f t="shared" si="20"/>
        <v>0</v>
      </c>
      <c r="P38" s="90"/>
      <c r="Q38" s="89">
        <f t="shared" si="11"/>
        <v>0</v>
      </c>
      <c r="R38" s="91"/>
      <c r="S38" s="89">
        <f t="shared" si="12"/>
        <v>0</v>
      </c>
      <c r="T38" s="89">
        <f t="shared" si="12"/>
        <v>0</v>
      </c>
      <c r="U38" s="89">
        <f t="shared" si="12"/>
        <v>0</v>
      </c>
      <c r="V38" s="90"/>
      <c r="W38" s="89">
        <f t="shared" si="13"/>
        <v>0</v>
      </c>
      <c r="X38" s="89">
        <f t="shared" si="13"/>
        <v>0</v>
      </c>
      <c r="Y38" s="90"/>
      <c r="Z38" s="89">
        <f t="shared" si="14"/>
        <v>0</v>
      </c>
      <c r="AA38" s="89">
        <f t="shared" si="14"/>
        <v>0</v>
      </c>
      <c r="AB38" s="89">
        <f t="shared" si="14"/>
        <v>0</v>
      </c>
      <c r="AC38" s="3"/>
      <c r="AD38" s="202"/>
      <c r="AE38" s="202"/>
      <c r="AF38" s="204">
        <v>860</v>
      </c>
      <c r="AG38" s="202"/>
      <c r="AH38" s="3"/>
      <c r="AI38" s="3"/>
    </row>
    <row r="39" spans="1:35" customFormat="1" x14ac:dyDescent="0.2">
      <c r="A39" s="352"/>
      <c r="B39" s="79" t="s">
        <v>94</v>
      </c>
      <c r="C39" s="89">
        <f t="shared" ref="C39:O39" si="21">C13+C26</f>
        <v>0</v>
      </c>
      <c r="D39" s="89">
        <f t="shared" si="21"/>
        <v>0</v>
      </c>
      <c r="E39" s="89">
        <f t="shared" si="21"/>
        <v>0</v>
      </c>
      <c r="F39" s="89">
        <f t="shared" si="21"/>
        <v>0</v>
      </c>
      <c r="G39" s="89">
        <f t="shared" si="21"/>
        <v>0</v>
      </c>
      <c r="H39" s="89">
        <f t="shared" si="21"/>
        <v>0</v>
      </c>
      <c r="I39" s="89">
        <f t="shared" si="21"/>
        <v>0</v>
      </c>
      <c r="J39" s="89">
        <f t="shared" si="21"/>
        <v>0</v>
      </c>
      <c r="K39" s="89">
        <f t="shared" si="21"/>
        <v>0</v>
      </c>
      <c r="L39" s="89">
        <f t="shared" si="21"/>
        <v>0</v>
      </c>
      <c r="M39" s="89">
        <f t="shared" si="21"/>
        <v>0</v>
      </c>
      <c r="N39" s="89">
        <f t="shared" si="21"/>
        <v>0</v>
      </c>
      <c r="O39" s="89">
        <f t="shared" si="21"/>
        <v>0</v>
      </c>
      <c r="P39" s="90"/>
      <c r="Q39" s="89">
        <f t="shared" si="11"/>
        <v>0</v>
      </c>
      <c r="R39" s="91"/>
      <c r="S39" s="89">
        <f t="shared" si="12"/>
        <v>0</v>
      </c>
      <c r="T39" s="89">
        <f t="shared" si="12"/>
        <v>0</v>
      </c>
      <c r="U39" s="89">
        <f t="shared" si="12"/>
        <v>0</v>
      </c>
      <c r="V39" s="90"/>
      <c r="W39" s="89">
        <f t="shared" si="13"/>
        <v>0</v>
      </c>
      <c r="X39" s="89">
        <f t="shared" si="13"/>
        <v>0</v>
      </c>
      <c r="Y39" s="90"/>
      <c r="Z39" s="89">
        <f t="shared" si="14"/>
        <v>0</v>
      </c>
      <c r="AA39" s="89">
        <f t="shared" si="14"/>
        <v>0</v>
      </c>
      <c r="AB39" s="89">
        <f t="shared" si="14"/>
        <v>0</v>
      </c>
      <c r="AC39" s="3"/>
      <c r="AD39" s="202"/>
      <c r="AE39" s="202"/>
      <c r="AF39" s="282">
        <v>999</v>
      </c>
      <c r="AG39" s="202"/>
      <c r="AH39" s="3"/>
      <c r="AI39" s="3"/>
    </row>
    <row r="40" spans="1:35" customFormat="1" x14ac:dyDescent="0.2">
      <c r="A40" s="352"/>
      <c r="B40" s="79" t="s">
        <v>95</v>
      </c>
      <c r="C40" s="89">
        <f t="shared" ref="C40:O40" si="22">C14+C27</f>
        <v>0</v>
      </c>
      <c r="D40" s="89">
        <f t="shared" si="22"/>
        <v>0</v>
      </c>
      <c r="E40" s="89">
        <f t="shared" si="22"/>
        <v>0</v>
      </c>
      <c r="F40" s="89">
        <f t="shared" si="22"/>
        <v>0</v>
      </c>
      <c r="G40" s="89">
        <f t="shared" si="22"/>
        <v>0</v>
      </c>
      <c r="H40" s="89">
        <f t="shared" si="22"/>
        <v>0</v>
      </c>
      <c r="I40" s="89">
        <f t="shared" si="22"/>
        <v>0</v>
      </c>
      <c r="J40" s="89">
        <f t="shared" si="22"/>
        <v>0</v>
      </c>
      <c r="K40" s="89">
        <f t="shared" si="22"/>
        <v>0</v>
      </c>
      <c r="L40" s="89">
        <f t="shared" si="22"/>
        <v>0</v>
      </c>
      <c r="M40" s="89">
        <f t="shared" si="22"/>
        <v>0</v>
      </c>
      <c r="N40" s="89">
        <f t="shared" si="22"/>
        <v>0</v>
      </c>
      <c r="O40" s="89">
        <f t="shared" si="22"/>
        <v>0</v>
      </c>
      <c r="P40" s="90"/>
      <c r="Q40" s="89">
        <f t="shared" si="11"/>
        <v>0</v>
      </c>
      <c r="R40" s="91"/>
      <c r="S40" s="89">
        <f t="shared" si="12"/>
        <v>0</v>
      </c>
      <c r="T40" s="89">
        <f t="shared" si="12"/>
        <v>0</v>
      </c>
      <c r="U40" s="89">
        <f t="shared" si="12"/>
        <v>0</v>
      </c>
      <c r="V40" s="90"/>
      <c r="W40" s="89">
        <f t="shared" si="13"/>
        <v>0</v>
      </c>
      <c r="X40" s="89">
        <f t="shared" si="13"/>
        <v>0</v>
      </c>
      <c r="Y40" s="90"/>
      <c r="Z40" s="89">
        <f t="shared" si="14"/>
        <v>0</v>
      </c>
      <c r="AA40" s="89">
        <f t="shared" si="14"/>
        <v>0</v>
      </c>
      <c r="AB40" s="89">
        <f t="shared" si="14"/>
        <v>0</v>
      </c>
      <c r="AC40" s="3"/>
      <c r="AD40" s="202"/>
      <c r="AE40" s="202"/>
      <c r="AF40" s="204"/>
      <c r="AG40" s="202"/>
      <c r="AH40" s="3"/>
      <c r="AI40" s="3"/>
    </row>
    <row r="41" spans="1:35" customFormat="1" x14ac:dyDescent="0.2">
      <c r="A41" s="352"/>
      <c r="B41" s="79" t="s">
        <v>96</v>
      </c>
      <c r="C41" s="89">
        <f t="shared" ref="C41:O41" si="23">C15+C28</f>
        <v>0</v>
      </c>
      <c r="D41" s="89">
        <f t="shared" si="23"/>
        <v>0</v>
      </c>
      <c r="E41" s="89">
        <f t="shared" si="23"/>
        <v>0</v>
      </c>
      <c r="F41" s="89">
        <f t="shared" si="23"/>
        <v>0</v>
      </c>
      <c r="G41" s="89">
        <f t="shared" si="23"/>
        <v>0</v>
      </c>
      <c r="H41" s="89">
        <f t="shared" si="23"/>
        <v>0</v>
      </c>
      <c r="I41" s="89">
        <f t="shared" si="23"/>
        <v>0</v>
      </c>
      <c r="J41" s="89">
        <f t="shared" si="23"/>
        <v>0</v>
      </c>
      <c r="K41" s="89">
        <f t="shared" si="23"/>
        <v>0</v>
      </c>
      <c r="L41" s="89">
        <f t="shared" si="23"/>
        <v>0</v>
      </c>
      <c r="M41" s="89">
        <f t="shared" si="23"/>
        <v>0</v>
      </c>
      <c r="N41" s="89">
        <f t="shared" si="23"/>
        <v>0</v>
      </c>
      <c r="O41" s="89">
        <f t="shared" si="23"/>
        <v>0</v>
      </c>
      <c r="P41" s="90"/>
      <c r="Q41" s="89">
        <f t="shared" si="11"/>
        <v>0</v>
      </c>
      <c r="R41" s="91"/>
      <c r="S41" s="89">
        <f t="shared" si="12"/>
        <v>0</v>
      </c>
      <c r="T41" s="89">
        <f t="shared" si="12"/>
        <v>0</v>
      </c>
      <c r="U41" s="89">
        <f t="shared" si="12"/>
        <v>0</v>
      </c>
      <c r="V41" s="90"/>
      <c r="W41" s="89">
        <f t="shared" si="13"/>
        <v>0</v>
      </c>
      <c r="X41" s="89">
        <f t="shared" si="13"/>
        <v>0</v>
      </c>
      <c r="Y41" s="90"/>
      <c r="Z41" s="89">
        <f t="shared" si="14"/>
        <v>0</v>
      </c>
      <c r="AA41" s="89">
        <f t="shared" si="14"/>
        <v>0</v>
      </c>
      <c r="AB41" s="89">
        <f t="shared" si="14"/>
        <v>0</v>
      </c>
      <c r="AC41" s="3"/>
      <c r="AD41" s="202"/>
      <c r="AE41" s="202"/>
      <c r="AF41" s="204"/>
      <c r="AG41" s="202"/>
      <c r="AH41" s="3"/>
      <c r="AI41" s="3"/>
    </row>
    <row r="42" spans="1:35" customFormat="1" x14ac:dyDescent="0.2">
      <c r="A42" s="352"/>
      <c r="B42" s="79" t="s">
        <v>258</v>
      </c>
      <c r="C42" s="89">
        <f t="shared" ref="C42:O42" si="24">C16+C29</f>
        <v>0</v>
      </c>
      <c r="D42" s="89">
        <f t="shared" si="24"/>
        <v>0</v>
      </c>
      <c r="E42" s="89">
        <f t="shared" si="24"/>
        <v>0</v>
      </c>
      <c r="F42" s="89">
        <f t="shared" si="24"/>
        <v>0</v>
      </c>
      <c r="G42" s="89">
        <f t="shared" si="24"/>
        <v>0</v>
      </c>
      <c r="H42" s="89">
        <f t="shared" si="24"/>
        <v>0</v>
      </c>
      <c r="I42" s="89">
        <f t="shared" si="24"/>
        <v>0</v>
      </c>
      <c r="J42" s="89">
        <f t="shared" si="24"/>
        <v>0</v>
      </c>
      <c r="K42" s="89">
        <f t="shared" si="24"/>
        <v>0</v>
      </c>
      <c r="L42" s="89">
        <f t="shared" si="24"/>
        <v>0</v>
      </c>
      <c r="M42" s="89">
        <f t="shared" si="24"/>
        <v>0</v>
      </c>
      <c r="N42" s="89">
        <f t="shared" si="24"/>
        <v>0</v>
      </c>
      <c r="O42" s="89">
        <f t="shared" si="24"/>
        <v>0</v>
      </c>
      <c r="P42" s="90"/>
      <c r="Q42" s="89">
        <f t="shared" si="11"/>
        <v>0</v>
      </c>
      <c r="R42" s="91"/>
      <c r="S42" s="89">
        <f t="shared" ref="S42:U42" si="25">S16+S29</f>
        <v>0</v>
      </c>
      <c r="T42" s="89">
        <f t="shared" si="25"/>
        <v>0</v>
      </c>
      <c r="U42" s="89">
        <f t="shared" si="25"/>
        <v>0</v>
      </c>
      <c r="V42" s="90"/>
      <c r="W42" s="89">
        <f t="shared" ref="W42:AB42" si="26">W16+W29</f>
        <v>0</v>
      </c>
      <c r="X42" s="225">
        <f t="shared" si="26"/>
        <v>0</v>
      </c>
      <c r="Y42" s="90">
        <f t="shared" si="26"/>
        <v>0</v>
      </c>
      <c r="Z42" s="225">
        <f t="shared" si="26"/>
        <v>0</v>
      </c>
      <c r="AA42" s="225">
        <f t="shared" si="26"/>
        <v>0</v>
      </c>
      <c r="AB42" s="225">
        <f t="shared" si="26"/>
        <v>0</v>
      </c>
      <c r="AC42" s="3"/>
      <c r="AD42" s="202"/>
      <c r="AE42" s="202"/>
      <c r="AF42" s="204"/>
      <c r="AG42" s="202"/>
      <c r="AH42" s="3"/>
      <c r="AI42" s="3"/>
    </row>
    <row r="43" spans="1:35" customFormat="1" x14ac:dyDescent="0.2">
      <c r="A43" s="352"/>
      <c r="B43" s="79" t="s">
        <v>260</v>
      </c>
      <c r="C43" s="89">
        <f t="shared" ref="C43:O43" si="27">C17+C30</f>
        <v>0</v>
      </c>
      <c r="D43" s="89">
        <f t="shared" si="27"/>
        <v>0</v>
      </c>
      <c r="E43" s="89">
        <f t="shared" si="27"/>
        <v>0</v>
      </c>
      <c r="F43" s="89">
        <f t="shared" si="27"/>
        <v>0</v>
      </c>
      <c r="G43" s="89">
        <f t="shared" si="27"/>
        <v>0</v>
      </c>
      <c r="H43" s="89">
        <f t="shared" si="27"/>
        <v>0</v>
      </c>
      <c r="I43" s="89">
        <f t="shared" si="27"/>
        <v>0</v>
      </c>
      <c r="J43" s="89">
        <f t="shared" si="27"/>
        <v>0</v>
      </c>
      <c r="K43" s="89">
        <f t="shared" si="27"/>
        <v>0</v>
      </c>
      <c r="L43" s="89">
        <f t="shared" si="27"/>
        <v>0</v>
      </c>
      <c r="M43" s="89">
        <f t="shared" si="27"/>
        <v>0</v>
      </c>
      <c r="N43" s="89">
        <f t="shared" si="27"/>
        <v>0</v>
      </c>
      <c r="O43" s="89">
        <f t="shared" si="27"/>
        <v>0</v>
      </c>
      <c r="P43" s="90"/>
      <c r="Q43" s="89">
        <f t="shared" si="11"/>
        <v>0</v>
      </c>
      <c r="R43" s="91"/>
      <c r="S43" s="89">
        <f t="shared" ref="S43:U44" si="28">S17+S30</f>
        <v>0</v>
      </c>
      <c r="T43" s="89">
        <f t="shared" si="28"/>
        <v>0</v>
      </c>
      <c r="U43" s="89">
        <f t="shared" si="28"/>
        <v>0</v>
      </c>
      <c r="V43" s="90"/>
      <c r="W43" s="89">
        <f t="shared" ref="W43:AB43" si="29">W17+W30</f>
        <v>0</v>
      </c>
      <c r="X43" s="225">
        <f t="shared" si="29"/>
        <v>0</v>
      </c>
      <c r="Y43" s="90">
        <f t="shared" si="29"/>
        <v>0</v>
      </c>
      <c r="Z43" s="225">
        <f t="shared" si="29"/>
        <v>0</v>
      </c>
      <c r="AA43" s="225">
        <f t="shared" si="29"/>
        <v>0</v>
      </c>
      <c r="AB43" s="225">
        <f t="shared" si="29"/>
        <v>0</v>
      </c>
      <c r="AC43" s="3"/>
      <c r="AD43" s="202"/>
      <c r="AE43" s="202"/>
      <c r="AF43" s="204"/>
      <c r="AG43" s="202"/>
      <c r="AH43" s="3"/>
      <c r="AI43" s="3"/>
    </row>
    <row r="44" spans="1:35" customFormat="1" ht="13.5" thickBot="1" x14ac:dyDescent="0.25">
      <c r="A44" s="352"/>
      <c r="B44" s="260" t="s">
        <v>261</v>
      </c>
      <c r="C44" s="225">
        <f t="shared" ref="C44:O44" si="30">C18+C31</f>
        <v>0</v>
      </c>
      <c r="D44" s="225">
        <f t="shared" si="30"/>
        <v>0</v>
      </c>
      <c r="E44" s="225">
        <f t="shared" si="30"/>
        <v>0</v>
      </c>
      <c r="F44" s="225">
        <f t="shared" si="30"/>
        <v>0</v>
      </c>
      <c r="G44" s="225">
        <f t="shared" si="30"/>
        <v>0</v>
      </c>
      <c r="H44" s="225">
        <f t="shared" si="30"/>
        <v>0</v>
      </c>
      <c r="I44" s="225">
        <f t="shared" si="30"/>
        <v>0</v>
      </c>
      <c r="J44" s="225">
        <f t="shared" si="30"/>
        <v>0</v>
      </c>
      <c r="K44" s="225">
        <f t="shared" si="30"/>
        <v>0</v>
      </c>
      <c r="L44" s="225">
        <f t="shared" si="30"/>
        <v>0</v>
      </c>
      <c r="M44" s="225">
        <f t="shared" si="30"/>
        <v>0</v>
      </c>
      <c r="N44" s="225">
        <f t="shared" si="30"/>
        <v>0</v>
      </c>
      <c r="O44" s="225">
        <f t="shared" si="30"/>
        <v>0</v>
      </c>
      <c r="P44" s="90"/>
      <c r="Q44" s="225">
        <f t="shared" si="11"/>
        <v>0</v>
      </c>
      <c r="R44" s="91"/>
      <c r="S44" s="225">
        <f t="shared" ref="S44" si="31">S18+S31</f>
        <v>0</v>
      </c>
      <c r="T44" s="225">
        <f t="shared" si="28"/>
        <v>0</v>
      </c>
      <c r="U44" s="225">
        <f t="shared" si="28"/>
        <v>0</v>
      </c>
      <c r="V44" s="90"/>
      <c r="W44" s="225">
        <f t="shared" ref="W44:AB44" si="32">W18+W31</f>
        <v>0</v>
      </c>
      <c r="X44" s="225">
        <f t="shared" si="32"/>
        <v>0</v>
      </c>
      <c r="Y44" s="90">
        <f t="shared" si="32"/>
        <v>0</v>
      </c>
      <c r="Z44" s="225">
        <f t="shared" si="32"/>
        <v>0</v>
      </c>
      <c r="AA44" s="225">
        <f t="shared" si="32"/>
        <v>0</v>
      </c>
      <c r="AB44" s="225">
        <f t="shared" si="32"/>
        <v>0</v>
      </c>
      <c r="AC44" s="3"/>
      <c r="AD44" s="202"/>
      <c r="AE44" s="202"/>
      <c r="AF44" s="204"/>
      <c r="AG44" s="202"/>
      <c r="AH44" s="3"/>
      <c r="AI44" s="3"/>
    </row>
    <row r="45" spans="1:35" x14ac:dyDescent="0.2">
      <c r="A45" s="356" t="s">
        <v>252</v>
      </c>
      <c r="B45" s="261" t="s">
        <v>250</v>
      </c>
      <c r="C45" s="262">
        <f t="shared" ref="C45:AB45" si="33">SUM(C34:C41)</f>
        <v>0</v>
      </c>
      <c r="D45" s="262">
        <f t="shared" si="33"/>
        <v>0</v>
      </c>
      <c r="E45" s="262">
        <f t="shared" si="33"/>
        <v>0</v>
      </c>
      <c r="F45" s="262">
        <f t="shared" si="33"/>
        <v>0</v>
      </c>
      <c r="G45" s="262">
        <f t="shared" si="33"/>
        <v>0</v>
      </c>
      <c r="H45" s="262">
        <f t="shared" si="33"/>
        <v>0</v>
      </c>
      <c r="I45" s="262">
        <f t="shared" si="33"/>
        <v>0</v>
      </c>
      <c r="J45" s="262">
        <f t="shared" si="33"/>
        <v>0</v>
      </c>
      <c r="K45" s="262">
        <f t="shared" si="33"/>
        <v>0</v>
      </c>
      <c r="L45" s="262">
        <f t="shared" si="33"/>
        <v>0</v>
      </c>
      <c r="M45" s="262">
        <f t="shared" si="33"/>
        <v>0</v>
      </c>
      <c r="N45" s="262">
        <f t="shared" si="33"/>
        <v>0</v>
      </c>
      <c r="O45" s="262">
        <f t="shared" si="33"/>
        <v>0</v>
      </c>
      <c r="P45" s="262">
        <f t="shared" si="33"/>
        <v>0</v>
      </c>
      <c r="Q45" s="262">
        <f t="shared" si="33"/>
        <v>0</v>
      </c>
      <c r="R45" s="262">
        <f t="shared" si="33"/>
        <v>0</v>
      </c>
      <c r="S45" s="262">
        <f t="shared" si="33"/>
        <v>0</v>
      </c>
      <c r="T45" s="262">
        <f t="shared" si="33"/>
        <v>0</v>
      </c>
      <c r="U45" s="262">
        <f t="shared" si="33"/>
        <v>0</v>
      </c>
      <c r="V45" s="262">
        <f t="shared" si="33"/>
        <v>0</v>
      </c>
      <c r="W45" s="262">
        <f t="shared" si="33"/>
        <v>0</v>
      </c>
      <c r="X45" s="262">
        <f t="shared" si="33"/>
        <v>0</v>
      </c>
      <c r="Y45" s="262">
        <f t="shared" si="33"/>
        <v>0</v>
      </c>
      <c r="Z45" s="262">
        <f t="shared" si="33"/>
        <v>0</v>
      </c>
      <c r="AA45" s="262">
        <f t="shared" si="33"/>
        <v>0</v>
      </c>
      <c r="AB45" s="263">
        <f t="shared" si="33"/>
        <v>0</v>
      </c>
      <c r="AD45" s="207"/>
      <c r="AE45" s="207"/>
      <c r="AF45" s="208"/>
      <c r="AG45" s="207"/>
      <c r="AI45" s="1"/>
    </row>
    <row r="46" spans="1:35" x14ac:dyDescent="0.2">
      <c r="A46" s="357"/>
      <c r="B46" s="209" t="s">
        <v>251</v>
      </c>
      <c r="C46" s="210">
        <f>SUM(C34:C35)</f>
        <v>0</v>
      </c>
      <c r="D46" s="210">
        <f t="shared" ref="D46:AB46" si="34">SUM(D34:D35)</f>
        <v>0</v>
      </c>
      <c r="E46" s="210">
        <f t="shared" si="34"/>
        <v>0</v>
      </c>
      <c r="F46" s="210">
        <f t="shared" si="34"/>
        <v>0</v>
      </c>
      <c r="G46" s="210">
        <f t="shared" si="34"/>
        <v>0</v>
      </c>
      <c r="H46" s="210">
        <f t="shared" si="34"/>
        <v>0</v>
      </c>
      <c r="I46" s="210">
        <f t="shared" si="34"/>
        <v>0</v>
      </c>
      <c r="J46" s="210">
        <f t="shared" si="34"/>
        <v>0</v>
      </c>
      <c r="K46" s="210">
        <f t="shared" si="34"/>
        <v>0</v>
      </c>
      <c r="L46" s="210">
        <f t="shared" si="34"/>
        <v>0</v>
      </c>
      <c r="M46" s="210">
        <f t="shared" si="34"/>
        <v>0</v>
      </c>
      <c r="N46" s="210">
        <f t="shared" si="34"/>
        <v>0</v>
      </c>
      <c r="O46" s="210">
        <f t="shared" si="34"/>
        <v>0</v>
      </c>
      <c r="P46" s="210">
        <f t="shared" si="34"/>
        <v>0</v>
      </c>
      <c r="Q46" s="210">
        <f t="shared" si="34"/>
        <v>0</v>
      </c>
      <c r="R46" s="210">
        <f t="shared" si="34"/>
        <v>0</v>
      </c>
      <c r="S46" s="210">
        <f t="shared" si="34"/>
        <v>0</v>
      </c>
      <c r="T46" s="210">
        <f t="shared" si="34"/>
        <v>0</v>
      </c>
      <c r="U46" s="210">
        <f t="shared" si="34"/>
        <v>0</v>
      </c>
      <c r="V46" s="210">
        <f t="shared" si="34"/>
        <v>0</v>
      </c>
      <c r="W46" s="210">
        <f t="shared" si="34"/>
        <v>0</v>
      </c>
      <c r="X46" s="210">
        <f t="shared" si="34"/>
        <v>0</v>
      </c>
      <c r="Y46" s="210">
        <f t="shared" si="34"/>
        <v>0</v>
      </c>
      <c r="Z46" s="210">
        <f t="shared" si="34"/>
        <v>0</v>
      </c>
      <c r="AA46" s="210">
        <f t="shared" si="34"/>
        <v>0</v>
      </c>
      <c r="AB46" s="264">
        <f t="shared" si="34"/>
        <v>0</v>
      </c>
      <c r="AD46" s="207"/>
      <c r="AE46" s="207"/>
      <c r="AF46" s="208"/>
      <c r="AG46" s="207"/>
      <c r="AI46" s="1"/>
    </row>
    <row r="47" spans="1:35" x14ac:dyDescent="0.2">
      <c r="A47" s="357"/>
      <c r="B47" s="209" t="s">
        <v>254</v>
      </c>
      <c r="C47" s="210">
        <f t="shared" ref="C47:AB47" si="35">SUM(C36:C37)</f>
        <v>0</v>
      </c>
      <c r="D47" s="210">
        <f t="shared" si="35"/>
        <v>0</v>
      </c>
      <c r="E47" s="210">
        <f t="shared" si="35"/>
        <v>0</v>
      </c>
      <c r="F47" s="210">
        <f t="shared" si="35"/>
        <v>0</v>
      </c>
      <c r="G47" s="210">
        <f t="shared" si="35"/>
        <v>0</v>
      </c>
      <c r="H47" s="210">
        <f t="shared" si="35"/>
        <v>0</v>
      </c>
      <c r="I47" s="210">
        <f t="shared" si="35"/>
        <v>0</v>
      </c>
      <c r="J47" s="210">
        <f t="shared" si="35"/>
        <v>0</v>
      </c>
      <c r="K47" s="210">
        <f t="shared" si="35"/>
        <v>0</v>
      </c>
      <c r="L47" s="210">
        <f t="shared" si="35"/>
        <v>0</v>
      </c>
      <c r="M47" s="210">
        <f t="shared" si="35"/>
        <v>0</v>
      </c>
      <c r="N47" s="210">
        <f t="shared" si="35"/>
        <v>0</v>
      </c>
      <c r="O47" s="210">
        <f t="shared" si="35"/>
        <v>0</v>
      </c>
      <c r="P47" s="210">
        <f t="shared" si="35"/>
        <v>0</v>
      </c>
      <c r="Q47" s="210">
        <f t="shared" si="35"/>
        <v>0</v>
      </c>
      <c r="R47" s="210">
        <f t="shared" si="35"/>
        <v>0</v>
      </c>
      <c r="S47" s="210">
        <f t="shared" si="35"/>
        <v>0</v>
      </c>
      <c r="T47" s="210">
        <f t="shared" si="35"/>
        <v>0</v>
      </c>
      <c r="U47" s="210">
        <f t="shared" si="35"/>
        <v>0</v>
      </c>
      <c r="V47" s="210">
        <f t="shared" si="35"/>
        <v>0</v>
      </c>
      <c r="W47" s="210">
        <f t="shared" si="35"/>
        <v>0</v>
      </c>
      <c r="X47" s="210">
        <f t="shared" si="35"/>
        <v>0</v>
      </c>
      <c r="Y47" s="210">
        <f t="shared" si="35"/>
        <v>0</v>
      </c>
      <c r="Z47" s="210">
        <f t="shared" si="35"/>
        <v>0</v>
      </c>
      <c r="AA47" s="210">
        <f t="shared" si="35"/>
        <v>0</v>
      </c>
      <c r="AB47" s="264">
        <f t="shared" si="35"/>
        <v>0</v>
      </c>
      <c r="AD47" s="207"/>
      <c r="AE47" s="207"/>
      <c r="AF47" s="208"/>
      <c r="AG47" s="207"/>
      <c r="AI47" s="1"/>
    </row>
    <row r="48" spans="1:35" x14ac:dyDescent="0.2">
      <c r="A48" s="357"/>
      <c r="B48" s="209" t="s">
        <v>255</v>
      </c>
      <c r="C48" s="210">
        <f t="shared" ref="C48:AB48" si="36">SUM(C38:C39)</f>
        <v>0</v>
      </c>
      <c r="D48" s="210">
        <f t="shared" si="36"/>
        <v>0</v>
      </c>
      <c r="E48" s="210">
        <f t="shared" si="36"/>
        <v>0</v>
      </c>
      <c r="F48" s="210">
        <f t="shared" si="36"/>
        <v>0</v>
      </c>
      <c r="G48" s="210">
        <f>SUM(G38:G39)</f>
        <v>0</v>
      </c>
      <c r="H48" s="210">
        <f t="shared" si="36"/>
        <v>0</v>
      </c>
      <c r="I48" s="210">
        <f t="shared" si="36"/>
        <v>0</v>
      </c>
      <c r="J48" s="210">
        <f t="shared" si="36"/>
        <v>0</v>
      </c>
      <c r="K48" s="210">
        <f t="shared" si="36"/>
        <v>0</v>
      </c>
      <c r="L48" s="210">
        <f t="shared" si="36"/>
        <v>0</v>
      </c>
      <c r="M48" s="210">
        <f t="shared" si="36"/>
        <v>0</v>
      </c>
      <c r="N48" s="210">
        <f t="shared" si="36"/>
        <v>0</v>
      </c>
      <c r="O48" s="210">
        <f t="shared" si="36"/>
        <v>0</v>
      </c>
      <c r="P48" s="210">
        <f t="shared" si="36"/>
        <v>0</v>
      </c>
      <c r="Q48" s="210">
        <f t="shared" si="36"/>
        <v>0</v>
      </c>
      <c r="R48" s="210">
        <f t="shared" si="36"/>
        <v>0</v>
      </c>
      <c r="S48" s="210">
        <f t="shared" si="36"/>
        <v>0</v>
      </c>
      <c r="T48" s="210">
        <f t="shared" si="36"/>
        <v>0</v>
      </c>
      <c r="U48" s="210">
        <f t="shared" si="36"/>
        <v>0</v>
      </c>
      <c r="V48" s="210">
        <f t="shared" si="36"/>
        <v>0</v>
      </c>
      <c r="W48" s="210">
        <f t="shared" si="36"/>
        <v>0</v>
      </c>
      <c r="X48" s="210">
        <f t="shared" si="36"/>
        <v>0</v>
      </c>
      <c r="Y48" s="210">
        <f t="shared" si="36"/>
        <v>0</v>
      </c>
      <c r="Z48" s="210">
        <f t="shared" si="36"/>
        <v>0</v>
      </c>
      <c r="AA48" s="210">
        <f t="shared" si="36"/>
        <v>0</v>
      </c>
      <c r="AB48" s="264">
        <f t="shared" si="36"/>
        <v>0</v>
      </c>
      <c r="AD48" s="207"/>
      <c r="AE48" s="207"/>
      <c r="AF48" s="208"/>
      <c r="AG48" s="207"/>
      <c r="AI48" s="1"/>
    </row>
    <row r="49" spans="1:35" x14ac:dyDescent="0.2">
      <c r="A49" s="357"/>
      <c r="B49" s="209" t="s">
        <v>256</v>
      </c>
      <c r="C49" s="210">
        <f t="shared" ref="C49:F49" si="37">SUM(C40:C41)</f>
        <v>0</v>
      </c>
      <c r="D49" s="210">
        <f t="shared" si="37"/>
        <v>0</v>
      </c>
      <c r="E49" s="210">
        <f t="shared" si="37"/>
        <v>0</v>
      </c>
      <c r="F49" s="210">
        <f t="shared" si="37"/>
        <v>0</v>
      </c>
      <c r="G49" s="210">
        <f>SUM(G40:G41)</f>
        <v>0</v>
      </c>
      <c r="H49" s="210">
        <f>SUM(H40:H41)</f>
        <v>0</v>
      </c>
      <c r="I49" s="210">
        <f t="shared" ref="I49:AB49" si="38">SUM(I40:I41)</f>
        <v>0</v>
      </c>
      <c r="J49" s="210">
        <f t="shared" si="38"/>
        <v>0</v>
      </c>
      <c r="K49" s="210">
        <f t="shared" si="38"/>
        <v>0</v>
      </c>
      <c r="L49" s="210">
        <f t="shared" si="38"/>
        <v>0</v>
      </c>
      <c r="M49" s="210">
        <f t="shared" si="38"/>
        <v>0</v>
      </c>
      <c r="N49" s="210">
        <f t="shared" si="38"/>
        <v>0</v>
      </c>
      <c r="O49" s="210">
        <f t="shared" si="38"/>
        <v>0</v>
      </c>
      <c r="P49" s="210">
        <f t="shared" si="38"/>
        <v>0</v>
      </c>
      <c r="Q49" s="210">
        <f t="shared" si="38"/>
        <v>0</v>
      </c>
      <c r="R49" s="210">
        <f t="shared" si="38"/>
        <v>0</v>
      </c>
      <c r="S49" s="210">
        <f t="shared" si="38"/>
        <v>0</v>
      </c>
      <c r="T49" s="210">
        <f t="shared" si="38"/>
        <v>0</v>
      </c>
      <c r="U49" s="210">
        <f t="shared" si="38"/>
        <v>0</v>
      </c>
      <c r="V49" s="210">
        <f t="shared" si="38"/>
        <v>0</v>
      </c>
      <c r="W49" s="210">
        <f t="shared" si="38"/>
        <v>0</v>
      </c>
      <c r="X49" s="210">
        <f t="shared" si="38"/>
        <v>0</v>
      </c>
      <c r="Y49" s="210">
        <f t="shared" si="38"/>
        <v>0</v>
      </c>
      <c r="Z49" s="210">
        <f t="shared" si="38"/>
        <v>0</v>
      </c>
      <c r="AA49" s="210">
        <f t="shared" si="38"/>
        <v>0</v>
      </c>
      <c r="AB49" s="264">
        <f t="shared" si="38"/>
        <v>0</v>
      </c>
      <c r="AD49" s="207"/>
      <c r="AE49" s="207"/>
      <c r="AF49" s="208"/>
      <c r="AG49" s="207"/>
      <c r="AI49" s="1"/>
    </row>
    <row r="50" spans="1:35" x14ac:dyDescent="0.2">
      <c r="A50" s="357"/>
      <c r="B50" s="209" t="s">
        <v>262</v>
      </c>
      <c r="C50" s="210">
        <f t="shared" ref="C50:F50" si="39">SUM(C42:C43)</f>
        <v>0</v>
      </c>
      <c r="D50" s="210">
        <f t="shared" si="39"/>
        <v>0</v>
      </c>
      <c r="E50" s="210">
        <f t="shared" si="39"/>
        <v>0</v>
      </c>
      <c r="F50" s="210">
        <f t="shared" si="39"/>
        <v>0</v>
      </c>
      <c r="G50" s="210">
        <f>SUM(G42:G43)</f>
        <v>0</v>
      </c>
      <c r="H50" s="210">
        <f t="shared" ref="H50:AB50" si="40">SUM(H42:H43)</f>
        <v>0</v>
      </c>
      <c r="I50" s="210">
        <f t="shared" si="40"/>
        <v>0</v>
      </c>
      <c r="J50" s="210">
        <f t="shared" si="40"/>
        <v>0</v>
      </c>
      <c r="K50" s="210">
        <f t="shared" si="40"/>
        <v>0</v>
      </c>
      <c r="L50" s="210">
        <f t="shared" si="40"/>
        <v>0</v>
      </c>
      <c r="M50" s="210">
        <f t="shared" si="40"/>
        <v>0</v>
      </c>
      <c r="N50" s="210">
        <f t="shared" si="40"/>
        <v>0</v>
      </c>
      <c r="O50" s="210">
        <f t="shared" si="40"/>
        <v>0</v>
      </c>
      <c r="P50" s="210">
        <f t="shared" si="40"/>
        <v>0</v>
      </c>
      <c r="Q50" s="210">
        <f t="shared" si="40"/>
        <v>0</v>
      </c>
      <c r="R50" s="210">
        <f t="shared" si="40"/>
        <v>0</v>
      </c>
      <c r="S50" s="210">
        <f t="shared" si="40"/>
        <v>0</v>
      </c>
      <c r="T50" s="210">
        <f t="shared" si="40"/>
        <v>0</v>
      </c>
      <c r="U50" s="210">
        <f t="shared" si="40"/>
        <v>0</v>
      </c>
      <c r="V50" s="210">
        <f t="shared" si="40"/>
        <v>0</v>
      </c>
      <c r="W50" s="210">
        <f t="shared" si="40"/>
        <v>0</v>
      </c>
      <c r="X50" s="210">
        <f t="shared" si="40"/>
        <v>0</v>
      </c>
      <c r="Y50" s="210">
        <f t="shared" si="40"/>
        <v>0</v>
      </c>
      <c r="Z50" s="210">
        <f t="shared" si="40"/>
        <v>0</v>
      </c>
      <c r="AA50" s="210">
        <f t="shared" si="40"/>
        <v>0</v>
      </c>
      <c r="AB50" s="264">
        <f t="shared" si="40"/>
        <v>0</v>
      </c>
      <c r="AD50" s="207"/>
      <c r="AE50" s="207"/>
      <c r="AF50" s="208"/>
      <c r="AG50" s="207"/>
      <c r="AI50" s="1"/>
    </row>
    <row r="51" spans="1:35" x14ac:dyDescent="0.2">
      <c r="A51" s="357"/>
      <c r="B51" s="209" t="s">
        <v>261</v>
      </c>
      <c r="C51" s="210">
        <f t="shared" ref="C51:F51" si="41">SUM(C44)</f>
        <v>0</v>
      </c>
      <c r="D51" s="210">
        <f t="shared" si="41"/>
        <v>0</v>
      </c>
      <c r="E51" s="210">
        <f t="shared" si="41"/>
        <v>0</v>
      </c>
      <c r="F51" s="210">
        <f t="shared" si="41"/>
        <v>0</v>
      </c>
      <c r="G51" s="210">
        <f>SUM(G44)</f>
        <v>0</v>
      </c>
      <c r="H51" s="210">
        <f t="shared" ref="H51:AB51" si="42">SUM(H44)</f>
        <v>0</v>
      </c>
      <c r="I51" s="210">
        <f t="shared" si="42"/>
        <v>0</v>
      </c>
      <c r="J51" s="210">
        <f t="shared" si="42"/>
        <v>0</v>
      </c>
      <c r="K51" s="210">
        <f t="shared" si="42"/>
        <v>0</v>
      </c>
      <c r="L51" s="210">
        <f t="shared" si="42"/>
        <v>0</v>
      </c>
      <c r="M51" s="210">
        <f t="shared" si="42"/>
        <v>0</v>
      </c>
      <c r="N51" s="210">
        <f t="shared" si="42"/>
        <v>0</v>
      </c>
      <c r="O51" s="210">
        <f t="shared" si="42"/>
        <v>0</v>
      </c>
      <c r="P51" s="210">
        <f t="shared" si="42"/>
        <v>0</v>
      </c>
      <c r="Q51" s="210">
        <f t="shared" si="42"/>
        <v>0</v>
      </c>
      <c r="R51" s="210">
        <f t="shared" si="42"/>
        <v>0</v>
      </c>
      <c r="S51" s="210">
        <f t="shared" si="42"/>
        <v>0</v>
      </c>
      <c r="T51" s="210">
        <f t="shared" si="42"/>
        <v>0</v>
      </c>
      <c r="U51" s="210">
        <f t="shared" si="42"/>
        <v>0</v>
      </c>
      <c r="V51" s="210">
        <f t="shared" si="42"/>
        <v>0</v>
      </c>
      <c r="W51" s="210">
        <f t="shared" si="42"/>
        <v>0</v>
      </c>
      <c r="X51" s="210">
        <f t="shared" si="42"/>
        <v>0</v>
      </c>
      <c r="Y51" s="210">
        <f t="shared" si="42"/>
        <v>0</v>
      </c>
      <c r="Z51" s="210">
        <f t="shared" si="42"/>
        <v>0</v>
      </c>
      <c r="AA51" s="210">
        <f t="shared" si="42"/>
        <v>0</v>
      </c>
      <c r="AB51" s="264">
        <f t="shared" si="42"/>
        <v>0</v>
      </c>
      <c r="AD51" s="207"/>
      <c r="AE51" s="207"/>
      <c r="AF51" s="208"/>
      <c r="AG51" s="207"/>
      <c r="AI51" s="1"/>
    </row>
    <row r="52" spans="1:35" x14ac:dyDescent="0.2">
      <c r="A52" s="358" t="s">
        <v>5</v>
      </c>
      <c r="B52" s="209" t="s">
        <v>250</v>
      </c>
      <c r="C52" s="210">
        <f t="shared" ref="C52:AB52" si="43">SUM(C8:C15)</f>
        <v>0</v>
      </c>
      <c r="D52" s="210">
        <f t="shared" si="43"/>
        <v>0</v>
      </c>
      <c r="E52" s="210">
        <f t="shared" si="43"/>
        <v>0</v>
      </c>
      <c r="F52" s="210">
        <f t="shared" si="43"/>
        <v>0</v>
      </c>
      <c r="G52" s="210">
        <f t="shared" si="43"/>
        <v>0</v>
      </c>
      <c r="H52" s="210">
        <f t="shared" si="43"/>
        <v>0</v>
      </c>
      <c r="I52" s="210">
        <f t="shared" si="43"/>
        <v>0</v>
      </c>
      <c r="J52" s="210">
        <f t="shared" si="43"/>
        <v>0</v>
      </c>
      <c r="K52" s="210">
        <f t="shared" si="43"/>
        <v>0</v>
      </c>
      <c r="L52" s="210">
        <f t="shared" si="43"/>
        <v>0</v>
      </c>
      <c r="M52" s="210">
        <f t="shared" si="43"/>
        <v>0</v>
      </c>
      <c r="N52" s="210">
        <f t="shared" si="43"/>
        <v>0</v>
      </c>
      <c r="O52" s="210">
        <f t="shared" si="43"/>
        <v>0</v>
      </c>
      <c r="P52" s="210">
        <f t="shared" si="43"/>
        <v>0</v>
      </c>
      <c r="Q52" s="210">
        <f t="shared" si="43"/>
        <v>0</v>
      </c>
      <c r="R52" s="210">
        <f t="shared" si="43"/>
        <v>0</v>
      </c>
      <c r="S52" s="210">
        <f t="shared" si="43"/>
        <v>0</v>
      </c>
      <c r="T52" s="210">
        <f t="shared" si="43"/>
        <v>0</v>
      </c>
      <c r="U52" s="210">
        <f t="shared" si="43"/>
        <v>0</v>
      </c>
      <c r="V52" s="210">
        <f t="shared" si="43"/>
        <v>0</v>
      </c>
      <c r="W52" s="210">
        <f t="shared" si="43"/>
        <v>0</v>
      </c>
      <c r="X52" s="210">
        <f t="shared" si="43"/>
        <v>0</v>
      </c>
      <c r="Y52" s="210">
        <f t="shared" si="43"/>
        <v>0</v>
      </c>
      <c r="Z52" s="210">
        <f t="shared" si="43"/>
        <v>0</v>
      </c>
      <c r="AA52" s="210">
        <f t="shared" si="43"/>
        <v>0</v>
      </c>
      <c r="AB52" s="264">
        <f t="shared" si="43"/>
        <v>0</v>
      </c>
      <c r="AD52" s="207"/>
      <c r="AE52" s="207"/>
      <c r="AF52" s="208"/>
      <c r="AG52" s="207"/>
      <c r="AI52" s="1"/>
    </row>
    <row r="53" spans="1:35" x14ac:dyDescent="0.2">
      <c r="A53" s="359"/>
      <c r="B53" s="209" t="s">
        <v>251</v>
      </c>
      <c r="C53" s="210">
        <f t="shared" ref="C53:AB53" si="44">SUM(C8:C9)</f>
        <v>0</v>
      </c>
      <c r="D53" s="210">
        <f t="shared" si="44"/>
        <v>0</v>
      </c>
      <c r="E53" s="210">
        <f t="shared" si="44"/>
        <v>0</v>
      </c>
      <c r="F53" s="210">
        <f t="shared" si="44"/>
        <v>0</v>
      </c>
      <c r="G53" s="210">
        <f t="shared" si="44"/>
        <v>0</v>
      </c>
      <c r="H53" s="210">
        <f t="shared" si="44"/>
        <v>0</v>
      </c>
      <c r="I53" s="210">
        <f t="shared" si="44"/>
        <v>0</v>
      </c>
      <c r="J53" s="210">
        <f t="shared" si="44"/>
        <v>0</v>
      </c>
      <c r="K53" s="210">
        <f t="shared" si="44"/>
        <v>0</v>
      </c>
      <c r="L53" s="210">
        <f t="shared" si="44"/>
        <v>0</v>
      </c>
      <c r="M53" s="210">
        <f t="shared" si="44"/>
        <v>0</v>
      </c>
      <c r="N53" s="210">
        <f t="shared" si="44"/>
        <v>0</v>
      </c>
      <c r="O53" s="210">
        <f t="shared" si="44"/>
        <v>0</v>
      </c>
      <c r="P53" s="210">
        <f t="shared" si="44"/>
        <v>0</v>
      </c>
      <c r="Q53" s="210">
        <f t="shared" si="44"/>
        <v>0</v>
      </c>
      <c r="R53" s="210">
        <f t="shared" si="44"/>
        <v>0</v>
      </c>
      <c r="S53" s="210">
        <f t="shared" si="44"/>
        <v>0</v>
      </c>
      <c r="T53" s="210">
        <f t="shared" si="44"/>
        <v>0</v>
      </c>
      <c r="U53" s="210">
        <f t="shared" si="44"/>
        <v>0</v>
      </c>
      <c r="V53" s="210">
        <f t="shared" si="44"/>
        <v>0</v>
      </c>
      <c r="W53" s="210">
        <f t="shared" si="44"/>
        <v>0</v>
      </c>
      <c r="X53" s="210">
        <f t="shared" si="44"/>
        <v>0</v>
      </c>
      <c r="Y53" s="210">
        <f t="shared" si="44"/>
        <v>0</v>
      </c>
      <c r="Z53" s="210">
        <f t="shared" si="44"/>
        <v>0</v>
      </c>
      <c r="AA53" s="210">
        <f t="shared" si="44"/>
        <v>0</v>
      </c>
      <c r="AB53" s="264">
        <f t="shared" si="44"/>
        <v>0</v>
      </c>
      <c r="AD53" s="207"/>
      <c r="AE53" s="207"/>
      <c r="AF53" s="208"/>
      <c r="AG53" s="207"/>
      <c r="AI53" s="1"/>
    </row>
    <row r="54" spans="1:35" x14ac:dyDescent="0.2">
      <c r="A54" s="359"/>
      <c r="B54" s="209" t="s">
        <v>254</v>
      </c>
      <c r="C54" s="210">
        <f t="shared" ref="C54:AB54" si="45">SUM(C10:C11)</f>
        <v>0</v>
      </c>
      <c r="D54" s="210">
        <f t="shared" si="45"/>
        <v>0</v>
      </c>
      <c r="E54" s="210">
        <f t="shared" si="45"/>
        <v>0</v>
      </c>
      <c r="F54" s="210">
        <f t="shared" si="45"/>
        <v>0</v>
      </c>
      <c r="G54" s="210">
        <f t="shared" si="45"/>
        <v>0</v>
      </c>
      <c r="H54" s="210">
        <f t="shared" si="45"/>
        <v>0</v>
      </c>
      <c r="I54" s="210">
        <f t="shared" si="45"/>
        <v>0</v>
      </c>
      <c r="J54" s="210">
        <f t="shared" si="45"/>
        <v>0</v>
      </c>
      <c r="K54" s="210">
        <f t="shared" si="45"/>
        <v>0</v>
      </c>
      <c r="L54" s="210">
        <f t="shared" si="45"/>
        <v>0</v>
      </c>
      <c r="M54" s="210">
        <f t="shared" si="45"/>
        <v>0</v>
      </c>
      <c r="N54" s="210">
        <f t="shared" si="45"/>
        <v>0</v>
      </c>
      <c r="O54" s="210">
        <f t="shared" si="45"/>
        <v>0</v>
      </c>
      <c r="P54" s="210">
        <f t="shared" si="45"/>
        <v>0</v>
      </c>
      <c r="Q54" s="210">
        <f t="shared" si="45"/>
        <v>0</v>
      </c>
      <c r="R54" s="210">
        <f t="shared" si="45"/>
        <v>0</v>
      </c>
      <c r="S54" s="210">
        <f t="shared" si="45"/>
        <v>0</v>
      </c>
      <c r="T54" s="210">
        <f t="shared" si="45"/>
        <v>0</v>
      </c>
      <c r="U54" s="210">
        <f t="shared" si="45"/>
        <v>0</v>
      </c>
      <c r="V54" s="210">
        <f t="shared" si="45"/>
        <v>0</v>
      </c>
      <c r="W54" s="210">
        <f t="shared" si="45"/>
        <v>0</v>
      </c>
      <c r="X54" s="210">
        <f t="shared" si="45"/>
        <v>0</v>
      </c>
      <c r="Y54" s="210">
        <f t="shared" si="45"/>
        <v>0</v>
      </c>
      <c r="Z54" s="210">
        <f t="shared" si="45"/>
        <v>0</v>
      </c>
      <c r="AA54" s="210">
        <f t="shared" si="45"/>
        <v>0</v>
      </c>
      <c r="AB54" s="264">
        <f t="shared" si="45"/>
        <v>0</v>
      </c>
      <c r="AD54" s="207"/>
      <c r="AE54" s="207"/>
      <c r="AF54" s="208"/>
      <c r="AG54" s="207"/>
      <c r="AI54" s="1"/>
    </row>
    <row r="55" spans="1:35" x14ac:dyDescent="0.2">
      <c r="A55" s="359"/>
      <c r="B55" s="209" t="s">
        <v>255</v>
      </c>
      <c r="C55" s="210">
        <f t="shared" ref="C55:AB55" si="46">SUM(C12:C13)</f>
        <v>0</v>
      </c>
      <c r="D55" s="210">
        <f t="shared" si="46"/>
        <v>0</v>
      </c>
      <c r="E55" s="210">
        <f t="shared" si="46"/>
        <v>0</v>
      </c>
      <c r="F55" s="210">
        <f t="shared" si="46"/>
        <v>0</v>
      </c>
      <c r="G55" s="210">
        <f t="shared" si="46"/>
        <v>0</v>
      </c>
      <c r="H55" s="210">
        <f t="shared" si="46"/>
        <v>0</v>
      </c>
      <c r="I55" s="210">
        <f t="shared" si="46"/>
        <v>0</v>
      </c>
      <c r="J55" s="210">
        <f t="shared" si="46"/>
        <v>0</v>
      </c>
      <c r="K55" s="210">
        <f t="shared" si="46"/>
        <v>0</v>
      </c>
      <c r="L55" s="210">
        <f t="shared" si="46"/>
        <v>0</v>
      </c>
      <c r="M55" s="210">
        <f t="shared" si="46"/>
        <v>0</v>
      </c>
      <c r="N55" s="210">
        <f t="shared" si="46"/>
        <v>0</v>
      </c>
      <c r="O55" s="210">
        <f t="shared" si="46"/>
        <v>0</v>
      </c>
      <c r="P55" s="210">
        <f t="shared" si="46"/>
        <v>0</v>
      </c>
      <c r="Q55" s="210">
        <f t="shared" si="46"/>
        <v>0</v>
      </c>
      <c r="R55" s="210">
        <f t="shared" si="46"/>
        <v>0</v>
      </c>
      <c r="S55" s="210">
        <f t="shared" si="46"/>
        <v>0</v>
      </c>
      <c r="T55" s="210">
        <f t="shared" si="46"/>
        <v>0</v>
      </c>
      <c r="U55" s="210">
        <f t="shared" si="46"/>
        <v>0</v>
      </c>
      <c r="V55" s="210">
        <f t="shared" si="46"/>
        <v>0</v>
      </c>
      <c r="W55" s="210">
        <f t="shared" si="46"/>
        <v>0</v>
      </c>
      <c r="X55" s="210">
        <f t="shared" si="46"/>
        <v>0</v>
      </c>
      <c r="Y55" s="210">
        <f t="shared" si="46"/>
        <v>0</v>
      </c>
      <c r="Z55" s="210">
        <f t="shared" si="46"/>
        <v>0</v>
      </c>
      <c r="AA55" s="210">
        <f t="shared" si="46"/>
        <v>0</v>
      </c>
      <c r="AB55" s="264">
        <f t="shared" si="46"/>
        <v>0</v>
      </c>
      <c r="AD55" s="207"/>
      <c r="AE55" s="207"/>
      <c r="AF55" s="208"/>
      <c r="AG55" s="207"/>
      <c r="AI55" s="1"/>
    </row>
    <row r="56" spans="1:35" x14ac:dyDescent="0.2">
      <c r="A56" s="359"/>
      <c r="B56" s="209" t="s">
        <v>256</v>
      </c>
      <c r="C56" s="210">
        <f t="shared" ref="C56:F56" si="47">SUM(C14:C15)</f>
        <v>0</v>
      </c>
      <c r="D56" s="210">
        <f t="shared" si="47"/>
        <v>0</v>
      </c>
      <c r="E56" s="210">
        <f t="shared" si="47"/>
        <v>0</v>
      </c>
      <c r="F56" s="210">
        <f t="shared" si="47"/>
        <v>0</v>
      </c>
      <c r="G56" s="210">
        <f>SUM(G14:G15)</f>
        <v>0</v>
      </c>
      <c r="H56" s="210">
        <f t="shared" ref="H56:AB56" si="48">SUM(H14:H15)</f>
        <v>0</v>
      </c>
      <c r="I56" s="210">
        <f t="shared" si="48"/>
        <v>0</v>
      </c>
      <c r="J56" s="210">
        <f t="shared" si="48"/>
        <v>0</v>
      </c>
      <c r="K56" s="210">
        <f t="shared" si="48"/>
        <v>0</v>
      </c>
      <c r="L56" s="210">
        <f t="shared" si="48"/>
        <v>0</v>
      </c>
      <c r="M56" s="210">
        <f t="shared" si="48"/>
        <v>0</v>
      </c>
      <c r="N56" s="210">
        <f t="shared" si="48"/>
        <v>0</v>
      </c>
      <c r="O56" s="210">
        <f t="shared" si="48"/>
        <v>0</v>
      </c>
      <c r="P56" s="210">
        <f t="shared" si="48"/>
        <v>0</v>
      </c>
      <c r="Q56" s="210">
        <f t="shared" si="48"/>
        <v>0</v>
      </c>
      <c r="R56" s="210">
        <f t="shared" si="48"/>
        <v>0</v>
      </c>
      <c r="S56" s="210">
        <f t="shared" si="48"/>
        <v>0</v>
      </c>
      <c r="T56" s="210">
        <f t="shared" si="48"/>
        <v>0</v>
      </c>
      <c r="U56" s="210">
        <f t="shared" si="48"/>
        <v>0</v>
      </c>
      <c r="V56" s="210">
        <f t="shared" si="48"/>
        <v>0</v>
      </c>
      <c r="W56" s="210">
        <f t="shared" si="48"/>
        <v>0</v>
      </c>
      <c r="X56" s="210">
        <f t="shared" si="48"/>
        <v>0</v>
      </c>
      <c r="Y56" s="210">
        <f t="shared" si="48"/>
        <v>0</v>
      </c>
      <c r="Z56" s="210">
        <f t="shared" si="48"/>
        <v>0</v>
      </c>
      <c r="AA56" s="210">
        <f t="shared" si="48"/>
        <v>0</v>
      </c>
      <c r="AB56" s="264">
        <f t="shared" si="48"/>
        <v>0</v>
      </c>
      <c r="AD56" s="207"/>
      <c r="AE56" s="207"/>
      <c r="AF56" s="208"/>
      <c r="AG56" s="207"/>
      <c r="AI56" s="1"/>
    </row>
    <row r="57" spans="1:35" x14ac:dyDescent="0.2">
      <c r="A57" s="359"/>
      <c r="B57" s="209" t="s">
        <v>262</v>
      </c>
      <c r="C57" s="210">
        <f t="shared" ref="C57:F57" si="49">SUM(C16:C17)</f>
        <v>0</v>
      </c>
      <c r="D57" s="210">
        <f t="shared" si="49"/>
        <v>0</v>
      </c>
      <c r="E57" s="210">
        <f t="shared" si="49"/>
        <v>0</v>
      </c>
      <c r="F57" s="210">
        <f t="shared" si="49"/>
        <v>0</v>
      </c>
      <c r="G57" s="210">
        <f>SUM(G16:G17)</f>
        <v>0</v>
      </c>
      <c r="H57" s="210">
        <f t="shared" ref="H57:AB57" si="50">SUM(H16:H17)</f>
        <v>0</v>
      </c>
      <c r="I57" s="210">
        <f t="shared" si="50"/>
        <v>0</v>
      </c>
      <c r="J57" s="210">
        <f t="shared" si="50"/>
        <v>0</v>
      </c>
      <c r="K57" s="210">
        <f t="shared" si="50"/>
        <v>0</v>
      </c>
      <c r="L57" s="210">
        <f t="shared" si="50"/>
        <v>0</v>
      </c>
      <c r="M57" s="210">
        <f t="shared" si="50"/>
        <v>0</v>
      </c>
      <c r="N57" s="210">
        <f t="shared" si="50"/>
        <v>0</v>
      </c>
      <c r="O57" s="210">
        <f t="shared" si="50"/>
        <v>0</v>
      </c>
      <c r="P57" s="210">
        <f t="shared" si="50"/>
        <v>0</v>
      </c>
      <c r="Q57" s="210">
        <f t="shared" si="50"/>
        <v>0</v>
      </c>
      <c r="R57" s="210">
        <f t="shared" si="50"/>
        <v>0</v>
      </c>
      <c r="S57" s="210">
        <f t="shared" si="50"/>
        <v>0</v>
      </c>
      <c r="T57" s="210">
        <f t="shared" si="50"/>
        <v>0</v>
      </c>
      <c r="U57" s="210">
        <f t="shared" si="50"/>
        <v>0</v>
      </c>
      <c r="V57" s="210">
        <f t="shared" si="50"/>
        <v>0</v>
      </c>
      <c r="W57" s="210">
        <f t="shared" si="50"/>
        <v>0</v>
      </c>
      <c r="X57" s="210">
        <f t="shared" si="50"/>
        <v>0</v>
      </c>
      <c r="Y57" s="210">
        <f t="shared" si="50"/>
        <v>0</v>
      </c>
      <c r="Z57" s="210">
        <f t="shared" si="50"/>
        <v>0</v>
      </c>
      <c r="AA57" s="210">
        <f t="shared" si="50"/>
        <v>0</v>
      </c>
      <c r="AB57" s="264">
        <f t="shared" si="50"/>
        <v>0</v>
      </c>
      <c r="AD57" s="207"/>
      <c r="AE57" s="207"/>
      <c r="AF57" s="208"/>
      <c r="AG57" s="207"/>
      <c r="AI57" s="1"/>
    </row>
    <row r="58" spans="1:35" x14ac:dyDescent="0.2">
      <c r="A58" s="359"/>
      <c r="B58" s="209" t="s">
        <v>261</v>
      </c>
      <c r="C58" s="210">
        <f t="shared" ref="C58:F58" si="51">SUM(C18)</f>
        <v>0</v>
      </c>
      <c r="D58" s="210">
        <f t="shared" si="51"/>
        <v>0</v>
      </c>
      <c r="E58" s="210">
        <f t="shared" si="51"/>
        <v>0</v>
      </c>
      <c r="F58" s="210">
        <f t="shared" si="51"/>
        <v>0</v>
      </c>
      <c r="G58" s="210">
        <f>SUM(G18)</f>
        <v>0</v>
      </c>
      <c r="H58" s="210">
        <f t="shared" ref="H58:AB58" si="52">SUM(H18)</f>
        <v>0</v>
      </c>
      <c r="I58" s="210">
        <f t="shared" si="52"/>
        <v>0</v>
      </c>
      <c r="J58" s="210">
        <f t="shared" si="52"/>
        <v>0</v>
      </c>
      <c r="K58" s="210">
        <f t="shared" si="52"/>
        <v>0</v>
      </c>
      <c r="L58" s="210">
        <f t="shared" si="52"/>
        <v>0</v>
      </c>
      <c r="M58" s="210">
        <f t="shared" si="52"/>
        <v>0</v>
      </c>
      <c r="N58" s="210">
        <f t="shared" si="52"/>
        <v>0</v>
      </c>
      <c r="O58" s="210">
        <f t="shared" si="52"/>
        <v>0</v>
      </c>
      <c r="P58" s="210">
        <f t="shared" si="52"/>
        <v>0</v>
      </c>
      <c r="Q58" s="210">
        <f t="shared" si="52"/>
        <v>0</v>
      </c>
      <c r="R58" s="210">
        <f t="shared" si="52"/>
        <v>0</v>
      </c>
      <c r="S58" s="210">
        <f t="shared" si="52"/>
        <v>0</v>
      </c>
      <c r="T58" s="210">
        <f t="shared" si="52"/>
        <v>0</v>
      </c>
      <c r="U58" s="210">
        <f t="shared" si="52"/>
        <v>0</v>
      </c>
      <c r="V58" s="210">
        <f t="shared" si="52"/>
        <v>0</v>
      </c>
      <c r="W58" s="210">
        <f t="shared" si="52"/>
        <v>0</v>
      </c>
      <c r="X58" s="210">
        <f t="shared" si="52"/>
        <v>0</v>
      </c>
      <c r="Y58" s="210">
        <f t="shared" si="52"/>
        <v>0</v>
      </c>
      <c r="Z58" s="210">
        <f t="shared" si="52"/>
        <v>0</v>
      </c>
      <c r="AA58" s="210">
        <f t="shared" si="52"/>
        <v>0</v>
      </c>
      <c r="AB58" s="264">
        <f t="shared" si="52"/>
        <v>0</v>
      </c>
      <c r="AD58" s="207"/>
      <c r="AE58" s="207"/>
      <c r="AF58" s="208"/>
      <c r="AG58" s="207"/>
      <c r="AI58" s="1"/>
    </row>
    <row r="59" spans="1:35" x14ac:dyDescent="0.2">
      <c r="A59" s="358" t="s">
        <v>6</v>
      </c>
      <c r="B59" s="209" t="s">
        <v>250</v>
      </c>
      <c r="C59" s="210">
        <f t="shared" ref="C59:AB59" si="53">SUM(C21:C28)</f>
        <v>0</v>
      </c>
      <c r="D59" s="210">
        <f t="shared" si="53"/>
        <v>0</v>
      </c>
      <c r="E59" s="210">
        <f t="shared" si="53"/>
        <v>0</v>
      </c>
      <c r="F59" s="210">
        <f t="shared" si="53"/>
        <v>0</v>
      </c>
      <c r="G59" s="210">
        <f t="shared" si="53"/>
        <v>0</v>
      </c>
      <c r="H59" s="210">
        <f t="shared" si="53"/>
        <v>0</v>
      </c>
      <c r="I59" s="210">
        <f t="shared" si="53"/>
        <v>0</v>
      </c>
      <c r="J59" s="210">
        <f t="shared" si="53"/>
        <v>0</v>
      </c>
      <c r="K59" s="210">
        <f t="shared" si="53"/>
        <v>0</v>
      </c>
      <c r="L59" s="210">
        <f t="shared" si="53"/>
        <v>0</v>
      </c>
      <c r="M59" s="210">
        <f t="shared" si="53"/>
        <v>0</v>
      </c>
      <c r="N59" s="210">
        <f t="shared" si="53"/>
        <v>0</v>
      </c>
      <c r="O59" s="210">
        <f t="shared" si="53"/>
        <v>0</v>
      </c>
      <c r="P59" s="210">
        <f t="shared" si="53"/>
        <v>0</v>
      </c>
      <c r="Q59" s="210">
        <f t="shared" si="53"/>
        <v>0</v>
      </c>
      <c r="R59" s="210">
        <f t="shared" si="53"/>
        <v>0</v>
      </c>
      <c r="S59" s="210">
        <f t="shared" si="53"/>
        <v>0</v>
      </c>
      <c r="T59" s="210">
        <f t="shared" si="53"/>
        <v>0</v>
      </c>
      <c r="U59" s="210">
        <f t="shared" si="53"/>
        <v>0</v>
      </c>
      <c r="V59" s="210">
        <f t="shared" si="53"/>
        <v>0</v>
      </c>
      <c r="W59" s="210">
        <f t="shared" si="53"/>
        <v>0</v>
      </c>
      <c r="X59" s="210">
        <f t="shared" si="53"/>
        <v>0</v>
      </c>
      <c r="Y59" s="210">
        <f t="shared" si="53"/>
        <v>0</v>
      </c>
      <c r="Z59" s="210">
        <f t="shared" si="53"/>
        <v>0</v>
      </c>
      <c r="AA59" s="210">
        <f t="shared" si="53"/>
        <v>0</v>
      </c>
      <c r="AB59" s="264">
        <f t="shared" si="53"/>
        <v>0</v>
      </c>
      <c r="AD59" s="207"/>
      <c r="AE59" s="207"/>
      <c r="AF59" s="208"/>
      <c r="AG59" s="207"/>
      <c r="AI59" s="1"/>
    </row>
    <row r="60" spans="1:35" x14ac:dyDescent="0.2">
      <c r="A60" s="359"/>
      <c r="B60" s="209" t="s">
        <v>251</v>
      </c>
      <c r="C60" s="210">
        <f t="shared" ref="C60:AB60" si="54">SUM(C21:C22)</f>
        <v>0</v>
      </c>
      <c r="D60" s="210">
        <f t="shared" si="54"/>
        <v>0</v>
      </c>
      <c r="E60" s="210">
        <f t="shared" si="54"/>
        <v>0</v>
      </c>
      <c r="F60" s="210">
        <f t="shared" si="54"/>
        <v>0</v>
      </c>
      <c r="G60" s="210">
        <f t="shared" si="54"/>
        <v>0</v>
      </c>
      <c r="H60" s="210">
        <f t="shared" si="54"/>
        <v>0</v>
      </c>
      <c r="I60" s="210">
        <f t="shared" si="54"/>
        <v>0</v>
      </c>
      <c r="J60" s="210">
        <f t="shared" si="54"/>
        <v>0</v>
      </c>
      <c r="K60" s="210">
        <f t="shared" si="54"/>
        <v>0</v>
      </c>
      <c r="L60" s="210">
        <f t="shared" si="54"/>
        <v>0</v>
      </c>
      <c r="M60" s="210">
        <f t="shared" si="54"/>
        <v>0</v>
      </c>
      <c r="N60" s="210">
        <f t="shared" si="54"/>
        <v>0</v>
      </c>
      <c r="O60" s="210">
        <f t="shared" si="54"/>
        <v>0</v>
      </c>
      <c r="P60" s="210">
        <f t="shared" si="54"/>
        <v>0</v>
      </c>
      <c r="Q60" s="210">
        <f t="shared" si="54"/>
        <v>0</v>
      </c>
      <c r="R60" s="210">
        <f t="shared" si="54"/>
        <v>0</v>
      </c>
      <c r="S60" s="210">
        <f t="shared" si="54"/>
        <v>0</v>
      </c>
      <c r="T60" s="210">
        <f t="shared" si="54"/>
        <v>0</v>
      </c>
      <c r="U60" s="210">
        <f t="shared" si="54"/>
        <v>0</v>
      </c>
      <c r="V60" s="210">
        <f t="shared" si="54"/>
        <v>0</v>
      </c>
      <c r="W60" s="210">
        <f t="shared" si="54"/>
        <v>0</v>
      </c>
      <c r="X60" s="210">
        <f t="shared" si="54"/>
        <v>0</v>
      </c>
      <c r="Y60" s="210">
        <f t="shared" si="54"/>
        <v>0</v>
      </c>
      <c r="Z60" s="210">
        <f t="shared" si="54"/>
        <v>0</v>
      </c>
      <c r="AA60" s="210">
        <f t="shared" si="54"/>
        <v>0</v>
      </c>
      <c r="AB60" s="264">
        <f t="shared" si="54"/>
        <v>0</v>
      </c>
      <c r="AD60" s="207"/>
      <c r="AE60" s="207"/>
      <c r="AF60" s="208"/>
      <c r="AG60" s="207"/>
      <c r="AI60" s="1"/>
    </row>
    <row r="61" spans="1:35" x14ac:dyDescent="0.2">
      <c r="A61" s="359"/>
      <c r="B61" s="209" t="s">
        <v>254</v>
      </c>
      <c r="C61" s="210">
        <f t="shared" ref="C61:AB61" si="55">SUM(C23:C24)</f>
        <v>0</v>
      </c>
      <c r="D61" s="210">
        <f t="shared" si="55"/>
        <v>0</v>
      </c>
      <c r="E61" s="210">
        <f t="shared" si="55"/>
        <v>0</v>
      </c>
      <c r="F61" s="210">
        <f t="shared" si="55"/>
        <v>0</v>
      </c>
      <c r="G61" s="210">
        <f t="shared" si="55"/>
        <v>0</v>
      </c>
      <c r="H61" s="210">
        <f t="shared" si="55"/>
        <v>0</v>
      </c>
      <c r="I61" s="210">
        <f t="shared" si="55"/>
        <v>0</v>
      </c>
      <c r="J61" s="210">
        <f t="shared" si="55"/>
        <v>0</v>
      </c>
      <c r="K61" s="210">
        <f t="shared" si="55"/>
        <v>0</v>
      </c>
      <c r="L61" s="210">
        <f t="shared" si="55"/>
        <v>0</v>
      </c>
      <c r="M61" s="210">
        <f t="shared" si="55"/>
        <v>0</v>
      </c>
      <c r="N61" s="210">
        <f t="shared" si="55"/>
        <v>0</v>
      </c>
      <c r="O61" s="210">
        <f t="shared" si="55"/>
        <v>0</v>
      </c>
      <c r="P61" s="210">
        <f t="shared" si="55"/>
        <v>0</v>
      </c>
      <c r="Q61" s="210">
        <f t="shared" si="55"/>
        <v>0</v>
      </c>
      <c r="R61" s="210">
        <f t="shared" si="55"/>
        <v>0</v>
      </c>
      <c r="S61" s="210">
        <f t="shared" si="55"/>
        <v>0</v>
      </c>
      <c r="T61" s="210">
        <f t="shared" si="55"/>
        <v>0</v>
      </c>
      <c r="U61" s="210">
        <f t="shared" si="55"/>
        <v>0</v>
      </c>
      <c r="V61" s="210">
        <f t="shared" si="55"/>
        <v>0</v>
      </c>
      <c r="W61" s="210">
        <f t="shared" si="55"/>
        <v>0</v>
      </c>
      <c r="X61" s="210">
        <f t="shared" si="55"/>
        <v>0</v>
      </c>
      <c r="Y61" s="210">
        <f t="shared" si="55"/>
        <v>0</v>
      </c>
      <c r="Z61" s="210">
        <f t="shared" si="55"/>
        <v>0</v>
      </c>
      <c r="AA61" s="210">
        <f t="shared" si="55"/>
        <v>0</v>
      </c>
      <c r="AB61" s="264">
        <f t="shared" si="55"/>
        <v>0</v>
      </c>
      <c r="AD61" s="207"/>
      <c r="AE61" s="207"/>
      <c r="AF61" s="208"/>
      <c r="AG61" s="207"/>
      <c r="AI61" s="1"/>
    </row>
    <row r="62" spans="1:35" x14ac:dyDescent="0.2">
      <c r="A62" s="359"/>
      <c r="B62" s="209" t="s">
        <v>255</v>
      </c>
      <c r="C62" s="210">
        <f t="shared" ref="C62:AB62" si="56">SUM(C25:C26)</f>
        <v>0</v>
      </c>
      <c r="D62" s="210">
        <f t="shared" si="56"/>
        <v>0</v>
      </c>
      <c r="E62" s="210">
        <f t="shared" si="56"/>
        <v>0</v>
      </c>
      <c r="F62" s="210">
        <f t="shared" si="56"/>
        <v>0</v>
      </c>
      <c r="G62" s="210">
        <f t="shared" si="56"/>
        <v>0</v>
      </c>
      <c r="H62" s="210">
        <f t="shared" si="56"/>
        <v>0</v>
      </c>
      <c r="I62" s="210">
        <f t="shared" si="56"/>
        <v>0</v>
      </c>
      <c r="J62" s="210">
        <f t="shared" si="56"/>
        <v>0</v>
      </c>
      <c r="K62" s="210">
        <f t="shared" si="56"/>
        <v>0</v>
      </c>
      <c r="L62" s="210">
        <f t="shared" si="56"/>
        <v>0</v>
      </c>
      <c r="M62" s="210">
        <f t="shared" si="56"/>
        <v>0</v>
      </c>
      <c r="N62" s="210">
        <f t="shared" si="56"/>
        <v>0</v>
      </c>
      <c r="O62" s="210">
        <f t="shared" si="56"/>
        <v>0</v>
      </c>
      <c r="P62" s="210">
        <f t="shared" si="56"/>
        <v>0</v>
      </c>
      <c r="Q62" s="210">
        <f t="shared" si="56"/>
        <v>0</v>
      </c>
      <c r="R62" s="210">
        <f t="shared" si="56"/>
        <v>0</v>
      </c>
      <c r="S62" s="210">
        <f t="shared" si="56"/>
        <v>0</v>
      </c>
      <c r="T62" s="210">
        <f t="shared" si="56"/>
        <v>0</v>
      </c>
      <c r="U62" s="210">
        <f t="shared" si="56"/>
        <v>0</v>
      </c>
      <c r="V62" s="210">
        <f t="shared" si="56"/>
        <v>0</v>
      </c>
      <c r="W62" s="210">
        <f t="shared" si="56"/>
        <v>0</v>
      </c>
      <c r="X62" s="210">
        <f t="shared" si="56"/>
        <v>0</v>
      </c>
      <c r="Y62" s="210">
        <f t="shared" si="56"/>
        <v>0</v>
      </c>
      <c r="Z62" s="210">
        <f t="shared" si="56"/>
        <v>0</v>
      </c>
      <c r="AA62" s="210">
        <f t="shared" si="56"/>
        <v>0</v>
      </c>
      <c r="AB62" s="264">
        <f t="shared" si="56"/>
        <v>0</v>
      </c>
      <c r="AD62" s="207"/>
      <c r="AE62" s="207"/>
      <c r="AF62" s="208"/>
      <c r="AG62" s="207"/>
      <c r="AI62" s="1"/>
    </row>
    <row r="63" spans="1:35" x14ac:dyDescent="0.2">
      <c r="A63" s="359"/>
      <c r="B63" s="209" t="s">
        <v>256</v>
      </c>
      <c r="C63" s="210">
        <f t="shared" ref="C63:F63" si="57">SUM(C27:C28)</f>
        <v>0</v>
      </c>
      <c r="D63" s="210">
        <f t="shared" si="57"/>
        <v>0</v>
      </c>
      <c r="E63" s="210">
        <f t="shared" si="57"/>
        <v>0</v>
      </c>
      <c r="F63" s="210">
        <f t="shared" si="57"/>
        <v>0</v>
      </c>
      <c r="G63" s="210">
        <f>SUM(G27:G28)</f>
        <v>0</v>
      </c>
      <c r="H63" s="210">
        <f t="shared" ref="H63:AB63" si="58">SUM(H27:H28)</f>
        <v>0</v>
      </c>
      <c r="I63" s="210">
        <f t="shared" si="58"/>
        <v>0</v>
      </c>
      <c r="J63" s="210">
        <f t="shared" si="58"/>
        <v>0</v>
      </c>
      <c r="K63" s="210">
        <f t="shared" si="58"/>
        <v>0</v>
      </c>
      <c r="L63" s="210">
        <f t="shared" si="58"/>
        <v>0</v>
      </c>
      <c r="M63" s="210">
        <f t="shared" si="58"/>
        <v>0</v>
      </c>
      <c r="N63" s="210">
        <f t="shared" si="58"/>
        <v>0</v>
      </c>
      <c r="O63" s="210">
        <f t="shared" si="58"/>
        <v>0</v>
      </c>
      <c r="P63" s="210">
        <f t="shared" si="58"/>
        <v>0</v>
      </c>
      <c r="Q63" s="210">
        <f t="shared" si="58"/>
        <v>0</v>
      </c>
      <c r="R63" s="210">
        <f t="shared" si="58"/>
        <v>0</v>
      </c>
      <c r="S63" s="210">
        <f t="shared" si="58"/>
        <v>0</v>
      </c>
      <c r="T63" s="210">
        <f t="shared" si="58"/>
        <v>0</v>
      </c>
      <c r="U63" s="210">
        <f t="shared" si="58"/>
        <v>0</v>
      </c>
      <c r="V63" s="210">
        <f t="shared" si="58"/>
        <v>0</v>
      </c>
      <c r="W63" s="210">
        <f t="shared" si="58"/>
        <v>0</v>
      </c>
      <c r="X63" s="210">
        <f t="shared" si="58"/>
        <v>0</v>
      </c>
      <c r="Y63" s="210">
        <f t="shared" si="58"/>
        <v>0</v>
      </c>
      <c r="Z63" s="210">
        <f t="shared" si="58"/>
        <v>0</v>
      </c>
      <c r="AA63" s="210">
        <f t="shared" si="58"/>
        <v>0</v>
      </c>
      <c r="AB63" s="264">
        <f t="shared" si="58"/>
        <v>0</v>
      </c>
      <c r="AD63" s="207"/>
      <c r="AE63" s="207"/>
      <c r="AF63" s="208"/>
      <c r="AG63" s="207"/>
      <c r="AI63" s="1"/>
    </row>
    <row r="64" spans="1:35" x14ac:dyDescent="0.2">
      <c r="A64" s="359"/>
      <c r="B64" s="209" t="s">
        <v>262</v>
      </c>
      <c r="C64" s="229">
        <f t="shared" ref="C64:F64" si="59">SUM(C29:C30)</f>
        <v>0</v>
      </c>
      <c r="D64" s="229">
        <f t="shared" si="59"/>
        <v>0</v>
      </c>
      <c r="E64" s="229">
        <f t="shared" si="59"/>
        <v>0</v>
      </c>
      <c r="F64" s="229">
        <f t="shared" si="59"/>
        <v>0</v>
      </c>
      <c r="G64" s="229">
        <f>SUM(G29:G30)</f>
        <v>0</v>
      </c>
      <c r="H64" s="229">
        <f t="shared" ref="H64:AB64" si="60">SUM(H29:H30)</f>
        <v>0</v>
      </c>
      <c r="I64" s="229">
        <f t="shared" si="60"/>
        <v>0</v>
      </c>
      <c r="J64" s="229">
        <f t="shared" si="60"/>
        <v>0</v>
      </c>
      <c r="K64" s="229">
        <f t="shared" si="60"/>
        <v>0</v>
      </c>
      <c r="L64" s="229">
        <f t="shared" si="60"/>
        <v>0</v>
      </c>
      <c r="M64" s="229">
        <f t="shared" si="60"/>
        <v>0</v>
      </c>
      <c r="N64" s="229">
        <f t="shared" si="60"/>
        <v>0</v>
      </c>
      <c r="O64" s="229">
        <f t="shared" si="60"/>
        <v>0</v>
      </c>
      <c r="P64" s="229">
        <f t="shared" si="60"/>
        <v>0</v>
      </c>
      <c r="Q64" s="229">
        <f t="shared" si="60"/>
        <v>0</v>
      </c>
      <c r="R64" s="229">
        <f t="shared" si="60"/>
        <v>0</v>
      </c>
      <c r="S64" s="229">
        <f t="shared" si="60"/>
        <v>0</v>
      </c>
      <c r="T64" s="229">
        <f t="shared" si="60"/>
        <v>0</v>
      </c>
      <c r="U64" s="229">
        <f t="shared" si="60"/>
        <v>0</v>
      </c>
      <c r="V64" s="229">
        <f t="shared" si="60"/>
        <v>0</v>
      </c>
      <c r="W64" s="229">
        <f t="shared" si="60"/>
        <v>0</v>
      </c>
      <c r="X64" s="229">
        <f t="shared" si="60"/>
        <v>0</v>
      </c>
      <c r="Y64" s="229">
        <f t="shared" si="60"/>
        <v>0</v>
      </c>
      <c r="Z64" s="229">
        <f t="shared" si="60"/>
        <v>0</v>
      </c>
      <c r="AA64" s="229">
        <f t="shared" si="60"/>
        <v>0</v>
      </c>
      <c r="AB64" s="265">
        <f t="shared" si="60"/>
        <v>0</v>
      </c>
      <c r="AD64" s="207"/>
      <c r="AE64" s="207"/>
      <c r="AF64" s="208"/>
      <c r="AG64" s="207"/>
      <c r="AI64" s="1"/>
    </row>
    <row r="65" spans="1:37" ht="13.5" thickBot="1" x14ac:dyDescent="0.25">
      <c r="A65" s="360"/>
      <c r="B65" s="266" t="s">
        <v>261</v>
      </c>
      <c r="C65" s="226">
        <f t="shared" ref="C65:F65" si="61">SUM(C31)</f>
        <v>0</v>
      </c>
      <c r="D65" s="226">
        <f t="shared" si="61"/>
        <v>0</v>
      </c>
      <c r="E65" s="226">
        <f t="shared" si="61"/>
        <v>0</v>
      </c>
      <c r="F65" s="226">
        <f t="shared" si="61"/>
        <v>0</v>
      </c>
      <c r="G65" s="226">
        <f>SUM(G31)</f>
        <v>0</v>
      </c>
      <c r="H65" s="226">
        <f t="shared" ref="H65:AB65" si="62">SUM(H31)</f>
        <v>0</v>
      </c>
      <c r="I65" s="226">
        <f t="shared" si="62"/>
        <v>0</v>
      </c>
      <c r="J65" s="226">
        <f t="shared" si="62"/>
        <v>0</v>
      </c>
      <c r="K65" s="226">
        <f t="shared" si="62"/>
        <v>0</v>
      </c>
      <c r="L65" s="226">
        <f t="shared" si="62"/>
        <v>0</v>
      </c>
      <c r="M65" s="226">
        <f t="shared" si="62"/>
        <v>0</v>
      </c>
      <c r="N65" s="226">
        <f t="shared" si="62"/>
        <v>0</v>
      </c>
      <c r="O65" s="226">
        <f t="shared" si="62"/>
        <v>0</v>
      </c>
      <c r="P65" s="226">
        <f t="shared" si="62"/>
        <v>0</v>
      </c>
      <c r="Q65" s="226">
        <f t="shared" si="62"/>
        <v>0</v>
      </c>
      <c r="R65" s="226">
        <f t="shared" si="62"/>
        <v>0</v>
      </c>
      <c r="S65" s="226">
        <f t="shared" si="62"/>
        <v>0</v>
      </c>
      <c r="T65" s="226">
        <f t="shared" si="62"/>
        <v>0</v>
      </c>
      <c r="U65" s="226">
        <f t="shared" si="62"/>
        <v>0</v>
      </c>
      <c r="V65" s="226">
        <f t="shared" si="62"/>
        <v>0</v>
      </c>
      <c r="W65" s="226">
        <f t="shared" si="62"/>
        <v>0</v>
      </c>
      <c r="X65" s="226">
        <f t="shared" si="62"/>
        <v>0</v>
      </c>
      <c r="Y65" s="226">
        <f t="shared" si="62"/>
        <v>0</v>
      </c>
      <c r="Z65" s="226">
        <f t="shared" si="62"/>
        <v>0</v>
      </c>
      <c r="AA65" s="226">
        <f t="shared" si="62"/>
        <v>0</v>
      </c>
      <c r="AB65" s="267">
        <f t="shared" si="62"/>
        <v>0</v>
      </c>
      <c r="AD65" s="207"/>
      <c r="AE65" s="207"/>
      <c r="AF65" s="208"/>
      <c r="AG65" s="207"/>
      <c r="AI65" s="1"/>
    </row>
    <row r="67" spans="1:37" customFormat="1" ht="13.5" thickBot="1" x14ac:dyDescent="0.25">
      <c r="C67" s="372" t="s">
        <v>131</v>
      </c>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
      <c r="AD67" s="3"/>
      <c r="AE67" s="3"/>
      <c r="AF67" s="3"/>
      <c r="AG67" s="3"/>
      <c r="AH67" s="3"/>
      <c r="AI67" s="3"/>
      <c r="AJ67" s="3"/>
      <c r="AK67" s="3"/>
    </row>
    <row r="68" spans="1:37" customFormat="1" ht="33.75" customHeight="1" x14ac:dyDescent="0.2">
      <c r="A68" s="354"/>
      <c r="B68" s="361" t="s">
        <v>11</v>
      </c>
      <c r="C68" s="363" t="s">
        <v>125</v>
      </c>
      <c r="D68" s="363" t="s">
        <v>126</v>
      </c>
      <c r="E68" s="365" t="s">
        <v>0</v>
      </c>
      <c r="F68" s="366"/>
      <c r="G68" s="376" t="s">
        <v>1</v>
      </c>
      <c r="H68" s="377"/>
      <c r="I68" s="363" t="s">
        <v>2</v>
      </c>
      <c r="J68" s="378" t="s">
        <v>3</v>
      </c>
      <c r="K68" s="378"/>
      <c r="L68" s="378"/>
      <c r="M68" s="378"/>
      <c r="N68" s="369" t="s">
        <v>120</v>
      </c>
      <c r="O68" s="363" t="s">
        <v>221</v>
      </c>
      <c r="P68" s="4"/>
      <c r="Q68" s="363" t="s">
        <v>7</v>
      </c>
      <c r="R68" s="4"/>
      <c r="S68" s="363" t="s">
        <v>116</v>
      </c>
      <c r="T68" s="363" t="s">
        <v>117</v>
      </c>
      <c r="U68" s="363" t="s">
        <v>3</v>
      </c>
      <c r="V68" s="4"/>
      <c r="W68" s="373" t="s">
        <v>117</v>
      </c>
      <c r="X68" s="373"/>
      <c r="Y68" s="4"/>
      <c r="Z68" s="374" t="s">
        <v>104</v>
      </c>
      <c r="AA68" s="374"/>
      <c r="AB68" s="375"/>
      <c r="AC68" s="3"/>
      <c r="AD68" s="3"/>
      <c r="AE68" s="3"/>
      <c r="AF68" s="3"/>
      <c r="AG68" s="3"/>
      <c r="AH68" s="3"/>
      <c r="AI68" s="3"/>
      <c r="AJ68" s="3"/>
      <c r="AK68" s="3"/>
    </row>
    <row r="69" spans="1:37" customFormat="1" ht="66.75" customHeight="1" thickBot="1" x14ac:dyDescent="0.25">
      <c r="A69" s="355"/>
      <c r="B69" s="362"/>
      <c r="C69" s="364"/>
      <c r="D69" s="364"/>
      <c r="E69" s="68" t="s">
        <v>98</v>
      </c>
      <c r="F69" s="68" t="s">
        <v>100</v>
      </c>
      <c r="G69" s="64" t="s">
        <v>98</v>
      </c>
      <c r="H69" s="68" t="s">
        <v>100</v>
      </c>
      <c r="I69" s="371"/>
      <c r="J69" s="68" t="s">
        <v>127</v>
      </c>
      <c r="K69" s="68" t="s">
        <v>128</v>
      </c>
      <c r="L69" s="68" t="s">
        <v>129</v>
      </c>
      <c r="M69" s="68" t="s">
        <v>130</v>
      </c>
      <c r="N69" s="370"/>
      <c r="O69" s="371"/>
      <c r="P69" s="65"/>
      <c r="Q69" s="364"/>
      <c r="R69" s="65"/>
      <c r="S69" s="364"/>
      <c r="T69" s="364"/>
      <c r="U69" s="364"/>
      <c r="V69" s="65"/>
      <c r="W69" s="68" t="s">
        <v>9</v>
      </c>
      <c r="X69" s="68" t="s">
        <v>10</v>
      </c>
      <c r="Y69" s="65"/>
      <c r="Z69" s="69" t="s">
        <v>101</v>
      </c>
      <c r="AA69" s="69" t="s">
        <v>102</v>
      </c>
      <c r="AB69" s="70" t="s">
        <v>103</v>
      </c>
      <c r="AC69" s="3"/>
      <c r="AD69" s="3"/>
      <c r="AE69" s="3"/>
      <c r="AF69" s="3"/>
      <c r="AG69" s="3"/>
      <c r="AH69" s="3"/>
      <c r="AI69" s="3"/>
      <c r="AJ69" s="3"/>
      <c r="AK69" s="3"/>
    </row>
    <row r="70" spans="1:37" customFormat="1" ht="87" hidden="1" customHeight="1" thickBot="1" x14ac:dyDescent="0.25">
      <c r="A70" s="81" t="s">
        <v>105</v>
      </c>
      <c r="B70" s="82"/>
      <c r="C70" s="71" t="s">
        <v>106</v>
      </c>
      <c r="D70" s="71" t="s">
        <v>97</v>
      </c>
      <c r="E70" s="71" t="s">
        <v>108</v>
      </c>
      <c r="F70" s="71" t="s">
        <v>107</v>
      </c>
      <c r="G70" s="71" t="s">
        <v>109</v>
      </c>
      <c r="H70" s="71" t="s">
        <v>110</v>
      </c>
      <c r="I70" s="72" t="s">
        <v>111</v>
      </c>
      <c r="J70" s="71" t="s">
        <v>112</v>
      </c>
      <c r="K70" s="71" t="s">
        <v>113</v>
      </c>
      <c r="L70" s="71" t="s">
        <v>114</v>
      </c>
      <c r="M70" s="71" t="s">
        <v>115</v>
      </c>
      <c r="N70" s="75" t="s">
        <v>121</v>
      </c>
      <c r="O70" s="76"/>
      <c r="P70" s="72"/>
      <c r="Q70" s="73" t="str">
        <f>CONCATENATE(H70&amp;", "&amp;I70&amp;", "&amp;J70&amp;", "&amp;K70&amp;", "&amp;L70&amp;", "&amp;M70)</f>
        <v>343, 344, 353, 354, 443, 444, 453, 454, 540, 550, 560, 640, 650, 660, 740, 750, 760, 840, 850, 860</v>
      </c>
      <c r="R70" s="72"/>
      <c r="S70" s="73" t="str">
        <f>CONCATENATE(C70&amp;", "&amp;D70&amp;", "&amp;E70&amp;", "&amp;F70&amp;", "&amp;G70)</f>
        <v>010, 020, 030, 100, 242, 252, 243, 244, 253, 254, 342, 352</v>
      </c>
      <c r="T70" s="73" t="str">
        <f>CONCATENATE(H70&amp;", "&amp;I70)</f>
        <v>343, 344, 353, 354, 443, 444, 453, 454</v>
      </c>
      <c r="U70" s="73" t="str">
        <f>CONCATENATE(J70&amp;", "&amp;K70&amp;", "&amp;L70&amp;", "&amp;M70)</f>
        <v>540, 550, 560, 640, 650, 660, 740, 750, 760, 840, 850, 860</v>
      </c>
      <c r="V70" s="72"/>
      <c r="W70" s="71" t="s">
        <v>118</v>
      </c>
      <c r="X70" s="71" t="s">
        <v>119</v>
      </c>
      <c r="Y70" s="72"/>
      <c r="Z70" s="77" t="s">
        <v>122</v>
      </c>
      <c r="AA70" s="77" t="s">
        <v>123</v>
      </c>
      <c r="AB70" s="74" t="s">
        <v>124</v>
      </c>
      <c r="AC70" s="3"/>
      <c r="AD70" s="3"/>
      <c r="AE70" s="3"/>
      <c r="AF70" s="3"/>
      <c r="AG70" s="3"/>
      <c r="AH70" s="3"/>
      <c r="AI70" s="3"/>
      <c r="AJ70" s="3"/>
      <c r="AK70" s="3"/>
    </row>
    <row r="71" spans="1:37" customFormat="1" ht="12.75" customHeight="1" x14ac:dyDescent="0.2">
      <c r="A71" s="351" t="s">
        <v>5</v>
      </c>
      <c r="B71" s="78" t="s">
        <v>87</v>
      </c>
      <c r="C71" s="86">
        <f>SUMIFS(Flat_file!$H:$H,Flat_file!$B:$B,Summary_Employed!$B$2,Flat_file!$C:$C,"Men",Flat_file!$D:$D,"15-19",Flat_file!$E:$E,"010",Flat_file!$F:$F,"E")+SUMIFS(Flat_file!$H:$H,Flat_file!$B:$B,Summary_Employed!$B$2,Flat_file!$C:$C,"Men",Flat_file!$D:$D,"15-19",Flat_file!$E:$E,"020",Flat_file!$F:$F,"E")+SUMIFS(Flat_file!$H:$H,Flat_file!$B:$B,Summary_Employed!$B$2,Flat_file!$C:$C,"Men",Flat_file!$D:$D,"15-19",Flat_file!$E:$E,"030",Flat_file!$F:$F,"E")</f>
        <v>0</v>
      </c>
      <c r="D71" s="86">
        <f>SUMIFS(Flat_file!$H:$H,Flat_file!$B:$B,Summary_Employed!$B$2,Flat_file!$C:$C,"Men",Flat_file!$D:$D,"15-19",Flat_file!$E:$E,"100",Flat_file!$F:$F,"E")</f>
        <v>0</v>
      </c>
      <c r="E71" s="86">
        <f>SUMIFS(Flat_file!$H:$H,Flat_file!$B:$B,Summary_Employed!$B$2,Flat_file!$C:$C,"Men",Flat_file!$D:$D,"15-19",Flat_file!$E:$E,"242",Flat_file!$F:$F,"E")+SUMIFS(Flat_file!$H:$H,Flat_file!$B:$B,Summary_Employed!$B$2,Flat_file!$C:$C,"Men",Flat_file!$D:$D,"15-19",Flat_file!$E:$E,"252",Flat_file!$F:$F,"E")</f>
        <v>0</v>
      </c>
      <c r="F71" s="86">
        <f>SUMIFS(Flat_file!$H:$H,Flat_file!$B:$B,Summary_Employed!$B$2,Flat_file!$C:$C,"Men",Flat_file!$D:$D,"15-19",Flat_file!$E:$E,"243",Flat_file!$F:$F,"E")+SUMIFS(Flat_file!$H:$H,Flat_file!$B:$B,Summary_Employed!$B$2,Flat_file!$C:$C,"Men",Flat_file!$D:$D,"15-19",Flat_file!$E:$E,"244",Flat_file!$F:$F,"E")+SUMIFS(Flat_file!$H:$H,Flat_file!$B:$B,Summary_Employed!$B$2,Flat_file!$C:$C,"Men",Flat_file!$D:$D,"15-19",Flat_file!$E:$E,"253",Flat_file!$F:$F,"E")+SUMIFS(Flat_file!$H:$H,Flat_file!$B:$B,Summary_Employed!$B$2,Flat_file!$C:$C,"Men",Flat_file!$D:$D,"15-19",Flat_file!$E:$E,"254",Flat_file!$F:$F,"E")</f>
        <v>0</v>
      </c>
      <c r="G71" s="86">
        <f>SUMIFS(Flat_file!$H:$H,Flat_file!$B:$B,Summary_Employed!$B$2,Flat_file!$C:$C,"Men",Flat_file!$D:$D,"15-19",Flat_file!$E:$E,"342",Flat_file!$F:$F,"E")+SUMIFS(Flat_file!$H:$H,Flat_file!$B:$B,Summary_Employed!$B$2,Flat_file!$C:$C,"Men",Flat_file!$D:$D,"15-19",Flat_file!$E:$E,"352",Flat_file!$F:$F,"E")</f>
        <v>0</v>
      </c>
      <c r="H71" s="86">
        <f>SUMIFS(Flat_file!$H:$H,Flat_file!$B:$B,Summary_Employed!$B$2,Flat_file!$C:$C,"Men",Flat_file!$D:$D,"15-19",Flat_file!$E:$E,"343",Flat_file!$F:$F,"E")+SUMIFS(Flat_file!$H:$H,Flat_file!$B:$B,Summary_Employed!$B$2,Flat_file!$C:$C,"Men",Flat_file!$D:$D,"15-19",Flat_file!$E:$E,"344",Flat_file!$F:$F,"E")+SUMIFS(Flat_file!$H:$H,Flat_file!$B:$B,Summary_Employed!$B$2,Flat_file!$C:$C,"Men",Flat_file!$D:$D,"15-19",Flat_file!$E:$E,"353",Flat_file!$F:$F,"E")+SUMIFS(Flat_file!$H:$H,Flat_file!$B:$B,Summary_Employed!$B$2,Flat_file!$C:$C,"Men",Flat_file!$D:$D,"15-19",Flat_file!$E:$E,"354",Flat_file!$F:$F,"E")</f>
        <v>0</v>
      </c>
      <c r="I71" s="86">
        <f>SUMIFS(Flat_file!$H:$H,Flat_file!$B:$B,Summary_Employed!$B$2,Flat_file!$C:$C,"Men",Flat_file!$D:$D,"15-19",Flat_file!$E:$E,"443",Flat_file!$F:$F,"E")+SUMIFS(Flat_file!$H:$H,Flat_file!$B:$B,Summary_Employed!$B$2,Flat_file!$C:$C,"Men",Flat_file!$D:$D,"15-19",Flat_file!$E:$E,"444",Flat_file!$F:$F,"E")+SUMIFS(Flat_file!$H:$H,Flat_file!$B:$B,Summary_Employed!$B$2,Flat_file!$C:$C,"Men",Flat_file!$D:$D,"15-19",Flat_file!$E:$E,"453",Flat_file!$F:$F,"E")+SUMIFS(Flat_file!$H:$H,Flat_file!$B:$B,Summary_Employed!$B$2,Flat_file!$C:$C,"Men",Flat_file!$D:$D,"15-19",Flat_file!$E:$E,"454",Flat_file!$F:$F,"E")</f>
        <v>0</v>
      </c>
      <c r="J71" s="86">
        <f>SUMIFS(Flat_file!$H:$H,Flat_file!$B:$B,Summary_Employed!$B$2,Flat_file!$C:$C,"Men",Flat_file!$D:$D,"15-19",Flat_file!$E:$E,"540",Flat_file!$F:$F,"E")+SUMIFS(Flat_file!$H:$H,Flat_file!$B:$B,Summary_Employed!$B$2,Flat_file!$C:$C,"Men",Flat_file!$D:$D,"15-19",Flat_file!$E:$E,"550",Flat_file!$F:$F,"E")+SUMIFS(Flat_file!$H:$H,Flat_file!$B:$B,Summary_Employed!$B$2,Flat_file!$C:$C,"Men",Flat_file!$D:$D,"15-19",Flat_file!$E:$E,"560",Flat_file!$F:$F,"E")</f>
        <v>0</v>
      </c>
      <c r="K71" s="86">
        <f>SUMIFS(Flat_file!$H:$H,Flat_file!$B:$B,Summary_Employed!$B$2,Flat_file!$C:$C,"Men",Flat_file!$D:$D,"15-19",Flat_file!$E:$E,"640",Flat_file!$F:$F,"E")+SUMIFS(Flat_file!$H:$H,Flat_file!$B:$B,Summary_Employed!$B$2,Flat_file!$C:$C,"Men",Flat_file!$D:$D,"15-19",Flat_file!$E:$E,"650",Flat_file!$F:$F,"E")+SUMIFS(Flat_file!$H:$H,Flat_file!$B:$B,Summary_Employed!$B$2,Flat_file!$C:$C,"Men",Flat_file!$D:$D,"15-19",Flat_file!$E:$E,"660",Flat_file!$F:$F,"E")</f>
        <v>0</v>
      </c>
      <c r="L71" s="86">
        <f>SUMIFS(Flat_file!$H:$H,Flat_file!$B:$B,Summary_Employed!$B$2,Flat_file!$C:$C,"Men",Flat_file!$D:$D,"15-19",Flat_file!$E:$E,"740",Flat_file!$F:$F,"E")+SUMIFS(Flat_file!$H:$H,Flat_file!$B:$B,Summary_Employed!$B$2,Flat_file!$C:$C,"Men",Flat_file!$D:$D,"15-19",Flat_file!$E:$E,"750",Flat_file!$F:$F,"E")+SUMIFS(Flat_file!$H:$H,Flat_file!$B:$B,Summary_Employed!$B$2,Flat_file!$C:$C,"Men",Flat_file!$D:$D,"15-19",Flat_file!$E:$E,"760",Flat_file!$F:$F,"E")</f>
        <v>0</v>
      </c>
      <c r="M71" s="86">
        <f>SUMIFS(Flat_file!$H:$H,Flat_file!$B:$B,Summary_Employed!$B$2,Flat_file!$C:$C,"Men",Flat_file!$D:$D,"15-19",Flat_file!$E:$E,"840",Flat_file!$F:$F,"E")+SUMIFS(Flat_file!$H:$H,Flat_file!$B:$B,Summary_Employed!$B$2,Flat_file!$C:$C,"Men",Flat_file!$D:$D,"15-19",Flat_file!$E:$E,"850",Flat_file!$F:$F,"E")+SUMIFS(Flat_file!$H:$H,Flat_file!$B:$B,Summary_Employed!$B$2,Flat_file!$C:$C,"Men",Flat_file!$D:$D,"15-19",Flat_file!$E:$E,"860",Flat_file!$F:$F,"E")</f>
        <v>0</v>
      </c>
      <c r="N71" s="86">
        <f>SUMIFS(Flat_file!$H:$H,Flat_file!$B:$B,Summary_Employed!$B$2,Flat_file!$C:$C,"Men",Flat_file!$D:$D,"15-19",Flat_file!$E:$E,"999",Flat_file!$F:$F,"E")</f>
        <v>0</v>
      </c>
      <c r="O71" s="86">
        <f>SUM(C71:M71)</f>
        <v>0</v>
      </c>
      <c r="P71" s="87"/>
      <c r="Q71" s="86">
        <f>SUM(H71:M71)</f>
        <v>0</v>
      </c>
      <c r="R71" s="88"/>
      <c r="S71" s="86">
        <f>SUM(C71:G71)</f>
        <v>0</v>
      </c>
      <c r="T71" s="86">
        <f>SUM(H71:I71)</f>
        <v>0</v>
      </c>
      <c r="U71" s="86">
        <f>SUM(J71:M71)</f>
        <v>0</v>
      </c>
      <c r="V71" s="87"/>
      <c r="W71" s="86">
        <f>SUMIFS(Flat_file!$H:$H,Flat_file!$B:$B,Summary_Employed!$B$2,Flat_file!$C:$C,"Men",Flat_file!$D:$D,"15-19",Flat_file!$E:$E,"343",Flat_file!$F:$F,"E")+SUMIFS(Flat_file!$H:$H,Flat_file!$B:$B,Summary_Employed!$B$2,Flat_file!$C:$C,"Men",Flat_file!$D:$D,"15-19",Flat_file!$E:$E,"344",Flat_file!$F:$F,"E")+SUMIFS(Flat_file!$H:$H,Flat_file!$B:$B,Summary_Employed!$B$2,Flat_file!$C:$C,"Men",Flat_file!$D:$D,"15-19",Flat_file!$E:$E,"443",Flat_file!$F:$F,"E")+SUMIFS(Flat_file!$H:$H,Flat_file!$B:$B,Summary_Employed!$B$2,Flat_file!$C:$C,"Men",Flat_file!$D:$D,"15-19",Flat_file!$E:$E,"444",Flat_file!$F:$F,"E")</f>
        <v>0</v>
      </c>
      <c r="X71" s="86">
        <f>SUMIFS(Flat_file!$H:$H,Flat_file!$B:$B,Summary_Employed!$B$2,Flat_file!$C:$C,"Men",Flat_file!$D:$D,"15-19",Flat_file!$E:$E,"353",Flat_file!$F:$F,"E")+SUMIFS(Flat_file!$H:$H,Flat_file!$B:$B,Summary_Employed!$B$2,Flat_file!$C:$C,"Men",Flat_file!$D:$D,"15-19",Flat_file!$E:$E,"354",Flat_file!$F:$F,"E")+SUMIFS(Flat_file!$H:$H,Flat_file!$B:$B,Summary_Employed!$B$2,Flat_file!$C:$C,"Men",Flat_file!$D:$D,"15-19",Flat_file!$E:$E,"453",Flat_file!$F:$F,"E")+SUMIFS(Flat_file!$H:$H,Flat_file!$B:$B,Summary_Employed!$B$2,Flat_file!$C:$C,"Men",Flat_file!$D:$D,"15-19",Flat_file!$E:$E,"454",Flat_file!$F:$F,"E")</f>
        <v>0</v>
      </c>
      <c r="Y71" s="87"/>
      <c r="Z71" s="86">
        <f>SUMIFS(Flat_file!$H:$H,Flat_file!$B:$B,Summary_Employed!$B$2,Flat_file!$C:$C,"Men",Flat_file!$D:$D,"15-19",Flat_file!$E:$E,"640",Flat_file!$F:$F,"E")+SUMIFS(Flat_file!$H:$H,Flat_file!$B:$B,Summary_Employed!$B$2,Flat_file!$C:$C,"Men",Flat_file!$D:$D,"15-19",Flat_file!$E:$E,"740",Flat_file!$F:$F,"E")+SUMIFS(Flat_file!$H:$H,Flat_file!$B:$B,Summary_Employed!$B$2,Flat_file!$C:$C,"Men",Flat_file!$D:$D,"15-19",Flat_file!$E:$E,"840",Flat_file!$F:$F,"E")</f>
        <v>0</v>
      </c>
      <c r="AA71" s="86">
        <f>SUMIFS(Flat_file!$H:$H,Flat_file!$B:$B,Summary_Employed!$B$2,Flat_file!$C:$C,"Men",Flat_file!$D:$D,"15-19",Flat_file!$E:$E,"650",Flat_file!$F:$F,"E")+SUMIFS(Flat_file!$H:$H,Flat_file!$B:$B,Summary_Employed!$B$2,Flat_file!$C:$C,"Men",Flat_file!$D:$D,"15-19",Flat_file!$E:$E,"750",Flat_file!$F:$F,"E")+SUMIFS(Flat_file!$H:$H,Flat_file!$B:$B,Summary_Employed!$B$2,Flat_file!$C:$C,"Men",Flat_file!$D:$D,"15-19",Flat_file!$E:$E,"850",Flat_file!$F:$F,"E")</f>
        <v>0</v>
      </c>
      <c r="AB71" s="86">
        <f>SUMIFS(Flat_file!$H:$H,Flat_file!$B:$B,Summary_Employed!$B$2,Flat_file!$C:$C,"Men",Flat_file!$D:$D,"15-19",Flat_file!$E:$E,"660",Flat_file!$F:$F,"E")+SUMIFS(Flat_file!$H:$H,Flat_file!$B:$B,Summary_Employed!$B$2,Flat_file!$C:$C,"Men",Flat_file!$D:$D,"15-19",Flat_file!$E:$E,"760",Flat_file!$F:$F,"E")+SUMIFS(Flat_file!$H:$H,Flat_file!$B:$B,Summary_Employed!$B$2,Flat_file!$C:$C,"Men",Flat_file!$D:$D,"15-19",Flat_file!$E:$E,"860",Flat_file!$F:$F,"E")</f>
        <v>0</v>
      </c>
      <c r="AC71" s="3"/>
      <c r="AD71" s="3"/>
      <c r="AE71" s="3"/>
      <c r="AF71" s="3"/>
      <c r="AG71" s="3"/>
      <c r="AH71" s="3"/>
      <c r="AI71" s="3"/>
      <c r="AJ71" s="3"/>
      <c r="AK71" s="3"/>
    </row>
    <row r="72" spans="1:37" customFormat="1" x14ac:dyDescent="0.2">
      <c r="A72" s="352"/>
      <c r="B72" s="79" t="s">
        <v>88</v>
      </c>
      <c r="C72" s="89">
        <f>SUMIFS(Flat_file!$H:$H,Flat_file!$B:$B,Summary_Employed!$B$2,Flat_file!$C:$C,"Men",Flat_file!$D:$D,"20-24",Flat_file!$E:$E,"010",Flat_file!$F:$F,"E")+SUMIFS(Flat_file!$H:$H,Flat_file!$B:$B,Summary_Employed!$B$2,Flat_file!$C:$C,"Men",Flat_file!$D:$D,"20-24",Flat_file!$E:$E,"020",Flat_file!$F:$F,"E")+SUMIFS(Flat_file!$H:$H,Flat_file!$B:$B,Summary_Employed!$B$2,Flat_file!$C:$C,"Men",Flat_file!$D:$D,"20-24",Flat_file!$E:$E,"030",Flat_file!$F:$F,"E")</f>
        <v>0</v>
      </c>
      <c r="D72" s="89">
        <f>SUMIFS(Flat_file!$H:$H,Flat_file!$B:$B,Summary_Employed!$B$2,Flat_file!$C:$C,"Men",Flat_file!$D:$D,"20-24",Flat_file!$E:$E,"100",Flat_file!$F:$F,"E")</f>
        <v>0</v>
      </c>
      <c r="E72" s="89">
        <f>SUMIFS(Flat_file!$H:$H,Flat_file!$B:$B,Summary_Employed!$B$2,Flat_file!$C:$C,"Men",Flat_file!$D:$D,"20-24",Flat_file!$E:$E,"242",Flat_file!$F:$F,"E")+SUMIFS(Flat_file!$H:$H,Flat_file!$B:$B,Summary_Employed!$B$2,Flat_file!$C:$C,"Men",Flat_file!$D:$D,"20-24",Flat_file!$E:$E,"252",Flat_file!$F:$F,"E")</f>
        <v>0</v>
      </c>
      <c r="F72" s="89">
        <f>SUMIFS(Flat_file!$H:$H,Flat_file!$B:$B,Summary_Employed!$B$2,Flat_file!$C:$C,"Men",Flat_file!$D:$D,"20-24",Flat_file!$E:$E,"243",Flat_file!$F:$F,"E")+SUMIFS(Flat_file!$H:$H,Flat_file!$B:$B,Summary_Employed!$B$2,Flat_file!$C:$C,"Men",Flat_file!$D:$D,"20-24",Flat_file!$E:$E,"244",Flat_file!$F:$F,"E")+SUMIFS(Flat_file!$H:$H,Flat_file!$B:$B,Summary_Employed!$B$2,Flat_file!$C:$C,"Men",Flat_file!$D:$D,"20-24",Flat_file!$E:$E,"253",Flat_file!$F:$F,"E")+SUMIFS(Flat_file!$H:$H,Flat_file!$B:$B,Summary_Employed!$B$2,Flat_file!$C:$C,"Men",Flat_file!$D:$D,"20-24",Flat_file!$E:$E,"254",Flat_file!$F:$F,"E")</f>
        <v>0</v>
      </c>
      <c r="G72" s="89">
        <f>SUMIFS(Flat_file!$H:$H,Flat_file!$B:$B,Summary_Employed!$B$2,Flat_file!$C:$C,"Men",Flat_file!$D:$D,"20-24",Flat_file!$E:$E,"342",Flat_file!$F:$F,"E")+SUMIFS(Flat_file!$H:$H,Flat_file!$B:$B,Summary_Employed!$B$2,Flat_file!$C:$C,"Men",Flat_file!$D:$D,"20-24",Flat_file!$E:$E,"352",Flat_file!$F:$F,"E")</f>
        <v>0</v>
      </c>
      <c r="H72" s="89">
        <f>SUMIFS(Flat_file!$H:$H,Flat_file!$B:$B,Summary_Employed!$B$2,Flat_file!$C:$C,"Men",Flat_file!$D:$D,"20-24",Flat_file!$E:$E,"343",Flat_file!$F:$F,"E")+SUMIFS(Flat_file!$H:$H,Flat_file!$B:$B,Summary_Employed!$B$2,Flat_file!$C:$C,"Men",Flat_file!$D:$D,"20-24",Flat_file!$E:$E,"344",Flat_file!$F:$F,"E")+SUMIFS(Flat_file!$H:$H,Flat_file!$B:$B,Summary_Employed!$B$2,Flat_file!$C:$C,"Men",Flat_file!$D:$D,"20-24",Flat_file!$E:$E,"353",Flat_file!$F:$F,"E")+SUMIFS(Flat_file!$H:$H,Flat_file!$B:$B,Summary_Employed!$B$2,Flat_file!$C:$C,"Men",Flat_file!$D:$D,"20-24",Flat_file!$E:$E,"354",Flat_file!$F:$F,"E")</f>
        <v>0</v>
      </c>
      <c r="I72" s="89">
        <f>SUMIFS(Flat_file!$H:$H,Flat_file!$B:$B,Summary_Employed!$B$2,Flat_file!$C:$C,"Men",Flat_file!$D:$D,"20-24",Flat_file!$E:$E,"443",Flat_file!$F:$F,"E")+SUMIFS(Flat_file!$H:$H,Flat_file!$B:$B,Summary_Employed!$B$2,Flat_file!$C:$C,"Men",Flat_file!$D:$D,"20-24",Flat_file!$E:$E,"444",Flat_file!$F:$F,"E")+SUMIFS(Flat_file!$H:$H,Flat_file!$B:$B,Summary_Employed!$B$2,Flat_file!$C:$C,"Men",Flat_file!$D:$D,"20-24",Flat_file!$E:$E,"453",Flat_file!$F:$F,"E")+SUMIFS(Flat_file!$H:$H,Flat_file!$B:$B,Summary_Employed!$B$2,Flat_file!$C:$C,"Men",Flat_file!$D:$D,"20-24",Flat_file!$E:$E,"454",Flat_file!$F:$F,"E")</f>
        <v>0</v>
      </c>
      <c r="J72" s="89">
        <f>SUMIFS(Flat_file!$H:$H,Flat_file!$B:$B,Summary_Employed!$B$2,Flat_file!$C:$C,"Men",Flat_file!$D:$D,"20-24",Flat_file!$E:$E,"540",Flat_file!$F:$F,"E")+SUMIFS(Flat_file!$H:$H,Flat_file!$B:$B,Summary_Employed!$B$2,Flat_file!$C:$C,"Men",Flat_file!$D:$D,"20-24",Flat_file!$E:$E,"550",Flat_file!$F:$F,"E")+SUMIFS(Flat_file!$H:$H,Flat_file!$B:$B,Summary_Employed!$B$2,Flat_file!$C:$C,"Men",Flat_file!$D:$D,"20-24",Flat_file!$E:$E,"560",Flat_file!$F:$F,"E")</f>
        <v>0</v>
      </c>
      <c r="K72" s="89">
        <f>SUMIFS(Flat_file!$H:$H,Flat_file!$B:$B,Summary_Employed!$B$2,Flat_file!$C:$C,"Men",Flat_file!$D:$D,"20-24",Flat_file!$E:$E,"640",Flat_file!$F:$F,"E")+SUMIFS(Flat_file!$H:$H,Flat_file!$B:$B,Summary_Employed!$B$2,Flat_file!$C:$C,"Men",Flat_file!$D:$D,"20-24",Flat_file!$E:$E,"650",Flat_file!$F:$F,"E")+SUMIFS(Flat_file!$H:$H,Flat_file!$B:$B,Summary_Employed!$B$2,Flat_file!$C:$C,"Men",Flat_file!$D:$D,"20-24",Flat_file!$E:$E,"660",Flat_file!$F:$F,"E")</f>
        <v>0</v>
      </c>
      <c r="L72" s="89">
        <f>SUMIFS(Flat_file!$H:$H,Flat_file!$B:$B,Summary_Employed!$B$2,Flat_file!$C:$C,"Men",Flat_file!$D:$D,"20-24",Flat_file!$E:$E,"740",Flat_file!$F:$F,"E")+SUMIFS(Flat_file!$H:$H,Flat_file!$B:$B,Summary_Employed!$B$2,Flat_file!$C:$C,"Men",Flat_file!$D:$D,"20-24",Flat_file!$E:$E,"750",Flat_file!$F:$F,"E")+SUMIFS(Flat_file!$H:$H,Flat_file!$B:$B,Summary_Employed!$B$2,Flat_file!$C:$C,"Men",Flat_file!$D:$D,"20-24",Flat_file!$E:$E,"760",Flat_file!$F:$F,"E")</f>
        <v>0</v>
      </c>
      <c r="M72" s="89">
        <f>SUMIFS(Flat_file!$H:$H,Flat_file!$B:$B,Summary_Employed!$B$2,Flat_file!$C:$C,"Men",Flat_file!$D:$D,"20-24",Flat_file!$E:$E,"840",Flat_file!$F:$F,"E")+SUMIFS(Flat_file!$H:$H,Flat_file!$B:$B,Summary_Employed!$B$2,Flat_file!$C:$C,"Men",Flat_file!$D:$D,"20-24",Flat_file!$E:$E,"850",Flat_file!$F:$F,"E")+SUMIFS(Flat_file!$H:$H,Flat_file!$B:$B,Summary_Employed!$B$2,Flat_file!$C:$C,"Men",Flat_file!$D:$D,"20-24",Flat_file!$E:$E,"860",Flat_file!$F:$F,"E")</f>
        <v>0</v>
      </c>
      <c r="N72" s="89">
        <f>SUMIFS(Flat_file!$H:$H,Flat_file!$B:$B,Summary_Employed!$B$2,Flat_file!$C:$C,"Men",Flat_file!$D:$D,"20-24",Flat_file!$E:$E,"999",Flat_file!$F:$F,"E")</f>
        <v>0</v>
      </c>
      <c r="O72" s="89">
        <f t="shared" ref="O72:O83" si="63">SUM(C72:M72)</f>
        <v>0</v>
      </c>
      <c r="P72" s="90"/>
      <c r="Q72" s="89">
        <f t="shared" ref="Q72:Q83" si="64">SUM(H72:M72)</f>
        <v>0</v>
      </c>
      <c r="R72" s="91"/>
      <c r="S72" s="89">
        <f t="shared" ref="S72:S83" si="65">SUM(C72:G72)</f>
        <v>0</v>
      </c>
      <c r="T72" s="89">
        <f t="shared" ref="T72:T83" si="66">SUM(H72:I72)</f>
        <v>0</v>
      </c>
      <c r="U72" s="89">
        <f t="shared" ref="U72:U83" si="67">SUM(J72:M72)</f>
        <v>0</v>
      </c>
      <c r="V72" s="90"/>
      <c r="W72" s="89">
        <f>SUMIFS(Flat_file!$H:$H,Flat_file!$B:$B,Summary_Employed!$B$2,Flat_file!$C:$C,"Men",Flat_file!$D:$D,"20-24",Flat_file!$E:$E,"343",Flat_file!$F:$F,"E")+SUMIFS(Flat_file!$H:$H,Flat_file!$B:$B,Summary_Employed!$B$2,Flat_file!$C:$C,"Men",Flat_file!$D:$D,"20-24",Flat_file!$E:$E,"344",Flat_file!$F:$F,"E")+SUMIFS(Flat_file!$H:$H,Flat_file!$B:$B,Summary_Employed!$B$2,Flat_file!$C:$C,"Men",Flat_file!$D:$D,"20-24",Flat_file!$E:$E,"443",Flat_file!$F:$F,"E")+SUMIFS(Flat_file!$H:$H,Flat_file!$B:$B,Summary_Employed!$B$2,Flat_file!$C:$C,"Men",Flat_file!$D:$D,"20-24",Flat_file!$E:$E,"444",Flat_file!$F:$F,"E")</f>
        <v>0</v>
      </c>
      <c r="X72" s="89">
        <f>SUMIFS(Flat_file!$H:$H,Flat_file!$B:$B,Summary_Employed!$B$2,Flat_file!$C:$C,"Men",Flat_file!$D:$D,"20-24",Flat_file!$E:$E,"353",Flat_file!$F:$F,"E")+SUMIFS(Flat_file!$H:$H,Flat_file!$B:$B,Summary_Employed!$B$2,Flat_file!$C:$C,"Men",Flat_file!$D:$D,"20-24",Flat_file!$E:$E,"354",Flat_file!$F:$F,"E")+SUMIFS(Flat_file!$H:$H,Flat_file!$B:$B,Summary_Employed!$B$2,Flat_file!$C:$C,"Men",Flat_file!$D:$D,"20-24",Flat_file!$E:$E,"453",Flat_file!$F:$F,"E")+SUMIFS(Flat_file!$H:$H,Flat_file!$B:$B,Summary_Employed!$B$2,Flat_file!$C:$C,"Men",Flat_file!$D:$D,"20-24",Flat_file!$E:$E,"454",Flat_file!$F:$F,"E")</f>
        <v>0</v>
      </c>
      <c r="Y72" s="90"/>
      <c r="Z72" s="89">
        <f>SUMIFS(Flat_file!$H:$H,Flat_file!$B:$B,Summary_Employed!$B$2,Flat_file!$C:$C,"Men",Flat_file!$D:$D,"20-24",Flat_file!$E:$E,"640",Flat_file!$F:$F,"E")+SUMIFS(Flat_file!$H:$H,Flat_file!$B:$B,Summary_Employed!$B$2,Flat_file!$C:$C,"Men",Flat_file!$D:$D,"20-24",Flat_file!$E:$E,"740",Flat_file!$F:$F,"E")+SUMIFS(Flat_file!$H:$H,Flat_file!$B:$B,Summary_Employed!$B$2,Flat_file!$C:$C,"Men",Flat_file!$D:$D,"20-24",Flat_file!$E:$E,"840",Flat_file!$F:$F,"E")</f>
        <v>0</v>
      </c>
      <c r="AA72" s="89">
        <f>SUMIFS(Flat_file!$H:$H,Flat_file!$B:$B,Summary_Employed!$B$2,Flat_file!$C:$C,"Men",Flat_file!$D:$D,"20-24",Flat_file!$E:$E,"650",Flat_file!$F:$F,"E")+SUMIFS(Flat_file!$H:$H,Flat_file!$B:$B,Summary_Employed!$B$2,Flat_file!$C:$C,"Men",Flat_file!$D:$D,"20-24",Flat_file!$E:$E,"750",Flat_file!$F:$F,"E")+SUMIFS(Flat_file!$H:$H,Flat_file!$B:$B,Summary_Employed!$B$2,Flat_file!$C:$C,"Men",Flat_file!$D:$D,"20-24",Flat_file!$E:$E,"850",Flat_file!$F:$F,"E")</f>
        <v>0</v>
      </c>
      <c r="AB72" s="89">
        <f>SUMIFS(Flat_file!$H:$H,Flat_file!$B:$B,Summary_Employed!$B$2,Flat_file!$C:$C,"Men",Flat_file!$D:$D,"20-24",Flat_file!$E:$E,"660",Flat_file!$F:$F,"E")+SUMIFS(Flat_file!$H:$H,Flat_file!$B:$B,Summary_Employed!$B$2,Flat_file!$C:$C,"Men",Flat_file!$D:$D,"20-24",Flat_file!$E:$E,"760",Flat_file!$F:$F,"E")+SUMIFS(Flat_file!$H:$H,Flat_file!$B:$B,Summary_Employed!$B$2,Flat_file!$C:$C,"Men",Flat_file!$D:$D,"20-24",Flat_file!$E:$E,"860",Flat_file!$F:$F,"E")</f>
        <v>0</v>
      </c>
      <c r="AC72" s="3"/>
      <c r="AD72" s="3"/>
      <c r="AE72" s="3"/>
      <c r="AF72" s="3"/>
      <c r="AG72" s="3"/>
      <c r="AH72" s="3"/>
      <c r="AI72" s="3"/>
      <c r="AJ72" s="3"/>
      <c r="AK72" s="3"/>
    </row>
    <row r="73" spans="1:37" customFormat="1" x14ac:dyDescent="0.2">
      <c r="A73" s="352"/>
      <c r="B73" s="79" t="s">
        <v>89</v>
      </c>
      <c r="C73" s="89">
        <f>SUMIFS(Flat_file!$H:$H,Flat_file!$B:$B,Summary_Employed!$B$2,Flat_file!$C:$C,"Men",Flat_file!$D:$D,"25-29",Flat_file!$E:$E,"010",Flat_file!$F:$F,"E")+SUMIFS(Flat_file!$H:$H,Flat_file!$B:$B,Summary_Employed!$B$2,Flat_file!$C:$C,"Men",Flat_file!$D:$D,"25-29",Flat_file!$E:$E,"020",Flat_file!$F:$F,"E")+SUMIFS(Flat_file!$H:$H,Flat_file!$B:$B,Summary_Employed!$B$2,Flat_file!$C:$C,"Men",Flat_file!$D:$D,"25-29",Flat_file!$E:$E,"030",Flat_file!$F:$F,"E")</f>
        <v>0</v>
      </c>
      <c r="D73" s="89">
        <f>SUMIFS(Flat_file!$H:$H,Flat_file!$B:$B,Summary_Employed!$B$2,Flat_file!$C:$C,"Men",Flat_file!$D:$D,"25-29",Flat_file!$E:$E,"100",Flat_file!$F:$F,"E")</f>
        <v>0</v>
      </c>
      <c r="E73" s="89">
        <f>SUMIFS(Flat_file!$H:$H,Flat_file!$B:$B,Summary_Employed!$B$2,Flat_file!$C:$C,"Men",Flat_file!$D:$D,"25-29",Flat_file!$E:$E,"242",Flat_file!$F:$F,"E")+SUMIFS(Flat_file!$H:$H,Flat_file!$B:$B,Summary_Employed!$B$2,Flat_file!$C:$C,"Men",Flat_file!$D:$D,"25-29",Flat_file!$E:$E,"252",Flat_file!$F:$F,"E")</f>
        <v>0</v>
      </c>
      <c r="F73" s="89">
        <f>SUMIFS(Flat_file!$H:$H,Flat_file!$B:$B,Summary_Employed!$B$2,Flat_file!$C:$C,"Men",Flat_file!$D:$D,"25-29",Flat_file!$E:$E,"243",Flat_file!$F:$F,"E")+SUMIFS(Flat_file!$H:$H,Flat_file!$B:$B,Summary_Employed!$B$2,Flat_file!$C:$C,"Men",Flat_file!$D:$D,"25-29",Flat_file!$E:$E,"244",Flat_file!$F:$F,"E")+SUMIFS(Flat_file!$H:$H,Flat_file!$B:$B,Summary_Employed!$B$2,Flat_file!$C:$C,"Men",Flat_file!$D:$D,"25-29",Flat_file!$E:$E,"253",Flat_file!$F:$F,"E")+SUMIFS(Flat_file!$H:$H,Flat_file!$B:$B,Summary_Employed!$B$2,Flat_file!$C:$C,"Men",Flat_file!$D:$D,"25-29",Flat_file!$E:$E,"254",Flat_file!$F:$F,"E")</f>
        <v>0</v>
      </c>
      <c r="G73" s="89">
        <f>SUMIFS(Flat_file!$H:$H,Flat_file!$B:$B,Summary_Employed!$B$2,Flat_file!$C:$C,"Men",Flat_file!$D:$D,"25-29",Flat_file!$E:$E,"342",Flat_file!$F:$F,"E")+SUMIFS(Flat_file!$H:$H,Flat_file!$B:$B,Summary_Employed!$B$2,Flat_file!$C:$C,"Men",Flat_file!$D:$D,"25-29",Flat_file!$E:$E,"352",Flat_file!$F:$F,"E")</f>
        <v>0</v>
      </c>
      <c r="H73" s="89">
        <f>SUMIFS(Flat_file!$H:$H,Flat_file!$B:$B,Summary_Employed!$B$2,Flat_file!$C:$C,"Men",Flat_file!$D:$D,"25-29",Flat_file!$E:$E,"343",Flat_file!$F:$F,"E")+SUMIFS(Flat_file!$H:$H,Flat_file!$B:$B,Summary_Employed!$B$2,Flat_file!$C:$C,"Men",Flat_file!$D:$D,"25-29",Flat_file!$E:$E,"344",Flat_file!$F:$F,"E")+SUMIFS(Flat_file!$H:$H,Flat_file!$B:$B,Summary_Employed!$B$2,Flat_file!$C:$C,"Men",Flat_file!$D:$D,"25-29",Flat_file!$E:$E,"353",Flat_file!$F:$F,"E")+SUMIFS(Flat_file!$H:$H,Flat_file!$B:$B,Summary_Employed!$B$2,Flat_file!$C:$C,"Men",Flat_file!$D:$D,"25-29",Flat_file!$E:$E,"354",Flat_file!$F:$F,"E")</f>
        <v>0</v>
      </c>
      <c r="I73" s="89">
        <f>SUMIFS(Flat_file!$H:$H,Flat_file!$B:$B,Summary_Employed!$B$2,Flat_file!$C:$C,"Men",Flat_file!$D:$D,"25-29",Flat_file!$E:$E,"443",Flat_file!$F:$F,"E")+SUMIFS(Flat_file!$H:$H,Flat_file!$B:$B,Summary_Employed!$B$2,Flat_file!$C:$C,"Men",Flat_file!$D:$D,"25-29",Flat_file!$E:$E,"444",Flat_file!$F:$F,"E")+SUMIFS(Flat_file!$H:$H,Flat_file!$B:$B,Summary_Employed!$B$2,Flat_file!$C:$C,"Men",Flat_file!$D:$D,"25-29",Flat_file!$E:$E,"453",Flat_file!$F:$F,"E")+SUMIFS(Flat_file!$H:$H,Flat_file!$B:$B,Summary_Employed!$B$2,Flat_file!$C:$C,"Men",Flat_file!$D:$D,"25-29",Flat_file!$E:$E,"454",Flat_file!$F:$F,"E")</f>
        <v>0</v>
      </c>
      <c r="J73" s="89">
        <f>SUMIFS(Flat_file!$H:$H,Flat_file!$B:$B,Summary_Employed!$B$2,Flat_file!$C:$C,"Men",Flat_file!$D:$D,"25-29",Flat_file!$E:$E,"540",Flat_file!$F:$F,"E")+SUMIFS(Flat_file!$H:$H,Flat_file!$B:$B,Summary_Employed!$B$2,Flat_file!$C:$C,"Men",Flat_file!$D:$D,"25-29",Flat_file!$E:$E,"550",Flat_file!$F:$F,"E")+SUMIFS(Flat_file!$H:$H,Flat_file!$B:$B,Summary_Employed!$B$2,Flat_file!$C:$C,"Men",Flat_file!$D:$D,"25-29",Flat_file!$E:$E,"560",Flat_file!$F:$F,"E")</f>
        <v>0</v>
      </c>
      <c r="K73" s="89">
        <f>SUMIFS(Flat_file!$H:$H,Flat_file!$B:$B,Summary_Employed!$B$2,Flat_file!$C:$C,"Men",Flat_file!$D:$D,"25-29",Flat_file!$E:$E,"640",Flat_file!$F:$F,"E")+SUMIFS(Flat_file!$H:$H,Flat_file!$B:$B,Summary_Employed!$B$2,Flat_file!$C:$C,"Men",Flat_file!$D:$D,"25-29",Flat_file!$E:$E,"650",Flat_file!$F:$F,"E")+SUMIFS(Flat_file!$H:$H,Flat_file!$B:$B,Summary_Employed!$B$2,Flat_file!$C:$C,"Men",Flat_file!$D:$D,"25-29",Flat_file!$E:$E,"660",Flat_file!$F:$F,"E")</f>
        <v>0</v>
      </c>
      <c r="L73" s="89">
        <f>SUMIFS(Flat_file!$H:$H,Flat_file!$B:$B,Summary_Employed!$B$2,Flat_file!$C:$C,"Men",Flat_file!$D:$D,"25-29",Flat_file!$E:$E,"740",Flat_file!$F:$F,"E")+SUMIFS(Flat_file!$H:$H,Flat_file!$B:$B,Summary_Employed!$B$2,Flat_file!$C:$C,"Men",Flat_file!$D:$D,"25-29",Flat_file!$E:$E,"750",Flat_file!$F:$F,"E")+SUMIFS(Flat_file!$H:$H,Flat_file!$B:$B,Summary_Employed!$B$2,Flat_file!$C:$C,"Men",Flat_file!$D:$D,"25-29",Flat_file!$E:$E,"760",Flat_file!$F:$F,"E")</f>
        <v>0</v>
      </c>
      <c r="M73" s="89">
        <f>SUMIFS(Flat_file!$H:$H,Flat_file!$B:$B,Summary_Employed!$B$2,Flat_file!$C:$C,"Men",Flat_file!$D:$D,"25-29",Flat_file!$E:$E,"840",Flat_file!$F:$F,"E")+SUMIFS(Flat_file!$H:$H,Flat_file!$B:$B,Summary_Employed!$B$2,Flat_file!$C:$C,"Men",Flat_file!$D:$D,"25-29",Flat_file!$E:$E,"850",Flat_file!$F:$F,"E")+SUMIFS(Flat_file!$H:$H,Flat_file!$B:$B,Summary_Employed!$B$2,Flat_file!$C:$C,"Men",Flat_file!$D:$D,"25-29",Flat_file!$E:$E,"860",Flat_file!$F:$F,"E")</f>
        <v>0</v>
      </c>
      <c r="N73" s="89">
        <f>SUMIFS(Flat_file!$H:$H,Flat_file!$B:$B,Summary_Employed!$B$2,Flat_file!$C:$C,"Men",Flat_file!$D:$D,"25-29",Flat_file!$E:$E,"999",Flat_file!$F:$F,"E")</f>
        <v>0</v>
      </c>
      <c r="O73" s="89">
        <f t="shared" si="63"/>
        <v>0</v>
      </c>
      <c r="P73" s="90"/>
      <c r="Q73" s="89">
        <f t="shared" si="64"/>
        <v>0</v>
      </c>
      <c r="R73" s="91"/>
      <c r="S73" s="89">
        <f t="shared" si="65"/>
        <v>0</v>
      </c>
      <c r="T73" s="89">
        <f t="shared" si="66"/>
        <v>0</v>
      </c>
      <c r="U73" s="89">
        <f t="shared" si="67"/>
        <v>0</v>
      </c>
      <c r="V73" s="90"/>
      <c r="W73" s="89">
        <f>SUMIFS(Flat_file!$H:$H,Flat_file!$B:$B,Summary_Employed!$B$2,Flat_file!$C:$C,"Men",Flat_file!$D:$D,"25-29",Flat_file!$E:$E,"343",Flat_file!$F:$F,"E")+SUMIFS(Flat_file!$H:$H,Flat_file!$B:$B,Summary_Employed!$B$2,Flat_file!$C:$C,"Men",Flat_file!$D:$D,"25-29",Flat_file!$E:$E,"344",Flat_file!$F:$F,"E")+SUMIFS(Flat_file!$H:$H,Flat_file!$B:$B,Summary_Employed!$B$2,Flat_file!$C:$C,"Men",Flat_file!$D:$D,"25-29",Flat_file!$E:$E,"443",Flat_file!$F:$F,"E")+SUMIFS(Flat_file!$H:$H,Flat_file!$B:$B,Summary_Employed!$B$2,Flat_file!$C:$C,"Men",Flat_file!$D:$D,"25-29",Flat_file!$E:$E,"444",Flat_file!$F:$F,"E")</f>
        <v>0</v>
      </c>
      <c r="X73" s="89">
        <f>SUMIFS(Flat_file!$H:$H,Flat_file!$B:$B,Summary_Employed!$B$2,Flat_file!$C:$C,"Men",Flat_file!$D:$D,"25-29",Flat_file!$E:$E,"353",Flat_file!$F:$F,"E")+SUMIFS(Flat_file!$H:$H,Flat_file!$B:$B,Summary_Employed!$B$2,Flat_file!$C:$C,"Men",Flat_file!$D:$D,"25-29",Flat_file!$E:$E,"354",Flat_file!$F:$F,"E")+SUMIFS(Flat_file!$H:$H,Flat_file!$B:$B,Summary_Employed!$B$2,Flat_file!$C:$C,"Men",Flat_file!$D:$D,"25-29",Flat_file!$E:$E,"453",Flat_file!$F:$F,"E")+SUMIFS(Flat_file!$H:$H,Flat_file!$B:$B,Summary_Employed!$B$2,Flat_file!$C:$C,"Men",Flat_file!$D:$D,"25-29",Flat_file!$E:$E,"454",Flat_file!$F:$F,"E")</f>
        <v>0</v>
      </c>
      <c r="Y73" s="90"/>
      <c r="Z73" s="89">
        <f>SUMIFS(Flat_file!$H:$H,Flat_file!$B:$B,Summary_Employed!$B$2,Flat_file!$C:$C,"Men",Flat_file!$D:$D,"25-29",Flat_file!$E:$E,"640",Flat_file!$F:$F,"E")+SUMIFS(Flat_file!$H:$H,Flat_file!$B:$B,Summary_Employed!$B$2,Flat_file!$C:$C,"Men",Flat_file!$D:$D,"25-29",Flat_file!$E:$E,"740",Flat_file!$F:$F,"E")+SUMIFS(Flat_file!$H:$H,Flat_file!$B:$B,Summary_Employed!$B$2,Flat_file!$C:$C,"Men",Flat_file!$D:$D,"25-29",Flat_file!$E:$E,"840",Flat_file!$F:$F,"E")</f>
        <v>0</v>
      </c>
      <c r="AA73" s="89">
        <f>SUMIFS(Flat_file!$H:$H,Flat_file!$B:$B,Summary_Employed!$B$2,Flat_file!$C:$C,"Men",Flat_file!$D:$D,"25-29",Flat_file!$E:$E,"650",Flat_file!$F:$F,"E")+SUMIFS(Flat_file!$H:$H,Flat_file!$B:$B,Summary_Employed!$B$2,Flat_file!$C:$C,"Men",Flat_file!$D:$D,"25-29",Flat_file!$E:$E,"750",Flat_file!$F:$F,"E")+SUMIFS(Flat_file!$H:$H,Flat_file!$B:$B,Summary_Employed!$B$2,Flat_file!$C:$C,"Men",Flat_file!$D:$D,"25-29",Flat_file!$E:$E,"850",Flat_file!$F:$F,"E")</f>
        <v>0</v>
      </c>
      <c r="AB73" s="89">
        <f>SUMIFS(Flat_file!$H:$H,Flat_file!$B:$B,Summary_Employed!$B$2,Flat_file!$C:$C,"Men",Flat_file!$D:$D,"25-29",Flat_file!$E:$E,"660",Flat_file!$F:$F,"E")+SUMIFS(Flat_file!$H:$H,Flat_file!$B:$B,Summary_Employed!$B$2,Flat_file!$C:$C,"Men",Flat_file!$D:$D,"25-29",Flat_file!$E:$E,"760",Flat_file!$F:$F,"E")+SUMIFS(Flat_file!$H:$H,Flat_file!$B:$B,Summary_Employed!$B$2,Flat_file!$C:$C,"Men",Flat_file!$D:$D,"25-29",Flat_file!$E:$E,"860",Flat_file!$F:$F,"E")</f>
        <v>0</v>
      </c>
      <c r="AC73" s="3"/>
      <c r="AD73" s="3"/>
      <c r="AE73" s="3"/>
      <c r="AF73" s="3"/>
      <c r="AG73" s="3"/>
      <c r="AH73" s="3"/>
      <c r="AI73" s="3"/>
      <c r="AJ73" s="3"/>
      <c r="AK73" s="3"/>
    </row>
    <row r="74" spans="1:37" customFormat="1" x14ac:dyDescent="0.2">
      <c r="A74" s="352"/>
      <c r="B74" s="79" t="s">
        <v>90</v>
      </c>
      <c r="C74" s="89">
        <f>SUMIFS(Flat_file!$H:$H,Flat_file!$B:$B,Summary_Employed!$B$2,Flat_file!$C:$C,"Men",Flat_file!$D:$D,"30-34",Flat_file!$E:$E,"010",Flat_file!$F:$F,"E")+SUMIFS(Flat_file!$H:$H,Flat_file!$B:$B,Summary_Employed!$B$2,Flat_file!$C:$C,"Men",Flat_file!$D:$D,"30-34",Flat_file!$E:$E,"020",Flat_file!$F:$F,"E")+SUMIFS(Flat_file!$H:$H,Flat_file!$B:$B,Summary_Employed!$B$2,Flat_file!$C:$C,"Men",Flat_file!$D:$D,"30-34",Flat_file!$E:$E,"030",Flat_file!$F:$F,"E")</f>
        <v>0</v>
      </c>
      <c r="D74" s="89">
        <f>SUMIFS(Flat_file!$H:$H,Flat_file!$B:$B,Summary_Employed!$B$2,Flat_file!$C:$C,"Men",Flat_file!$D:$D,"30-34",Flat_file!$E:$E,"100",Flat_file!$F:$F,"E")</f>
        <v>0</v>
      </c>
      <c r="E74" s="89">
        <f>SUMIFS(Flat_file!$H:$H,Flat_file!$B:$B,Summary_Employed!$B$2,Flat_file!$C:$C,"Men",Flat_file!$D:$D,"30-34",Flat_file!$E:$E,"242",Flat_file!$F:$F,"E")+SUMIFS(Flat_file!$H:$H,Flat_file!$B:$B,Summary_Employed!$B$2,Flat_file!$C:$C,"Men",Flat_file!$D:$D,"30-34",Flat_file!$E:$E,"252",Flat_file!$F:$F,"E")</f>
        <v>0</v>
      </c>
      <c r="F74" s="89">
        <f>SUMIFS(Flat_file!$H:$H,Flat_file!$B:$B,Summary_Employed!$B$2,Flat_file!$C:$C,"Men",Flat_file!$D:$D,"30-34",Flat_file!$E:$E,"243",Flat_file!$F:$F,"E")+SUMIFS(Flat_file!$H:$H,Flat_file!$B:$B,Summary_Employed!$B$2,Flat_file!$C:$C,"Men",Flat_file!$D:$D,"30-34",Flat_file!$E:$E,"244",Flat_file!$F:$F,"E")+SUMIFS(Flat_file!$H:$H,Flat_file!$B:$B,Summary_Employed!$B$2,Flat_file!$C:$C,"Men",Flat_file!$D:$D,"30-34",Flat_file!$E:$E,"253",Flat_file!$F:$F,"E")+SUMIFS(Flat_file!$H:$H,Flat_file!$B:$B,Summary_Employed!$B$2,Flat_file!$C:$C,"Men",Flat_file!$D:$D,"30-34",Flat_file!$E:$E,"254",Flat_file!$F:$F,"E")</f>
        <v>0</v>
      </c>
      <c r="G74" s="89">
        <f>SUMIFS(Flat_file!$H:$H,Flat_file!$B:$B,Summary_Employed!$B$2,Flat_file!$C:$C,"Men",Flat_file!$D:$D,"30-34",Flat_file!$E:$E,"342",Flat_file!$F:$F,"E")+SUMIFS(Flat_file!$H:$H,Flat_file!$B:$B,Summary_Employed!$B$2,Flat_file!$C:$C,"Men",Flat_file!$D:$D,"30-34",Flat_file!$E:$E,"352",Flat_file!$F:$F,"E")</f>
        <v>0</v>
      </c>
      <c r="H74" s="89">
        <f>SUMIFS(Flat_file!$H:$H,Flat_file!$B:$B,Summary_Employed!$B$2,Flat_file!$C:$C,"Men",Flat_file!$D:$D,"30-34",Flat_file!$E:$E,"343",Flat_file!$F:$F,"E")+SUMIFS(Flat_file!$H:$H,Flat_file!$B:$B,Summary_Employed!$B$2,Flat_file!$C:$C,"Men",Flat_file!$D:$D,"30-34",Flat_file!$E:$E,"344",Flat_file!$F:$F,"E")+SUMIFS(Flat_file!$H:$H,Flat_file!$B:$B,Summary_Employed!$B$2,Flat_file!$C:$C,"Men",Flat_file!$D:$D,"30-34",Flat_file!$E:$E,"353",Flat_file!$F:$F,"E")+SUMIFS(Flat_file!$H:$H,Flat_file!$B:$B,Summary_Employed!$B$2,Flat_file!$C:$C,"Men",Flat_file!$D:$D,"30-34",Flat_file!$E:$E,"354",Flat_file!$F:$F,"E")</f>
        <v>0</v>
      </c>
      <c r="I74" s="89">
        <f>SUMIFS(Flat_file!$H:$H,Flat_file!$B:$B,Summary_Employed!$B$2,Flat_file!$C:$C,"Men",Flat_file!$D:$D,"30-34",Flat_file!$E:$E,"443",Flat_file!$F:$F,"E")+SUMIFS(Flat_file!$H:$H,Flat_file!$B:$B,Summary_Employed!$B$2,Flat_file!$C:$C,"Men",Flat_file!$D:$D,"30-34",Flat_file!$E:$E,"444",Flat_file!$F:$F,"E")+SUMIFS(Flat_file!$H:$H,Flat_file!$B:$B,Summary_Employed!$B$2,Flat_file!$C:$C,"Men",Flat_file!$D:$D,"30-34",Flat_file!$E:$E,"453",Flat_file!$F:$F,"E")+SUMIFS(Flat_file!$H:$H,Flat_file!$B:$B,Summary_Employed!$B$2,Flat_file!$C:$C,"Men",Flat_file!$D:$D,"30-34",Flat_file!$E:$E,"454",Flat_file!$F:$F,"E")</f>
        <v>0</v>
      </c>
      <c r="J74" s="89">
        <f>SUMIFS(Flat_file!$H:$H,Flat_file!$B:$B,Summary_Employed!$B$2,Flat_file!$C:$C,"Men",Flat_file!$D:$D,"30-34",Flat_file!$E:$E,"540",Flat_file!$F:$F,"E")+SUMIFS(Flat_file!$H:$H,Flat_file!$B:$B,Summary_Employed!$B$2,Flat_file!$C:$C,"Men",Flat_file!$D:$D,"30-34",Flat_file!$E:$E,"550",Flat_file!$F:$F,"E")+SUMIFS(Flat_file!$H:$H,Flat_file!$B:$B,Summary_Employed!$B$2,Flat_file!$C:$C,"Men",Flat_file!$D:$D,"30-34",Flat_file!$E:$E,"560",Flat_file!$F:$F,"E")</f>
        <v>0</v>
      </c>
      <c r="K74" s="89">
        <f>SUMIFS(Flat_file!$H:$H,Flat_file!$B:$B,Summary_Employed!$B$2,Flat_file!$C:$C,"Men",Flat_file!$D:$D,"30-34",Flat_file!$E:$E,"640",Flat_file!$F:$F,"E")+SUMIFS(Flat_file!$H:$H,Flat_file!$B:$B,Summary_Employed!$B$2,Flat_file!$C:$C,"Men",Flat_file!$D:$D,"30-34",Flat_file!$E:$E,"650",Flat_file!$F:$F,"E")+SUMIFS(Flat_file!$H:$H,Flat_file!$B:$B,Summary_Employed!$B$2,Flat_file!$C:$C,"Men",Flat_file!$D:$D,"30-34",Flat_file!$E:$E,"660",Flat_file!$F:$F,"E")</f>
        <v>0</v>
      </c>
      <c r="L74" s="89">
        <f>SUMIFS(Flat_file!$H:$H,Flat_file!$B:$B,Summary_Employed!$B$2,Flat_file!$C:$C,"Men",Flat_file!$D:$D,"30-34",Flat_file!$E:$E,"740",Flat_file!$F:$F,"E")+SUMIFS(Flat_file!$H:$H,Flat_file!$B:$B,Summary_Employed!$B$2,Flat_file!$C:$C,"Men",Flat_file!$D:$D,"30-34",Flat_file!$E:$E,"750",Flat_file!$F:$F,"E")+SUMIFS(Flat_file!$H:$H,Flat_file!$B:$B,Summary_Employed!$B$2,Flat_file!$C:$C,"Men",Flat_file!$D:$D,"30-34",Flat_file!$E:$E,"760",Flat_file!$F:$F,"E")</f>
        <v>0</v>
      </c>
      <c r="M74" s="89">
        <f>SUMIFS(Flat_file!$H:$H,Flat_file!$B:$B,Summary_Employed!$B$2,Flat_file!$C:$C,"Men",Flat_file!$D:$D,"30-34",Flat_file!$E:$E,"840",Flat_file!$F:$F,"E")+SUMIFS(Flat_file!$H:$H,Flat_file!$B:$B,Summary_Employed!$B$2,Flat_file!$C:$C,"Men",Flat_file!$D:$D,"30-34",Flat_file!$E:$E,"850",Flat_file!$F:$F,"E")+SUMIFS(Flat_file!$H:$H,Flat_file!$B:$B,Summary_Employed!$B$2,Flat_file!$C:$C,"Men",Flat_file!$D:$D,"30-34",Flat_file!$E:$E,"860",Flat_file!$F:$F,"E")</f>
        <v>0</v>
      </c>
      <c r="N74" s="89">
        <f>SUMIFS(Flat_file!$H:$H,Flat_file!$B:$B,Summary_Employed!$B$2,Flat_file!$C:$C,"Men",Flat_file!$D:$D,"30-34",Flat_file!$E:$E,"999",Flat_file!$F:$F,"E")</f>
        <v>0</v>
      </c>
      <c r="O74" s="89">
        <f t="shared" si="63"/>
        <v>0</v>
      </c>
      <c r="P74" s="90"/>
      <c r="Q74" s="89">
        <f t="shared" si="64"/>
        <v>0</v>
      </c>
      <c r="R74" s="91"/>
      <c r="S74" s="89">
        <f t="shared" si="65"/>
        <v>0</v>
      </c>
      <c r="T74" s="89">
        <f t="shared" si="66"/>
        <v>0</v>
      </c>
      <c r="U74" s="89">
        <f t="shared" si="67"/>
        <v>0</v>
      </c>
      <c r="V74" s="90"/>
      <c r="W74" s="89">
        <f>SUMIFS(Flat_file!$H:$H,Flat_file!$B:$B,Summary_Employed!$B$2,Flat_file!$C:$C,"Men",Flat_file!$D:$D,"30-34",Flat_file!$E:$E,"343",Flat_file!$F:$F,"E")+SUMIFS(Flat_file!$H:$H,Flat_file!$B:$B,Summary_Employed!$B$2,Flat_file!$C:$C,"Men",Flat_file!$D:$D,"30-34",Flat_file!$E:$E,"344",Flat_file!$F:$F,"E")+SUMIFS(Flat_file!$H:$H,Flat_file!$B:$B,Summary_Employed!$B$2,Flat_file!$C:$C,"Men",Flat_file!$D:$D,"30-34",Flat_file!$E:$E,"443",Flat_file!$F:$F,"E")+SUMIFS(Flat_file!$H:$H,Flat_file!$B:$B,Summary_Employed!$B$2,Flat_file!$C:$C,"Men",Flat_file!$D:$D,"30-34",Flat_file!$E:$E,"444",Flat_file!$F:$F,"E")</f>
        <v>0</v>
      </c>
      <c r="X74" s="89">
        <f>SUMIFS(Flat_file!$H:$H,Flat_file!$B:$B,Summary_Employed!$B$2,Flat_file!$C:$C,"Men",Flat_file!$D:$D,"30-34",Flat_file!$E:$E,"353",Flat_file!$F:$F,"E")+SUMIFS(Flat_file!$H:$H,Flat_file!$B:$B,Summary_Employed!$B$2,Flat_file!$C:$C,"Men",Flat_file!$D:$D,"30-34",Flat_file!$E:$E,"354",Flat_file!$F:$F,"E")+SUMIFS(Flat_file!$H:$H,Flat_file!$B:$B,Summary_Employed!$B$2,Flat_file!$C:$C,"Men",Flat_file!$D:$D,"30-34",Flat_file!$E:$E,"453",Flat_file!$F:$F,"E")+SUMIFS(Flat_file!$H:$H,Flat_file!$B:$B,Summary_Employed!$B$2,Flat_file!$C:$C,"Men",Flat_file!$D:$D,"30-34",Flat_file!$E:$E,"454",Flat_file!$F:$F,"E")</f>
        <v>0</v>
      </c>
      <c r="Y74" s="90"/>
      <c r="Z74" s="89">
        <f>SUMIFS(Flat_file!$H:$H,Flat_file!$B:$B,Summary_Employed!$B$2,Flat_file!$C:$C,"Men",Flat_file!$D:$D,"30-34",Flat_file!$E:$E,"640",Flat_file!$F:$F,"E")+SUMIFS(Flat_file!$H:$H,Flat_file!$B:$B,Summary_Employed!$B$2,Flat_file!$C:$C,"Men",Flat_file!$D:$D,"30-34",Flat_file!$E:$E,"740",Flat_file!$F:$F,"E")+SUMIFS(Flat_file!$H:$H,Flat_file!$B:$B,Summary_Employed!$B$2,Flat_file!$C:$C,"Men",Flat_file!$D:$D,"30-34",Flat_file!$E:$E,"840",Flat_file!$F:$F,"E")</f>
        <v>0</v>
      </c>
      <c r="AA74" s="89">
        <f>SUMIFS(Flat_file!$H:$H,Flat_file!$B:$B,Summary_Employed!$B$2,Flat_file!$C:$C,"Men",Flat_file!$D:$D,"30-34",Flat_file!$E:$E,"650",Flat_file!$F:$F,"E")+SUMIFS(Flat_file!$H:$H,Flat_file!$B:$B,Summary_Employed!$B$2,Flat_file!$C:$C,"Men",Flat_file!$D:$D,"30-34",Flat_file!$E:$E,"750",Flat_file!$F:$F,"E")+SUMIFS(Flat_file!$H:$H,Flat_file!$B:$B,Summary_Employed!$B$2,Flat_file!$C:$C,"Men",Flat_file!$D:$D,"30-34",Flat_file!$E:$E,"850",Flat_file!$F:$F,"E")</f>
        <v>0</v>
      </c>
      <c r="AB74" s="89">
        <f>SUMIFS(Flat_file!$H:$H,Flat_file!$B:$B,Summary_Employed!$B$2,Flat_file!$C:$C,"Men",Flat_file!$D:$D,"30-34",Flat_file!$E:$E,"660",Flat_file!$F:$F,"E")+SUMIFS(Flat_file!$H:$H,Flat_file!$B:$B,Summary_Employed!$B$2,Flat_file!$C:$C,"Men",Flat_file!$D:$D,"30-34",Flat_file!$E:$E,"760",Flat_file!$F:$F,"E")+SUMIFS(Flat_file!$H:$H,Flat_file!$B:$B,Summary_Employed!$B$2,Flat_file!$C:$C,"Men",Flat_file!$D:$D,"30-34",Flat_file!$E:$E,"860",Flat_file!$F:$F,"E")</f>
        <v>0</v>
      </c>
      <c r="AC74" s="3"/>
      <c r="AD74" s="3"/>
      <c r="AE74" s="3"/>
      <c r="AF74" s="3"/>
      <c r="AG74" s="3"/>
      <c r="AH74" s="3"/>
      <c r="AI74" s="3"/>
      <c r="AJ74" s="3"/>
      <c r="AK74" s="3"/>
    </row>
    <row r="75" spans="1:37" customFormat="1" x14ac:dyDescent="0.2">
      <c r="A75" s="352"/>
      <c r="B75" s="79" t="s">
        <v>91</v>
      </c>
      <c r="C75" s="89">
        <f>SUMIFS(Flat_file!$H:$H,Flat_file!$B:$B,Summary_Employed!$B$2,Flat_file!$C:$C,"Men",Flat_file!$D:$D,"35-39",Flat_file!$E:$E,"010",Flat_file!$F:$F,"E")+SUMIFS(Flat_file!$H:$H,Flat_file!$B:$B,Summary_Employed!$B$2,Flat_file!$C:$C,"Men",Flat_file!$D:$D,"35-39",Flat_file!$E:$E,"020",Flat_file!$F:$F,"E")+SUMIFS(Flat_file!$H:$H,Flat_file!$B:$B,Summary_Employed!$B$2,Flat_file!$C:$C,"Men",Flat_file!$D:$D,"35-39",Flat_file!$E:$E,"030",Flat_file!$F:$F,"E")</f>
        <v>0</v>
      </c>
      <c r="D75" s="89">
        <f>SUMIFS(Flat_file!$H:$H,Flat_file!$B:$B,Summary_Employed!$B$2,Flat_file!$C:$C,"Men",Flat_file!$D:$D,"35-39",Flat_file!$E:$E,"100",Flat_file!$F:$F,"E")</f>
        <v>0</v>
      </c>
      <c r="E75" s="89">
        <f>SUMIFS(Flat_file!$H:$H,Flat_file!$B:$B,Summary_Employed!$B$2,Flat_file!$C:$C,"Men",Flat_file!$D:$D,"35-39",Flat_file!$E:$E,"242",Flat_file!$F:$F,"E")+SUMIFS(Flat_file!$H:$H,Flat_file!$B:$B,Summary_Employed!$B$2,Flat_file!$C:$C,"Men",Flat_file!$D:$D,"35-39",Flat_file!$E:$E,"252",Flat_file!$F:$F,"E")</f>
        <v>0</v>
      </c>
      <c r="F75" s="89">
        <f>SUMIFS(Flat_file!$H:$H,Flat_file!$B:$B,Summary_Employed!$B$2,Flat_file!$C:$C,"Men",Flat_file!$D:$D,"35-39",Flat_file!$E:$E,"243",Flat_file!$F:$F,"E")+SUMIFS(Flat_file!$H:$H,Flat_file!$B:$B,Summary_Employed!$B$2,Flat_file!$C:$C,"Men",Flat_file!$D:$D,"35-39",Flat_file!$E:$E,"244",Flat_file!$F:$F,"E")+SUMIFS(Flat_file!$H:$H,Flat_file!$B:$B,Summary_Employed!$B$2,Flat_file!$C:$C,"Men",Flat_file!$D:$D,"35-39",Flat_file!$E:$E,"253",Flat_file!$F:$F,"E")+SUMIFS(Flat_file!$H:$H,Flat_file!$B:$B,Summary_Employed!$B$2,Flat_file!$C:$C,"Men",Flat_file!$D:$D,"35-39",Flat_file!$E:$E,"254",Flat_file!$F:$F,"E")</f>
        <v>0</v>
      </c>
      <c r="G75" s="89">
        <f>SUMIFS(Flat_file!$H:$H,Flat_file!$B:$B,Summary_Employed!$B$2,Flat_file!$C:$C,"Men",Flat_file!$D:$D,"35-39",Flat_file!$E:$E,"342",Flat_file!$F:$F,"E")+SUMIFS(Flat_file!$H:$H,Flat_file!$B:$B,Summary_Employed!$B$2,Flat_file!$C:$C,"Men",Flat_file!$D:$D,"35-39",Flat_file!$E:$E,"352",Flat_file!$F:$F,"E")</f>
        <v>0</v>
      </c>
      <c r="H75" s="89">
        <f>SUMIFS(Flat_file!$H:$H,Flat_file!$B:$B,Summary_Employed!$B$2,Flat_file!$C:$C,"Men",Flat_file!$D:$D,"35-39",Flat_file!$E:$E,"343",Flat_file!$F:$F,"E")+SUMIFS(Flat_file!$H:$H,Flat_file!$B:$B,Summary_Employed!$B$2,Flat_file!$C:$C,"Men",Flat_file!$D:$D,"35-39",Flat_file!$E:$E,"344",Flat_file!$F:$F,"E")+SUMIFS(Flat_file!$H:$H,Flat_file!$B:$B,Summary_Employed!$B$2,Flat_file!$C:$C,"Men",Flat_file!$D:$D,"35-39",Flat_file!$E:$E,"353",Flat_file!$F:$F,"E")+SUMIFS(Flat_file!$H:$H,Flat_file!$B:$B,Summary_Employed!$B$2,Flat_file!$C:$C,"Men",Flat_file!$D:$D,"35-39",Flat_file!$E:$E,"354",Flat_file!$F:$F,"E")</f>
        <v>0</v>
      </c>
      <c r="I75" s="89">
        <f>SUMIFS(Flat_file!$H:$H,Flat_file!$B:$B,Summary_Employed!$B$2,Flat_file!$C:$C,"Men",Flat_file!$D:$D,"35-39",Flat_file!$E:$E,"443",Flat_file!$F:$F,"E")+SUMIFS(Flat_file!$H:$H,Flat_file!$B:$B,Summary_Employed!$B$2,Flat_file!$C:$C,"Men",Flat_file!$D:$D,"35-39",Flat_file!$E:$E,"444",Flat_file!$F:$F,"E")+SUMIFS(Flat_file!$H:$H,Flat_file!$B:$B,Summary_Employed!$B$2,Flat_file!$C:$C,"Men",Flat_file!$D:$D,"35-39",Flat_file!$E:$E,"453",Flat_file!$F:$F,"E")+SUMIFS(Flat_file!$H:$H,Flat_file!$B:$B,Summary_Employed!$B$2,Flat_file!$C:$C,"Men",Flat_file!$D:$D,"35-39",Flat_file!$E:$E,"454",Flat_file!$F:$F,"E")</f>
        <v>0</v>
      </c>
      <c r="J75" s="89">
        <f>SUMIFS(Flat_file!$H:$H,Flat_file!$B:$B,Summary_Employed!$B$2,Flat_file!$C:$C,"Men",Flat_file!$D:$D,"35-39",Flat_file!$E:$E,"540",Flat_file!$F:$F,"E")+SUMIFS(Flat_file!$H:$H,Flat_file!$B:$B,Summary_Employed!$B$2,Flat_file!$C:$C,"Men",Flat_file!$D:$D,"35-39",Flat_file!$E:$E,"550",Flat_file!$F:$F,"E")+SUMIFS(Flat_file!$H:$H,Flat_file!$B:$B,Summary_Employed!$B$2,Flat_file!$C:$C,"Men",Flat_file!$D:$D,"35-39",Flat_file!$E:$E,"560",Flat_file!$F:$F,"E")</f>
        <v>0</v>
      </c>
      <c r="K75" s="89">
        <f>SUMIFS(Flat_file!$H:$H,Flat_file!$B:$B,Summary_Employed!$B$2,Flat_file!$C:$C,"Men",Flat_file!$D:$D,"35-39",Flat_file!$E:$E,"640",Flat_file!$F:$F,"E")+SUMIFS(Flat_file!$H:$H,Flat_file!$B:$B,Summary_Employed!$B$2,Flat_file!$C:$C,"Men",Flat_file!$D:$D,"35-39",Flat_file!$E:$E,"650",Flat_file!$F:$F,"E")+SUMIFS(Flat_file!$H:$H,Flat_file!$B:$B,Summary_Employed!$B$2,Flat_file!$C:$C,"Men",Flat_file!$D:$D,"35-39",Flat_file!$E:$E,"660",Flat_file!$F:$F,"E")</f>
        <v>0</v>
      </c>
      <c r="L75" s="89">
        <f>SUMIFS(Flat_file!$H:$H,Flat_file!$B:$B,Summary_Employed!$B$2,Flat_file!$C:$C,"Men",Flat_file!$D:$D,"35-39",Flat_file!$E:$E,"740",Flat_file!$F:$F,"E")+SUMIFS(Flat_file!$H:$H,Flat_file!$B:$B,Summary_Employed!$B$2,Flat_file!$C:$C,"Men",Flat_file!$D:$D,"35-39",Flat_file!$E:$E,"750",Flat_file!$F:$F,"E")+SUMIFS(Flat_file!$H:$H,Flat_file!$B:$B,Summary_Employed!$B$2,Flat_file!$C:$C,"Men",Flat_file!$D:$D,"35-39",Flat_file!$E:$E,"760",Flat_file!$F:$F,"E")</f>
        <v>0</v>
      </c>
      <c r="M75" s="89">
        <f>SUMIFS(Flat_file!$H:$H,Flat_file!$B:$B,Summary_Employed!$B$2,Flat_file!$C:$C,"Men",Flat_file!$D:$D,"35-39",Flat_file!$E:$E,"840",Flat_file!$F:$F,"E")+SUMIFS(Flat_file!$H:$H,Flat_file!$B:$B,Summary_Employed!$B$2,Flat_file!$C:$C,"Men",Flat_file!$D:$D,"35-39",Flat_file!$E:$E,"850",Flat_file!$F:$F,"E")+SUMIFS(Flat_file!$H:$H,Flat_file!$B:$B,Summary_Employed!$B$2,Flat_file!$C:$C,"Men",Flat_file!$D:$D,"35-39",Flat_file!$E:$E,"860",Flat_file!$F:$F,"E")</f>
        <v>0</v>
      </c>
      <c r="N75" s="89">
        <f>SUMIFS(Flat_file!$H:$H,Flat_file!$B:$B,Summary_Employed!$B$2,Flat_file!$C:$C,"Men",Flat_file!$D:$D,"35-39",Flat_file!$E:$E,"999",Flat_file!$F:$F,"E")</f>
        <v>0</v>
      </c>
      <c r="O75" s="89">
        <f t="shared" si="63"/>
        <v>0</v>
      </c>
      <c r="P75" s="90"/>
      <c r="Q75" s="89">
        <f t="shared" si="64"/>
        <v>0</v>
      </c>
      <c r="R75" s="91"/>
      <c r="S75" s="89">
        <f t="shared" si="65"/>
        <v>0</v>
      </c>
      <c r="T75" s="89">
        <f t="shared" si="66"/>
        <v>0</v>
      </c>
      <c r="U75" s="89">
        <f t="shared" si="67"/>
        <v>0</v>
      </c>
      <c r="V75" s="90"/>
      <c r="W75" s="89">
        <f>SUMIFS(Flat_file!$H:$H,Flat_file!$B:$B,Summary_Employed!$B$2,Flat_file!$C:$C,"Men",Flat_file!$D:$D,"35-39",Flat_file!$E:$E,"343",Flat_file!$F:$F,"E")+SUMIFS(Flat_file!$H:$H,Flat_file!$B:$B,Summary_Employed!$B$2,Flat_file!$C:$C,"Men",Flat_file!$D:$D,"35-39",Flat_file!$E:$E,"344",Flat_file!$F:$F,"E")+SUMIFS(Flat_file!$H:$H,Flat_file!$B:$B,Summary_Employed!$B$2,Flat_file!$C:$C,"Men",Flat_file!$D:$D,"35-39",Flat_file!$E:$E,"443",Flat_file!$F:$F,"E")+SUMIFS(Flat_file!$H:$H,Flat_file!$B:$B,Summary_Employed!$B$2,Flat_file!$C:$C,"Men",Flat_file!$D:$D,"35-39",Flat_file!$E:$E,"444",Flat_file!$F:$F,"E")</f>
        <v>0</v>
      </c>
      <c r="X75" s="89">
        <f>SUMIFS(Flat_file!$H:$H,Flat_file!$B:$B,Summary_Employed!$B$2,Flat_file!$C:$C,"Men",Flat_file!$D:$D,"35-39",Flat_file!$E:$E,"353",Flat_file!$F:$F,"E")+SUMIFS(Flat_file!$H:$H,Flat_file!$B:$B,Summary_Employed!$B$2,Flat_file!$C:$C,"Men",Flat_file!$D:$D,"35-39",Flat_file!$E:$E,"354",Flat_file!$F:$F,"E")+SUMIFS(Flat_file!$H:$H,Flat_file!$B:$B,Summary_Employed!$B$2,Flat_file!$C:$C,"Men",Flat_file!$D:$D,"35-39",Flat_file!$E:$E,"453",Flat_file!$F:$F,"E")+SUMIFS(Flat_file!$H:$H,Flat_file!$B:$B,Summary_Employed!$B$2,Flat_file!$C:$C,"Men",Flat_file!$D:$D,"35-39",Flat_file!$E:$E,"454",Flat_file!$F:$F,"E")</f>
        <v>0</v>
      </c>
      <c r="Y75" s="90"/>
      <c r="Z75" s="89">
        <f>SUMIFS(Flat_file!$H:$H,Flat_file!$B:$B,Summary_Employed!$B$2,Flat_file!$C:$C,"Men",Flat_file!$D:$D,"35-39",Flat_file!$E:$E,"640",Flat_file!$F:$F,"E")+SUMIFS(Flat_file!$H:$H,Flat_file!$B:$B,Summary_Employed!$B$2,Flat_file!$C:$C,"Men",Flat_file!$D:$D,"35-39",Flat_file!$E:$E,"740",Flat_file!$F:$F,"E")+SUMIFS(Flat_file!$H:$H,Flat_file!$B:$B,Summary_Employed!$B$2,Flat_file!$C:$C,"Men",Flat_file!$D:$D,"35-39",Flat_file!$E:$E,"840",Flat_file!$F:$F,"E")</f>
        <v>0</v>
      </c>
      <c r="AA75" s="89">
        <f>SUMIFS(Flat_file!$H:$H,Flat_file!$B:$B,Summary_Employed!$B$2,Flat_file!$C:$C,"Men",Flat_file!$D:$D,"35-39",Flat_file!$E:$E,"650",Flat_file!$F:$F,"E")+SUMIFS(Flat_file!$H:$H,Flat_file!$B:$B,Summary_Employed!$B$2,Flat_file!$C:$C,"Men",Flat_file!$D:$D,"35-39",Flat_file!$E:$E,"750",Flat_file!$F:$F,"E")+SUMIFS(Flat_file!$H:$H,Flat_file!$B:$B,Summary_Employed!$B$2,Flat_file!$C:$C,"Men",Flat_file!$D:$D,"35-39",Flat_file!$E:$E,"850",Flat_file!$F:$F,"E")</f>
        <v>0</v>
      </c>
      <c r="AB75" s="89">
        <f>SUMIFS(Flat_file!$H:$H,Flat_file!$B:$B,Summary_Employed!$B$2,Flat_file!$C:$C,"Men",Flat_file!$D:$D,"35-39",Flat_file!$E:$E,"660",Flat_file!$F:$F,"E")+SUMIFS(Flat_file!$H:$H,Flat_file!$B:$B,Summary_Employed!$B$2,Flat_file!$C:$C,"Men",Flat_file!$D:$D,"35-39",Flat_file!$E:$E,"760",Flat_file!$F:$F,"E")+SUMIFS(Flat_file!$H:$H,Flat_file!$B:$B,Summary_Employed!$B$2,Flat_file!$C:$C,"Men",Flat_file!$D:$D,"35-39",Flat_file!$E:$E,"860",Flat_file!$F:$F,"E")</f>
        <v>0</v>
      </c>
      <c r="AC75" s="3"/>
      <c r="AD75" s="3"/>
      <c r="AE75" s="3"/>
      <c r="AF75" s="3"/>
      <c r="AG75" s="3"/>
      <c r="AH75" s="3"/>
      <c r="AI75" s="3"/>
      <c r="AJ75" s="3"/>
      <c r="AK75" s="3"/>
    </row>
    <row r="76" spans="1:37" customFormat="1" x14ac:dyDescent="0.2">
      <c r="A76" s="352"/>
      <c r="B76" s="79" t="s">
        <v>92</v>
      </c>
      <c r="C76" s="89">
        <f>SUMIFS(Flat_file!$H:$H,Flat_file!$B:$B,Summary_Employed!$B$2,Flat_file!$C:$C,"Men",Flat_file!$D:$D,"40-44",Flat_file!$E:$E,"010",Flat_file!$F:$F,"E")+SUMIFS(Flat_file!$H:$H,Flat_file!$B:$B,Summary_Employed!$B$2,Flat_file!$C:$C,"Men",Flat_file!$D:$D,"40-44",Flat_file!$E:$E,"020",Flat_file!$F:$F,"E")+SUMIFS(Flat_file!$H:$H,Flat_file!$B:$B,Summary_Employed!$B$2,Flat_file!$C:$C,"Men",Flat_file!$D:$D,"40-44",Flat_file!$E:$E,"030",Flat_file!$F:$F,"E")</f>
        <v>0</v>
      </c>
      <c r="D76" s="89">
        <f>SUMIFS(Flat_file!$H:$H,Flat_file!$B:$B,Summary_Employed!$B$2,Flat_file!$C:$C,"Men",Flat_file!$D:$D,"40-44",Flat_file!$E:$E,"100",Flat_file!$F:$F,"E")</f>
        <v>0</v>
      </c>
      <c r="E76" s="89">
        <f>SUMIFS(Flat_file!$H:$H,Flat_file!$B:$B,Summary_Employed!$B$2,Flat_file!$C:$C,"Men",Flat_file!$D:$D,"40-44",Flat_file!$E:$E,"242",Flat_file!$F:$F,"E")+SUMIFS(Flat_file!$H:$H,Flat_file!$B:$B,Summary_Employed!$B$2,Flat_file!$C:$C,"Men",Flat_file!$D:$D,"40-44",Flat_file!$E:$E,"252",Flat_file!$F:$F,"E")</f>
        <v>0</v>
      </c>
      <c r="F76" s="89">
        <f>SUMIFS(Flat_file!$H:$H,Flat_file!$B:$B,Summary_Employed!$B$2,Flat_file!$C:$C,"Men",Flat_file!$D:$D,"40-44",Flat_file!$E:$E,"243",Flat_file!$F:$F,"E")+SUMIFS(Flat_file!$H:$H,Flat_file!$B:$B,Summary_Employed!$B$2,Flat_file!$C:$C,"Men",Flat_file!$D:$D,"40-44",Flat_file!$E:$E,"244",Flat_file!$F:$F,"E")+SUMIFS(Flat_file!$H:$H,Flat_file!$B:$B,Summary_Employed!$B$2,Flat_file!$C:$C,"Men",Flat_file!$D:$D,"40-44",Flat_file!$E:$E,"253",Flat_file!$F:$F,"E")+SUMIFS(Flat_file!$H:$H,Flat_file!$B:$B,Summary_Employed!$B$2,Flat_file!$C:$C,"Men",Flat_file!$D:$D,"40-44",Flat_file!$E:$E,"254",Flat_file!$F:$F,"E")</f>
        <v>0</v>
      </c>
      <c r="G76" s="89">
        <f>SUMIFS(Flat_file!$H:$H,Flat_file!$B:$B,Summary_Employed!$B$2,Flat_file!$C:$C,"Men",Flat_file!$D:$D,"40-44",Flat_file!$E:$E,"342",Flat_file!$F:$F,"E")+SUMIFS(Flat_file!$H:$H,Flat_file!$B:$B,Summary_Employed!$B$2,Flat_file!$C:$C,"Men",Flat_file!$D:$D,"40-44",Flat_file!$E:$E,"352",Flat_file!$F:$F,"E")</f>
        <v>0</v>
      </c>
      <c r="H76" s="89">
        <f>SUMIFS(Flat_file!$H:$H,Flat_file!$B:$B,Summary_Employed!$B$2,Flat_file!$C:$C,"Men",Flat_file!$D:$D,"40-44",Flat_file!$E:$E,"343",Flat_file!$F:$F,"E")+SUMIFS(Flat_file!$H:$H,Flat_file!$B:$B,Summary_Employed!$B$2,Flat_file!$C:$C,"Men",Flat_file!$D:$D,"40-44",Flat_file!$E:$E,"344",Flat_file!$F:$F,"E")+SUMIFS(Flat_file!$H:$H,Flat_file!$B:$B,Summary_Employed!$B$2,Flat_file!$C:$C,"Men",Flat_file!$D:$D,"40-44",Flat_file!$E:$E,"353",Flat_file!$F:$F,"E")+SUMIFS(Flat_file!$H:$H,Flat_file!$B:$B,Summary_Employed!$B$2,Flat_file!$C:$C,"Men",Flat_file!$D:$D,"40-44",Flat_file!$E:$E,"354",Flat_file!$F:$F,"E")</f>
        <v>0</v>
      </c>
      <c r="I76" s="89">
        <f>SUMIFS(Flat_file!$H:$H,Flat_file!$B:$B,Summary_Employed!$B$2,Flat_file!$C:$C,"Men",Flat_file!$D:$D,"40-44",Flat_file!$E:$E,"443",Flat_file!$F:$F,"E")+SUMIFS(Flat_file!$H:$H,Flat_file!$B:$B,Summary_Employed!$B$2,Flat_file!$C:$C,"Men",Flat_file!$D:$D,"40-44",Flat_file!$E:$E,"444",Flat_file!$F:$F,"E")+SUMIFS(Flat_file!$H:$H,Flat_file!$B:$B,Summary_Employed!$B$2,Flat_file!$C:$C,"Men",Flat_file!$D:$D,"40-44",Flat_file!$E:$E,"453",Flat_file!$F:$F,"E")+SUMIFS(Flat_file!$H:$H,Flat_file!$B:$B,Summary_Employed!$B$2,Flat_file!$C:$C,"Men",Flat_file!$D:$D,"40-44",Flat_file!$E:$E,"454",Flat_file!$F:$F,"E")</f>
        <v>0</v>
      </c>
      <c r="J76" s="89">
        <f>SUMIFS(Flat_file!$H:$H,Flat_file!$B:$B,Summary_Employed!$B$2,Flat_file!$C:$C,"Men",Flat_file!$D:$D,"40-44",Flat_file!$E:$E,"540",Flat_file!$F:$F,"E")+SUMIFS(Flat_file!$H:$H,Flat_file!$B:$B,Summary_Employed!$B$2,Flat_file!$C:$C,"Men",Flat_file!$D:$D,"40-44",Flat_file!$E:$E,"550",Flat_file!$F:$F,"E")+SUMIFS(Flat_file!$H:$H,Flat_file!$B:$B,Summary_Employed!$B$2,Flat_file!$C:$C,"Men",Flat_file!$D:$D,"40-44",Flat_file!$E:$E,"560",Flat_file!$F:$F,"E")</f>
        <v>0</v>
      </c>
      <c r="K76" s="89">
        <f>SUMIFS(Flat_file!$H:$H,Flat_file!$B:$B,Summary_Employed!$B$2,Flat_file!$C:$C,"Men",Flat_file!$D:$D,"40-44",Flat_file!$E:$E,"640",Flat_file!$F:$F,"E")+SUMIFS(Flat_file!$H:$H,Flat_file!$B:$B,Summary_Employed!$B$2,Flat_file!$C:$C,"Men",Flat_file!$D:$D,"40-44",Flat_file!$E:$E,"650",Flat_file!$F:$F,"E")+SUMIFS(Flat_file!$H:$H,Flat_file!$B:$B,Summary_Employed!$B$2,Flat_file!$C:$C,"Men",Flat_file!$D:$D,"40-44",Flat_file!$E:$E,"660",Flat_file!$F:$F,"E")</f>
        <v>0</v>
      </c>
      <c r="L76" s="89">
        <f>SUMIFS(Flat_file!$H:$H,Flat_file!$B:$B,Summary_Employed!$B$2,Flat_file!$C:$C,"Men",Flat_file!$D:$D,"40-44",Flat_file!$E:$E,"740",Flat_file!$F:$F,"E")+SUMIFS(Flat_file!$H:$H,Flat_file!$B:$B,Summary_Employed!$B$2,Flat_file!$C:$C,"Men",Flat_file!$D:$D,"40-44",Flat_file!$E:$E,"750",Flat_file!$F:$F,"E")+SUMIFS(Flat_file!$H:$H,Flat_file!$B:$B,Summary_Employed!$B$2,Flat_file!$C:$C,"Men",Flat_file!$D:$D,"40-44",Flat_file!$E:$E,"760",Flat_file!$F:$F,"E")</f>
        <v>0</v>
      </c>
      <c r="M76" s="89">
        <f>SUMIFS(Flat_file!$H:$H,Flat_file!$B:$B,Summary_Employed!$B$2,Flat_file!$C:$C,"Men",Flat_file!$D:$D,"40-44",Flat_file!$E:$E,"840",Flat_file!$F:$F,"E")+SUMIFS(Flat_file!$H:$H,Flat_file!$B:$B,Summary_Employed!$B$2,Flat_file!$C:$C,"Men",Flat_file!$D:$D,"40-44",Flat_file!$E:$E,"850",Flat_file!$F:$F,"E")+SUMIFS(Flat_file!$H:$H,Flat_file!$B:$B,Summary_Employed!$B$2,Flat_file!$C:$C,"Men",Flat_file!$D:$D,"40-44",Flat_file!$E:$E,"860",Flat_file!$F:$F,"E")</f>
        <v>0</v>
      </c>
      <c r="N76" s="89">
        <f>SUMIFS(Flat_file!$H:$H,Flat_file!$B:$B,Summary_Employed!$B$2,Flat_file!$C:$C,"Men",Flat_file!$D:$D,"40-44",Flat_file!$E:$E,"999",Flat_file!$F:$F,"E")</f>
        <v>0</v>
      </c>
      <c r="O76" s="89">
        <f t="shared" si="63"/>
        <v>0</v>
      </c>
      <c r="P76" s="90"/>
      <c r="Q76" s="89">
        <f t="shared" si="64"/>
        <v>0</v>
      </c>
      <c r="R76" s="91"/>
      <c r="S76" s="89">
        <f t="shared" si="65"/>
        <v>0</v>
      </c>
      <c r="T76" s="89">
        <f t="shared" si="66"/>
        <v>0</v>
      </c>
      <c r="U76" s="89">
        <f t="shared" si="67"/>
        <v>0</v>
      </c>
      <c r="V76" s="90"/>
      <c r="W76" s="89">
        <f>SUMIFS(Flat_file!$H:$H,Flat_file!$B:$B,Summary_Employed!$B$2,Flat_file!$C:$C,"Men",Flat_file!$D:$D,"40-44",Flat_file!$E:$E,"343",Flat_file!$F:$F,"E")+SUMIFS(Flat_file!$H:$H,Flat_file!$B:$B,Summary_Employed!$B$2,Flat_file!$C:$C,"Men",Flat_file!$D:$D,"40-44",Flat_file!$E:$E,"344",Flat_file!$F:$F,"E")+SUMIFS(Flat_file!$H:$H,Flat_file!$B:$B,Summary_Employed!$B$2,Flat_file!$C:$C,"Men",Flat_file!$D:$D,"40-44",Flat_file!$E:$E,"443",Flat_file!$F:$F,"E")+SUMIFS(Flat_file!$H:$H,Flat_file!$B:$B,Summary_Employed!$B$2,Flat_file!$C:$C,"Men",Flat_file!$D:$D,"40-44",Flat_file!$E:$E,"444",Flat_file!$F:$F,"E")</f>
        <v>0</v>
      </c>
      <c r="X76" s="89">
        <f>SUMIFS(Flat_file!$H:$H,Flat_file!$B:$B,Summary_Employed!$B$2,Flat_file!$C:$C,"Men",Flat_file!$D:$D,"40-44",Flat_file!$E:$E,"353",Flat_file!$F:$F,"E")+SUMIFS(Flat_file!$H:$H,Flat_file!$B:$B,Summary_Employed!$B$2,Flat_file!$C:$C,"Men",Flat_file!$D:$D,"40-44",Flat_file!$E:$E,"354",Flat_file!$F:$F,"E")+SUMIFS(Flat_file!$H:$H,Flat_file!$B:$B,Summary_Employed!$B$2,Flat_file!$C:$C,"Men",Flat_file!$D:$D,"40-44",Flat_file!$E:$E,"453",Flat_file!$F:$F,"E")+SUMIFS(Flat_file!$H:$H,Flat_file!$B:$B,Summary_Employed!$B$2,Flat_file!$C:$C,"Men",Flat_file!$D:$D,"40-44",Flat_file!$E:$E,"454",Flat_file!$F:$F,"E")</f>
        <v>0</v>
      </c>
      <c r="Y76" s="90"/>
      <c r="Z76" s="89">
        <f>SUMIFS(Flat_file!$H:$H,Flat_file!$B:$B,Summary_Employed!$B$2,Flat_file!$C:$C,"Men",Flat_file!$D:$D,"40-44",Flat_file!$E:$E,"640",Flat_file!$F:$F,"E")+SUMIFS(Flat_file!$H:$H,Flat_file!$B:$B,Summary_Employed!$B$2,Flat_file!$C:$C,"Men",Flat_file!$D:$D,"40-44",Flat_file!$E:$E,"740",Flat_file!$F:$F,"E")+SUMIFS(Flat_file!$H:$H,Flat_file!$B:$B,Summary_Employed!$B$2,Flat_file!$C:$C,"Men",Flat_file!$D:$D,"40-44",Flat_file!$E:$E,"840",Flat_file!$F:$F,"E")</f>
        <v>0</v>
      </c>
      <c r="AA76" s="89">
        <f>SUMIFS(Flat_file!$H:$H,Flat_file!$B:$B,Summary_Employed!$B$2,Flat_file!$C:$C,"Men",Flat_file!$D:$D,"40-44",Flat_file!$E:$E,"650",Flat_file!$F:$F,"E")+SUMIFS(Flat_file!$H:$H,Flat_file!$B:$B,Summary_Employed!$B$2,Flat_file!$C:$C,"Men",Flat_file!$D:$D,"40-44",Flat_file!$E:$E,"750",Flat_file!$F:$F,"E")+SUMIFS(Flat_file!$H:$H,Flat_file!$B:$B,Summary_Employed!$B$2,Flat_file!$C:$C,"Men",Flat_file!$D:$D,"40-44",Flat_file!$E:$E,"850",Flat_file!$F:$F,"E")</f>
        <v>0</v>
      </c>
      <c r="AB76" s="89">
        <f>SUMIFS(Flat_file!$H:$H,Flat_file!$B:$B,Summary_Employed!$B$2,Flat_file!$C:$C,"Men",Flat_file!$D:$D,"40-44",Flat_file!$E:$E,"660",Flat_file!$F:$F,"E")+SUMIFS(Flat_file!$H:$H,Flat_file!$B:$B,Summary_Employed!$B$2,Flat_file!$C:$C,"Men",Flat_file!$D:$D,"40-44",Flat_file!$E:$E,"760",Flat_file!$F:$F,"E")+SUMIFS(Flat_file!$H:$H,Flat_file!$B:$B,Summary_Employed!$B$2,Flat_file!$C:$C,"Men",Flat_file!$D:$D,"40-44",Flat_file!$E:$E,"860",Flat_file!$F:$F,"E")</f>
        <v>0</v>
      </c>
      <c r="AC76" s="3"/>
      <c r="AD76" s="3"/>
      <c r="AE76" s="3"/>
      <c r="AF76" s="3"/>
      <c r="AG76" s="3"/>
      <c r="AH76" s="3"/>
      <c r="AI76" s="3"/>
      <c r="AJ76" s="3"/>
      <c r="AK76" s="3"/>
    </row>
    <row r="77" spans="1:37" customFormat="1" x14ac:dyDescent="0.2">
      <c r="A77" s="352"/>
      <c r="B77" s="79" t="s">
        <v>93</v>
      </c>
      <c r="C77" s="89">
        <f>SUMIFS(Flat_file!$H:$H,Flat_file!$B:$B,Summary_Employed!$B$2,Flat_file!$C:$C,"Men",Flat_file!$D:$D,"45-49",Flat_file!$E:$E,"010",Flat_file!$F:$F,"E")+SUMIFS(Flat_file!$H:$H,Flat_file!$B:$B,Summary_Employed!$B$2,Flat_file!$C:$C,"Men",Flat_file!$D:$D,"45-49",Flat_file!$E:$E,"020",Flat_file!$F:$F,"E")+SUMIFS(Flat_file!$H:$H,Flat_file!$B:$B,Summary_Employed!$B$2,Flat_file!$C:$C,"Men",Flat_file!$D:$D,"45-49",Flat_file!$E:$E,"030",Flat_file!$F:$F,"E")</f>
        <v>0</v>
      </c>
      <c r="D77" s="89">
        <f>SUMIFS(Flat_file!$H:$H,Flat_file!$B:$B,Summary_Employed!$B$2,Flat_file!$C:$C,"Men",Flat_file!$D:$D,"45-49",Flat_file!$E:$E,"100",Flat_file!$F:$F,"E")</f>
        <v>0</v>
      </c>
      <c r="E77" s="89">
        <f>SUMIFS(Flat_file!$H:$H,Flat_file!$B:$B,Summary_Employed!$B$2,Flat_file!$C:$C,"Men",Flat_file!$D:$D,"45-49",Flat_file!$E:$E,"242",Flat_file!$F:$F,"E")+SUMIFS(Flat_file!$H:$H,Flat_file!$B:$B,Summary_Employed!$B$2,Flat_file!$C:$C,"Men",Flat_file!$D:$D,"45-49",Flat_file!$E:$E,"252",Flat_file!$F:$F,"E")</f>
        <v>0</v>
      </c>
      <c r="F77" s="89">
        <f>SUMIFS(Flat_file!$H:$H,Flat_file!$B:$B,Summary_Employed!$B$2,Flat_file!$C:$C,"Men",Flat_file!$D:$D,"45-49",Flat_file!$E:$E,"243",Flat_file!$F:$F,"E")+SUMIFS(Flat_file!$H:$H,Flat_file!$B:$B,Summary_Employed!$B$2,Flat_file!$C:$C,"Men",Flat_file!$D:$D,"45-49",Flat_file!$E:$E,"244",Flat_file!$F:$F,"E")+SUMIFS(Flat_file!$H:$H,Flat_file!$B:$B,Summary_Employed!$B$2,Flat_file!$C:$C,"Men",Flat_file!$D:$D,"45-49",Flat_file!$E:$E,"253",Flat_file!$F:$F,"E")+SUMIFS(Flat_file!$H:$H,Flat_file!$B:$B,Summary_Employed!$B$2,Flat_file!$C:$C,"Men",Flat_file!$D:$D,"45-49",Flat_file!$E:$E,"254",Flat_file!$F:$F,"E")</f>
        <v>0</v>
      </c>
      <c r="G77" s="89">
        <f>SUMIFS(Flat_file!$H:$H,Flat_file!$B:$B,Summary_Employed!$B$2,Flat_file!$C:$C,"Men",Flat_file!$D:$D,"45-49",Flat_file!$E:$E,"342",Flat_file!$F:$F,"E")+SUMIFS(Flat_file!$H:$H,Flat_file!$B:$B,Summary_Employed!$B$2,Flat_file!$C:$C,"Men",Flat_file!$D:$D,"45-49",Flat_file!$E:$E,"352",Flat_file!$F:$F,"E")</f>
        <v>0</v>
      </c>
      <c r="H77" s="89">
        <f>SUMIFS(Flat_file!$H:$H,Flat_file!$B:$B,Summary_Employed!$B$2,Flat_file!$C:$C,"Men",Flat_file!$D:$D,"45-49",Flat_file!$E:$E,"343",Flat_file!$F:$F,"E")+SUMIFS(Flat_file!$H:$H,Flat_file!$B:$B,Summary_Employed!$B$2,Flat_file!$C:$C,"Men",Flat_file!$D:$D,"45-49",Flat_file!$E:$E,"344",Flat_file!$F:$F,"E")+SUMIFS(Flat_file!$H:$H,Flat_file!$B:$B,Summary_Employed!$B$2,Flat_file!$C:$C,"Men",Flat_file!$D:$D,"45-49",Flat_file!$E:$E,"353",Flat_file!$F:$F,"E")+SUMIFS(Flat_file!$H:$H,Flat_file!$B:$B,Summary_Employed!$B$2,Flat_file!$C:$C,"Men",Flat_file!$D:$D,"45-49",Flat_file!$E:$E,"354",Flat_file!$F:$F,"E")</f>
        <v>0</v>
      </c>
      <c r="I77" s="89">
        <f>SUMIFS(Flat_file!$H:$H,Flat_file!$B:$B,Summary_Employed!$B$2,Flat_file!$C:$C,"Men",Flat_file!$D:$D,"45-49",Flat_file!$E:$E,"443",Flat_file!$F:$F,"E")+SUMIFS(Flat_file!$H:$H,Flat_file!$B:$B,Summary_Employed!$B$2,Flat_file!$C:$C,"Men",Flat_file!$D:$D,"45-49",Flat_file!$E:$E,"444",Flat_file!$F:$F,"E")+SUMIFS(Flat_file!$H:$H,Flat_file!$B:$B,Summary_Employed!$B$2,Flat_file!$C:$C,"Men",Flat_file!$D:$D,"45-49",Flat_file!$E:$E,"453",Flat_file!$F:$F,"E")+SUMIFS(Flat_file!$H:$H,Flat_file!$B:$B,Summary_Employed!$B$2,Flat_file!$C:$C,"Men",Flat_file!$D:$D,"45-49",Flat_file!$E:$E,"454",Flat_file!$F:$F,"E")</f>
        <v>0</v>
      </c>
      <c r="J77" s="89">
        <f>SUMIFS(Flat_file!$H:$H,Flat_file!$B:$B,Summary_Employed!$B$2,Flat_file!$C:$C,"Men",Flat_file!$D:$D,"45-49",Flat_file!$E:$E,"540",Flat_file!$F:$F,"E")+SUMIFS(Flat_file!$H:$H,Flat_file!$B:$B,Summary_Employed!$B$2,Flat_file!$C:$C,"Men",Flat_file!$D:$D,"45-49",Flat_file!$E:$E,"550",Flat_file!$F:$F,"E")+SUMIFS(Flat_file!$H:$H,Flat_file!$B:$B,Summary_Employed!$B$2,Flat_file!$C:$C,"Men",Flat_file!$D:$D,"45-49",Flat_file!$E:$E,"560",Flat_file!$F:$F,"E")</f>
        <v>0</v>
      </c>
      <c r="K77" s="89">
        <f>SUMIFS(Flat_file!$H:$H,Flat_file!$B:$B,Summary_Employed!$B$2,Flat_file!$C:$C,"Men",Flat_file!$D:$D,"45-49",Flat_file!$E:$E,"640",Flat_file!$F:$F,"E")+SUMIFS(Flat_file!$H:$H,Flat_file!$B:$B,Summary_Employed!$B$2,Flat_file!$C:$C,"Men",Flat_file!$D:$D,"45-49",Flat_file!$E:$E,"650",Flat_file!$F:$F,"E")+SUMIFS(Flat_file!$H:$H,Flat_file!$B:$B,Summary_Employed!$B$2,Flat_file!$C:$C,"Men",Flat_file!$D:$D,"45-49",Flat_file!$E:$E,"660",Flat_file!$F:$F,"E")</f>
        <v>0</v>
      </c>
      <c r="L77" s="89">
        <f>SUMIFS(Flat_file!$H:$H,Flat_file!$B:$B,Summary_Employed!$B$2,Flat_file!$C:$C,"Men",Flat_file!$D:$D,"45-49",Flat_file!$E:$E,"740",Flat_file!$F:$F,"E")+SUMIFS(Flat_file!$H:$H,Flat_file!$B:$B,Summary_Employed!$B$2,Flat_file!$C:$C,"Men",Flat_file!$D:$D,"45-49",Flat_file!$E:$E,"750",Flat_file!$F:$F,"E")+SUMIFS(Flat_file!$H:$H,Flat_file!$B:$B,Summary_Employed!$B$2,Flat_file!$C:$C,"Men",Flat_file!$D:$D,"45-49",Flat_file!$E:$E,"760",Flat_file!$F:$F,"E")</f>
        <v>0</v>
      </c>
      <c r="M77" s="89">
        <f>SUMIFS(Flat_file!$H:$H,Flat_file!$B:$B,Summary_Employed!$B$2,Flat_file!$C:$C,"Men",Flat_file!$D:$D,"45-49",Flat_file!$E:$E,"840",Flat_file!$F:$F,"E")+SUMIFS(Flat_file!$H:$H,Flat_file!$B:$B,Summary_Employed!$B$2,Flat_file!$C:$C,"Men",Flat_file!$D:$D,"45-49",Flat_file!$E:$E,"850",Flat_file!$F:$F,"E")+SUMIFS(Flat_file!$H:$H,Flat_file!$B:$B,Summary_Employed!$B$2,Flat_file!$C:$C,"Men",Flat_file!$D:$D,"45-49",Flat_file!$E:$E,"860",Flat_file!$F:$F,"E")</f>
        <v>0</v>
      </c>
      <c r="N77" s="89">
        <f>SUMIFS(Flat_file!$H:$H,Flat_file!$B:$B,Summary_Employed!$B$2,Flat_file!$C:$C,"Men",Flat_file!$D:$D,"45-49",Flat_file!$E:$E,"999",Flat_file!$F:$F,"E")</f>
        <v>0</v>
      </c>
      <c r="O77" s="89">
        <f t="shared" si="63"/>
        <v>0</v>
      </c>
      <c r="P77" s="90"/>
      <c r="Q77" s="89">
        <f t="shared" si="64"/>
        <v>0</v>
      </c>
      <c r="R77" s="91"/>
      <c r="S77" s="89">
        <f t="shared" si="65"/>
        <v>0</v>
      </c>
      <c r="T77" s="89">
        <f t="shared" si="66"/>
        <v>0</v>
      </c>
      <c r="U77" s="89">
        <f t="shared" si="67"/>
        <v>0</v>
      </c>
      <c r="V77" s="90"/>
      <c r="W77" s="89">
        <f>SUMIFS(Flat_file!$H:$H,Flat_file!$B:$B,Summary_Employed!$B$2,Flat_file!$C:$C,"Men",Flat_file!$D:$D,"45-49",Flat_file!$E:$E,"343",Flat_file!$F:$F,"E")+SUMIFS(Flat_file!$H:$H,Flat_file!$B:$B,Summary_Employed!$B$2,Flat_file!$C:$C,"Men",Flat_file!$D:$D,"45-49",Flat_file!$E:$E,"344",Flat_file!$F:$F,"E")+SUMIFS(Flat_file!$H:$H,Flat_file!$B:$B,Summary_Employed!$B$2,Flat_file!$C:$C,"Men",Flat_file!$D:$D,"45-49",Flat_file!$E:$E,"443",Flat_file!$F:$F,"E")+SUMIFS(Flat_file!$H:$H,Flat_file!$B:$B,Summary_Employed!$B$2,Flat_file!$C:$C,"Men",Flat_file!$D:$D,"45-49",Flat_file!$E:$E,"444",Flat_file!$F:$F,"E")</f>
        <v>0</v>
      </c>
      <c r="X77" s="89">
        <f>SUMIFS(Flat_file!$H:$H,Flat_file!$B:$B,Summary_Employed!$B$2,Flat_file!$C:$C,"Men",Flat_file!$D:$D,"45-49",Flat_file!$E:$E,"353",Flat_file!$F:$F,"E")+SUMIFS(Flat_file!$H:$H,Flat_file!$B:$B,Summary_Employed!$B$2,Flat_file!$C:$C,"Men",Flat_file!$D:$D,"45-49",Flat_file!$E:$E,"354",Flat_file!$F:$F,"E")+SUMIFS(Flat_file!$H:$H,Flat_file!$B:$B,Summary_Employed!$B$2,Flat_file!$C:$C,"Men",Flat_file!$D:$D,"45-49",Flat_file!$E:$E,"453",Flat_file!$F:$F,"E")+SUMIFS(Flat_file!$H:$H,Flat_file!$B:$B,Summary_Employed!$B$2,Flat_file!$C:$C,"Men",Flat_file!$D:$D,"45-49",Flat_file!$E:$E,"454",Flat_file!$F:$F,"E")</f>
        <v>0</v>
      </c>
      <c r="Y77" s="90"/>
      <c r="Z77" s="89">
        <f>SUMIFS(Flat_file!$H:$H,Flat_file!$B:$B,Summary_Employed!$B$2,Flat_file!$C:$C,"Men",Flat_file!$D:$D,"45-49",Flat_file!$E:$E,"640",Flat_file!$F:$F,"E")+SUMIFS(Flat_file!$H:$H,Flat_file!$B:$B,Summary_Employed!$B$2,Flat_file!$C:$C,"Men",Flat_file!$D:$D,"45-49",Flat_file!$E:$E,"740",Flat_file!$F:$F,"E")+SUMIFS(Flat_file!$H:$H,Flat_file!$B:$B,Summary_Employed!$B$2,Flat_file!$C:$C,"Men",Flat_file!$D:$D,"45-49",Flat_file!$E:$E,"840",Flat_file!$F:$F,"E")</f>
        <v>0</v>
      </c>
      <c r="AA77" s="89">
        <f>SUMIFS(Flat_file!$H:$H,Flat_file!$B:$B,Summary_Employed!$B$2,Flat_file!$C:$C,"Men",Flat_file!$D:$D,"45-49",Flat_file!$E:$E,"650",Flat_file!$F:$F,"E")+SUMIFS(Flat_file!$H:$H,Flat_file!$B:$B,Summary_Employed!$B$2,Flat_file!$C:$C,"Men",Flat_file!$D:$D,"45-49",Flat_file!$E:$E,"750",Flat_file!$F:$F,"E")+SUMIFS(Flat_file!$H:$H,Flat_file!$B:$B,Summary_Employed!$B$2,Flat_file!$C:$C,"Men",Flat_file!$D:$D,"45-49",Flat_file!$E:$E,"850",Flat_file!$F:$F,"E")</f>
        <v>0</v>
      </c>
      <c r="AB77" s="89">
        <f>SUMIFS(Flat_file!$H:$H,Flat_file!$B:$B,Summary_Employed!$B$2,Flat_file!$C:$C,"Men",Flat_file!$D:$D,"45-49",Flat_file!$E:$E,"660",Flat_file!$F:$F,"E")+SUMIFS(Flat_file!$H:$H,Flat_file!$B:$B,Summary_Employed!$B$2,Flat_file!$C:$C,"Men",Flat_file!$D:$D,"45-49",Flat_file!$E:$E,"760",Flat_file!$F:$F,"E")+SUMIFS(Flat_file!$H:$H,Flat_file!$B:$B,Summary_Employed!$B$2,Flat_file!$C:$C,"Men",Flat_file!$D:$D,"45-49",Flat_file!$E:$E,"860",Flat_file!$F:$F,"E")</f>
        <v>0</v>
      </c>
      <c r="AC77" s="3"/>
      <c r="AD77" s="3"/>
      <c r="AE77" s="3"/>
      <c r="AF77" s="3"/>
      <c r="AG77" s="3"/>
      <c r="AH77" s="3"/>
      <c r="AI77" s="3"/>
      <c r="AJ77" s="3"/>
      <c r="AK77" s="3"/>
    </row>
    <row r="78" spans="1:37" customFormat="1" x14ac:dyDescent="0.2">
      <c r="A78" s="352"/>
      <c r="B78" s="79" t="s">
        <v>94</v>
      </c>
      <c r="C78" s="89">
        <f>SUMIFS(Flat_file!$H:$H,Flat_file!$B:$B,Summary_Employed!$B$2,Flat_file!$C:$C,"Men",Flat_file!$D:$D,"50-54",Flat_file!$E:$E,"010",Flat_file!$F:$F,"E")+SUMIFS(Flat_file!$H:$H,Flat_file!$B:$B,Summary_Employed!$B$2,Flat_file!$C:$C,"Men",Flat_file!$D:$D,"50-54",Flat_file!$E:$E,"020",Flat_file!$F:$F,"E")+SUMIFS(Flat_file!$H:$H,Flat_file!$B:$B,Summary_Employed!$B$2,Flat_file!$C:$C,"Men",Flat_file!$D:$D,"50-54",Flat_file!$E:$E,"030",Flat_file!$F:$F,"E")</f>
        <v>0</v>
      </c>
      <c r="D78" s="89">
        <f>SUMIFS(Flat_file!$H:$H,Flat_file!$B:$B,Summary_Employed!$B$2,Flat_file!$C:$C,"Men",Flat_file!$D:$D,"50-54",Flat_file!$E:$E,"100",Flat_file!$F:$F,"E")</f>
        <v>0</v>
      </c>
      <c r="E78" s="89">
        <f>SUMIFS(Flat_file!$H:$H,Flat_file!$B:$B,Summary_Employed!$B$2,Flat_file!$C:$C,"Men",Flat_file!$D:$D,"50-54",Flat_file!$E:$E,"242",Flat_file!$F:$F,"E")+SUMIFS(Flat_file!$H:$H,Flat_file!$B:$B,Summary_Employed!$B$2,Flat_file!$C:$C,"Men",Flat_file!$D:$D,"50-54",Flat_file!$E:$E,"252",Flat_file!$F:$F,"E")</f>
        <v>0</v>
      </c>
      <c r="F78" s="89">
        <f>SUMIFS(Flat_file!$H:$H,Flat_file!$B:$B,Summary_Employed!$B$2,Flat_file!$C:$C,"Men",Flat_file!$D:$D,"50-54",Flat_file!$E:$E,"243",Flat_file!$F:$F,"E")+SUMIFS(Flat_file!$H:$H,Flat_file!$B:$B,Summary_Employed!$B$2,Flat_file!$C:$C,"Men",Flat_file!$D:$D,"50-54",Flat_file!$E:$E,"244",Flat_file!$F:$F,"E")+SUMIFS(Flat_file!$H:$H,Flat_file!$B:$B,Summary_Employed!$B$2,Flat_file!$C:$C,"Men",Flat_file!$D:$D,"50-54",Flat_file!$E:$E,"253",Flat_file!$F:$F,"E")+SUMIFS(Flat_file!$H:$H,Flat_file!$B:$B,Summary_Employed!$B$2,Flat_file!$C:$C,"Men",Flat_file!$D:$D,"50-54",Flat_file!$E:$E,"254",Flat_file!$F:$F,"E")</f>
        <v>0</v>
      </c>
      <c r="G78" s="89">
        <f>SUMIFS(Flat_file!$H:$H,Flat_file!$B:$B,Summary_Employed!$B$2,Flat_file!$C:$C,"Men",Flat_file!$D:$D,"50-54",Flat_file!$E:$E,"342",Flat_file!$F:$F,"E")+SUMIFS(Flat_file!$H:$H,Flat_file!$B:$B,Summary_Employed!$B$2,Flat_file!$C:$C,"Men",Flat_file!$D:$D,"50-54",Flat_file!$E:$E,"352",Flat_file!$F:$F,"E")</f>
        <v>0</v>
      </c>
      <c r="H78" s="89">
        <f>SUMIFS(Flat_file!$H:$H,Flat_file!$B:$B,Summary_Employed!$B$2,Flat_file!$C:$C,"Men",Flat_file!$D:$D,"50-54",Flat_file!$E:$E,"343",Flat_file!$F:$F,"E")+SUMIFS(Flat_file!$H:$H,Flat_file!$B:$B,Summary_Employed!$B$2,Flat_file!$C:$C,"Men",Flat_file!$D:$D,"50-54",Flat_file!$E:$E,"344",Flat_file!$F:$F,"E")+SUMIFS(Flat_file!$H:$H,Flat_file!$B:$B,Summary_Employed!$B$2,Flat_file!$C:$C,"Men",Flat_file!$D:$D,"50-54",Flat_file!$E:$E,"353",Flat_file!$F:$F,"E")+SUMIFS(Flat_file!$H:$H,Flat_file!$B:$B,Summary_Employed!$B$2,Flat_file!$C:$C,"Men",Flat_file!$D:$D,"50-54",Flat_file!$E:$E,"354",Flat_file!$F:$F,"E")</f>
        <v>0</v>
      </c>
      <c r="I78" s="89">
        <f>SUMIFS(Flat_file!$H:$H,Flat_file!$B:$B,Summary_Employed!$B$2,Flat_file!$C:$C,"Men",Flat_file!$D:$D,"50-54",Flat_file!$E:$E,"443",Flat_file!$F:$F,"E")+SUMIFS(Flat_file!$H:$H,Flat_file!$B:$B,Summary_Employed!$B$2,Flat_file!$C:$C,"Men",Flat_file!$D:$D,"50-54",Flat_file!$E:$E,"444",Flat_file!$F:$F,"E")+SUMIFS(Flat_file!$H:$H,Flat_file!$B:$B,Summary_Employed!$B$2,Flat_file!$C:$C,"Men",Flat_file!$D:$D,"50-54",Flat_file!$E:$E,"453",Flat_file!$F:$F,"E")+SUMIFS(Flat_file!$H:$H,Flat_file!$B:$B,Summary_Employed!$B$2,Flat_file!$C:$C,"Men",Flat_file!$D:$D,"50-54",Flat_file!$E:$E,"454",Flat_file!$F:$F,"E")</f>
        <v>0</v>
      </c>
      <c r="J78" s="89">
        <f>SUMIFS(Flat_file!$H:$H,Flat_file!$B:$B,Summary_Employed!$B$2,Flat_file!$C:$C,"Men",Flat_file!$D:$D,"50-54",Flat_file!$E:$E,"540",Flat_file!$F:$F,"E")+SUMIFS(Flat_file!$H:$H,Flat_file!$B:$B,Summary_Employed!$B$2,Flat_file!$C:$C,"Men",Flat_file!$D:$D,"50-54",Flat_file!$E:$E,"550",Flat_file!$F:$F,"E")+SUMIFS(Flat_file!$H:$H,Flat_file!$B:$B,Summary_Employed!$B$2,Flat_file!$C:$C,"Men",Flat_file!$D:$D,"50-54",Flat_file!$E:$E,"560",Flat_file!$F:$F,"E")</f>
        <v>0</v>
      </c>
      <c r="K78" s="89">
        <f>SUMIFS(Flat_file!$H:$H,Flat_file!$B:$B,Summary_Employed!$B$2,Flat_file!$C:$C,"Men",Flat_file!$D:$D,"50-54",Flat_file!$E:$E,"640",Flat_file!$F:$F,"E")+SUMIFS(Flat_file!$H:$H,Flat_file!$B:$B,Summary_Employed!$B$2,Flat_file!$C:$C,"Men",Flat_file!$D:$D,"50-54",Flat_file!$E:$E,"650",Flat_file!$F:$F,"E")+SUMIFS(Flat_file!$H:$H,Flat_file!$B:$B,Summary_Employed!$B$2,Flat_file!$C:$C,"Men",Flat_file!$D:$D,"50-54",Flat_file!$E:$E,"660",Flat_file!$F:$F,"E")</f>
        <v>0</v>
      </c>
      <c r="L78" s="89">
        <f>SUMIFS(Flat_file!$H:$H,Flat_file!$B:$B,Summary_Employed!$B$2,Flat_file!$C:$C,"Men",Flat_file!$D:$D,"50-54",Flat_file!$E:$E,"740",Flat_file!$F:$F,"E")+SUMIFS(Flat_file!$H:$H,Flat_file!$B:$B,Summary_Employed!$B$2,Flat_file!$C:$C,"Men",Flat_file!$D:$D,"50-54",Flat_file!$E:$E,"750",Flat_file!$F:$F,"E")+SUMIFS(Flat_file!$H:$H,Flat_file!$B:$B,Summary_Employed!$B$2,Flat_file!$C:$C,"Men",Flat_file!$D:$D,"50-54",Flat_file!$E:$E,"760",Flat_file!$F:$F,"E")</f>
        <v>0</v>
      </c>
      <c r="M78" s="89">
        <f>SUMIFS(Flat_file!$H:$H,Flat_file!$B:$B,Summary_Employed!$B$2,Flat_file!$C:$C,"Men",Flat_file!$D:$D,"50-54",Flat_file!$E:$E,"840",Flat_file!$F:$F,"E")+SUMIFS(Flat_file!$H:$H,Flat_file!$B:$B,Summary_Employed!$B$2,Flat_file!$C:$C,"Men",Flat_file!$D:$D,"50-54",Flat_file!$E:$E,"850",Flat_file!$F:$F,"E")+SUMIFS(Flat_file!$H:$H,Flat_file!$B:$B,Summary_Employed!$B$2,Flat_file!$C:$C,"Men",Flat_file!$D:$D,"50-54",Flat_file!$E:$E,"860",Flat_file!$F:$F,"E")</f>
        <v>0</v>
      </c>
      <c r="N78" s="89">
        <f>SUMIFS(Flat_file!$H:$H,Flat_file!$B:$B,Summary_Employed!$B$2,Flat_file!$C:$C,"Men",Flat_file!$D:$D,"50-54",Flat_file!$E:$E,"999",Flat_file!$F:$F,"E")</f>
        <v>0</v>
      </c>
      <c r="O78" s="89">
        <f t="shared" si="63"/>
        <v>0</v>
      </c>
      <c r="P78" s="90"/>
      <c r="Q78" s="89">
        <f t="shared" si="64"/>
        <v>0</v>
      </c>
      <c r="R78" s="91"/>
      <c r="S78" s="89">
        <f t="shared" si="65"/>
        <v>0</v>
      </c>
      <c r="T78" s="89">
        <f t="shared" si="66"/>
        <v>0</v>
      </c>
      <c r="U78" s="89">
        <f t="shared" si="67"/>
        <v>0</v>
      </c>
      <c r="V78" s="90"/>
      <c r="W78" s="89">
        <f>SUMIFS(Flat_file!$H:$H,Flat_file!$B:$B,Summary_Employed!$B$2,Flat_file!$C:$C,"Men",Flat_file!$D:$D,"50-54",Flat_file!$E:$E,"343",Flat_file!$F:$F,"E")+SUMIFS(Flat_file!$H:$H,Flat_file!$B:$B,Summary_Employed!$B$2,Flat_file!$C:$C,"Men",Flat_file!$D:$D,"50-54",Flat_file!$E:$E,"344",Flat_file!$F:$F,"E")+SUMIFS(Flat_file!$H:$H,Flat_file!$B:$B,Summary_Employed!$B$2,Flat_file!$C:$C,"Men",Flat_file!$D:$D,"50-54",Flat_file!$E:$E,"443",Flat_file!$F:$F,"E")+SUMIFS(Flat_file!$H:$H,Flat_file!$B:$B,Summary_Employed!$B$2,Flat_file!$C:$C,"Men",Flat_file!$D:$D,"50-54",Flat_file!$E:$E,"444",Flat_file!$F:$F,"E")</f>
        <v>0</v>
      </c>
      <c r="X78" s="89">
        <f>SUMIFS(Flat_file!$H:$H,Flat_file!$B:$B,Summary_Employed!$B$2,Flat_file!$C:$C,"Men",Flat_file!$D:$D,"50-54",Flat_file!$E:$E,"353",Flat_file!$F:$F,"E")+SUMIFS(Flat_file!$H:$H,Flat_file!$B:$B,Summary_Employed!$B$2,Flat_file!$C:$C,"Men",Flat_file!$D:$D,"50-54",Flat_file!$E:$E,"354",Flat_file!$F:$F,"E")+SUMIFS(Flat_file!$H:$H,Flat_file!$B:$B,Summary_Employed!$B$2,Flat_file!$C:$C,"Men",Flat_file!$D:$D,"50-54",Flat_file!$E:$E,"453",Flat_file!$F:$F,"E")+SUMIFS(Flat_file!$H:$H,Flat_file!$B:$B,Summary_Employed!$B$2,Flat_file!$C:$C,"Men",Flat_file!$D:$D,"50-54",Flat_file!$E:$E,"454",Flat_file!$F:$F,"E")</f>
        <v>0</v>
      </c>
      <c r="Y78" s="90"/>
      <c r="Z78" s="89">
        <f>SUMIFS(Flat_file!$H:$H,Flat_file!$B:$B,Summary_Employed!$B$2,Flat_file!$C:$C,"Men",Flat_file!$D:$D,"50-54",Flat_file!$E:$E,"640",Flat_file!$F:$F,"E")+SUMIFS(Flat_file!$H:$H,Flat_file!$B:$B,Summary_Employed!$B$2,Flat_file!$C:$C,"Men",Flat_file!$D:$D,"50-54",Flat_file!$E:$E,"740",Flat_file!$F:$F,"E")+SUMIFS(Flat_file!$H:$H,Flat_file!$B:$B,Summary_Employed!$B$2,Flat_file!$C:$C,"Men",Flat_file!$D:$D,"50-54",Flat_file!$E:$E,"840",Flat_file!$F:$F,"E")</f>
        <v>0</v>
      </c>
      <c r="AA78" s="89">
        <f>SUMIFS(Flat_file!$H:$H,Flat_file!$B:$B,Summary_Employed!$B$2,Flat_file!$C:$C,"Men",Flat_file!$D:$D,"50-54",Flat_file!$E:$E,"650",Flat_file!$F:$F,"E")+SUMIFS(Flat_file!$H:$H,Flat_file!$B:$B,Summary_Employed!$B$2,Flat_file!$C:$C,"Men",Flat_file!$D:$D,"50-54",Flat_file!$E:$E,"750",Flat_file!$F:$F,"E")+SUMIFS(Flat_file!$H:$H,Flat_file!$B:$B,Summary_Employed!$B$2,Flat_file!$C:$C,"Men",Flat_file!$D:$D,"50-54",Flat_file!$E:$E,"850",Flat_file!$F:$F,"E")</f>
        <v>0</v>
      </c>
      <c r="AB78" s="89">
        <f>SUMIFS(Flat_file!$H:$H,Flat_file!$B:$B,Summary_Employed!$B$2,Flat_file!$C:$C,"Men",Flat_file!$D:$D,"50-54",Flat_file!$E:$E,"660",Flat_file!$F:$F,"E")+SUMIFS(Flat_file!$H:$H,Flat_file!$B:$B,Summary_Employed!$B$2,Flat_file!$C:$C,"Men",Flat_file!$D:$D,"50-54",Flat_file!$E:$E,"760",Flat_file!$F:$F,"E")+SUMIFS(Flat_file!$H:$H,Flat_file!$B:$B,Summary_Employed!$B$2,Flat_file!$C:$C,"Men",Flat_file!$D:$D,"50-54",Flat_file!$E:$E,"860",Flat_file!$F:$F,"E")</f>
        <v>0</v>
      </c>
      <c r="AC78" s="3"/>
      <c r="AD78" s="3"/>
      <c r="AE78" s="3"/>
      <c r="AF78" s="3"/>
      <c r="AG78" s="3"/>
      <c r="AH78" s="3"/>
      <c r="AI78" s="3"/>
      <c r="AJ78" s="3"/>
      <c r="AK78" s="3"/>
    </row>
    <row r="79" spans="1:37" customFormat="1" x14ac:dyDescent="0.2">
      <c r="A79" s="352"/>
      <c r="B79" s="79" t="s">
        <v>95</v>
      </c>
      <c r="C79" s="89">
        <f>SUMIFS(Flat_file!$H:$H,Flat_file!$B:$B,Summary_Employed!$B$2,Flat_file!$C:$C,"Men",Flat_file!$D:$D,"55-59",Flat_file!$E:$E,"010",Flat_file!$F:$F,"E")+SUMIFS(Flat_file!$H:$H,Flat_file!$B:$B,Summary_Employed!$B$2,Flat_file!$C:$C,"Men",Flat_file!$D:$D,"55-59",Flat_file!$E:$E,"020",Flat_file!$F:$F,"E")+SUMIFS(Flat_file!$H:$H,Flat_file!$B:$B,Summary_Employed!$B$2,Flat_file!$C:$C,"Men",Flat_file!$D:$D,"55-59",Flat_file!$E:$E,"030",Flat_file!$F:$F,"E")</f>
        <v>0</v>
      </c>
      <c r="D79" s="89">
        <f>SUMIFS(Flat_file!$H:$H,Flat_file!$B:$B,Summary_Employed!$B$2,Flat_file!$C:$C,"Men",Flat_file!$D:$D,"55-59",Flat_file!$E:$E,"100",Flat_file!$F:$F,"E")</f>
        <v>0</v>
      </c>
      <c r="E79" s="89">
        <f>SUMIFS(Flat_file!$H:$H,Flat_file!$B:$B,Summary_Employed!$B$2,Flat_file!$C:$C,"Men",Flat_file!$D:$D,"55-59",Flat_file!$E:$E,"242",Flat_file!$F:$F,"E")+SUMIFS(Flat_file!$H:$H,Flat_file!$B:$B,Summary_Employed!$B$2,Flat_file!$C:$C,"Men",Flat_file!$D:$D,"55-59",Flat_file!$E:$E,"252",Flat_file!$F:$F,"E")</f>
        <v>0</v>
      </c>
      <c r="F79" s="89">
        <f>SUMIFS(Flat_file!$H:$H,Flat_file!$B:$B,Summary_Employed!$B$2,Flat_file!$C:$C,"Men",Flat_file!$D:$D,"55-59",Flat_file!$E:$E,"243",Flat_file!$F:$F,"E")+SUMIFS(Flat_file!$H:$H,Flat_file!$B:$B,Summary_Employed!$B$2,Flat_file!$C:$C,"Men",Flat_file!$D:$D,"55-59",Flat_file!$E:$E,"244",Flat_file!$F:$F,"E")+SUMIFS(Flat_file!$H:$H,Flat_file!$B:$B,Summary_Employed!$B$2,Flat_file!$C:$C,"Men",Flat_file!$D:$D,"55-59",Flat_file!$E:$E,"253",Flat_file!$F:$F,"E")+SUMIFS(Flat_file!$H:$H,Flat_file!$B:$B,Summary_Employed!$B$2,Flat_file!$C:$C,"Men",Flat_file!$D:$D,"55-59",Flat_file!$E:$E,"254",Flat_file!$F:$F,"E")</f>
        <v>0</v>
      </c>
      <c r="G79" s="89">
        <f>SUMIFS(Flat_file!$H:$H,Flat_file!$B:$B,Summary_Employed!$B$2,Flat_file!$C:$C,"Men",Flat_file!$D:$D,"55-59",Flat_file!$E:$E,"342",Flat_file!$F:$F,"E")+SUMIFS(Flat_file!$H:$H,Flat_file!$B:$B,Summary_Employed!$B$2,Flat_file!$C:$C,"Men",Flat_file!$D:$D,"55-59",Flat_file!$E:$E,"352",Flat_file!$F:$F,"E")</f>
        <v>0</v>
      </c>
      <c r="H79" s="89">
        <f>SUMIFS(Flat_file!$H:$H,Flat_file!$B:$B,Summary_Employed!$B$2,Flat_file!$C:$C,"Men",Flat_file!$D:$D,"55-59",Flat_file!$E:$E,"343",Flat_file!$F:$F,"E")+SUMIFS(Flat_file!$H:$H,Flat_file!$B:$B,Summary_Employed!$B$2,Flat_file!$C:$C,"Men",Flat_file!$D:$D,"55-59",Flat_file!$E:$E,"344",Flat_file!$F:$F,"E")+SUMIFS(Flat_file!$H:$H,Flat_file!$B:$B,Summary_Employed!$B$2,Flat_file!$C:$C,"Men",Flat_file!$D:$D,"55-59",Flat_file!$E:$E,"353",Flat_file!$F:$F,"E")+SUMIFS(Flat_file!$H:$H,Flat_file!$B:$B,Summary_Employed!$B$2,Flat_file!$C:$C,"Men",Flat_file!$D:$D,"55-59",Flat_file!$E:$E,"354",Flat_file!$F:$F,"E")</f>
        <v>0</v>
      </c>
      <c r="I79" s="89">
        <f>SUMIFS(Flat_file!$H:$H,Flat_file!$B:$B,Summary_Employed!$B$2,Flat_file!$C:$C,"Men",Flat_file!$D:$D,"55-59",Flat_file!$E:$E,"443",Flat_file!$F:$F,"E")+SUMIFS(Flat_file!$H:$H,Flat_file!$B:$B,Summary_Employed!$B$2,Flat_file!$C:$C,"Men",Flat_file!$D:$D,"55-59",Flat_file!$E:$E,"444",Flat_file!$F:$F,"E")+SUMIFS(Flat_file!$H:$H,Flat_file!$B:$B,Summary_Employed!$B$2,Flat_file!$C:$C,"Men",Flat_file!$D:$D,"55-59",Flat_file!$E:$E,"453",Flat_file!$F:$F,"E")+SUMIFS(Flat_file!$H:$H,Flat_file!$B:$B,Summary_Employed!$B$2,Flat_file!$C:$C,"Men",Flat_file!$D:$D,"55-59",Flat_file!$E:$E,"454",Flat_file!$F:$F,"E")</f>
        <v>0</v>
      </c>
      <c r="J79" s="89">
        <f>SUMIFS(Flat_file!$H:$H,Flat_file!$B:$B,Summary_Employed!$B$2,Flat_file!$C:$C,"Men",Flat_file!$D:$D,"55-59",Flat_file!$E:$E,"540",Flat_file!$F:$F,"E")+SUMIFS(Flat_file!$H:$H,Flat_file!$B:$B,Summary_Employed!$B$2,Flat_file!$C:$C,"Men",Flat_file!$D:$D,"55-59",Flat_file!$E:$E,"550",Flat_file!$F:$F,"E")+SUMIFS(Flat_file!$H:$H,Flat_file!$B:$B,Summary_Employed!$B$2,Flat_file!$C:$C,"Men",Flat_file!$D:$D,"55-59",Flat_file!$E:$E,"560",Flat_file!$F:$F,"E")</f>
        <v>0</v>
      </c>
      <c r="K79" s="89">
        <f>SUMIFS(Flat_file!$H:$H,Flat_file!$B:$B,Summary_Employed!$B$2,Flat_file!$C:$C,"Men",Flat_file!$D:$D,"55-59",Flat_file!$E:$E,"640",Flat_file!$F:$F,"E")+SUMIFS(Flat_file!$H:$H,Flat_file!$B:$B,Summary_Employed!$B$2,Flat_file!$C:$C,"Men",Flat_file!$D:$D,"55-59",Flat_file!$E:$E,"650",Flat_file!$F:$F,"E")+SUMIFS(Flat_file!$H:$H,Flat_file!$B:$B,Summary_Employed!$B$2,Flat_file!$C:$C,"Men",Flat_file!$D:$D,"55-59",Flat_file!$E:$E,"660",Flat_file!$F:$F,"E")</f>
        <v>0</v>
      </c>
      <c r="L79" s="89">
        <f>SUMIFS(Flat_file!$H:$H,Flat_file!$B:$B,Summary_Employed!$B$2,Flat_file!$C:$C,"Men",Flat_file!$D:$D,"55-59",Flat_file!$E:$E,"740",Flat_file!$F:$F,"E")+SUMIFS(Flat_file!$H:$H,Flat_file!$B:$B,Summary_Employed!$B$2,Flat_file!$C:$C,"Men",Flat_file!$D:$D,"55-59",Flat_file!$E:$E,"750",Flat_file!$F:$F,"E")+SUMIFS(Flat_file!$H:$H,Flat_file!$B:$B,Summary_Employed!$B$2,Flat_file!$C:$C,"Men",Flat_file!$D:$D,"55-59",Flat_file!$E:$E,"760",Flat_file!$F:$F,"E")</f>
        <v>0</v>
      </c>
      <c r="M79" s="89">
        <f>SUMIFS(Flat_file!$H:$H,Flat_file!$B:$B,Summary_Employed!$B$2,Flat_file!$C:$C,"Men",Flat_file!$D:$D,"55-59",Flat_file!$E:$E,"840",Flat_file!$F:$F,"E")+SUMIFS(Flat_file!$H:$H,Flat_file!$B:$B,Summary_Employed!$B$2,Flat_file!$C:$C,"Men",Flat_file!$D:$D,"55-59",Flat_file!$E:$E,"850",Flat_file!$F:$F,"E")+SUMIFS(Flat_file!$H:$H,Flat_file!$B:$B,Summary_Employed!$B$2,Flat_file!$C:$C,"Men",Flat_file!$D:$D,"55-59",Flat_file!$E:$E,"860",Flat_file!$F:$F,"E")</f>
        <v>0</v>
      </c>
      <c r="N79" s="89">
        <f>SUMIFS(Flat_file!$H:$H,Flat_file!$B:$B,Summary_Employed!$B$2,Flat_file!$C:$C,"Men",Flat_file!$D:$D,"55-59",Flat_file!$E:$E,"999",Flat_file!$F:$F,"E")</f>
        <v>0</v>
      </c>
      <c r="O79" s="89">
        <f t="shared" si="63"/>
        <v>0</v>
      </c>
      <c r="P79" s="90"/>
      <c r="Q79" s="89">
        <f t="shared" si="64"/>
        <v>0</v>
      </c>
      <c r="R79" s="91"/>
      <c r="S79" s="89">
        <f t="shared" si="65"/>
        <v>0</v>
      </c>
      <c r="T79" s="89">
        <f t="shared" si="66"/>
        <v>0</v>
      </c>
      <c r="U79" s="89">
        <f t="shared" si="67"/>
        <v>0</v>
      </c>
      <c r="V79" s="90"/>
      <c r="W79" s="89">
        <f>SUMIFS(Flat_file!$H:$H,Flat_file!$B:$B,Summary_Employed!$B$2,Flat_file!$C:$C,"Men",Flat_file!$D:$D,"55-59",Flat_file!$E:$E,"343",Flat_file!$F:$F,"E")+SUMIFS(Flat_file!$H:$H,Flat_file!$B:$B,Summary_Employed!$B$2,Flat_file!$C:$C,"Men",Flat_file!$D:$D,"55-59",Flat_file!$E:$E,"344",Flat_file!$F:$F,"E")+SUMIFS(Flat_file!$H:$H,Flat_file!$B:$B,Summary_Employed!$B$2,Flat_file!$C:$C,"Men",Flat_file!$D:$D,"55-59",Flat_file!$E:$E,"443",Flat_file!$F:$F,"E")+SUMIFS(Flat_file!$H:$H,Flat_file!$B:$B,Summary_Employed!$B$2,Flat_file!$C:$C,"Men",Flat_file!$D:$D,"55-59",Flat_file!$E:$E,"444",Flat_file!$F:$F,"E")</f>
        <v>0</v>
      </c>
      <c r="X79" s="89">
        <f>SUMIFS(Flat_file!$H:$H,Flat_file!$B:$B,Summary_Employed!$B$2,Flat_file!$C:$C,"Men",Flat_file!$D:$D,"55-59",Flat_file!$E:$E,"353",Flat_file!$F:$F,"E")+SUMIFS(Flat_file!$H:$H,Flat_file!$B:$B,Summary_Employed!$B$2,Flat_file!$C:$C,"Men",Flat_file!$D:$D,"55-59",Flat_file!$E:$E,"354",Flat_file!$F:$F,"E")+SUMIFS(Flat_file!$H:$H,Flat_file!$B:$B,Summary_Employed!$B$2,Flat_file!$C:$C,"Men",Flat_file!$D:$D,"55-59",Flat_file!$E:$E,"453",Flat_file!$F:$F,"E")+SUMIFS(Flat_file!$H:$H,Flat_file!$B:$B,Summary_Employed!$B$2,Flat_file!$C:$C,"Men",Flat_file!$D:$D,"55-59",Flat_file!$E:$E,"454",Flat_file!$F:$F,"E")</f>
        <v>0</v>
      </c>
      <c r="Y79" s="90"/>
      <c r="Z79" s="89">
        <f>SUMIFS(Flat_file!$H:$H,Flat_file!$B:$B,Summary_Employed!$B$2,Flat_file!$C:$C,"Men",Flat_file!$D:$D,"55-59",Flat_file!$E:$E,"640",Flat_file!$F:$F,"E")+SUMIFS(Flat_file!$H:$H,Flat_file!$B:$B,Summary_Employed!$B$2,Flat_file!$C:$C,"Men",Flat_file!$D:$D,"55-59",Flat_file!$E:$E,"740",Flat_file!$F:$F,"E")+SUMIFS(Flat_file!$H:$H,Flat_file!$B:$B,Summary_Employed!$B$2,Flat_file!$C:$C,"Men",Flat_file!$D:$D,"55-59",Flat_file!$E:$E,"840",Flat_file!$F:$F,"E")</f>
        <v>0</v>
      </c>
      <c r="AA79" s="89">
        <f>SUMIFS(Flat_file!$H:$H,Flat_file!$B:$B,Summary_Employed!$B$2,Flat_file!$C:$C,"Men",Flat_file!$D:$D,"55-59",Flat_file!$E:$E,"650",Flat_file!$F:$F,"E")+SUMIFS(Flat_file!$H:$H,Flat_file!$B:$B,Summary_Employed!$B$2,Flat_file!$C:$C,"Men",Flat_file!$D:$D,"55-59",Flat_file!$E:$E,"750",Flat_file!$F:$F,"E")+SUMIFS(Flat_file!$H:$H,Flat_file!$B:$B,Summary_Employed!$B$2,Flat_file!$C:$C,"Men",Flat_file!$D:$D,"55-59",Flat_file!$E:$E,"850",Flat_file!$F:$F,"E")</f>
        <v>0</v>
      </c>
      <c r="AB79" s="89">
        <f>SUMIFS(Flat_file!$H:$H,Flat_file!$B:$B,Summary_Employed!$B$2,Flat_file!$C:$C,"Men",Flat_file!$D:$D,"55-59",Flat_file!$E:$E,"660",Flat_file!$F:$F,"E")+SUMIFS(Flat_file!$H:$H,Flat_file!$B:$B,Summary_Employed!$B$2,Flat_file!$C:$C,"Men",Flat_file!$D:$D,"55-59",Flat_file!$E:$E,"760",Flat_file!$F:$F,"E")+SUMIFS(Flat_file!$H:$H,Flat_file!$B:$B,Summary_Employed!$B$2,Flat_file!$C:$C,"Men",Flat_file!$D:$D,"55-59",Flat_file!$E:$E,"860",Flat_file!$F:$F,"E")</f>
        <v>0</v>
      </c>
      <c r="AC79" s="3"/>
      <c r="AD79" s="3"/>
      <c r="AE79" s="3"/>
      <c r="AF79" s="3"/>
      <c r="AG79" s="3"/>
      <c r="AH79" s="3"/>
      <c r="AI79" s="3"/>
      <c r="AJ79" s="3"/>
      <c r="AK79" s="3"/>
    </row>
    <row r="80" spans="1:37" customFormat="1" x14ac:dyDescent="0.2">
      <c r="A80" s="352"/>
      <c r="B80" s="79" t="s">
        <v>96</v>
      </c>
      <c r="C80" s="89">
        <f>SUMIFS(Flat_file!$H:$H,Flat_file!$B:$B,Summary_Employed!$B$2,Flat_file!$C:$C,"Men",Flat_file!$D:$D,"60-64",Flat_file!$E:$E,"010",Flat_file!$F:$F,"E")+SUMIFS(Flat_file!$H:$H,Flat_file!$B:$B,Summary_Employed!$B$2,Flat_file!$C:$C,"Men",Flat_file!$D:$D,"60-64",Flat_file!$E:$E,"020",Flat_file!$F:$F,"E")+SUMIFS(Flat_file!$H:$H,Flat_file!$B:$B,Summary_Employed!$B$2,Flat_file!$C:$C,"Men",Flat_file!$D:$D,"60-64",Flat_file!$E:$E,"030",Flat_file!$F:$F,"E")</f>
        <v>0</v>
      </c>
      <c r="D80" s="89">
        <f>SUMIFS(Flat_file!$H:$H,Flat_file!$B:$B,Summary_Employed!$B$2,Flat_file!$C:$C,"Men",Flat_file!$D:$D,"60-64",Flat_file!$E:$E,"100",Flat_file!$F:$F,"E")</f>
        <v>0</v>
      </c>
      <c r="E80" s="89">
        <f>SUMIFS(Flat_file!$H:$H,Flat_file!$B:$B,Summary_Employed!$B$2,Flat_file!$C:$C,"Men",Flat_file!$D:$D,"60-64",Flat_file!$E:$E,"242",Flat_file!$F:$F,"E")+SUMIFS(Flat_file!$H:$H,Flat_file!$B:$B,Summary_Employed!$B$2,Flat_file!$C:$C,"Men",Flat_file!$D:$D,"60-64",Flat_file!$E:$E,"252",Flat_file!$F:$F,"E")</f>
        <v>0</v>
      </c>
      <c r="F80" s="89">
        <f>SUMIFS(Flat_file!$H:$H,Flat_file!$B:$B,Summary_Employed!$B$2,Flat_file!$C:$C,"Men",Flat_file!$D:$D,"60-64",Flat_file!$E:$E,"243",Flat_file!$F:$F,"E")+SUMIFS(Flat_file!$H:$H,Flat_file!$B:$B,Summary_Employed!$B$2,Flat_file!$C:$C,"Men",Flat_file!$D:$D,"60-64",Flat_file!$E:$E,"244",Flat_file!$F:$F,"E")+SUMIFS(Flat_file!$H:$H,Flat_file!$B:$B,Summary_Employed!$B$2,Flat_file!$C:$C,"Men",Flat_file!$D:$D,"60-64",Flat_file!$E:$E,"253",Flat_file!$F:$F,"E")+SUMIFS(Flat_file!$H:$H,Flat_file!$B:$B,Summary_Employed!$B$2,Flat_file!$C:$C,"Men",Flat_file!$D:$D,"60-64",Flat_file!$E:$E,"254",Flat_file!$F:$F,"E")</f>
        <v>0</v>
      </c>
      <c r="G80" s="89">
        <f>SUMIFS(Flat_file!$H:$H,Flat_file!$B:$B,Summary_Employed!$B$2,Flat_file!$C:$C,"Men",Flat_file!$D:$D,"60-64",Flat_file!$E:$E,"342",Flat_file!$F:$F,"E")+SUMIFS(Flat_file!$H:$H,Flat_file!$B:$B,Summary_Employed!$B$2,Flat_file!$C:$C,"Men",Flat_file!$D:$D,"60-64",Flat_file!$E:$E,"352",Flat_file!$F:$F,"E")</f>
        <v>0</v>
      </c>
      <c r="H80" s="89">
        <f>SUMIFS(Flat_file!$H:$H,Flat_file!$B:$B,Summary_Employed!$B$2,Flat_file!$C:$C,"Men",Flat_file!$D:$D,"60-64",Flat_file!$E:$E,"343",Flat_file!$F:$F,"E")+SUMIFS(Flat_file!$H:$H,Flat_file!$B:$B,Summary_Employed!$B$2,Flat_file!$C:$C,"Men",Flat_file!$D:$D,"60-64",Flat_file!$E:$E,"344",Flat_file!$F:$F,"E")+SUMIFS(Flat_file!$H:$H,Flat_file!$B:$B,Summary_Employed!$B$2,Flat_file!$C:$C,"Men",Flat_file!$D:$D,"60-64",Flat_file!$E:$E,"353",Flat_file!$F:$F,"E")+SUMIFS(Flat_file!$H:$H,Flat_file!$B:$B,Summary_Employed!$B$2,Flat_file!$C:$C,"Men",Flat_file!$D:$D,"60-64",Flat_file!$E:$E,"354",Flat_file!$F:$F,"E")</f>
        <v>0</v>
      </c>
      <c r="I80" s="89">
        <f>SUMIFS(Flat_file!$H:$H,Flat_file!$B:$B,Summary_Employed!$B$2,Flat_file!$C:$C,"Men",Flat_file!$D:$D,"60-64",Flat_file!$E:$E,"443",Flat_file!$F:$F,"E")+SUMIFS(Flat_file!$H:$H,Flat_file!$B:$B,Summary_Employed!$B$2,Flat_file!$C:$C,"Men",Flat_file!$D:$D,"60-64",Flat_file!$E:$E,"444",Flat_file!$F:$F,"E")+SUMIFS(Flat_file!$H:$H,Flat_file!$B:$B,Summary_Employed!$B$2,Flat_file!$C:$C,"Men",Flat_file!$D:$D,"60-64",Flat_file!$E:$E,"453",Flat_file!$F:$F,"E")+SUMIFS(Flat_file!$H:$H,Flat_file!$B:$B,Summary_Employed!$B$2,Flat_file!$C:$C,"Men",Flat_file!$D:$D,"60-64",Flat_file!$E:$E,"454",Flat_file!$F:$F,"E")</f>
        <v>0</v>
      </c>
      <c r="J80" s="89">
        <f>SUMIFS(Flat_file!$H:$H,Flat_file!$B:$B,Summary_Employed!$B$2,Flat_file!$C:$C,"Men",Flat_file!$D:$D,"60-64",Flat_file!$E:$E,"540",Flat_file!$F:$F,"E")+SUMIFS(Flat_file!$H:$H,Flat_file!$B:$B,Summary_Employed!$B$2,Flat_file!$C:$C,"Men",Flat_file!$D:$D,"60-64",Flat_file!$E:$E,"550",Flat_file!$F:$F,"E")+SUMIFS(Flat_file!$H:$H,Flat_file!$B:$B,Summary_Employed!$B$2,Flat_file!$C:$C,"Men",Flat_file!$D:$D,"60-64",Flat_file!$E:$E,"560",Flat_file!$F:$F,"E")</f>
        <v>0</v>
      </c>
      <c r="K80" s="89">
        <f>SUMIFS(Flat_file!$H:$H,Flat_file!$B:$B,Summary_Employed!$B$2,Flat_file!$C:$C,"Men",Flat_file!$D:$D,"60-64",Flat_file!$E:$E,"640",Flat_file!$F:$F,"E")+SUMIFS(Flat_file!$H:$H,Flat_file!$B:$B,Summary_Employed!$B$2,Flat_file!$C:$C,"Men",Flat_file!$D:$D,"60-64",Flat_file!$E:$E,"650",Flat_file!$F:$F,"E")+SUMIFS(Flat_file!$H:$H,Flat_file!$B:$B,Summary_Employed!$B$2,Flat_file!$C:$C,"Men",Flat_file!$D:$D,"60-64",Flat_file!$E:$E,"660",Flat_file!$F:$F,"E")</f>
        <v>0</v>
      </c>
      <c r="L80" s="89">
        <f>SUMIFS(Flat_file!$H:$H,Flat_file!$B:$B,Summary_Employed!$B$2,Flat_file!$C:$C,"Men",Flat_file!$D:$D,"60-64",Flat_file!$E:$E,"740",Flat_file!$F:$F,"E")+SUMIFS(Flat_file!$H:$H,Flat_file!$B:$B,Summary_Employed!$B$2,Flat_file!$C:$C,"Men",Flat_file!$D:$D,"60-64",Flat_file!$E:$E,"750",Flat_file!$F:$F,"E")+SUMIFS(Flat_file!$H:$H,Flat_file!$B:$B,Summary_Employed!$B$2,Flat_file!$C:$C,"Men",Flat_file!$D:$D,"60-64",Flat_file!$E:$E,"760",Flat_file!$F:$F,"E")</f>
        <v>0</v>
      </c>
      <c r="M80" s="89">
        <f>SUMIFS(Flat_file!$H:$H,Flat_file!$B:$B,Summary_Employed!$B$2,Flat_file!$C:$C,"Men",Flat_file!$D:$D,"60-64",Flat_file!$E:$E,"840",Flat_file!$F:$F,"E")+SUMIFS(Flat_file!$H:$H,Flat_file!$B:$B,Summary_Employed!$B$2,Flat_file!$C:$C,"Men",Flat_file!$D:$D,"60-64",Flat_file!$E:$E,"850",Flat_file!$F:$F,"E")+SUMIFS(Flat_file!$H:$H,Flat_file!$B:$B,Summary_Employed!$B$2,Flat_file!$C:$C,"Men",Flat_file!$D:$D,"60-64",Flat_file!$E:$E,"860",Flat_file!$F:$F,"E")</f>
        <v>0</v>
      </c>
      <c r="N80" s="89">
        <f>SUMIFS(Flat_file!$H:$H,Flat_file!$B:$B,Summary_Employed!$B$2,Flat_file!$C:$C,"Men",Flat_file!$D:$D,"60-64",Flat_file!$E:$E,"999",Flat_file!$F:$F,"E")</f>
        <v>0</v>
      </c>
      <c r="O80" s="89">
        <f t="shared" si="63"/>
        <v>0</v>
      </c>
      <c r="P80" s="90"/>
      <c r="Q80" s="89">
        <f t="shared" si="64"/>
        <v>0</v>
      </c>
      <c r="R80" s="91"/>
      <c r="S80" s="89">
        <f t="shared" si="65"/>
        <v>0</v>
      </c>
      <c r="T80" s="89">
        <f t="shared" si="66"/>
        <v>0</v>
      </c>
      <c r="U80" s="89">
        <f t="shared" si="67"/>
        <v>0</v>
      </c>
      <c r="V80" s="90"/>
      <c r="W80" s="89">
        <f>SUMIFS(Flat_file!$H:$H,Flat_file!$B:$B,Summary_Employed!$B$2,Flat_file!$C:$C,"Men",Flat_file!$D:$D,"60-64",Flat_file!$E:$E,"343",Flat_file!$F:$F,"E")+SUMIFS(Flat_file!$H:$H,Flat_file!$B:$B,Summary_Employed!$B$2,Flat_file!$C:$C,"Men",Flat_file!$D:$D,"60-64",Flat_file!$E:$E,"344",Flat_file!$F:$F,"E")+SUMIFS(Flat_file!$H:$H,Flat_file!$B:$B,Summary_Employed!$B$2,Flat_file!$C:$C,"Men",Flat_file!$D:$D,"60-64",Flat_file!$E:$E,"443",Flat_file!$F:$F,"E")+SUMIFS(Flat_file!$H:$H,Flat_file!$B:$B,Summary_Employed!$B$2,Flat_file!$C:$C,"Men",Flat_file!$D:$D,"60-64",Flat_file!$E:$E,"444",Flat_file!$F:$F,"E")</f>
        <v>0</v>
      </c>
      <c r="X80" s="89">
        <f>SUMIFS(Flat_file!$H:$H,Flat_file!$B:$B,Summary_Employed!$B$2,Flat_file!$C:$C,"Men",Flat_file!$D:$D,"60-64",Flat_file!$E:$E,"353",Flat_file!$F:$F,"E")+SUMIFS(Flat_file!$H:$H,Flat_file!$B:$B,Summary_Employed!$B$2,Flat_file!$C:$C,"Men",Flat_file!$D:$D,"60-64",Flat_file!$E:$E,"354",Flat_file!$F:$F,"E")+SUMIFS(Flat_file!$H:$H,Flat_file!$B:$B,Summary_Employed!$B$2,Flat_file!$C:$C,"Men",Flat_file!$D:$D,"60-64",Flat_file!$E:$E,"453",Flat_file!$F:$F,"E")+SUMIFS(Flat_file!$H:$H,Flat_file!$B:$B,Summary_Employed!$B$2,Flat_file!$C:$C,"Men",Flat_file!$D:$D,"60-64",Flat_file!$E:$E,"454",Flat_file!$F:$F,"E")</f>
        <v>0</v>
      </c>
      <c r="Y80" s="90"/>
      <c r="Z80" s="89">
        <f>SUMIFS(Flat_file!$H:$H,Flat_file!$B:$B,Summary_Employed!$B$2,Flat_file!$C:$C,"Men",Flat_file!$D:$D,"60-64",Flat_file!$E:$E,"640",Flat_file!$F:$F,"E")+SUMIFS(Flat_file!$H:$H,Flat_file!$B:$B,Summary_Employed!$B$2,Flat_file!$C:$C,"Men",Flat_file!$D:$D,"60-64",Flat_file!$E:$E,"740",Flat_file!$F:$F,"E")+SUMIFS(Flat_file!$H:$H,Flat_file!$B:$B,Summary_Employed!$B$2,Flat_file!$C:$C,"Men",Flat_file!$D:$D,"60-64",Flat_file!$E:$E,"840",Flat_file!$F:$F,"E")</f>
        <v>0</v>
      </c>
      <c r="AA80" s="89">
        <f>SUMIFS(Flat_file!$H:$H,Flat_file!$B:$B,Summary_Employed!$B$2,Flat_file!$C:$C,"Men",Flat_file!$D:$D,"60-64",Flat_file!$E:$E,"650",Flat_file!$F:$F,"E")+SUMIFS(Flat_file!$H:$H,Flat_file!$B:$B,Summary_Employed!$B$2,Flat_file!$C:$C,"Men",Flat_file!$D:$D,"60-64",Flat_file!$E:$E,"750",Flat_file!$F:$F,"E")+SUMIFS(Flat_file!$H:$H,Flat_file!$B:$B,Summary_Employed!$B$2,Flat_file!$C:$C,"Men",Flat_file!$D:$D,"60-64",Flat_file!$E:$E,"850",Flat_file!$F:$F,"E")</f>
        <v>0</v>
      </c>
      <c r="AB80" s="89">
        <f>SUMIFS(Flat_file!$H:$H,Flat_file!$B:$B,Summary_Employed!$B$2,Flat_file!$C:$C,"Men",Flat_file!$D:$D,"60-64",Flat_file!$E:$E,"660",Flat_file!$F:$F,"E")+SUMIFS(Flat_file!$H:$H,Flat_file!$B:$B,Summary_Employed!$B$2,Flat_file!$C:$C,"Men",Flat_file!$D:$D,"60-64",Flat_file!$E:$E,"760",Flat_file!$F:$F,"E")+SUMIFS(Flat_file!$H:$H,Flat_file!$B:$B,Summary_Employed!$B$2,Flat_file!$C:$C,"Men",Flat_file!$D:$D,"60-64",Flat_file!$E:$E,"860",Flat_file!$F:$F,"E")</f>
        <v>0</v>
      </c>
      <c r="AC80" s="3"/>
      <c r="AD80" s="3"/>
      <c r="AE80" s="3"/>
      <c r="AF80" s="3"/>
      <c r="AG80" s="3"/>
      <c r="AH80" s="3"/>
      <c r="AI80" s="3"/>
      <c r="AJ80" s="3"/>
      <c r="AK80" s="3"/>
    </row>
    <row r="81" spans="1:37" customFormat="1" x14ac:dyDescent="0.2">
      <c r="A81" s="352"/>
      <c r="B81" s="79" t="s">
        <v>258</v>
      </c>
      <c r="C81" s="225">
        <f>SUMIFS(Flat_file!$H:$H,Flat_file!$B:$B,Summary_Employed!$B$2,Flat_file!$C:$C,"Men",Flat_file!$D:$D,"65-69",Flat_file!$E:$E,"010",Flat_file!$F:$F,"E")+SUMIFS(Flat_file!$H:$H,Flat_file!$B:$B,Summary_Employed!$B$2,Flat_file!$C:$C,"Men",Flat_file!$D:$D,"65-69",Flat_file!$E:$E,"020",Flat_file!$F:$F,"E")+SUMIFS(Flat_file!$H:$H,Flat_file!$B:$B,Summary_Employed!$B$2,Flat_file!$C:$C,"Men",Flat_file!$D:$D,"65-69",Flat_file!$E:$E,"030",Flat_file!$F:$F,"E")</f>
        <v>0</v>
      </c>
      <c r="D81" s="225">
        <f>SUMIFS(Flat_file!$H:$H,Flat_file!$B:$B,Summary_Employed!$B$2,Flat_file!$C:$C,"Men",Flat_file!$D:$D,"65-69",Flat_file!$E:$E,"100",Flat_file!$F:$F,"E")</f>
        <v>0</v>
      </c>
      <c r="E81" s="225">
        <f>SUMIFS(Flat_file!$H:$H,Flat_file!$B:$B,Summary_Employed!$B$2,Flat_file!$C:$C,"Men",Flat_file!$D:$D,"65-69",Flat_file!$E:$E,"242",Flat_file!$F:$F,"E")+SUMIFS(Flat_file!$H:$H,Flat_file!$B:$B,Summary_Employed!$B$2,Flat_file!$C:$C,"Men",Flat_file!$D:$D,"65-69",Flat_file!$E:$E,"252",Flat_file!$F:$F,"E")</f>
        <v>0</v>
      </c>
      <c r="F81" s="225">
        <f>SUMIFS(Flat_file!$H:$H,Flat_file!$B:$B,Summary_Employed!$B$2,Flat_file!$C:$C,"Men",Flat_file!$D:$D,"65-69",Flat_file!$E:$E,"243",Flat_file!$F:$F,"E")+SUMIFS(Flat_file!$H:$H,Flat_file!$B:$B,Summary_Employed!$B$2,Flat_file!$C:$C,"Men",Flat_file!$D:$D,"65-69",Flat_file!$E:$E,"244",Flat_file!$F:$F,"E")+SUMIFS(Flat_file!$H:$H,Flat_file!$B:$B,Summary_Employed!$B$2,Flat_file!$C:$C,"Men",Flat_file!$D:$D,"65-69",Flat_file!$E:$E,"253",Flat_file!$F:$F,"E")+SUMIFS(Flat_file!$H:$H,Flat_file!$B:$B,Summary_Employed!$B$2,Flat_file!$C:$C,"Men",Flat_file!$D:$D,"65-69",Flat_file!$E:$E,"254",Flat_file!$F:$F,"E")</f>
        <v>0</v>
      </c>
      <c r="G81" s="225">
        <f>SUMIFS(Flat_file!$H:$H,Flat_file!$B:$B,Summary_Employed!$B$2,Flat_file!$C:$C,"Men",Flat_file!$D:$D,"65-69",Flat_file!$E:$E,"342",Flat_file!$F:$F,"E")+SUMIFS(Flat_file!$H:$H,Flat_file!$B:$B,Summary_Employed!$B$2,Flat_file!$C:$C,"Men",Flat_file!$D:$D,"65-69",Flat_file!$E:$E,"352",Flat_file!$F:$F,"E")</f>
        <v>0</v>
      </c>
      <c r="H81" s="225">
        <f>SUMIFS(Flat_file!$H:$H,Flat_file!$B:$B,Summary_Employed!$B$2,Flat_file!$C:$C,"Men",Flat_file!$D:$D,"65-69",Flat_file!$E:$E,"343",Flat_file!$F:$F,"E")+SUMIFS(Flat_file!$H:$H,Flat_file!$B:$B,Summary_Employed!$B$2,Flat_file!$C:$C,"Men",Flat_file!$D:$D,"65-69",Flat_file!$E:$E,"344",Flat_file!$F:$F,"E")+SUMIFS(Flat_file!$H:$H,Flat_file!$B:$B,Summary_Employed!$B$2,Flat_file!$C:$C,"Men",Flat_file!$D:$D,"65-69",Flat_file!$E:$E,"353",Flat_file!$F:$F,"E")+SUMIFS(Flat_file!$H:$H,Flat_file!$B:$B,Summary_Employed!$B$2,Flat_file!$C:$C,"Men",Flat_file!$D:$D,"65-69",Flat_file!$E:$E,"354",Flat_file!$F:$F,"E")</f>
        <v>0</v>
      </c>
      <c r="I81" s="225">
        <f>SUMIFS(Flat_file!$H:$H,Flat_file!$B:$B,Summary_Employed!$B$2,Flat_file!$C:$C,"Men",Flat_file!$D:$D,"65-69",Flat_file!$E:$E,"443",Flat_file!$F:$F,"E")+SUMIFS(Flat_file!$H:$H,Flat_file!$B:$B,Summary_Employed!$B$2,Flat_file!$C:$C,"Men",Flat_file!$D:$D,"65-69",Flat_file!$E:$E,"444",Flat_file!$F:$F,"E")+SUMIFS(Flat_file!$H:$H,Flat_file!$B:$B,Summary_Employed!$B$2,Flat_file!$C:$C,"Men",Flat_file!$D:$D,"65-69",Flat_file!$E:$E,"453",Flat_file!$F:$F,"E")+SUMIFS(Flat_file!$H:$H,Flat_file!$B:$B,Summary_Employed!$B$2,Flat_file!$C:$C,"Men",Flat_file!$D:$D,"65-69",Flat_file!$E:$E,"454",Flat_file!$F:$F,"E")</f>
        <v>0</v>
      </c>
      <c r="J81" s="225">
        <f>SUMIFS(Flat_file!$H:$H,Flat_file!$B:$B,Summary_Employed!$B$2,Flat_file!$C:$C,"Men",Flat_file!$D:$D,"65-69",Flat_file!$E:$E,"540",Flat_file!$F:$F,"E")+SUMIFS(Flat_file!$H:$H,Flat_file!$B:$B,Summary_Employed!$B$2,Flat_file!$C:$C,"Men",Flat_file!$D:$D,"65-69",Flat_file!$E:$E,"550",Flat_file!$F:$F,"E")+SUMIFS(Flat_file!$H:$H,Flat_file!$B:$B,Summary_Employed!$B$2,Flat_file!$C:$C,"Men",Flat_file!$D:$D,"65-69",Flat_file!$E:$E,"560",Flat_file!$F:$F,"E")</f>
        <v>0</v>
      </c>
      <c r="K81" s="225">
        <f>SUMIFS(Flat_file!$H:$H,Flat_file!$B:$B,Summary_Employed!$B$2,Flat_file!$C:$C,"Men",Flat_file!$D:$D,"65-69",Flat_file!$E:$E,"640",Flat_file!$F:$F,"E")+SUMIFS(Flat_file!$H:$H,Flat_file!$B:$B,Summary_Employed!$B$2,Flat_file!$C:$C,"Men",Flat_file!$D:$D,"65-69",Flat_file!$E:$E,"650",Flat_file!$F:$F,"E")+SUMIFS(Flat_file!$H:$H,Flat_file!$B:$B,Summary_Employed!$B$2,Flat_file!$C:$C,"Men",Flat_file!$D:$D,"65-69",Flat_file!$E:$E,"660",Flat_file!$F:$F,"E")</f>
        <v>0</v>
      </c>
      <c r="L81" s="225">
        <f>SUMIFS(Flat_file!$H:$H,Flat_file!$B:$B,Summary_Employed!$B$2,Flat_file!$C:$C,"Men",Flat_file!$D:$D,"65-69",Flat_file!$E:$E,"740",Flat_file!$F:$F,"E")+SUMIFS(Flat_file!$H:$H,Flat_file!$B:$B,Summary_Employed!$B$2,Flat_file!$C:$C,"Men",Flat_file!$D:$D,"65-69",Flat_file!$E:$E,"750",Flat_file!$F:$F,"E")+SUMIFS(Flat_file!$H:$H,Flat_file!$B:$B,Summary_Employed!$B$2,Flat_file!$C:$C,"Men",Flat_file!$D:$D,"65-69",Flat_file!$E:$E,"760",Flat_file!$F:$F,"E")</f>
        <v>0</v>
      </c>
      <c r="M81" s="225">
        <f>SUMIFS(Flat_file!$H:$H,Flat_file!$B:$B,Summary_Employed!$B$2,Flat_file!$C:$C,"Men",Flat_file!$D:$D,"65-69",Flat_file!$E:$E,"840",Flat_file!$F:$F,"E")+SUMIFS(Flat_file!$H:$H,Flat_file!$B:$B,Summary_Employed!$B$2,Flat_file!$C:$C,"Men",Flat_file!$D:$D,"65-69",Flat_file!$E:$E,"850",Flat_file!$F:$F,"E")+SUMIFS(Flat_file!$H:$H,Flat_file!$B:$B,Summary_Employed!$B$2,Flat_file!$C:$C,"Men",Flat_file!$D:$D,"65-69",Flat_file!$E:$E,"860",Flat_file!$F:$F,"E")</f>
        <v>0</v>
      </c>
      <c r="N81" s="225">
        <f>SUMIFS(Flat_file!$H:$H,Flat_file!$B:$B,Summary_Employed!$B$2,Flat_file!$C:$C,"Men",Flat_file!$D:$D,"65-69",Flat_file!$E:$E,"999",Flat_file!$F:$F,"E")</f>
        <v>0</v>
      </c>
      <c r="O81" s="225">
        <f t="shared" si="63"/>
        <v>0</v>
      </c>
      <c r="P81" s="90"/>
      <c r="Q81" s="225">
        <f t="shared" si="64"/>
        <v>0</v>
      </c>
      <c r="R81" s="91"/>
      <c r="S81" s="89">
        <f t="shared" si="65"/>
        <v>0</v>
      </c>
      <c r="T81" s="89">
        <f t="shared" si="66"/>
        <v>0</v>
      </c>
      <c r="U81" s="89">
        <f t="shared" si="67"/>
        <v>0</v>
      </c>
      <c r="V81" s="90"/>
      <c r="W81" s="225">
        <f>SUMIFS(Flat_file!$H:$H,Flat_file!$B:$B,Summary_Employed!$B$2,Flat_file!$C:$C,"Men",Flat_file!$D:$D,"65-69",Flat_file!$E:$E,"343",Flat_file!$F:$F,"E")+SUMIFS(Flat_file!$H:$H,Flat_file!$B:$B,Summary_Employed!$B$2,Flat_file!$C:$C,"Men",Flat_file!$D:$D,"65-69",Flat_file!$E:$E,"344",Flat_file!$F:$F,"E")+SUMIFS(Flat_file!$H:$H,Flat_file!$B:$B,Summary_Employed!$B$2,Flat_file!$C:$C,"Men",Flat_file!$D:$D,"65-69",Flat_file!$E:$E,"443",Flat_file!$F:$F,"E")+SUMIFS(Flat_file!$H:$H,Flat_file!$B:$B,Summary_Employed!$B$2,Flat_file!$C:$C,"Men",Flat_file!$D:$D,"65-69",Flat_file!$E:$E,"444",Flat_file!$F:$F,"E")</f>
        <v>0</v>
      </c>
      <c r="X81" s="225">
        <f>SUMIFS(Flat_file!$H:$H,Flat_file!$B:$B,Summary_Employed!$B$2,Flat_file!$C:$C,"Men",Flat_file!$D:$D,"65-69",Flat_file!$E:$E,"353",Flat_file!$F:$F,"E")+SUMIFS(Flat_file!$H:$H,Flat_file!$B:$B,Summary_Employed!$B$2,Flat_file!$C:$C,"Men",Flat_file!$D:$D,"65-69",Flat_file!$E:$E,"354",Flat_file!$F:$F,"E")+SUMIFS(Flat_file!$H:$H,Flat_file!$B:$B,Summary_Employed!$B$2,Flat_file!$C:$C,"Men",Flat_file!$D:$D,"65-69",Flat_file!$E:$E,"453",Flat_file!$F:$F,"E")+SUMIFS(Flat_file!$H:$H,Flat_file!$B:$B,Summary_Employed!$B$2,Flat_file!$C:$C,"Men",Flat_file!$D:$D,"65-69",Flat_file!$E:$E,"454",Flat_file!$F:$F,"E")</f>
        <v>0</v>
      </c>
      <c r="Y81" s="90"/>
      <c r="Z81" s="225">
        <f>SUMIFS(Flat_file!$H:$H,Flat_file!$B:$B,Summary_Employed!$B$2,Flat_file!$C:$C,"Men",Flat_file!$D:$D,"65-69",Flat_file!$E:$E,"640",Flat_file!$F:$F,"E")+SUMIFS(Flat_file!$H:$H,Flat_file!$B:$B,Summary_Employed!$B$2,Flat_file!$C:$C,"Men",Flat_file!$D:$D,"65-69",Flat_file!$E:$E,"740",Flat_file!$F:$F,"E")+SUMIFS(Flat_file!$H:$H,Flat_file!$B:$B,Summary_Employed!$B$2,Flat_file!$C:$C,"Men",Flat_file!$D:$D,"65-69",Flat_file!$E:$E,"840",Flat_file!$F:$F,"E")</f>
        <v>0</v>
      </c>
      <c r="AA81" s="225">
        <f>SUMIFS(Flat_file!$H:$H,Flat_file!$B:$B,Summary_Employed!$B$2,Flat_file!$C:$C,"Men",Flat_file!$D:$D,"65-69",Flat_file!$E:$E,"650",Flat_file!$F:$F,"E")+SUMIFS(Flat_file!$H:$H,Flat_file!$B:$B,Summary_Employed!$B$2,Flat_file!$C:$C,"Men",Flat_file!$D:$D,"65-69",Flat_file!$E:$E,"750",Flat_file!$F:$F,"E")+SUMIFS(Flat_file!$H:$H,Flat_file!$B:$B,Summary_Employed!$B$2,Flat_file!$C:$C,"Men",Flat_file!$D:$D,"65-69",Flat_file!$E:$E,"850",Flat_file!$F:$F,"E")</f>
        <v>0</v>
      </c>
      <c r="AB81" s="225">
        <f>SUMIFS(Flat_file!$H:$H,Flat_file!$B:$B,Summary_Employed!$B$2,Flat_file!$C:$C,"Men",Flat_file!$D:$D,"65-69",Flat_file!$E:$E,"660",Flat_file!$F:$F,"E")+SUMIFS(Flat_file!$H:$H,Flat_file!$B:$B,Summary_Employed!$B$2,Flat_file!$C:$C,"Men",Flat_file!$D:$D,"65-69",Flat_file!$E:$E,"760",Flat_file!$F:$F,"E")+SUMIFS(Flat_file!$H:$H,Flat_file!$B:$B,Summary_Employed!$B$2,Flat_file!$C:$C,"Men",Flat_file!$D:$D,"65-69",Flat_file!$E:$E,"860",Flat_file!$F:$F,"E")</f>
        <v>0</v>
      </c>
      <c r="AC81" s="3"/>
      <c r="AD81" s="3"/>
      <c r="AE81" s="3"/>
      <c r="AF81" s="3"/>
      <c r="AG81" s="3"/>
      <c r="AH81" s="3"/>
      <c r="AI81" s="3"/>
      <c r="AJ81" s="3"/>
      <c r="AK81" s="3"/>
    </row>
    <row r="82" spans="1:37" customFormat="1" x14ac:dyDescent="0.2">
      <c r="A82" s="352"/>
      <c r="B82" s="79" t="s">
        <v>260</v>
      </c>
      <c r="C82" s="225">
        <f>SUMIFS(Flat_file!$H:$H,Flat_file!$B:$B,Summary_Employed!$B$2,Flat_file!$C:$C,"Men",Flat_file!$D:$D,"70-74",Flat_file!$E:$E,"010",Flat_file!$F:$F,"E")+SUMIFS(Flat_file!$H:$H,Flat_file!$B:$B,Summary_Employed!$B$2,Flat_file!$C:$C,"Men",Flat_file!$D:$D,"70-74",Flat_file!$E:$E,"020",Flat_file!$F:$F,"E")+SUMIFS(Flat_file!$H:$H,Flat_file!$B:$B,Summary_Employed!$B$2,Flat_file!$C:$C,"Men",Flat_file!$D:$D,"70-74",Flat_file!$E:$E,"030",Flat_file!$F:$F,"E")</f>
        <v>0</v>
      </c>
      <c r="D82" s="225">
        <f>SUMIFS(Flat_file!$H:$H,Flat_file!$B:$B,Summary_Employed!$B$2,Flat_file!$C:$C,"Men",Flat_file!$D:$D,"70-74",Flat_file!$E:$E,"100",Flat_file!$F:$F,"E")</f>
        <v>0</v>
      </c>
      <c r="E82" s="225">
        <f>SUMIFS(Flat_file!$H:$H,Flat_file!$B:$B,Summary_Employed!$B$2,Flat_file!$C:$C,"Men",Flat_file!$D:$D,"70-74",Flat_file!$E:$E,"242",Flat_file!$F:$F,"E")+SUMIFS(Flat_file!$H:$H,Flat_file!$B:$B,Summary_Employed!$B$2,Flat_file!$C:$C,"Men",Flat_file!$D:$D,"70-74",Flat_file!$E:$E,"252",Flat_file!$F:$F,"E")</f>
        <v>0</v>
      </c>
      <c r="F82" s="225">
        <f>SUMIFS(Flat_file!$H:$H,Flat_file!$B:$B,Summary_Employed!$B$2,Flat_file!$C:$C,"Men",Flat_file!$D:$D,"70-74",Flat_file!$E:$E,"243",Flat_file!$F:$F,"E")+SUMIFS(Flat_file!$H:$H,Flat_file!$B:$B,Summary_Employed!$B$2,Flat_file!$C:$C,"Men",Flat_file!$D:$D,"70-74",Flat_file!$E:$E,"244",Flat_file!$F:$F,"E")+SUMIFS(Flat_file!$H:$H,Flat_file!$B:$B,Summary_Employed!$B$2,Flat_file!$C:$C,"Men",Flat_file!$D:$D,"70-74",Flat_file!$E:$E,"253",Flat_file!$F:$F,"E")+SUMIFS(Flat_file!$H:$H,Flat_file!$B:$B,Summary_Employed!$B$2,Flat_file!$C:$C,"Men",Flat_file!$D:$D,"70-74",Flat_file!$E:$E,"254",Flat_file!$F:$F,"E")</f>
        <v>0</v>
      </c>
      <c r="G82" s="225">
        <f>SUMIFS(Flat_file!$H:$H,Flat_file!$B:$B,Summary_Employed!$B$2,Flat_file!$C:$C,"Men",Flat_file!$D:$D,"70-74",Flat_file!$E:$E,"342",Flat_file!$F:$F,"E")+SUMIFS(Flat_file!$H:$H,Flat_file!$B:$B,Summary_Employed!$B$2,Flat_file!$C:$C,"Men",Flat_file!$D:$D,"70-74",Flat_file!$E:$E,"352",Flat_file!$F:$F,"E")</f>
        <v>0</v>
      </c>
      <c r="H82" s="225">
        <f>SUMIFS(Flat_file!$H:$H,Flat_file!$B:$B,Summary_Employed!$B$2,Flat_file!$C:$C,"Men",Flat_file!$D:$D,"70-74",Flat_file!$E:$E,"343",Flat_file!$F:$F,"E")+SUMIFS(Flat_file!$H:$H,Flat_file!$B:$B,Summary_Employed!$B$2,Flat_file!$C:$C,"Men",Flat_file!$D:$D,"70-74",Flat_file!$E:$E,"344",Flat_file!$F:$F,"E")+SUMIFS(Flat_file!$H:$H,Flat_file!$B:$B,Summary_Employed!$B$2,Flat_file!$C:$C,"Men",Flat_file!$D:$D,"70-74",Flat_file!$E:$E,"353",Flat_file!$F:$F,"E")+SUMIFS(Flat_file!$H:$H,Flat_file!$B:$B,Summary_Employed!$B$2,Flat_file!$C:$C,"Men",Flat_file!$D:$D,"70-74",Flat_file!$E:$E,"354",Flat_file!$F:$F,"E")</f>
        <v>0</v>
      </c>
      <c r="I82" s="225">
        <f>SUMIFS(Flat_file!$H:$H,Flat_file!$B:$B,Summary_Employed!$B$2,Flat_file!$C:$C,"Men",Flat_file!$D:$D,"70-74",Flat_file!$E:$E,"443",Flat_file!$F:$F,"E")+SUMIFS(Flat_file!$H:$H,Flat_file!$B:$B,Summary_Employed!$B$2,Flat_file!$C:$C,"Men",Flat_file!$D:$D,"70-74",Flat_file!$E:$E,"444",Flat_file!$F:$F,"E")+SUMIFS(Flat_file!$H:$H,Flat_file!$B:$B,Summary_Employed!$B$2,Flat_file!$C:$C,"Men",Flat_file!$D:$D,"70-74",Flat_file!$E:$E,"453",Flat_file!$F:$F,"E")+SUMIFS(Flat_file!$H:$H,Flat_file!$B:$B,Summary_Employed!$B$2,Flat_file!$C:$C,"Men",Flat_file!$D:$D,"70-74",Flat_file!$E:$E,"454",Flat_file!$F:$F,"E")</f>
        <v>0</v>
      </c>
      <c r="J82" s="225">
        <f>SUMIFS(Flat_file!$H:$H,Flat_file!$B:$B,Summary_Employed!$B$2,Flat_file!$C:$C,"Men",Flat_file!$D:$D,"70-74",Flat_file!$E:$E,"540",Flat_file!$F:$F,"E")+SUMIFS(Flat_file!$H:$H,Flat_file!$B:$B,Summary_Employed!$B$2,Flat_file!$C:$C,"Men",Flat_file!$D:$D,"70-74",Flat_file!$E:$E,"550",Flat_file!$F:$F,"E")+SUMIFS(Flat_file!$H:$H,Flat_file!$B:$B,Summary_Employed!$B$2,Flat_file!$C:$C,"Men",Flat_file!$D:$D,"70-74",Flat_file!$E:$E,"560",Flat_file!$F:$F,"E")</f>
        <v>0</v>
      </c>
      <c r="K82" s="225">
        <f>SUMIFS(Flat_file!$H:$H,Flat_file!$B:$B,Summary_Employed!$B$2,Flat_file!$C:$C,"Men",Flat_file!$D:$D,"70-74",Flat_file!$E:$E,"640",Flat_file!$F:$F,"E")+SUMIFS(Flat_file!$H:$H,Flat_file!$B:$B,Summary_Employed!$B$2,Flat_file!$C:$C,"Men",Flat_file!$D:$D,"70-74",Flat_file!$E:$E,"650",Flat_file!$F:$F,"E")+SUMIFS(Flat_file!$H:$H,Flat_file!$B:$B,Summary_Employed!$B$2,Flat_file!$C:$C,"Men",Flat_file!$D:$D,"70-74",Flat_file!$E:$E,"660",Flat_file!$F:$F,"E")</f>
        <v>0</v>
      </c>
      <c r="L82" s="225">
        <f>SUMIFS(Flat_file!$H:$H,Flat_file!$B:$B,Summary_Employed!$B$2,Flat_file!$C:$C,"Men",Flat_file!$D:$D,"70-74",Flat_file!$E:$E,"740",Flat_file!$F:$F,"E")+SUMIFS(Flat_file!$H:$H,Flat_file!$B:$B,Summary_Employed!$B$2,Flat_file!$C:$C,"Men",Flat_file!$D:$D,"70-74",Flat_file!$E:$E,"750",Flat_file!$F:$F,"E")+SUMIFS(Flat_file!$H:$H,Flat_file!$B:$B,Summary_Employed!$B$2,Flat_file!$C:$C,"Men",Flat_file!$D:$D,"70-74",Flat_file!$E:$E,"760",Flat_file!$F:$F,"E")</f>
        <v>0</v>
      </c>
      <c r="M82" s="225">
        <f>SUMIFS(Flat_file!$H:$H,Flat_file!$B:$B,Summary_Employed!$B$2,Flat_file!$C:$C,"Men",Flat_file!$D:$D,"70-74",Flat_file!$E:$E,"840",Flat_file!$F:$F,"E")+SUMIFS(Flat_file!$H:$H,Flat_file!$B:$B,Summary_Employed!$B$2,Flat_file!$C:$C,"Men",Flat_file!$D:$D,"70-74",Flat_file!$E:$E,"850",Flat_file!$F:$F,"E")+SUMIFS(Flat_file!$H:$H,Flat_file!$B:$B,Summary_Employed!$B$2,Flat_file!$C:$C,"Men",Flat_file!$D:$D,"70-74",Flat_file!$E:$E,"860",Flat_file!$F:$F,"E")</f>
        <v>0</v>
      </c>
      <c r="N82" s="225">
        <f>SUMIFS(Flat_file!$H:$H,Flat_file!$B:$B,Summary_Employed!$B$2,Flat_file!$C:$C,"Men",Flat_file!$D:$D,"70-74",Flat_file!$E:$E,"999",Flat_file!$F:$F,"E")</f>
        <v>0</v>
      </c>
      <c r="O82" s="225">
        <f t="shared" si="63"/>
        <v>0</v>
      </c>
      <c r="P82" s="90"/>
      <c r="Q82" s="225">
        <f t="shared" si="64"/>
        <v>0</v>
      </c>
      <c r="R82" s="91"/>
      <c r="S82" s="89">
        <f t="shared" si="65"/>
        <v>0</v>
      </c>
      <c r="T82" s="89">
        <f t="shared" si="66"/>
        <v>0</v>
      </c>
      <c r="U82" s="89">
        <f t="shared" si="67"/>
        <v>0</v>
      </c>
      <c r="V82" s="90"/>
      <c r="W82" s="225">
        <f>SUMIFS(Flat_file!$H:$H,Flat_file!$B:$B,Summary_Employed!$B$2,Flat_file!$C:$C,"Men",Flat_file!$D:$D,"70-74",Flat_file!$E:$E,"343",Flat_file!$F:$F,"E")+SUMIFS(Flat_file!$H:$H,Flat_file!$B:$B,Summary_Employed!$B$2,Flat_file!$C:$C,"Men",Flat_file!$D:$D,"70-74",Flat_file!$E:$E,"344",Flat_file!$F:$F,"E")+SUMIFS(Flat_file!$H:$H,Flat_file!$B:$B,Summary_Employed!$B$2,Flat_file!$C:$C,"Men",Flat_file!$D:$D,"70-74",Flat_file!$E:$E,"443",Flat_file!$F:$F,"E")+SUMIFS(Flat_file!$H:$H,Flat_file!$B:$B,Summary_Employed!$B$2,Flat_file!$C:$C,"Men",Flat_file!$D:$D,"70-74",Flat_file!$E:$E,"444",Flat_file!$F:$F,"E")</f>
        <v>0</v>
      </c>
      <c r="X82" s="225">
        <f>SUMIFS(Flat_file!$H:$H,Flat_file!$B:$B,Summary_Employed!$B$2,Flat_file!$C:$C,"Men",Flat_file!$D:$D,"70-74",Flat_file!$E:$E,"353",Flat_file!$F:$F,"E")+SUMIFS(Flat_file!$H:$H,Flat_file!$B:$B,Summary_Employed!$B$2,Flat_file!$C:$C,"Men",Flat_file!$D:$D,"70-74",Flat_file!$E:$E,"354",Flat_file!$F:$F,"E")+SUMIFS(Flat_file!$H:$H,Flat_file!$B:$B,Summary_Employed!$B$2,Flat_file!$C:$C,"Men",Flat_file!$D:$D,"70-74",Flat_file!$E:$E,"453",Flat_file!$F:$F,"E")+SUMIFS(Flat_file!$H:$H,Flat_file!$B:$B,Summary_Employed!$B$2,Flat_file!$C:$C,"Men",Flat_file!$D:$D,"70-74",Flat_file!$E:$E,"454",Flat_file!$F:$F,"E")</f>
        <v>0</v>
      </c>
      <c r="Y82" s="90"/>
      <c r="Z82" s="225">
        <f>SUMIFS(Flat_file!$H:$H,Flat_file!$B:$B,Summary_Employed!$B$2,Flat_file!$C:$C,"Men",Flat_file!$D:$D,"70-74",Flat_file!$E:$E,"640",Flat_file!$F:$F,"E")+SUMIFS(Flat_file!$H:$H,Flat_file!$B:$B,Summary_Employed!$B$2,Flat_file!$C:$C,"Men",Flat_file!$D:$D,"70-74",Flat_file!$E:$E,"740",Flat_file!$F:$F,"E")+SUMIFS(Flat_file!$H:$H,Flat_file!$B:$B,Summary_Employed!$B$2,Flat_file!$C:$C,"Men",Flat_file!$D:$D,"70-74",Flat_file!$E:$E,"840",Flat_file!$F:$F,"E")</f>
        <v>0</v>
      </c>
      <c r="AA82" s="225">
        <f>SUMIFS(Flat_file!$H:$H,Flat_file!$B:$B,Summary_Employed!$B$2,Flat_file!$C:$C,"Men",Flat_file!$D:$D,"70-74",Flat_file!$E:$E,"650",Flat_file!$F:$F,"E")+SUMIFS(Flat_file!$H:$H,Flat_file!$B:$B,Summary_Employed!$B$2,Flat_file!$C:$C,"Men",Flat_file!$D:$D,"70-74",Flat_file!$E:$E,"750",Flat_file!$F:$F,"E")+SUMIFS(Flat_file!$H:$H,Flat_file!$B:$B,Summary_Employed!$B$2,Flat_file!$C:$C,"Men",Flat_file!$D:$D,"70-74",Flat_file!$E:$E,"850",Flat_file!$F:$F,"E")</f>
        <v>0</v>
      </c>
      <c r="AB82" s="225">
        <f>SUMIFS(Flat_file!$H:$H,Flat_file!$B:$B,Summary_Employed!$B$2,Flat_file!$C:$C,"Men",Flat_file!$D:$D,"70-74",Flat_file!$E:$E,"660",Flat_file!$F:$F,"E")+SUMIFS(Flat_file!$H:$H,Flat_file!$B:$B,Summary_Employed!$B$2,Flat_file!$C:$C,"Men",Flat_file!$D:$D,"70-74",Flat_file!$E:$E,"760",Flat_file!$F:$F,"E")+SUMIFS(Flat_file!$H:$H,Flat_file!$B:$B,Summary_Employed!$B$2,Flat_file!$C:$C,"Men",Flat_file!$D:$D,"70-74",Flat_file!$E:$E,"860",Flat_file!$F:$F,"E")</f>
        <v>0</v>
      </c>
      <c r="AC82" s="3"/>
      <c r="AD82" s="3"/>
      <c r="AE82" s="3"/>
      <c r="AF82" s="3"/>
      <c r="AG82" s="3"/>
      <c r="AH82" s="3"/>
      <c r="AI82" s="3"/>
      <c r="AJ82" s="3"/>
      <c r="AK82" s="3"/>
    </row>
    <row r="83" spans="1:37" customFormat="1" ht="13.5" thickBot="1" x14ac:dyDescent="0.25">
      <c r="A83" s="352"/>
      <c r="B83" s="79" t="s">
        <v>261</v>
      </c>
      <c r="C83" s="225">
        <f>SUMIFS(Flat_file!$H:$H,Flat_file!$B:$B,Summary_Employed!$B$2,Flat_file!$C:$C,"Men",Flat_file!$D:$D,"75+",Flat_file!$E:$E,"010",Flat_file!$F:$F,"E")+SUMIFS(Flat_file!$H:$H,Flat_file!$B:$B,Summary_Employed!$B$2,Flat_file!$C:$C,"Men",Flat_file!$D:$D,"75+",Flat_file!$E:$E,"020",Flat_file!$F:$F,"E")+SUMIFS(Flat_file!$H:$H,Flat_file!$B:$B,Summary_Employed!$B$2,Flat_file!$C:$C,"Men",Flat_file!$D:$D,"75+",Flat_file!$E:$E,"030",Flat_file!$F:$F,"E")</f>
        <v>0</v>
      </c>
      <c r="D83" s="225">
        <f>SUMIFS(Flat_file!$H:$H,Flat_file!$B:$B,Summary_Employed!$B$2,Flat_file!$C:$C,"Men",Flat_file!$D:$D,"75+",Flat_file!$E:$E,"100",Flat_file!$F:$F,"E")</f>
        <v>0</v>
      </c>
      <c r="E83" s="225">
        <f>SUMIFS(Flat_file!$H:$H,Flat_file!$B:$B,Summary_Employed!$B$2,Flat_file!$C:$C,"Men",Flat_file!$D:$D,"75+",Flat_file!$E:$E,"242",Flat_file!$F:$F,"E")+SUMIFS(Flat_file!$H:$H,Flat_file!$B:$B,Summary_Employed!$B$2,Flat_file!$C:$C,"Men",Flat_file!$D:$D,"75+",Flat_file!$E:$E,"252",Flat_file!$F:$F,"E")</f>
        <v>0</v>
      </c>
      <c r="F83" s="225">
        <f>SUMIFS(Flat_file!$H:$H,Flat_file!$B:$B,Summary_Employed!$B$2,Flat_file!$C:$C,"Men",Flat_file!$D:$D,"75+",Flat_file!$E:$E,"243",Flat_file!$F:$F,"E")+SUMIFS(Flat_file!$H:$H,Flat_file!$B:$B,Summary_Employed!$B$2,Flat_file!$C:$C,"Men",Flat_file!$D:$D,"75+",Flat_file!$E:$E,"244",Flat_file!$F:$F,"E")+SUMIFS(Flat_file!$H:$H,Flat_file!$B:$B,Summary_Employed!$B$2,Flat_file!$C:$C,"Men",Flat_file!$D:$D,"75+",Flat_file!$E:$E,"253",Flat_file!$F:$F,"E")+SUMIFS(Flat_file!$H:$H,Flat_file!$B:$B,Summary_Employed!$B$2,Flat_file!$C:$C,"Men",Flat_file!$D:$D,"75+",Flat_file!$E:$E,"254",Flat_file!$F:$F,"E")</f>
        <v>0</v>
      </c>
      <c r="G83" s="225">
        <f>SUMIFS(Flat_file!$H:$H,Flat_file!$B:$B,Summary_Employed!$B$2,Flat_file!$C:$C,"Men",Flat_file!$D:$D,"75+",Flat_file!$E:$E,"342",Flat_file!$F:$F,"E")+SUMIFS(Flat_file!$H:$H,Flat_file!$B:$B,Summary_Employed!$B$2,Flat_file!$C:$C,"Men",Flat_file!$D:$D,"75+",Flat_file!$E:$E,"352",Flat_file!$F:$F,"E")</f>
        <v>0</v>
      </c>
      <c r="H83" s="225">
        <f>SUMIFS(Flat_file!$H:$H,Flat_file!$B:$B,Summary_Employed!$B$2,Flat_file!$C:$C,"Men",Flat_file!$D:$D,"75+",Flat_file!$E:$E,"343",Flat_file!$F:$F,"E")+SUMIFS(Flat_file!$H:$H,Flat_file!$B:$B,Summary_Employed!$B$2,Flat_file!$C:$C,"Men",Flat_file!$D:$D,"75+",Flat_file!$E:$E,"344",Flat_file!$F:$F,"E")+SUMIFS(Flat_file!$H:$H,Flat_file!$B:$B,Summary_Employed!$B$2,Flat_file!$C:$C,"Men",Flat_file!$D:$D,"75+",Flat_file!$E:$E,"353",Flat_file!$F:$F,"E")+SUMIFS(Flat_file!$H:$H,Flat_file!$B:$B,Summary_Employed!$B$2,Flat_file!$C:$C,"Men",Flat_file!$D:$D,"75+",Flat_file!$E:$E,"354",Flat_file!$F:$F,"E")</f>
        <v>0</v>
      </c>
      <c r="I83" s="225">
        <f>SUMIFS(Flat_file!$H:$H,Flat_file!$B:$B,Summary_Employed!$B$2,Flat_file!$C:$C,"Men",Flat_file!$D:$D,"75+",Flat_file!$E:$E,"443",Flat_file!$F:$F,"E")+SUMIFS(Flat_file!$H:$H,Flat_file!$B:$B,Summary_Employed!$B$2,Flat_file!$C:$C,"Men",Flat_file!$D:$D,"75+",Flat_file!$E:$E,"444",Flat_file!$F:$F,"E")+SUMIFS(Flat_file!$H:$H,Flat_file!$B:$B,Summary_Employed!$B$2,Flat_file!$C:$C,"Men",Flat_file!$D:$D,"75+",Flat_file!$E:$E,"453",Flat_file!$F:$F,"E")+SUMIFS(Flat_file!$H:$H,Flat_file!$B:$B,Summary_Employed!$B$2,Flat_file!$C:$C,"Men",Flat_file!$D:$D,"75+",Flat_file!$E:$E,"454",Flat_file!$F:$F,"E")</f>
        <v>0</v>
      </c>
      <c r="J83" s="225">
        <f>SUMIFS(Flat_file!$H:$H,Flat_file!$B:$B,Summary_Employed!$B$2,Flat_file!$C:$C,"Men",Flat_file!$D:$D,"75+",Flat_file!$E:$E,"540",Flat_file!$F:$F,"E")+SUMIFS(Flat_file!$H:$H,Flat_file!$B:$B,Summary_Employed!$B$2,Flat_file!$C:$C,"Men",Flat_file!$D:$D,"75+",Flat_file!$E:$E,"550",Flat_file!$F:$F,"E")+SUMIFS(Flat_file!$H:$H,Flat_file!$B:$B,Summary_Employed!$B$2,Flat_file!$C:$C,"Men",Flat_file!$D:$D,"75+",Flat_file!$E:$E,"560",Flat_file!$F:$F,"E")</f>
        <v>0</v>
      </c>
      <c r="K83" s="225">
        <f>SUMIFS(Flat_file!$H:$H,Flat_file!$B:$B,Summary_Employed!$B$2,Flat_file!$C:$C,"Men",Flat_file!$D:$D,"75+",Flat_file!$E:$E,"640",Flat_file!$F:$F,"E")+SUMIFS(Flat_file!$H:$H,Flat_file!$B:$B,Summary_Employed!$B$2,Flat_file!$C:$C,"Men",Flat_file!$D:$D,"75+",Flat_file!$E:$E,"650",Flat_file!$F:$F,"E")+SUMIFS(Flat_file!$H:$H,Flat_file!$B:$B,Summary_Employed!$B$2,Flat_file!$C:$C,"Men",Flat_file!$D:$D,"75+",Flat_file!$E:$E,"660",Flat_file!$F:$F,"E")</f>
        <v>0</v>
      </c>
      <c r="L83" s="225">
        <f>SUMIFS(Flat_file!$H:$H,Flat_file!$B:$B,Summary_Employed!$B$2,Flat_file!$C:$C,"Men",Flat_file!$D:$D,"75+",Flat_file!$E:$E,"740",Flat_file!$F:$F,"E")+SUMIFS(Flat_file!$H:$H,Flat_file!$B:$B,Summary_Employed!$B$2,Flat_file!$C:$C,"Men",Flat_file!$D:$D,"75+",Flat_file!$E:$E,"750",Flat_file!$F:$F,"E")+SUMIFS(Flat_file!$H:$H,Flat_file!$B:$B,Summary_Employed!$B$2,Flat_file!$C:$C,"Men",Flat_file!$D:$D,"75+",Flat_file!$E:$E,"760",Flat_file!$F:$F,"E")</f>
        <v>0</v>
      </c>
      <c r="M83" s="225">
        <f>SUMIFS(Flat_file!$H:$H,Flat_file!$B:$B,Summary_Employed!$B$2,Flat_file!$C:$C,"Men",Flat_file!$D:$D,"75+",Flat_file!$E:$E,"840",Flat_file!$F:$F,"E")+SUMIFS(Flat_file!$H:$H,Flat_file!$B:$B,Summary_Employed!$B$2,Flat_file!$C:$C,"Men",Flat_file!$D:$D,"75+",Flat_file!$E:$E,"850",Flat_file!$F:$F,"E")+SUMIFS(Flat_file!$H:$H,Flat_file!$B:$B,Summary_Employed!$B$2,Flat_file!$C:$C,"Men",Flat_file!$D:$D,"75+",Flat_file!$E:$E,"860",Flat_file!$F:$F,"E")</f>
        <v>0</v>
      </c>
      <c r="N83" s="225">
        <f>SUMIFS(Flat_file!$H:$H,Flat_file!$B:$B,Summary_Employed!$B$2,Flat_file!$C:$C,"Men",Flat_file!$D:$D,"75+",Flat_file!$E:$E,"999",Flat_file!$F:$F,"E")</f>
        <v>0</v>
      </c>
      <c r="O83" s="225">
        <f t="shared" si="63"/>
        <v>0</v>
      </c>
      <c r="P83" s="90"/>
      <c r="Q83" s="225">
        <f t="shared" si="64"/>
        <v>0</v>
      </c>
      <c r="R83" s="91"/>
      <c r="S83" s="89">
        <f t="shared" si="65"/>
        <v>0</v>
      </c>
      <c r="T83" s="89">
        <f t="shared" si="66"/>
        <v>0</v>
      </c>
      <c r="U83" s="89">
        <f t="shared" si="67"/>
        <v>0</v>
      </c>
      <c r="V83" s="90"/>
      <c r="W83" s="225">
        <f>SUMIFS(Flat_file!$H:$H,Flat_file!$B:$B,Summary_Employed!$B$2,Flat_file!$C:$C,"Men",Flat_file!$D:$D,"75+",Flat_file!$E:$E,"343",Flat_file!$F:$F,"E")+SUMIFS(Flat_file!$H:$H,Flat_file!$B:$B,Summary_Employed!$B$2,Flat_file!$C:$C,"Men",Flat_file!$D:$D,"75+",Flat_file!$E:$E,"344",Flat_file!$F:$F,"E")+SUMIFS(Flat_file!$H:$H,Flat_file!$B:$B,Summary_Employed!$B$2,Flat_file!$C:$C,"Men",Flat_file!$D:$D,"75+",Flat_file!$E:$E,"443",Flat_file!$F:$F,"E")+SUMIFS(Flat_file!$H:$H,Flat_file!$B:$B,Summary_Employed!$B$2,Flat_file!$C:$C,"Men",Flat_file!$D:$D,"75+",Flat_file!$E:$E,"444",Flat_file!$F:$F,"E")</f>
        <v>0</v>
      </c>
      <c r="X83" s="225">
        <f>SUMIFS(Flat_file!$H:$H,Flat_file!$B:$B,Summary_Employed!$B$2,Flat_file!$C:$C,"Men",Flat_file!$D:$D,"75+",Flat_file!$E:$E,"353",Flat_file!$F:$F,"E")+SUMIFS(Flat_file!$H:$H,Flat_file!$B:$B,Summary_Employed!$B$2,Flat_file!$C:$C,"Men",Flat_file!$D:$D,"75+",Flat_file!$E:$E,"354",Flat_file!$F:$F,"E")+SUMIFS(Flat_file!$H:$H,Flat_file!$B:$B,Summary_Employed!$B$2,Flat_file!$C:$C,"Men",Flat_file!$D:$D,"75+",Flat_file!$E:$E,"453",Flat_file!$F:$F,"E")+SUMIFS(Flat_file!$H:$H,Flat_file!$B:$B,Summary_Employed!$B$2,Flat_file!$C:$C,"Men",Flat_file!$D:$D,"75+",Flat_file!$E:$E,"454",Flat_file!$F:$F,"E")</f>
        <v>0</v>
      </c>
      <c r="Y83" s="90"/>
      <c r="Z83" s="225">
        <f>SUMIFS(Flat_file!$H:$H,Flat_file!$B:$B,Summary_Employed!$B$2,Flat_file!$C:$C,"Men",Flat_file!$D:$D,"75+",Flat_file!$E:$E,"640",Flat_file!$F:$F,"E")+SUMIFS(Flat_file!$H:$H,Flat_file!$B:$B,Summary_Employed!$B$2,Flat_file!$C:$C,"Men",Flat_file!$D:$D,"75+",Flat_file!$E:$E,"740",Flat_file!$F:$F,"E")+SUMIFS(Flat_file!$H:$H,Flat_file!$B:$B,Summary_Employed!$B$2,Flat_file!$C:$C,"Men",Flat_file!$D:$D,"75+",Flat_file!$E:$E,"840",Flat_file!$F:$F,"E")</f>
        <v>0</v>
      </c>
      <c r="AA83" s="225">
        <f>SUMIFS(Flat_file!$H:$H,Flat_file!$B:$B,Summary_Employed!$B$2,Flat_file!$C:$C,"Men",Flat_file!$D:$D,"75+",Flat_file!$E:$E,"650",Flat_file!$F:$F,"E")+SUMIFS(Flat_file!$H:$H,Flat_file!$B:$B,Summary_Employed!$B$2,Flat_file!$C:$C,"Men",Flat_file!$D:$D,"75+",Flat_file!$E:$E,"750",Flat_file!$F:$F,"E")+SUMIFS(Flat_file!$H:$H,Flat_file!$B:$B,Summary_Employed!$B$2,Flat_file!$C:$C,"Men",Flat_file!$D:$D,"75+",Flat_file!$E:$E,"850",Flat_file!$F:$F,"E")</f>
        <v>0</v>
      </c>
      <c r="AB83" s="225">
        <f>SUMIFS(Flat_file!$H:$H,Flat_file!$B:$B,Summary_Employed!$B$2,Flat_file!$C:$C,"Men",Flat_file!$D:$D,"75+",Flat_file!$E:$E,"660",Flat_file!$F:$F,"E")+SUMIFS(Flat_file!$H:$H,Flat_file!$B:$B,Summary_Employed!$B$2,Flat_file!$C:$C,"Men",Flat_file!$D:$D,"75+",Flat_file!$E:$E,"760",Flat_file!$F:$F,"E")+SUMIFS(Flat_file!$H:$H,Flat_file!$B:$B,Summary_Employed!$B$2,Flat_file!$C:$C,"Men",Flat_file!$D:$D,"75+",Flat_file!$E:$E,"860",Flat_file!$F:$F,"E")</f>
        <v>0</v>
      </c>
      <c r="AC83" s="3"/>
      <c r="AD83" s="3"/>
      <c r="AE83" s="3"/>
      <c r="AF83" s="3"/>
      <c r="AG83" s="3"/>
      <c r="AH83" s="3"/>
      <c r="AI83" s="3"/>
      <c r="AJ83" s="3"/>
      <c r="AK83" s="3"/>
    </row>
    <row r="84" spans="1:37" customFormat="1" ht="12.75" customHeight="1" x14ac:dyDescent="0.2">
      <c r="A84" s="351" t="s">
        <v>6</v>
      </c>
      <c r="B84" s="78" t="s">
        <v>87</v>
      </c>
      <c r="C84" s="86">
        <f>SUMIFS(Flat_file!$H:$H,Flat_file!$B:$B,Summary_Employed!$B$2,Flat_file!$C:$C,"Women",Flat_file!$D:$D,"15-19",Flat_file!$E:$E,"010",Flat_file!$F:$F,"E")+SUMIFS(Flat_file!$H:$H,Flat_file!$B:$B,Summary_Employed!$B$2,Flat_file!$C:$C,"Women",Flat_file!$D:$D,"15-19",Flat_file!$E:$E,"020",Flat_file!$F:$F,"E")+SUMIFS(Flat_file!$H:$H,Flat_file!$B:$B,Summary_Employed!$B$2,Flat_file!$C:$C,"Women",Flat_file!$D:$D,"15-19",Flat_file!$E:$E,"030",Flat_file!$F:$F,"E")</f>
        <v>0</v>
      </c>
      <c r="D84" s="86">
        <f>SUMIFS(Flat_file!$H:$H,Flat_file!$B:$B,Summary_Employed!$B$2,Flat_file!$C:$C,"Women",Flat_file!$D:$D,"15-19",Flat_file!$E:$E,"100",Flat_file!$F:$F,"E")</f>
        <v>0</v>
      </c>
      <c r="E84" s="86">
        <f>SUMIFS(Flat_file!$H:$H,Flat_file!$B:$B,Summary_Employed!$B$2,Flat_file!$C:$C,"Women",Flat_file!$D:$D,"15-19",Flat_file!$E:$E,"242",Flat_file!$F:$F,"E")+SUMIFS(Flat_file!$H:$H,Flat_file!$B:$B,Summary_Employed!$B$2,Flat_file!$C:$C,"Women",Flat_file!$D:$D,"15-19",Flat_file!$E:$E,"252",Flat_file!$F:$F,"E")</f>
        <v>0</v>
      </c>
      <c r="F84" s="86">
        <f>SUMIFS(Flat_file!$H:$H,Flat_file!$B:$B,Summary_Employed!$B$2,Flat_file!$C:$C,"Women",Flat_file!$D:$D,"15-19",Flat_file!$E:$E,"243",Flat_file!$F:$F,"E")+SUMIFS(Flat_file!$H:$H,Flat_file!$B:$B,Summary_Employed!$B$2,Flat_file!$C:$C,"Women",Flat_file!$D:$D,"15-19",Flat_file!$E:$E,"244",Flat_file!$F:$F,"E")+SUMIFS(Flat_file!$H:$H,Flat_file!$B:$B,Summary_Employed!$B$2,Flat_file!$C:$C,"Women",Flat_file!$D:$D,"15-19",Flat_file!$E:$E,"253",Flat_file!$F:$F,"E")+SUMIFS(Flat_file!$H:$H,Flat_file!$B:$B,Summary_Employed!$B$2,Flat_file!$C:$C,"Women",Flat_file!$D:$D,"15-19",Flat_file!$E:$E,"254",Flat_file!$F:$F,"E")</f>
        <v>0</v>
      </c>
      <c r="G84" s="86">
        <f>SUMIFS(Flat_file!$H:$H,Flat_file!$B:$B,Summary_Employed!$B$2,Flat_file!$C:$C,"Women",Flat_file!$D:$D,"15-19",Flat_file!$E:$E,"342",Flat_file!$F:$F,"E")+SUMIFS(Flat_file!$H:$H,Flat_file!$B:$B,Summary_Employed!$B$2,Flat_file!$C:$C,"Women",Flat_file!$D:$D,"15-19",Flat_file!$E:$E,"352",Flat_file!$F:$F,"E")</f>
        <v>0</v>
      </c>
      <c r="H84" s="86">
        <f>SUMIFS(Flat_file!$H:$H,Flat_file!$B:$B,Summary_Employed!$B$2,Flat_file!$C:$C,"Women",Flat_file!$D:$D,"15-19",Flat_file!$E:$E,"343",Flat_file!$F:$F,"E")+SUMIFS(Flat_file!$H:$H,Flat_file!$B:$B,Summary_Employed!$B$2,Flat_file!$C:$C,"Women",Flat_file!$D:$D,"15-19",Flat_file!$E:$E,"344",Flat_file!$F:$F,"E")+SUMIFS(Flat_file!$H:$H,Flat_file!$B:$B,Summary_Employed!$B$2,Flat_file!$C:$C,"Women",Flat_file!$D:$D,"15-19",Flat_file!$E:$E,"353",Flat_file!$F:$F,"E")+SUMIFS(Flat_file!$H:$H,Flat_file!$B:$B,Summary_Employed!$B$2,Flat_file!$C:$C,"Women",Flat_file!$D:$D,"15-19",Flat_file!$E:$E,"354",Flat_file!$F:$F,"E")</f>
        <v>0</v>
      </c>
      <c r="I84" s="86">
        <f>SUMIFS(Flat_file!$H:$H,Flat_file!$B:$B,Summary_Employed!$B$2,Flat_file!$C:$C,"Women",Flat_file!$D:$D,"15-19",Flat_file!$E:$E,"443",Flat_file!$F:$F,"E")+SUMIFS(Flat_file!$H:$H,Flat_file!$B:$B,Summary_Employed!$B$2,Flat_file!$C:$C,"Women",Flat_file!$D:$D,"15-19",Flat_file!$E:$E,"444",Flat_file!$F:$F,"E")+SUMIFS(Flat_file!$H:$H,Flat_file!$B:$B,Summary_Employed!$B$2,Flat_file!$C:$C,"Women",Flat_file!$D:$D,"15-19",Flat_file!$E:$E,"453",Flat_file!$F:$F,"E")+SUMIFS(Flat_file!$H:$H,Flat_file!$B:$B,Summary_Employed!$B$2,Flat_file!$C:$C,"Women",Flat_file!$D:$D,"15-19",Flat_file!$E:$E,"454",Flat_file!$F:$F,"E")</f>
        <v>0</v>
      </c>
      <c r="J84" s="86">
        <f>SUMIFS(Flat_file!$H:$H,Flat_file!$B:$B,Summary_Employed!$B$2,Flat_file!$C:$C,"Women",Flat_file!$D:$D,"15-19",Flat_file!$E:$E,"540",Flat_file!$F:$F,"E")+SUMIFS(Flat_file!$H:$H,Flat_file!$B:$B,Summary_Employed!$B$2,Flat_file!$C:$C,"Women",Flat_file!$D:$D,"15-19",Flat_file!$E:$E,"550",Flat_file!$F:$F,"E")+SUMIFS(Flat_file!$H:$H,Flat_file!$B:$B,Summary_Employed!$B$2,Flat_file!$C:$C,"Women",Flat_file!$D:$D,"15-19",Flat_file!$E:$E,"560",Flat_file!$F:$F,"E")</f>
        <v>0</v>
      </c>
      <c r="K84" s="86">
        <f>SUMIFS(Flat_file!$H:$H,Flat_file!$B:$B,Summary_Employed!$B$2,Flat_file!$C:$C,"Women",Flat_file!$D:$D,"15-19",Flat_file!$E:$E,"640",Flat_file!$F:$F,"E")+SUMIFS(Flat_file!$H:$H,Flat_file!$B:$B,Summary_Employed!$B$2,Flat_file!$C:$C,"Women",Flat_file!$D:$D,"15-19",Flat_file!$E:$E,"650",Flat_file!$F:$F,"E")+SUMIFS(Flat_file!$H:$H,Flat_file!$B:$B,Summary_Employed!$B$2,Flat_file!$C:$C,"Women",Flat_file!$D:$D,"15-19",Flat_file!$E:$E,"660",Flat_file!$F:$F,"E")</f>
        <v>0</v>
      </c>
      <c r="L84" s="86">
        <f>SUMIFS(Flat_file!$H:$H,Flat_file!$B:$B,Summary_Employed!$B$2,Flat_file!$C:$C,"Women",Flat_file!$D:$D,"15-19",Flat_file!$E:$E,"740",Flat_file!$F:$F,"E")+SUMIFS(Flat_file!$H:$H,Flat_file!$B:$B,Summary_Employed!$B$2,Flat_file!$C:$C,"Women",Flat_file!$D:$D,"15-19",Flat_file!$E:$E,"750",Flat_file!$F:$F,"E")+SUMIFS(Flat_file!$H:$H,Flat_file!$B:$B,Summary_Employed!$B$2,Flat_file!$C:$C,"Women",Flat_file!$D:$D,"15-19",Flat_file!$E:$E,"760",Flat_file!$F:$F,"E")</f>
        <v>0</v>
      </c>
      <c r="M84" s="86">
        <f>SUMIFS(Flat_file!$H:$H,Flat_file!$B:$B,Summary_Employed!$B$2,Flat_file!$C:$C,"Women",Flat_file!$D:$D,"15-19",Flat_file!$E:$E,"840",Flat_file!$F:$F,"E")+SUMIFS(Flat_file!$H:$H,Flat_file!$B:$B,Summary_Employed!$B$2,Flat_file!$C:$C,"Women",Flat_file!$D:$D,"15-19",Flat_file!$E:$E,"850",Flat_file!$F:$F,"E")+SUMIFS(Flat_file!$H:$H,Flat_file!$B:$B,Summary_Employed!$B$2,Flat_file!$C:$C,"Women",Flat_file!$D:$D,"15-19",Flat_file!$E:$E,"860",Flat_file!$F:$F,"E")</f>
        <v>0</v>
      </c>
      <c r="N84" s="86">
        <f>SUMIFS(Flat_file!$H:$H,Flat_file!$B:$B,Summary_Employed!$B$2,Flat_file!$C:$C,"Women",Flat_file!$D:$D,"15-19",Flat_file!$E:$E,"999",Flat_file!$F:$F,"E")</f>
        <v>0</v>
      </c>
      <c r="O84" s="86">
        <f>SUM(C84:M84)</f>
        <v>0</v>
      </c>
      <c r="P84" s="87"/>
      <c r="Q84" s="86">
        <f>SUM(H84:M84)</f>
        <v>0</v>
      </c>
      <c r="R84" s="88"/>
      <c r="S84" s="86">
        <f>SUM(C84:G84)</f>
        <v>0</v>
      </c>
      <c r="T84" s="86">
        <f>SUM(H84:I84)</f>
        <v>0</v>
      </c>
      <c r="U84" s="86">
        <f>SUM(J84:M84)</f>
        <v>0</v>
      </c>
      <c r="V84" s="87"/>
      <c r="W84" s="86">
        <f>SUMIFS(Flat_file!$H:$H,Flat_file!$B:$B,Summary_Employed!$B$2,Flat_file!$C:$C,"Women",Flat_file!$D:$D,"15-19",Flat_file!$E:$E,"343",Flat_file!$F:$F,"E")+SUMIFS(Flat_file!$H:$H,Flat_file!$B:$B,Summary_Employed!$B$2,Flat_file!$C:$C,"Women",Flat_file!$D:$D,"15-19",Flat_file!$E:$E,"344",Flat_file!$F:$F,"E")+SUMIFS(Flat_file!$H:$H,Flat_file!$B:$B,Summary_Employed!$B$2,Flat_file!$C:$C,"Women",Flat_file!$D:$D,"15-19",Flat_file!$E:$E,"443",Flat_file!$F:$F,"E")+SUMIFS(Flat_file!$H:$H,Flat_file!$B:$B,Summary_Employed!$B$2,Flat_file!$C:$C,"Women",Flat_file!$D:$D,"15-19",Flat_file!$E:$E,"444",Flat_file!$F:$F,"E")</f>
        <v>0</v>
      </c>
      <c r="X84" s="86">
        <f>SUMIFS(Flat_file!$H:$H,Flat_file!$B:$B,Summary_Employed!$B$2,Flat_file!$C:$C,"Women",Flat_file!$D:$D,"15-19",Flat_file!$E:$E,"353",Flat_file!$F:$F,"E")+SUMIFS(Flat_file!$H:$H,Flat_file!$B:$B,Summary_Employed!$B$2,Flat_file!$C:$C,"Women",Flat_file!$D:$D,"15-19",Flat_file!$E:$E,"354",Flat_file!$F:$F,"E")+SUMIFS(Flat_file!$H:$H,Flat_file!$B:$B,Summary_Employed!$B$2,Flat_file!$C:$C,"Women",Flat_file!$D:$D,"15-19",Flat_file!$E:$E,"453",Flat_file!$F:$F,"E")+SUMIFS(Flat_file!$H:$H,Flat_file!$B:$B,Summary_Employed!$B$2,Flat_file!$C:$C,"Women",Flat_file!$D:$D,"15-19",Flat_file!$E:$E,"454",Flat_file!$F:$F,"E")</f>
        <v>0</v>
      </c>
      <c r="Y84" s="87"/>
      <c r="Z84" s="86">
        <f>SUMIFS(Flat_file!$H:$H,Flat_file!$B:$B,Summary_Employed!$B$2,Flat_file!$C:$C,"Women",Flat_file!$D:$D,"15-19",Flat_file!$E:$E,"640",Flat_file!$F:$F,"E")+SUMIFS(Flat_file!$H:$H,Flat_file!$B:$B,Summary_Employed!$B$2,Flat_file!$C:$C,"Women",Flat_file!$D:$D,"15-19",Flat_file!$E:$E,"740",Flat_file!$F:$F,"E")+SUMIFS(Flat_file!$H:$H,Flat_file!$B:$B,Summary_Employed!$B$2,Flat_file!$C:$C,"Women",Flat_file!$D:$D,"15-19",Flat_file!$E:$E,"840",Flat_file!$F:$F,"E")</f>
        <v>0</v>
      </c>
      <c r="AA84" s="86">
        <f>SUMIFS(Flat_file!$H:$H,Flat_file!$B:$B,Summary_Employed!$B$2,Flat_file!$C:$C,"Women",Flat_file!$D:$D,"15-19",Flat_file!$E:$E,"650",Flat_file!$F:$F,"E")+SUMIFS(Flat_file!$H:$H,Flat_file!$B:$B,Summary_Employed!$B$2,Flat_file!$C:$C,"Women",Flat_file!$D:$D,"15-19",Flat_file!$E:$E,"750",Flat_file!$F:$F,"E")+SUMIFS(Flat_file!$H:$H,Flat_file!$B:$B,Summary_Employed!$B$2,Flat_file!$C:$C,"Women",Flat_file!$D:$D,"15-19",Flat_file!$E:$E,"850",Flat_file!$F:$F,"E")</f>
        <v>0</v>
      </c>
      <c r="AB84" s="86">
        <f>SUMIFS(Flat_file!$H:$H,Flat_file!$B:$B,Summary_Employed!$B$2,Flat_file!$C:$C,"Women",Flat_file!$D:$D,"15-19",Flat_file!$E:$E,"660",Flat_file!$F:$F,"E")+SUMIFS(Flat_file!$H:$H,Flat_file!$B:$B,Summary_Employed!$B$2,Flat_file!$C:$C,"Women",Flat_file!$D:$D,"15-19",Flat_file!$E:$E,"760",Flat_file!$F:$F,"E")+SUMIFS(Flat_file!$H:$H,Flat_file!$B:$B,Summary_Employed!$B$2,Flat_file!$C:$C,"Women",Flat_file!$D:$D,"15-19",Flat_file!$E:$E,"860",Flat_file!$F:$F,"E")</f>
        <v>0</v>
      </c>
      <c r="AC84" s="3"/>
      <c r="AD84" s="3"/>
      <c r="AE84" s="3"/>
      <c r="AF84" s="3"/>
      <c r="AG84" s="3"/>
      <c r="AH84" s="3"/>
      <c r="AI84" s="3"/>
      <c r="AJ84" s="3"/>
      <c r="AK84" s="3"/>
    </row>
    <row r="85" spans="1:37" customFormat="1" x14ac:dyDescent="0.2">
      <c r="A85" s="352"/>
      <c r="B85" s="79" t="s">
        <v>88</v>
      </c>
      <c r="C85" s="89">
        <f>SUMIFS(Flat_file!$H:$H,Flat_file!$B:$B,Summary_Employed!$B$2,Flat_file!$C:$C,"Women",Flat_file!$D:$D,"20-24",Flat_file!$E:$E,"010",Flat_file!$F:$F,"E")+SUMIFS(Flat_file!$H:$H,Flat_file!$B:$B,Summary_Employed!$B$2,Flat_file!$C:$C,"Women",Flat_file!$D:$D,"20-24",Flat_file!$E:$E,"020",Flat_file!$F:$F,"E")+SUMIFS(Flat_file!$H:$H,Flat_file!$B:$B,Summary_Employed!$B$2,Flat_file!$C:$C,"Women",Flat_file!$D:$D,"20-24",Flat_file!$E:$E,"030",Flat_file!$F:$F,"E")</f>
        <v>0</v>
      </c>
      <c r="D85" s="89">
        <f>SUMIFS(Flat_file!$H:$H,Flat_file!$B:$B,Summary_Employed!$B$2,Flat_file!$C:$C,"Women",Flat_file!$D:$D,"20-24",Flat_file!$E:$E,"100",Flat_file!$F:$F,"E")</f>
        <v>0</v>
      </c>
      <c r="E85" s="89">
        <f>SUMIFS(Flat_file!$H:$H,Flat_file!$B:$B,Summary_Employed!$B$2,Flat_file!$C:$C,"Women",Flat_file!$D:$D,"20-24",Flat_file!$E:$E,"242",Flat_file!$F:$F,"E")+SUMIFS(Flat_file!$H:$H,Flat_file!$B:$B,Summary_Employed!$B$2,Flat_file!$C:$C,"Women",Flat_file!$D:$D,"20-24",Flat_file!$E:$E,"252",Flat_file!$F:$F,"E")</f>
        <v>0</v>
      </c>
      <c r="F85" s="89">
        <f>SUMIFS(Flat_file!$H:$H,Flat_file!$B:$B,Summary_Employed!$B$2,Flat_file!$C:$C,"Women",Flat_file!$D:$D,"20-24",Flat_file!$E:$E,"243",Flat_file!$F:$F,"E")+SUMIFS(Flat_file!$H:$H,Flat_file!$B:$B,Summary_Employed!$B$2,Flat_file!$C:$C,"Women",Flat_file!$D:$D,"20-24",Flat_file!$E:$E,"244",Flat_file!$F:$F,"E")+SUMIFS(Flat_file!$H:$H,Flat_file!$B:$B,Summary_Employed!$B$2,Flat_file!$C:$C,"Women",Flat_file!$D:$D,"20-24",Flat_file!$E:$E,"253",Flat_file!$F:$F,"E")+SUMIFS(Flat_file!$H:$H,Flat_file!$B:$B,Summary_Employed!$B$2,Flat_file!$C:$C,"Women",Flat_file!$D:$D,"20-24",Flat_file!$E:$E,"254",Flat_file!$F:$F,"E")</f>
        <v>0</v>
      </c>
      <c r="G85" s="89">
        <f>SUMIFS(Flat_file!$H:$H,Flat_file!$B:$B,Summary_Employed!$B$2,Flat_file!$C:$C,"Women",Flat_file!$D:$D,"20-24",Flat_file!$E:$E,"342",Flat_file!$F:$F,"E")+SUMIFS(Flat_file!$H:$H,Flat_file!$B:$B,Summary_Employed!$B$2,Flat_file!$C:$C,"Women",Flat_file!$D:$D,"20-24",Flat_file!$E:$E,"352",Flat_file!$F:$F,"E")</f>
        <v>0</v>
      </c>
      <c r="H85" s="89">
        <f>SUMIFS(Flat_file!$H:$H,Flat_file!$B:$B,Summary_Employed!$B$2,Flat_file!$C:$C,"Women",Flat_file!$D:$D,"20-24",Flat_file!$E:$E,"343",Flat_file!$F:$F,"E")+SUMIFS(Flat_file!$H:$H,Flat_file!$B:$B,Summary_Employed!$B$2,Flat_file!$C:$C,"Women",Flat_file!$D:$D,"20-24",Flat_file!$E:$E,"344",Flat_file!$F:$F,"E")+SUMIFS(Flat_file!$H:$H,Flat_file!$B:$B,Summary_Employed!$B$2,Flat_file!$C:$C,"Women",Flat_file!$D:$D,"20-24",Flat_file!$E:$E,"353",Flat_file!$F:$F,"E")+SUMIFS(Flat_file!$H:$H,Flat_file!$B:$B,Summary_Employed!$B$2,Flat_file!$C:$C,"Women",Flat_file!$D:$D,"20-24",Flat_file!$E:$E,"354",Flat_file!$F:$F,"E")</f>
        <v>0</v>
      </c>
      <c r="I85" s="89">
        <f>SUMIFS(Flat_file!$H:$H,Flat_file!$B:$B,Summary_Employed!$B$2,Flat_file!$C:$C,"Women",Flat_file!$D:$D,"20-24",Flat_file!$E:$E,"443",Flat_file!$F:$F,"E")+SUMIFS(Flat_file!$H:$H,Flat_file!$B:$B,Summary_Employed!$B$2,Flat_file!$C:$C,"Women",Flat_file!$D:$D,"20-24",Flat_file!$E:$E,"444",Flat_file!$F:$F,"E")+SUMIFS(Flat_file!$H:$H,Flat_file!$B:$B,Summary_Employed!$B$2,Flat_file!$C:$C,"Women",Flat_file!$D:$D,"20-24",Flat_file!$E:$E,"453",Flat_file!$F:$F,"E")+SUMIFS(Flat_file!$H:$H,Flat_file!$B:$B,Summary_Employed!$B$2,Flat_file!$C:$C,"Women",Flat_file!$D:$D,"20-24",Flat_file!$E:$E,"454",Flat_file!$F:$F,"E")</f>
        <v>0</v>
      </c>
      <c r="J85" s="89">
        <f>SUMIFS(Flat_file!$H:$H,Flat_file!$B:$B,Summary_Employed!$B$2,Flat_file!$C:$C,"Women",Flat_file!$D:$D,"20-24",Flat_file!$E:$E,"540",Flat_file!$F:$F,"E")+SUMIFS(Flat_file!$H:$H,Flat_file!$B:$B,Summary_Employed!$B$2,Flat_file!$C:$C,"Women",Flat_file!$D:$D,"20-24",Flat_file!$E:$E,"550",Flat_file!$F:$F,"E")+SUMIFS(Flat_file!$H:$H,Flat_file!$B:$B,Summary_Employed!$B$2,Flat_file!$C:$C,"Women",Flat_file!$D:$D,"20-24",Flat_file!$E:$E,"560",Flat_file!$F:$F,"E")</f>
        <v>0</v>
      </c>
      <c r="K85" s="89">
        <f>SUMIFS(Flat_file!$H:$H,Flat_file!$B:$B,Summary_Employed!$B$2,Flat_file!$C:$C,"Women",Flat_file!$D:$D,"20-24",Flat_file!$E:$E,"640",Flat_file!$F:$F,"E")+SUMIFS(Flat_file!$H:$H,Flat_file!$B:$B,Summary_Employed!$B$2,Flat_file!$C:$C,"Women",Flat_file!$D:$D,"20-24",Flat_file!$E:$E,"650",Flat_file!$F:$F,"E")+SUMIFS(Flat_file!$H:$H,Flat_file!$B:$B,Summary_Employed!$B$2,Flat_file!$C:$C,"Women",Flat_file!$D:$D,"20-24",Flat_file!$E:$E,"660",Flat_file!$F:$F,"E")</f>
        <v>0</v>
      </c>
      <c r="L85" s="89">
        <f>SUMIFS(Flat_file!$H:$H,Flat_file!$B:$B,Summary_Employed!$B$2,Flat_file!$C:$C,"Women",Flat_file!$D:$D,"20-24",Flat_file!$E:$E,"740",Flat_file!$F:$F,"E")+SUMIFS(Flat_file!$H:$H,Flat_file!$B:$B,Summary_Employed!$B$2,Flat_file!$C:$C,"Women",Flat_file!$D:$D,"20-24",Flat_file!$E:$E,"750",Flat_file!$F:$F,"E")+SUMIFS(Flat_file!$H:$H,Flat_file!$B:$B,Summary_Employed!$B$2,Flat_file!$C:$C,"Women",Flat_file!$D:$D,"20-24",Flat_file!$E:$E,"760",Flat_file!$F:$F,"E")</f>
        <v>0</v>
      </c>
      <c r="M85" s="89">
        <f>SUMIFS(Flat_file!$H:$H,Flat_file!$B:$B,Summary_Employed!$B$2,Flat_file!$C:$C,"Women",Flat_file!$D:$D,"20-24",Flat_file!$E:$E,"840",Flat_file!$F:$F,"E")+SUMIFS(Flat_file!$H:$H,Flat_file!$B:$B,Summary_Employed!$B$2,Flat_file!$C:$C,"Women",Flat_file!$D:$D,"20-24",Flat_file!$E:$E,"850",Flat_file!$F:$F,"E")+SUMIFS(Flat_file!$H:$H,Flat_file!$B:$B,Summary_Employed!$B$2,Flat_file!$C:$C,"Women",Flat_file!$D:$D,"20-24",Flat_file!$E:$E,"860",Flat_file!$F:$F,"E")</f>
        <v>0</v>
      </c>
      <c r="N85" s="89">
        <f>SUMIFS(Flat_file!$H:$H,Flat_file!$B:$B,Summary_Employed!$B$2,Flat_file!$C:$C,"Women",Flat_file!$D:$D,"20-24",Flat_file!$E:$E,"999",Flat_file!$F:$F,"E")</f>
        <v>0</v>
      </c>
      <c r="O85" s="89">
        <f t="shared" ref="O85:O96" si="68">SUM(C85:M85)</f>
        <v>0</v>
      </c>
      <c r="P85" s="90"/>
      <c r="Q85" s="89">
        <f t="shared" ref="Q85:Q96" si="69">SUM(H85:M85)</f>
        <v>0</v>
      </c>
      <c r="R85" s="91"/>
      <c r="S85" s="89">
        <f t="shared" ref="S85:S96" si="70">SUM(C85:G85)</f>
        <v>0</v>
      </c>
      <c r="T85" s="89">
        <f t="shared" ref="T85:T96" si="71">SUM(H85:I85)</f>
        <v>0</v>
      </c>
      <c r="U85" s="89">
        <f t="shared" ref="U85:U96" si="72">SUM(J85:M85)</f>
        <v>0</v>
      </c>
      <c r="V85" s="90"/>
      <c r="W85" s="89">
        <f>SUMIFS(Flat_file!$H:$H,Flat_file!$B:$B,Summary_Employed!$B$2,Flat_file!$C:$C,"Women",Flat_file!$D:$D,"20-24",Flat_file!$E:$E,"343",Flat_file!$F:$F,"E")+SUMIFS(Flat_file!$H:$H,Flat_file!$B:$B,Summary_Employed!$B$2,Flat_file!$C:$C,"Women",Flat_file!$D:$D,"20-24",Flat_file!$E:$E,"344",Flat_file!$F:$F,"E")+SUMIFS(Flat_file!$H:$H,Flat_file!$B:$B,Summary_Employed!$B$2,Flat_file!$C:$C,"Women",Flat_file!$D:$D,"20-24",Flat_file!$E:$E,"443",Flat_file!$F:$F,"E")+SUMIFS(Flat_file!$H:$H,Flat_file!$B:$B,Summary_Employed!$B$2,Flat_file!$C:$C,"Women",Flat_file!$D:$D,"20-24",Flat_file!$E:$E,"444",Flat_file!$F:$F,"E")</f>
        <v>0</v>
      </c>
      <c r="X85" s="89">
        <f>SUMIFS(Flat_file!$H:$H,Flat_file!$B:$B,Summary_Employed!$B$2,Flat_file!$C:$C,"Women",Flat_file!$D:$D,"20-24",Flat_file!$E:$E,"353",Flat_file!$F:$F,"E")+SUMIFS(Flat_file!$H:$H,Flat_file!$B:$B,Summary_Employed!$B$2,Flat_file!$C:$C,"Women",Flat_file!$D:$D,"20-24",Flat_file!$E:$E,"354",Flat_file!$F:$F,"E")+SUMIFS(Flat_file!$H:$H,Flat_file!$B:$B,Summary_Employed!$B$2,Flat_file!$C:$C,"Women",Flat_file!$D:$D,"20-24",Flat_file!$E:$E,"453",Flat_file!$F:$F,"E")+SUMIFS(Flat_file!$H:$H,Flat_file!$B:$B,Summary_Employed!$B$2,Flat_file!$C:$C,"Women",Flat_file!$D:$D,"20-24",Flat_file!$E:$E,"454",Flat_file!$F:$F,"E")</f>
        <v>0</v>
      </c>
      <c r="Y85" s="90"/>
      <c r="Z85" s="89">
        <f>SUMIFS(Flat_file!$H:$H,Flat_file!$B:$B,Summary_Employed!$B$2,Flat_file!$C:$C,"Women",Flat_file!$D:$D,"20-24",Flat_file!$E:$E,"640",Flat_file!$F:$F,"E")+SUMIFS(Flat_file!$H:$H,Flat_file!$B:$B,Summary_Employed!$B$2,Flat_file!$C:$C,"Women",Flat_file!$D:$D,"20-24",Flat_file!$E:$E,"740",Flat_file!$F:$F,"E")+SUMIFS(Flat_file!$H:$H,Flat_file!$B:$B,Summary_Employed!$B$2,Flat_file!$C:$C,"Women",Flat_file!$D:$D,"20-24",Flat_file!$E:$E,"840",Flat_file!$F:$F,"E")</f>
        <v>0</v>
      </c>
      <c r="AA85" s="89">
        <f>SUMIFS(Flat_file!$H:$H,Flat_file!$B:$B,Summary_Employed!$B$2,Flat_file!$C:$C,"Women",Flat_file!$D:$D,"20-24",Flat_file!$E:$E,"650",Flat_file!$F:$F,"E")+SUMIFS(Flat_file!$H:$H,Flat_file!$B:$B,Summary_Employed!$B$2,Flat_file!$C:$C,"Women",Flat_file!$D:$D,"20-24",Flat_file!$E:$E,"750",Flat_file!$F:$F,"E")+SUMIFS(Flat_file!$H:$H,Flat_file!$B:$B,Summary_Employed!$B$2,Flat_file!$C:$C,"Women",Flat_file!$D:$D,"20-24",Flat_file!$E:$E,"850",Flat_file!$F:$F,"E")</f>
        <v>0</v>
      </c>
      <c r="AB85" s="89">
        <f>SUMIFS(Flat_file!$H:$H,Flat_file!$B:$B,Summary_Employed!$B$2,Flat_file!$C:$C,"Women",Flat_file!$D:$D,"20-24",Flat_file!$E:$E,"660",Flat_file!$F:$F,"E")+SUMIFS(Flat_file!$H:$H,Flat_file!$B:$B,Summary_Employed!$B$2,Flat_file!$C:$C,"Women",Flat_file!$D:$D,"20-24",Flat_file!$E:$E,"760",Flat_file!$F:$F,"E")+SUMIFS(Flat_file!$H:$H,Flat_file!$B:$B,Summary_Employed!$B$2,Flat_file!$C:$C,"Women",Flat_file!$D:$D,"20-24",Flat_file!$E:$E,"860",Flat_file!$F:$F,"E")</f>
        <v>0</v>
      </c>
      <c r="AC85" s="3"/>
      <c r="AD85" s="3"/>
      <c r="AE85" s="3"/>
      <c r="AF85" s="3"/>
      <c r="AG85" s="3"/>
      <c r="AH85" s="3"/>
      <c r="AI85" s="3"/>
      <c r="AJ85" s="3"/>
      <c r="AK85" s="3"/>
    </row>
    <row r="86" spans="1:37" customFormat="1" x14ac:dyDescent="0.2">
      <c r="A86" s="352"/>
      <c r="B86" s="79" t="s">
        <v>89</v>
      </c>
      <c r="C86" s="89">
        <f>SUMIFS(Flat_file!$H:$H,Flat_file!$B:$B,Summary_Employed!$B$2,Flat_file!$C:$C,"Women",Flat_file!$D:$D,"25-29",Flat_file!$E:$E,"010",Flat_file!$F:$F,"E")+SUMIFS(Flat_file!$H:$H,Flat_file!$B:$B,Summary_Employed!$B$2,Flat_file!$C:$C,"Women",Flat_file!$D:$D,"25-29",Flat_file!$E:$E,"020",Flat_file!$F:$F,"E")+SUMIFS(Flat_file!$H:$H,Flat_file!$B:$B,Summary_Employed!$B$2,Flat_file!$C:$C,"Women",Flat_file!$D:$D,"25-29",Flat_file!$E:$E,"030",Flat_file!$F:$F,"E")</f>
        <v>0</v>
      </c>
      <c r="D86" s="89">
        <f>SUMIFS(Flat_file!$H:$H,Flat_file!$B:$B,Summary_Employed!$B$2,Flat_file!$C:$C,"Women",Flat_file!$D:$D,"25-29",Flat_file!$E:$E,"100",Flat_file!$F:$F,"E")</f>
        <v>0</v>
      </c>
      <c r="E86" s="89">
        <f>SUMIFS(Flat_file!$H:$H,Flat_file!$B:$B,Summary_Employed!$B$2,Flat_file!$C:$C,"Women",Flat_file!$D:$D,"25-29",Flat_file!$E:$E,"242",Flat_file!$F:$F,"E")+SUMIFS(Flat_file!$H:$H,Flat_file!$B:$B,Summary_Employed!$B$2,Flat_file!$C:$C,"Women",Flat_file!$D:$D,"25-29",Flat_file!$E:$E,"252",Flat_file!$F:$F,"E")</f>
        <v>0</v>
      </c>
      <c r="F86" s="89">
        <f>SUMIFS(Flat_file!$H:$H,Flat_file!$B:$B,Summary_Employed!$B$2,Flat_file!$C:$C,"Women",Flat_file!$D:$D,"25-29",Flat_file!$E:$E,"243",Flat_file!$F:$F,"E")+SUMIFS(Flat_file!$H:$H,Flat_file!$B:$B,Summary_Employed!$B$2,Flat_file!$C:$C,"Women",Flat_file!$D:$D,"25-29",Flat_file!$E:$E,"244",Flat_file!$F:$F,"E")+SUMIFS(Flat_file!$H:$H,Flat_file!$B:$B,Summary_Employed!$B$2,Flat_file!$C:$C,"Women",Flat_file!$D:$D,"25-29",Flat_file!$E:$E,"253",Flat_file!$F:$F,"E")+SUMIFS(Flat_file!$H:$H,Flat_file!$B:$B,Summary_Employed!$B$2,Flat_file!$C:$C,"Women",Flat_file!$D:$D,"25-29",Flat_file!$E:$E,"254",Flat_file!$F:$F,"E")</f>
        <v>0</v>
      </c>
      <c r="G86" s="89">
        <f>SUMIFS(Flat_file!$H:$H,Flat_file!$B:$B,Summary_Employed!$B$2,Flat_file!$C:$C,"Women",Flat_file!$D:$D,"25-29",Flat_file!$E:$E,"342",Flat_file!$F:$F,"E")+SUMIFS(Flat_file!$H:$H,Flat_file!$B:$B,Summary_Employed!$B$2,Flat_file!$C:$C,"Women",Flat_file!$D:$D,"25-29",Flat_file!$E:$E,"352",Flat_file!$F:$F,"E")</f>
        <v>0</v>
      </c>
      <c r="H86" s="89">
        <f>SUMIFS(Flat_file!$H:$H,Flat_file!$B:$B,Summary_Employed!$B$2,Flat_file!$C:$C,"Women",Flat_file!$D:$D,"25-29",Flat_file!$E:$E,"343",Flat_file!$F:$F,"E")+SUMIFS(Flat_file!$H:$H,Flat_file!$B:$B,Summary_Employed!$B$2,Flat_file!$C:$C,"Women",Flat_file!$D:$D,"25-29",Flat_file!$E:$E,"344",Flat_file!$F:$F,"E")+SUMIFS(Flat_file!$H:$H,Flat_file!$B:$B,Summary_Employed!$B$2,Flat_file!$C:$C,"Women",Flat_file!$D:$D,"25-29",Flat_file!$E:$E,"353",Flat_file!$F:$F,"E")+SUMIFS(Flat_file!$H:$H,Flat_file!$B:$B,Summary_Employed!$B$2,Flat_file!$C:$C,"Women",Flat_file!$D:$D,"25-29",Flat_file!$E:$E,"354",Flat_file!$F:$F,"E")</f>
        <v>0</v>
      </c>
      <c r="I86" s="89">
        <f>SUMIFS(Flat_file!$H:$H,Flat_file!$B:$B,Summary_Employed!$B$2,Flat_file!$C:$C,"Women",Flat_file!$D:$D,"25-29",Flat_file!$E:$E,"443",Flat_file!$F:$F,"E")+SUMIFS(Flat_file!$H:$H,Flat_file!$B:$B,Summary_Employed!$B$2,Flat_file!$C:$C,"Women",Flat_file!$D:$D,"25-29",Flat_file!$E:$E,"444",Flat_file!$F:$F,"E")+SUMIFS(Flat_file!$H:$H,Flat_file!$B:$B,Summary_Employed!$B$2,Flat_file!$C:$C,"Women",Flat_file!$D:$D,"25-29",Flat_file!$E:$E,"453",Flat_file!$F:$F,"E")+SUMIFS(Flat_file!$H:$H,Flat_file!$B:$B,Summary_Employed!$B$2,Flat_file!$C:$C,"Women",Flat_file!$D:$D,"25-29",Flat_file!$E:$E,"454",Flat_file!$F:$F,"E")</f>
        <v>0</v>
      </c>
      <c r="J86" s="89">
        <f>SUMIFS(Flat_file!$H:$H,Flat_file!$B:$B,Summary_Employed!$B$2,Flat_file!$C:$C,"Women",Flat_file!$D:$D,"25-29",Flat_file!$E:$E,"540",Flat_file!$F:$F,"E")+SUMIFS(Flat_file!$H:$H,Flat_file!$B:$B,Summary_Employed!$B$2,Flat_file!$C:$C,"Women",Flat_file!$D:$D,"25-29",Flat_file!$E:$E,"550",Flat_file!$F:$F,"E")+SUMIFS(Flat_file!$H:$H,Flat_file!$B:$B,Summary_Employed!$B$2,Flat_file!$C:$C,"Women",Flat_file!$D:$D,"25-29",Flat_file!$E:$E,"560",Flat_file!$F:$F,"E")</f>
        <v>0</v>
      </c>
      <c r="K86" s="89">
        <f>SUMIFS(Flat_file!$H:$H,Flat_file!$B:$B,Summary_Employed!$B$2,Flat_file!$C:$C,"Women",Flat_file!$D:$D,"25-29",Flat_file!$E:$E,"640",Flat_file!$F:$F,"E")+SUMIFS(Flat_file!$H:$H,Flat_file!$B:$B,Summary_Employed!$B$2,Flat_file!$C:$C,"Women",Flat_file!$D:$D,"25-29",Flat_file!$E:$E,"650",Flat_file!$F:$F,"E")+SUMIFS(Flat_file!$H:$H,Flat_file!$B:$B,Summary_Employed!$B$2,Flat_file!$C:$C,"Women",Flat_file!$D:$D,"25-29",Flat_file!$E:$E,"660",Flat_file!$F:$F,"E")</f>
        <v>0</v>
      </c>
      <c r="L86" s="89">
        <f>SUMIFS(Flat_file!$H:$H,Flat_file!$B:$B,Summary_Employed!$B$2,Flat_file!$C:$C,"Women",Flat_file!$D:$D,"25-29",Flat_file!$E:$E,"740",Flat_file!$F:$F,"E")+SUMIFS(Flat_file!$H:$H,Flat_file!$B:$B,Summary_Employed!$B$2,Flat_file!$C:$C,"Women",Flat_file!$D:$D,"25-29",Flat_file!$E:$E,"750",Flat_file!$F:$F,"E")+SUMIFS(Flat_file!$H:$H,Flat_file!$B:$B,Summary_Employed!$B$2,Flat_file!$C:$C,"Women",Flat_file!$D:$D,"25-29",Flat_file!$E:$E,"760",Flat_file!$F:$F,"E")</f>
        <v>0</v>
      </c>
      <c r="M86" s="89">
        <f>SUMIFS(Flat_file!$H:$H,Flat_file!$B:$B,Summary_Employed!$B$2,Flat_file!$C:$C,"Women",Flat_file!$D:$D,"25-29",Flat_file!$E:$E,"840",Flat_file!$F:$F,"E")+SUMIFS(Flat_file!$H:$H,Flat_file!$B:$B,Summary_Employed!$B$2,Flat_file!$C:$C,"Women",Flat_file!$D:$D,"25-29",Flat_file!$E:$E,"850",Flat_file!$F:$F,"E")+SUMIFS(Flat_file!$H:$H,Flat_file!$B:$B,Summary_Employed!$B$2,Flat_file!$C:$C,"Women",Flat_file!$D:$D,"25-29",Flat_file!$E:$E,"860",Flat_file!$F:$F,"E")</f>
        <v>0</v>
      </c>
      <c r="N86" s="89">
        <f>SUMIFS(Flat_file!$H:$H,Flat_file!$B:$B,Summary_Employed!$B$2,Flat_file!$C:$C,"Women",Flat_file!$D:$D,"25-29",Flat_file!$E:$E,"999",Flat_file!$F:$F,"E")</f>
        <v>0</v>
      </c>
      <c r="O86" s="89">
        <f t="shared" si="68"/>
        <v>0</v>
      </c>
      <c r="P86" s="90"/>
      <c r="Q86" s="89">
        <f t="shared" si="69"/>
        <v>0</v>
      </c>
      <c r="R86" s="91"/>
      <c r="S86" s="89">
        <f t="shared" si="70"/>
        <v>0</v>
      </c>
      <c r="T86" s="89">
        <f t="shared" si="71"/>
        <v>0</v>
      </c>
      <c r="U86" s="89">
        <f t="shared" si="72"/>
        <v>0</v>
      </c>
      <c r="V86" s="90"/>
      <c r="W86" s="89">
        <f>SUMIFS(Flat_file!$H:$H,Flat_file!$B:$B,Summary_Employed!$B$2,Flat_file!$C:$C,"Women",Flat_file!$D:$D,"25-29",Flat_file!$E:$E,"343",Flat_file!$F:$F,"E")+SUMIFS(Flat_file!$H:$H,Flat_file!$B:$B,Summary_Employed!$B$2,Flat_file!$C:$C,"Women",Flat_file!$D:$D,"25-29",Flat_file!$E:$E,"344",Flat_file!$F:$F,"E")+SUMIFS(Flat_file!$H:$H,Flat_file!$B:$B,Summary_Employed!$B$2,Flat_file!$C:$C,"Women",Flat_file!$D:$D,"25-29",Flat_file!$E:$E,"443",Flat_file!$F:$F,"E")+SUMIFS(Flat_file!$H:$H,Flat_file!$B:$B,Summary_Employed!$B$2,Flat_file!$C:$C,"Women",Flat_file!$D:$D,"25-29",Flat_file!$E:$E,"444",Flat_file!$F:$F,"E")</f>
        <v>0</v>
      </c>
      <c r="X86" s="89">
        <f>SUMIFS(Flat_file!$H:$H,Flat_file!$B:$B,Summary_Employed!$B$2,Flat_file!$C:$C,"Women",Flat_file!$D:$D,"25-29",Flat_file!$E:$E,"353",Flat_file!$F:$F,"E")+SUMIFS(Flat_file!$H:$H,Flat_file!$B:$B,Summary_Employed!$B$2,Flat_file!$C:$C,"Women",Flat_file!$D:$D,"25-29",Flat_file!$E:$E,"354",Flat_file!$F:$F,"E")+SUMIFS(Flat_file!$H:$H,Flat_file!$B:$B,Summary_Employed!$B$2,Flat_file!$C:$C,"Women",Flat_file!$D:$D,"25-29",Flat_file!$E:$E,"453",Flat_file!$F:$F,"E")+SUMIFS(Flat_file!$H:$H,Flat_file!$B:$B,Summary_Employed!$B$2,Flat_file!$C:$C,"Women",Flat_file!$D:$D,"25-29",Flat_file!$E:$E,"454",Flat_file!$F:$F,"E")</f>
        <v>0</v>
      </c>
      <c r="Y86" s="90"/>
      <c r="Z86" s="89">
        <f>SUMIFS(Flat_file!$H:$H,Flat_file!$B:$B,Summary_Employed!$B$2,Flat_file!$C:$C,"Women",Flat_file!$D:$D,"25-29",Flat_file!$E:$E,"640",Flat_file!$F:$F,"E")+SUMIFS(Flat_file!$H:$H,Flat_file!$B:$B,Summary_Employed!$B$2,Flat_file!$C:$C,"Women",Flat_file!$D:$D,"25-29",Flat_file!$E:$E,"740",Flat_file!$F:$F,"E")+SUMIFS(Flat_file!$H:$H,Flat_file!$B:$B,Summary_Employed!$B$2,Flat_file!$C:$C,"Women",Flat_file!$D:$D,"25-29",Flat_file!$E:$E,"840",Flat_file!$F:$F,"E")</f>
        <v>0</v>
      </c>
      <c r="AA86" s="89">
        <f>SUMIFS(Flat_file!$H:$H,Flat_file!$B:$B,Summary_Employed!$B$2,Flat_file!$C:$C,"Women",Flat_file!$D:$D,"25-29",Flat_file!$E:$E,"650",Flat_file!$F:$F,"E")+SUMIFS(Flat_file!$H:$H,Flat_file!$B:$B,Summary_Employed!$B$2,Flat_file!$C:$C,"Women",Flat_file!$D:$D,"25-29",Flat_file!$E:$E,"750",Flat_file!$F:$F,"E")+SUMIFS(Flat_file!$H:$H,Flat_file!$B:$B,Summary_Employed!$B$2,Flat_file!$C:$C,"Women",Flat_file!$D:$D,"25-29",Flat_file!$E:$E,"850",Flat_file!$F:$F,"E")</f>
        <v>0</v>
      </c>
      <c r="AB86" s="89">
        <f>SUMIFS(Flat_file!$H:$H,Flat_file!$B:$B,Summary_Employed!$B$2,Flat_file!$C:$C,"Women",Flat_file!$D:$D,"25-29",Flat_file!$E:$E,"660",Flat_file!$F:$F,"E")+SUMIFS(Flat_file!$H:$H,Flat_file!$B:$B,Summary_Employed!$B$2,Flat_file!$C:$C,"Women",Flat_file!$D:$D,"25-29",Flat_file!$E:$E,"760",Flat_file!$F:$F,"E")+SUMIFS(Flat_file!$H:$H,Flat_file!$B:$B,Summary_Employed!$B$2,Flat_file!$C:$C,"Women",Flat_file!$D:$D,"25-29",Flat_file!$E:$E,"860",Flat_file!$F:$F,"E")</f>
        <v>0</v>
      </c>
      <c r="AC86" s="3"/>
      <c r="AD86" s="3"/>
      <c r="AE86" s="3"/>
      <c r="AF86" s="3"/>
      <c r="AG86" s="3"/>
      <c r="AH86" s="3"/>
      <c r="AI86" s="3"/>
      <c r="AJ86" s="3"/>
      <c r="AK86" s="3"/>
    </row>
    <row r="87" spans="1:37" customFormat="1" x14ac:dyDescent="0.2">
      <c r="A87" s="352"/>
      <c r="B87" s="79" t="s">
        <v>90</v>
      </c>
      <c r="C87" s="89">
        <f>SUMIFS(Flat_file!$H:$H,Flat_file!$B:$B,Summary_Employed!$B$2,Flat_file!$C:$C,"Women",Flat_file!$D:$D,"30-34",Flat_file!$E:$E,"010",Flat_file!$F:$F,"E")+SUMIFS(Flat_file!$H:$H,Flat_file!$B:$B,Summary_Employed!$B$2,Flat_file!$C:$C,"Women",Flat_file!$D:$D,"30-34",Flat_file!$E:$E,"020",Flat_file!$F:$F,"E")+SUMIFS(Flat_file!$H:$H,Flat_file!$B:$B,Summary_Employed!$B$2,Flat_file!$C:$C,"Women",Flat_file!$D:$D,"30-34",Flat_file!$E:$E,"030",Flat_file!$F:$F,"E")</f>
        <v>0</v>
      </c>
      <c r="D87" s="89">
        <f>SUMIFS(Flat_file!$H:$H,Flat_file!$B:$B,Summary_Employed!$B$2,Flat_file!$C:$C,"Women",Flat_file!$D:$D,"30-34",Flat_file!$E:$E,"100",Flat_file!$F:$F,"E")</f>
        <v>0</v>
      </c>
      <c r="E87" s="89">
        <f>SUMIFS(Flat_file!$H:$H,Flat_file!$B:$B,Summary_Employed!$B$2,Flat_file!$C:$C,"Women",Flat_file!$D:$D,"30-34",Flat_file!$E:$E,"242",Flat_file!$F:$F,"E")+SUMIFS(Flat_file!$H:$H,Flat_file!$B:$B,Summary_Employed!$B$2,Flat_file!$C:$C,"Women",Flat_file!$D:$D,"30-34",Flat_file!$E:$E,"252",Flat_file!$F:$F,"E")</f>
        <v>0</v>
      </c>
      <c r="F87" s="89">
        <f>SUMIFS(Flat_file!$H:$H,Flat_file!$B:$B,Summary_Employed!$B$2,Flat_file!$C:$C,"Women",Flat_file!$D:$D,"30-34",Flat_file!$E:$E,"243",Flat_file!$F:$F,"E")+SUMIFS(Flat_file!$H:$H,Flat_file!$B:$B,Summary_Employed!$B$2,Flat_file!$C:$C,"Women",Flat_file!$D:$D,"30-34",Flat_file!$E:$E,"244",Flat_file!$F:$F,"E")+SUMIFS(Flat_file!$H:$H,Flat_file!$B:$B,Summary_Employed!$B$2,Flat_file!$C:$C,"Women",Flat_file!$D:$D,"30-34",Flat_file!$E:$E,"253",Flat_file!$F:$F,"E")+SUMIFS(Flat_file!$H:$H,Flat_file!$B:$B,Summary_Employed!$B$2,Flat_file!$C:$C,"Women",Flat_file!$D:$D,"30-34",Flat_file!$E:$E,"254",Flat_file!$F:$F,"E")</f>
        <v>0</v>
      </c>
      <c r="G87" s="89">
        <f>SUMIFS(Flat_file!$H:$H,Flat_file!$B:$B,Summary_Employed!$B$2,Flat_file!$C:$C,"Women",Flat_file!$D:$D,"30-34",Flat_file!$E:$E,"342",Flat_file!$F:$F,"E")+SUMIFS(Flat_file!$H:$H,Flat_file!$B:$B,Summary_Employed!$B$2,Flat_file!$C:$C,"Women",Flat_file!$D:$D,"30-34",Flat_file!$E:$E,"352",Flat_file!$F:$F,"E")</f>
        <v>0</v>
      </c>
      <c r="H87" s="89">
        <f>SUMIFS(Flat_file!$H:$H,Flat_file!$B:$B,Summary_Employed!$B$2,Flat_file!$C:$C,"Women",Flat_file!$D:$D,"30-34",Flat_file!$E:$E,"343",Flat_file!$F:$F,"E")+SUMIFS(Flat_file!$H:$H,Flat_file!$B:$B,Summary_Employed!$B$2,Flat_file!$C:$C,"Women",Flat_file!$D:$D,"30-34",Flat_file!$E:$E,"344",Flat_file!$F:$F,"E")+SUMIFS(Flat_file!$H:$H,Flat_file!$B:$B,Summary_Employed!$B$2,Flat_file!$C:$C,"Women",Flat_file!$D:$D,"30-34",Flat_file!$E:$E,"353",Flat_file!$F:$F,"E")+SUMIFS(Flat_file!$H:$H,Flat_file!$B:$B,Summary_Employed!$B$2,Flat_file!$C:$C,"Women",Flat_file!$D:$D,"30-34",Flat_file!$E:$E,"354",Flat_file!$F:$F,"E")</f>
        <v>0</v>
      </c>
      <c r="I87" s="89">
        <f>SUMIFS(Flat_file!$H:$H,Flat_file!$B:$B,Summary_Employed!$B$2,Flat_file!$C:$C,"Women",Flat_file!$D:$D,"30-34",Flat_file!$E:$E,"443",Flat_file!$F:$F,"E")+SUMIFS(Flat_file!$H:$H,Flat_file!$B:$B,Summary_Employed!$B$2,Flat_file!$C:$C,"Women",Flat_file!$D:$D,"30-34",Flat_file!$E:$E,"444",Flat_file!$F:$F,"E")+SUMIFS(Flat_file!$H:$H,Flat_file!$B:$B,Summary_Employed!$B$2,Flat_file!$C:$C,"Women",Flat_file!$D:$D,"30-34",Flat_file!$E:$E,"453",Flat_file!$F:$F,"E")+SUMIFS(Flat_file!$H:$H,Flat_file!$B:$B,Summary_Employed!$B$2,Flat_file!$C:$C,"Women",Flat_file!$D:$D,"30-34",Flat_file!$E:$E,"454",Flat_file!$F:$F,"E")</f>
        <v>0</v>
      </c>
      <c r="J87" s="89">
        <f>SUMIFS(Flat_file!$H:$H,Flat_file!$B:$B,Summary_Employed!$B$2,Flat_file!$C:$C,"Women",Flat_file!$D:$D,"30-34",Flat_file!$E:$E,"540",Flat_file!$F:$F,"E")+SUMIFS(Flat_file!$H:$H,Flat_file!$B:$B,Summary_Employed!$B$2,Flat_file!$C:$C,"Women",Flat_file!$D:$D,"30-34",Flat_file!$E:$E,"550",Flat_file!$F:$F,"E")+SUMIFS(Flat_file!$H:$H,Flat_file!$B:$B,Summary_Employed!$B$2,Flat_file!$C:$C,"Women",Flat_file!$D:$D,"30-34",Flat_file!$E:$E,"560",Flat_file!$F:$F,"E")</f>
        <v>0</v>
      </c>
      <c r="K87" s="89">
        <f>SUMIFS(Flat_file!$H:$H,Flat_file!$B:$B,Summary_Employed!$B$2,Flat_file!$C:$C,"Women",Flat_file!$D:$D,"30-34",Flat_file!$E:$E,"640",Flat_file!$F:$F,"E")+SUMIFS(Flat_file!$H:$H,Flat_file!$B:$B,Summary_Employed!$B$2,Flat_file!$C:$C,"Women",Flat_file!$D:$D,"30-34",Flat_file!$E:$E,"650",Flat_file!$F:$F,"E")+SUMIFS(Flat_file!$H:$H,Flat_file!$B:$B,Summary_Employed!$B$2,Flat_file!$C:$C,"Women",Flat_file!$D:$D,"30-34",Flat_file!$E:$E,"660",Flat_file!$F:$F,"E")</f>
        <v>0</v>
      </c>
      <c r="L87" s="89">
        <f>SUMIFS(Flat_file!$H:$H,Flat_file!$B:$B,Summary_Employed!$B$2,Flat_file!$C:$C,"Women",Flat_file!$D:$D,"30-34",Flat_file!$E:$E,"740",Flat_file!$F:$F,"E")+SUMIFS(Flat_file!$H:$H,Flat_file!$B:$B,Summary_Employed!$B$2,Flat_file!$C:$C,"Women",Flat_file!$D:$D,"30-34",Flat_file!$E:$E,"750",Flat_file!$F:$F,"E")+SUMIFS(Flat_file!$H:$H,Flat_file!$B:$B,Summary_Employed!$B$2,Flat_file!$C:$C,"Women",Flat_file!$D:$D,"30-34",Flat_file!$E:$E,"760",Flat_file!$F:$F,"E")</f>
        <v>0</v>
      </c>
      <c r="M87" s="89">
        <f>SUMIFS(Flat_file!$H:$H,Flat_file!$B:$B,Summary_Employed!$B$2,Flat_file!$C:$C,"Women",Flat_file!$D:$D,"30-34",Flat_file!$E:$E,"840",Flat_file!$F:$F,"E")+SUMIFS(Flat_file!$H:$H,Flat_file!$B:$B,Summary_Employed!$B$2,Flat_file!$C:$C,"Women",Flat_file!$D:$D,"30-34",Flat_file!$E:$E,"850",Flat_file!$F:$F,"E")+SUMIFS(Flat_file!$H:$H,Flat_file!$B:$B,Summary_Employed!$B$2,Flat_file!$C:$C,"Women",Flat_file!$D:$D,"30-34",Flat_file!$E:$E,"860",Flat_file!$F:$F,"E")</f>
        <v>0</v>
      </c>
      <c r="N87" s="89">
        <f>SUMIFS(Flat_file!$H:$H,Flat_file!$B:$B,Summary_Employed!$B$2,Flat_file!$C:$C,"Women",Flat_file!$D:$D,"30-34",Flat_file!$E:$E,"999",Flat_file!$F:$F,"E")</f>
        <v>0</v>
      </c>
      <c r="O87" s="89">
        <f t="shared" si="68"/>
        <v>0</v>
      </c>
      <c r="P87" s="90"/>
      <c r="Q87" s="89">
        <f t="shared" si="69"/>
        <v>0</v>
      </c>
      <c r="R87" s="91"/>
      <c r="S87" s="89">
        <f t="shared" si="70"/>
        <v>0</v>
      </c>
      <c r="T87" s="89">
        <f t="shared" si="71"/>
        <v>0</v>
      </c>
      <c r="U87" s="89">
        <f t="shared" si="72"/>
        <v>0</v>
      </c>
      <c r="V87" s="90"/>
      <c r="W87" s="89">
        <f>SUMIFS(Flat_file!$H:$H,Flat_file!$B:$B,Summary_Employed!$B$2,Flat_file!$C:$C,"Women",Flat_file!$D:$D,"30-34",Flat_file!$E:$E,"343",Flat_file!$F:$F,"E")+SUMIFS(Flat_file!$H:$H,Flat_file!$B:$B,Summary_Employed!$B$2,Flat_file!$C:$C,"Women",Flat_file!$D:$D,"30-34",Flat_file!$E:$E,"344",Flat_file!$F:$F,"E")+SUMIFS(Flat_file!$H:$H,Flat_file!$B:$B,Summary_Employed!$B$2,Flat_file!$C:$C,"Women",Flat_file!$D:$D,"30-34",Flat_file!$E:$E,"443",Flat_file!$F:$F,"E")+SUMIFS(Flat_file!$H:$H,Flat_file!$B:$B,Summary_Employed!$B$2,Flat_file!$C:$C,"Women",Flat_file!$D:$D,"30-34",Flat_file!$E:$E,"444",Flat_file!$F:$F,"E")</f>
        <v>0</v>
      </c>
      <c r="X87" s="89">
        <f>SUMIFS(Flat_file!$H:$H,Flat_file!$B:$B,Summary_Employed!$B$2,Flat_file!$C:$C,"Women",Flat_file!$D:$D,"30-34",Flat_file!$E:$E,"353",Flat_file!$F:$F,"E")+SUMIFS(Flat_file!$H:$H,Flat_file!$B:$B,Summary_Employed!$B$2,Flat_file!$C:$C,"Women",Flat_file!$D:$D,"30-34",Flat_file!$E:$E,"354",Flat_file!$F:$F,"E")+SUMIFS(Flat_file!$H:$H,Flat_file!$B:$B,Summary_Employed!$B$2,Flat_file!$C:$C,"Women",Flat_file!$D:$D,"30-34",Flat_file!$E:$E,"453",Flat_file!$F:$F,"E")+SUMIFS(Flat_file!$H:$H,Flat_file!$B:$B,Summary_Employed!$B$2,Flat_file!$C:$C,"Women",Flat_file!$D:$D,"30-34",Flat_file!$E:$E,"454",Flat_file!$F:$F,"E")</f>
        <v>0</v>
      </c>
      <c r="Y87" s="90"/>
      <c r="Z87" s="89">
        <f>SUMIFS(Flat_file!$H:$H,Flat_file!$B:$B,Summary_Employed!$B$2,Flat_file!$C:$C,"Women",Flat_file!$D:$D,"30-34",Flat_file!$E:$E,"640",Flat_file!$F:$F,"E")+SUMIFS(Flat_file!$H:$H,Flat_file!$B:$B,Summary_Employed!$B$2,Flat_file!$C:$C,"Women",Flat_file!$D:$D,"30-34",Flat_file!$E:$E,"740",Flat_file!$F:$F,"E")+SUMIFS(Flat_file!$H:$H,Flat_file!$B:$B,Summary_Employed!$B$2,Flat_file!$C:$C,"Women",Flat_file!$D:$D,"30-34",Flat_file!$E:$E,"840",Flat_file!$F:$F,"E")</f>
        <v>0</v>
      </c>
      <c r="AA87" s="89">
        <f>SUMIFS(Flat_file!$H:$H,Flat_file!$B:$B,Summary_Employed!$B$2,Flat_file!$C:$C,"Women",Flat_file!$D:$D,"30-34",Flat_file!$E:$E,"650",Flat_file!$F:$F,"E")+SUMIFS(Flat_file!$H:$H,Flat_file!$B:$B,Summary_Employed!$B$2,Flat_file!$C:$C,"Women",Flat_file!$D:$D,"30-34",Flat_file!$E:$E,"750",Flat_file!$F:$F,"E")+SUMIFS(Flat_file!$H:$H,Flat_file!$B:$B,Summary_Employed!$B$2,Flat_file!$C:$C,"Women",Flat_file!$D:$D,"30-34",Flat_file!$E:$E,"850",Flat_file!$F:$F,"E")</f>
        <v>0</v>
      </c>
      <c r="AB87" s="89">
        <f>SUMIFS(Flat_file!$H:$H,Flat_file!$B:$B,Summary_Employed!$B$2,Flat_file!$C:$C,"Women",Flat_file!$D:$D,"30-34",Flat_file!$E:$E,"660",Flat_file!$F:$F,"E")+SUMIFS(Flat_file!$H:$H,Flat_file!$B:$B,Summary_Employed!$B$2,Flat_file!$C:$C,"Women",Flat_file!$D:$D,"30-34",Flat_file!$E:$E,"760",Flat_file!$F:$F,"E")+SUMIFS(Flat_file!$H:$H,Flat_file!$B:$B,Summary_Employed!$B$2,Flat_file!$C:$C,"Women",Flat_file!$D:$D,"30-34",Flat_file!$E:$E,"860",Flat_file!$F:$F,"E")</f>
        <v>0</v>
      </c>
      <c r="AC87" s="3"/>
      <c r="AD87" s="3"/>
      <c r="AE87" s="3"/>
      <c r="AF87" s="3"/>
      <c r="AG87" s="3"/>
      <c r="AH87" s="3"/>
      <c r="AI87" s="3"/>
      <c r="AJ87" s="3"/>
      <c r="AK87" s="3"/>
    </row>
    <row r="88" spans="1:37" customFormat="1" x14ac:dyDescent="0.2">
      <c r="A88" s="352"/>
      <c r="B88" s="79" t="s">
        <v>91</v>
      </c>
      <c r="C88" s="89">
        <f>SUMIFS(Flat_file!$H:$H,Flat_file!$B:$B,Summary_Employed!$B$2,Flat_file!$C:$C,"Women",Flat_file!$D:$D,"35-39",Flat_file!$E:$E,"010",Flat_file!$F:$F,"E")+SUMIFS(Flat_file!$H:$H,Flat_file!$B:$B,Summary_Employed!$B$2,Flat_file!$C:$C,"Women",Flat_file!$D:$D,"35-39",Flat_file!$E:$E,"020",Flat_file!$F:$F,"E")+SUMIFS(Flat_file!$H:$H,Flat_file!$B:$B,Summary_Employed!$B$2,Flat_file!$C:$C,"Women",Flat_file!$D:$D,"35-39",Flat_file!$E:$E,"030",Flat_file!$F:$F,"E")</f>
        <v>0</v>
      </c>
      <c r="D88" s="89">
        <f>SUMIFS(Flat_file!$H:$H,Flat_file!$B:$B,Summary_Employed!$B$2,Flat_file!$C:$C,"Women",Flat_file!$D:$D,"35-39",Flat_file!$E:$E,"100",Flat_file!$F:$F,"E")</f>
        <v>0</v>
      </c>
      <c r="E88" s="89">
        <f>SUMIFS(Flat_file!$H:$H,Flat_file!$B:$B,Summary_Employed!$B$2,Flat_file!$C:$C,"Women",Flat_file!$D:$D,"35-39",Flat_file!$E:$E,"242",Flat_file!$F:$F,"E")+SUMIFS(Flat_file!$H:$H,Flat_file!$B:$B,Summary_Employed!$B$2,Flat_file!$C:$C,"Women",Flat_file!$D:$D,"35-39",Flat_file!$E:$E,"252",Flat_file!$F:$F,"E")</f>
        <v>0</v>
      </c>
      <c r="F88" s="89">
        <f>SUMIFS(Flat_file!$H:$H,Flat_file!$B:$B,Summary_Employed!$B$2,Flat_file!$C:$C,"Women",Flat_file!$D:$D,"35-39",Flat_file!$E:$E,"243",Flat_file!$F:$F,"E")+SUMIFS(Flat_file!$H:$H,Flat_file!$B:$B,Summary_Employed!$B$2,Flat_file!$C:$C,"Women",Flat_file!$D:$D,"35-39",Flat_file!$E:$E,"244",Flat_file!$F:$F,"E")+SUMIFS(Flat_file!$H:$H,Flat_file!$B:$B,Summary_Employed!$B$2,Flat_file!$C:$C,"Women",Flat_file!$D:$D,"35-39",Flat_file!$E:$E,"253",Flat_file!$F:$F,"E")+SUMIFS(Flat_file!$H:$H,Flat_file!$B:$B,Summary_Employed!$B$2,Flat_file!$C:$C,"Women",Flat_file!$D:$D,"35-39",Flat_file!$E:$E,"254",Flat_file!$F:$F,"E")</f>
        <v>0</v>
      </c>
      <c r="G88" s="89">
        <f>SUMIFS(Flat_file!$H:$H,Flat_file!$B:$B,Summary_Employed!$B$2,Flat_file!$C:$C,"Women",Flat_file!$D:$D,"35-39",Flat_file!$E:$E,"342",Flat_file!$F:$F,"E")+SUMIFS(Flat_file!$H:$H,Flat_file!$B:$B,Summary_Employed!$B$2,Flat_file!$C:$C,"Women",Flat_file!$D:$D,"35-39",Flat_file!$E:$E,"352",Flat_file!$F:$F,"E")</f>
        <v>0</v>
      </c>
      <c r="H88" s="89">
        <f>SUMIFS(Flat_file!$H:$H,Flat_file!$B:$B,Summary_Employed!$B$2,Flat_file!$C:$C,"Women",Flat_file!$D:$D,"35-39",Flat_file!$E:$E,"343",Flat_file!$F:$F,"E")+SUMIFS(Flat_file!$H:$H,Flat_file!$B:$B,Summary_Employed!$B$2,Flat_file!$C:$C,"Women",Flat_file!$D:$D,"35-39",Flat_file!$E:$E,"344",Flat_file!$F:$F,"E")+SUMIFS(Flat_file!$H:$H,Flat_file!$B:$B,Summary_Employed!$B$2,Flat_file!$C:$C,"Women",Flat_file!$D:$D,"35-39",Flat_file!$E:$E,"353",Flat_file!$F:$F,"E")+SUMIFS(Flat_file!$H:$H,Flat_file!$B:$B,Summary_Employed!$B$2,Flat_file!$C:$C,"Women",Flat_file!$D:$D,"35-39",Flat_file!$E:$E,"354",Flat_file!$F:$F,"E")</f>
        <v>0</v>
      </c>
      <c r="I88" s="89">
        <f>SUMIFS(Flat_file!$H:$H,Flat_file!$B:$B,Summary_Employed!$B$2,Flat_file!$C:$C,"Women",Flat_file!$D:$D,"35-39",Flat_file!$E:$E,"443",Flat_file!$F:$F,"E")+SUMIFS(Flat_file!$H:$H,Flat_file!$B:$B,Summary_Employed!$B$2,Flat_file!$C:$C,"Women",Flat_file!$D:$D,"35-39",Flat_file!$E:$E,"444",Flat_file!$F:$F,"E")+SUMIFS(Flat_file!$H:$H,Flat_file!$B:$B,Summary_Employed!$B$2,Flat_file!$C:$C,"Women",Flat_file!$D:$D,"35-39",Flat_file!$E:$E,"453",Flat_file!$F:$F,"E")+SUMIFS(Flat_file!$H:$H,Flat_file!$B:$B,Summary_Employed!$B$2,Flat_file!$C:$C,"Women",Flat_file!$D:$D,"35-39",Flat_file!$E:$E,"454",Flat_file!$F:$F,"E")</f>
        <v>0</v>
      </c>
      <c r="J88" s="89">
        <f>SUMIFS(Flat_file!$H:$H,Flat_file!$B:$B,Summary_Employed!$B$2,Flat_file!$C:$C,"Women",Flat_file!$D:$D,"35-39",Flat_file!$E:$E,"540",Flat_file!$F:$F,"E")+SUMIFS(Flat_file!$H:$H,Flat_file!$B:$B,Summary_Employed!$B$2,Flat_file!$C:$C,"Women",Flat_file!$D:$D,"35-39",Flat_file!$E:$E,"550",Flat_file!$F:$F,"E")+SUMIFS(Flat_file!$H:$H,Flat_file!$B:$B,Summary_Employed!$B$2,Flat_file!$C:$C,"Women",Flat_file!$D:$D,"35-39",Flat_file!$E:$E,"560",Flat_file!$F:$F,"E")</f>
        <v>0</v>
      </c>
      <c r="K88" s="89">
        <f>SUMIFS(Flat_file!$H:$H,Flat_file!$B:$B,Summary_Employed!$B$2,Flat_file!$C:$C,"Women",Flat_file!$D:$D,"35-39",Flat_file!$E:$E,"640",Flat_file!$F:$F,"E")+SUMIFS(Flat_file!$H:$H,Flat_file!$B:$B,Summary_Employed!$B$2,Flat_file!$C:$C,"Women",Flat_file!$D:$D,"35-39",Flat_file!$E:$E,"650",Flat_file!$F:$F,"E")+SUMIFS(Flat_file!$H:$H,Flat_file!$B:$B,Summary_Employed!$B$2,Flat_file!$C:$C,"Women",Flat_file!$D:$D,"35-39",Flat_file!$E:$E,"660",Flat_file!$F:$F,"E")</f>
        <v>0</v>
      </c>
      <c r="L88" s="89">
        <f>SUMIFS(Flat_file!$H:$H,Flat_file!$B:$B,Summary_Employed!$B$2,Flat_file!$C:$C,"Women",Flat_file!$D:$D,"35-39",Flat_file!$E:$E,"740",Flat_file!$F:$F,"E")+SUMIFS(Flat_file!$H:$H,Flat_file!$B:$B,Summary_Employed!$B$2,Flat_file!$C:$C,"Women",Flat_file!$D:$D,"35-39",Flat_file!$E:$E,"750",Flat_file!$F:$F,"E")+SUMIFS(Flat_file!$H:$H,Flat_file!$B:$B,Summary_Employed!$B$2,Flat_file!$C:$C,"Women",Flat_file!$D:$D,"35-39",Flat_file!$E:$E,"760",Flat_file!$F:$F,"E")</f>
        <v>0</v>
      </c>
      <c r="M88" s="89">
        <f>SUMIFS(Flat_file!$H:$H,Flat_file!$B:$B,Summary_Employed!$B$2,Flat_file!$C:$C,"Women",Flat_file!$D:$D,"35-39",Flat_file!$E:$E,"840",Flat_file!$F:$F,"E")+SUMIFS(Flat_file!$H:$H,Flat_file!$B:$B,Summary_Employed!$B$2,Flat_file!$C:$C,"Women",Flat_file!$D:$D,"35-39",Flat_file!$E:$E,"850",Flat_file!$F:$F,"E")+SUMIFS(Flat_file!$H:$H,Flat_file!$B:$B,Summary_Employed!$B$2,Flat_file!$C:$C,"Women",Flat_file!$D:$D,"35-39",Flat_file!$E:$E,"860",Flat_file!$F:$F,"E")</f>
        <v>0</v>
      </c>
      <c r="N88" s="89">
        <f>SUMIFS(Flat_file!$H:$H,Flat_file!$B:$B,Summary_Employed!$B$2,Flat_file!$C:$C,"Women",Flat_file!$D:$D,"35-39",Flat_file!$E:$E,"999",Flat_file!$F:$F,"E")</f>
        <v>0</v>
      </c>
      <c r="O88" s="89">
        <f t="shared" si="68"/>
        <v>0</v>
      </c>
      <c r="P88" s="90"/>
      <c r="Q88" s="89">
        <f t="shared" si="69"/>
        <v>0</v>
      </c>
      <c r="R88" s="91"/>
      <c r="S88" s="89">
        <f t="shared" si="70"/>
        <v>0</v>
      </c>
      <c r="T88" s="89">
        <f t="shared" si="71"/>
        <v>0</v>
      </c>
      <c r="U88" s="89">
        <f t="shared" si="72"/>
        <v>0</v>
      </c>
      <c r="V88" s="90"/>
      <c r="W88" s="89">
        <f>SUMIFS(Flat_file!$H:$H,Flat_file!$B:$B,Summary_Employed!$B$2,Flat_file!$C:$C,"Women",Flat_file!$D:$D,"35-39",Flat_file!$E:$E,"343",Flat_file!$F:$F,"E")+SUMIFS(Flat_file!$H:$H,Flat_file!$B:$B,Summary_Employed!$B$2,Flat_file!$C:$C,"Women",Flat_file!$D:$D,"35-39",Flat_file!$E:$E,"344",Flat_file!$F:$F,"E")+SUMIFS(Flat_file!$H:$H,Flat_file!$B:$B,Summary_Employed!$B$2,Flat_file!$C:$C,"Women",Flat_file!$D:$D,"35-39",Flat_file!$E:$E,"443",Flat_file!$F:$F,"E")+SUMIFS(Flat_file!$H:$H,Flat_file!$B:$B,Summary_Employed!$B$2,Flat_file!$C:$C,"Women",Flat_file!$D:$D,"35-39",Flat_file!$E:$E,"444",Flat_file!$F:$F,"E")</f>
        <v>0</v>
      </c>
      <c r="X88" s="89">
        <f>SUMIFS(Flat_file!$H:$H,Flat_file!$B:$B,Summary_Employed!$B$2,Flat_file!$C:$C,"Women",Flat_file!$D:$D,"35-39",Flat_file!$E:$E,"353",Flat_file!$F:$F,"E")+SUMIFS(Flat_file!$H:$H,Flat_file!$B:$B,Summary_Employed!$B$2,Flat_file!$C:$C,"Women",Flat_file!$D:$D,"35-39",Flat_file!$E:$E,"354",Flat_file!$F:$F,"E")+SUMIFS(Flat_file!$H:$H,Flat_file!$B:$B,Summary_Employed!$B$2,Flat_file!$C:$C,"Women",Flat_file!$D:$D,"35-39",Flat_file!$E:$E,"453",Flat_file!$F:$F,"E")+SUMIFS(Flat_file!$H:$H,Flat_file!$B:$B,Summary_Employed!$B$2,Flat_file!$C:$C,"Women",Flat_file!$D:$D,"35-39",Flat_file!$E:$E,"454",Flat_file!$F:$F,"E")</f>
        <v>0</v>
      </c>
      <c r="Y88" s="90"/>
      <c r="Z88" s="89">
        <f>SUMIFS(Flat_file!$H:$H,Flat_file!$B:$B,Summary_Employed!$B$2,Flat_file!$C:$C,"Women",Flat_file!$D:$D,"35-39",Flat_file!$E:$E,"640",Flat_file!$F:$F,"E")+SUMIFS(Flat_file!$H:$H,Flat_file!$B:$B,Summary_Employed!$B$2,Flat_file!$C:$C,"Women",Flat_file!$D:$D,"35-39",Flat_file!$E:$E,"740",Flat_file!$F:$F,"E")+SUMIFS(Flat_file!$H:$H,Flat_file!$B:$B,Summary_Employed!$B$2,Flat_file!$C:$C,"Women",Flat_file!$D:$D,"35-39",Flat_file!$E:$E,"840",Flat_file!$F:$F,"E")</f>
        <v>0</v>
      </c>
      <c r="AA88" s="89">
        <f>SUMIFS(Flat_file!$H:$H,Flat_file!$B:$B,Summary_Employed!$B$2,Flat_file!$C:$C,"Women",Flat_file!$D:$D,"35-39",Flat_file!$E:$E,"650",Flat_file!$F:$F,"E")+SUMIFS(Flat_file!$H:$H,Flat_file!$B:$B,Summary_Employed!$B$2,Flat_file!$C:$C,"Women",Flat_file!$D:$D,"35-39",Flat_file!$E:$E,"750",Flat_file!$F:$F,"E")+SUMIFS(Flat_file!$H:$H,Flat_file!$B:$B,Summary_Employed!$B$2,Flat_file!$C:$C,"Women",Flat_file!$D:$D,"35-39",Flat_file!$E:$E,"850",Flat_file!$F:$F,"E")</f>
        <v>0</v>
      </c>
      <c r="AB88" s="89">
        <f>SUMIFS(Flat_file!$H:$H,Flat_file!$B:$B,Summary_Employed!$B$2,Flat_file!$C:$C,"Women",Flat_file!$D:$D,"35-39",Flat_file!$E:$E,"660",Flat_file!$F:$F,"E")+SUMIFS(Flat_file!$H:$H,Flat_file!$B:$B,Summary_Employed!$B$2,Flat_file!$C:$C,"Women",Flat_file!$D:$D,"35-39",Flat_file!$E:$E,"760",Flat_file!$F:$F,"E")+SUMIFS(Flat_file!$H:$H,Flat_file!$B:$B,Summary_Employed!$B$2,Flat_file!$C:$C,"Women",Flat_file!$D:$D,"35-39",Flat_file!$E:$E,"860",Flat_file!$F:$F,"E")</f>
        <v>0</v>
      </c>
      <c r="AC88" s="3"/>
      <c r="AD88" s="3"/>
      <c r="AE88" s="3"/>
      <c r="AF88" s="3"/>
      <c r="AG88" s="3"/>
      <c r="AH88" s="3"/>
      <c r="AI88" s="3"/>
      <c r="AJ88" s="3"/>
      <c r="AK88" s="3"/>
    </row>
    <row r="89" spans="1:37" customFormat="1" x14ac:dyDescent="0.2">
      <c r="A89" s="352"/>
      <c r="B89" s="79" t="s">
        <v>92</v>
      </c>
      <c r="C89" s="89">
        <f>SUMIFS(Flat_file!$H:$H,Flat_file!$B:$B,Summary_Employed!$B$2,Flat_file!$C:$C,"Women",Flat_file!$D:$D,"40-44",Flat_file!$E:$E,"010",Flat_file!$F:$F,"E")+SUMIFS(Flat_file!$H:$H,Flat_file!$B:$B,Summary_Employed!$B$2,Flat_file!$C:$C,"Women",Flat_file!$D:$D,"40-44",Flat_file!$E:$E,"020",Flat_file!$F:$F,"E")+SUMIFS(Flat_file!$H:$H,Flat_file!$B:$B,Summary_Employed!$B$2,Flat_file!$C:$C,"Women",Flat_file!$D:$D,"40-44",Flat_file!$E:$E,"030",Flat_file!$F:$F,"E")</f>
        <v>0</v>
      </c>
      <c r="D89" s="89">
        <f>SUMIFS(Flat_file!$H:$H,Flat_file!$B:$B,Summary_Employed!$B$2,Flat_file!$C:$C,"Women",Flat_file!$D:$D,"40-44",Flat_file!$E:$E,"100",Flat_file!$F:$F,"E")</f>
        <v>0</v>
      </c>
      <c r="E89" s="89">
        <f>SUMIFS(Flat_file!$H:$H,Flat_file!$B:$B,Summary_Employed!$B$2,Flat_file!$C:$C,"Women",Flat_file!$D:$D,"40-44",Flat_file!$E:$E,"242",Flat_file!$F:$F,"E")+SUMIFS(Flat_file!$H:$H,Flat_file!$B:$B,Summary_Employed!$B$2,Flat_file!$C:$C,"Women",Flat_file!$D:$D,"40-44",Flat_file!$E:$E,"252",Flat_file!$F:$F,"E")</f>
        <v>0</v>
      </c>
      <c r="F89" s="89">
        <f>SUMIFS(Flat_file!$H:$H,Flat_file!$B:$B,Summary_Employed!$B$2,Flat_file!$C:$C,"Women",Flat_file!$D:$D,"40-44",Flat_file!$E:$E,"243",Flat_file!$F:$F,"E")+SUMIFS(Flat_file!$H:$H,Flat_file!$B:$B,Summary_Employed!$B$2,Flat_file!$C:$C,"Women",Flat_file!$D:$D,"40-44",Flat_file!$E:$E,"244",Flat_file!$F:$F,"E")+SUMIFS(Flat_file!$H:$H,Flat_file!$B:$B,Summary_Employed!$B$2,Flat_file!$C:$C,"Women",Flat_file!$D:$D,"40-44",Flat_file!$E:$E,"253",Flat_file!$F:$F,"E")+SUMIFS(Flat_file!$H:$H,Flat_file!$B:$B,Summary_Employed!$B$2,Flat_file!$C:$C,"Women",Flat_file!$D:$D,"40-44",Flat_file!$E:$E,"254",Flat_file!$F:$F,"E")</f>
        <v>0</v>
      </c>
      <c r="G89" s="89">
        <f>SUMIFS(Flat_file!$H:$H,Flat_file!$B:$B,Summary_Employed!$B$2,Flat_file!$C:$C,"Women",Flat_file!$D:$D,"40-44",Flat_file!$E:$E,"342",Flat_file!$F:$F,"E")+SUMIFS(Flat_file!$H:$H,Flat_file!$B:$B,Summary_Employed!$B$2,Flat_file!$C:$C,"Women",Flat_file!$D:$D,"40-44",Flat_file!$E:$E,"352",Flat_file!$F:$F,"E")</f>
        <v>0</v>
      </c>
      <c r="H89" s="89">
        <f>SUMIFS(Flat_file!$H:$H,Flat_file!$B:$B,Summary_Employed!$B$2,Flat_file!$C:$C,"Women",Flat_file!$D:$D,"40-44",Flat_file!$E:$E,"343",Flat_file!$F:$F,"E")+SUMIFS(Flat_file!$H:$H,Flat_file!$B:$B,Summary_Employed!$B$2,Flat_file!$C:$C,"Women",Flat_file!$D:$D,"40-44",Flat_file!$E:$E,"344",Flat_file!$F:$F,"E")+SUMIFS(Flat_file!$H:$H,Flat_file!$B:$B,Summary_Employed!$B$2,Flat_file!$C:$C,"Women",Flat_file!$D:$D,"40-44",Flat_file!$E:$E,"353",Flat_file!$F:$F,"E")+SUMIFS(Flat_file!$H:$H,Flat_file!$B:$B,Summary_Employed!$B$2,Flat_file!$C:$C,"Women",Flat_file!$D:$D,"40-44",Flat_file!$E:$E,"354",Flat_file!$F:$F,"E")</f>
        <v>0</v>
      </c>
      <c r="I89" s="89">
        <f>SUMIFS(Flat_file!$H:$H,Flat_file!$B:$B,Summary_Employed!$B$2,Flat_file!$C:$C,"Women",Flat_file!$D:$D,"40-44",Flat_file!$E:$E,"443",Flat_file!$F:$F,"E")+SUMIFS(Flat_file!$H:$H,Flat_file!$B:$B,Summary_Employed!$B$2,Flat_file!$C:$C,"Women",Flat_file!$D:$D,"40-44",Flat_file!$E:$E,"444",Flat_file!$F:$F,"E")+SUMIFS(Flat_file!$H:$H,Flat_file!$B:$B,Summary_Employed!$B$2,Flat_file!$C:$C,"Women",Flat_file!$D:$D,"40-44",Flat_file!$E:$E,"453",Flat_file!$F:$F,"E")+SUMIFS(Flat_file!$H:$H,Flat_file!$B:$B,Summary_Employed!$B$2,Flat_file!$C:$C,"Women",Flat_file!$D:$D,"40-44",Flat_file!$E:$E,"454",Flat_file!$F:$F,"E")</f>
        <v>0</v>
      </c>
      <c r="J89" s="89">
        <f>SUMIFS(Flat_file!$H:$H,Flat_file!$B:$B,Summary_Employed!$B$2,Flat_file!$C:$C,"Women",Flat_file!$D:$D,"40-44",Flat_file!$E:$E,"540",Flat_file!$F:$F,"E")+SUMIFS(Flat_file!$H:$H,Flat_file!$B:$B,Summary_Employed!$B$2,Flat_file!$C:$C,"Women",Flat_file!$D:$D,"40-44",Flat_file!$E:$E,"550",Flat_file!$F:$F,"E")+SUMIFS(Flat_file!$H:$H,Flat_file!$B:$B,Summary_Employed!$B$2,Flat_file!$C:$C,"Women",Flat_file!$D:$D,"40-44",Flat_file!$E:$E,"560",Flat_file!$F:$F,"E")</f>
        <v>0</v>
      </c>
      <c r="K89" s="89">
        <f>SUMIFS(Flat_file!$H:$H,Flat_file!$B:$B,Summary_Employed!$B$2,Flat_file!$C:$C,"Women",Flat_file!$D:$D,"40-44",Flat_file!$E:$E,"640",Flat_file!$F:$F,"E")+SUMIFS(Flat_file!$H:$H,Flat_file!$B:$B,Summary_Employed!$B$2,Flat_file!$C:$C,"Women",Flat_file!$D:$D,"40-44",Flat_file!$E:$E,"650",Flat_file!$F:$F,"E")+SUMIFS(Flat_file!$H:$H,Flat_file!$B:$B,Summary_Employed!$B$2,Flat_file!$C:$C,"Women",Flat_file!$D:$D,"40-44",Flat_file!$E:$E,"660",Flat_file!$F:$F,"E")</f>
        <v>0</v>
      </c>
      <c r="L89" s="89">
        <f>SUMIFS(Flat_file!$H:$H,Flat_file!$B:$B,Summary_Employed!$B$2,Flat_file!$C:$C,"Women",Flat_file!$D:$D,"40-44",Flat_file!$E:$E,"740",Flat_file!$F:$F,"E")+SUMIFS(Flat_file!$H:$H,Flat_file!$B:$B,Summary_Employed!$B$2,Flat_file!$C:$C,"Women",Flat_file!$D:$D,"40-44",Flat_file!$E:$E,"750",Flat_file!$F:$F,"E")+SUMIFS(Flat_file!$H:$H,Flat_file!$B:$B,Summary_Employed!$B$2,Flat_file!$C:$C,"Women",Flat_file!$D:$D,"40-44",Flat_file!$E:$E,"760",Flat_file!$F:$F,"E")</f>
        <v>0</v>
      </c>
      <c r="M89" s="89">
        <f>SUMIFS(Flat_file!$H:$H,Flat_file!$B:$B,Summary_Employed!$B$2,Flat_file!$C:$C,"Women",Flat_file!$D:$D,"40-44",Flat_file!$E:$E,"840",Flat_file!$F:$F,"E")+SUMIFS(Flat_file!$H:$H,Flat_file!$B:$B,Summary_Employed!$B$2,Flat_file!$C:$C,"Women",Flat_file!$D:$D,"40-44",Flat_file!$E:$E,"850",Flat_file!$F:$F,"E")+SUMIFS(Flat_file!$H:$H,Flat_file!$B:$B,Summary_Employed!$B$2,Flat_file!$C:$C,"Women",Flat_file!$D:$D,"40-44",Flat_file!$E:$E,"860",Flat_file!$F:$F,"E")</f>
        <v>0</v>
      </c>
      <c r="N89" s="89">
        <f>SUMIFS(Flat_file!$H:$H,Flat_file!$B:$B,Summary_Employed!$B$2,Flat_file!$C:$C,"Women",Flat_file!$D:$D,"40-44",Flat_file!$E:$E,"999",Flat_file!$F:$F,"E")</f>
        <v>0</v>
      </c>
      <c r="O89" s="89">
        <f t="shared" si="68"/>
        <v>0</v>
      </c>
      <c r="P89" s="90"/>
      <c r="Q89" s="89">
        <f t="shared" si="69"/>
        <v>0</v>
      </c>
      <c r="R89" s="91"/>
      <c r="S89" s="89">
        <f t="shared" si="70"/>
        <v>0</v>
      </c>
      <c r="T89" s="89">
        <f t="shared" si="71"/>
        <v>0</v>
      </c>
      <c r="U89" s="89">
        <f t="shared" si="72"/>
        <v>0</v>
      </c>
      <c r="V89" s="90"/>
      <c r="W89" s="89">
        <f>SUMIFS(Flat_file!$H:$H,Flat_file!$B:$B,Summary_Employed!$B$2,Flat_file!$C:$C,"Women",Flat_file!$D:$D,"40-44",Flat_file!$E:$E,"343",Flat_file!$F:$F,"E")+SUMIFS(Flat_file!$H:$H,Flat_file!$B:$B,Summary_Employed!$B$2,Flat_file!$C:$C,"Women",Flat_file!$D:$D,"40-44",Flat_file!$E:$E,"344",Flat_file!$F:$F,"E")+SUMIFS(Flat_file!$H:$H,Flat_file!$B:$B,Summary_Employed!$B$2,Flat_file!$C:$C,"Women",Flat_file!$D:$D,"40-44",Flat_file!$E:$E,"443",Flat_file!$F:$F,"E")+SUMIFS(Flat_file!$H:$H,Flat_file!$B:$B,Summary_Employed!$B$2,Flat_file!$C:$C,"Women",Flat_file!$D:$D,"40-44",Flat_file!$E:$E,"444",Flat_file!$F:$F,"E")</f>
        <v>0</v>
      </c>
      <c r="X89" s="89">
        <f>SUMIFS(Flat_file!$H:$H,Flat_file!$B:$B,Summary_Employed!$B$2,Flat_file!$C:$C,"Women",Flat_file!$D:$D,"40-44",Flat_file!$E:$E,"353",Flat_file!$F:$F,"E")+SUMIFS(Flat_file!$H:$H,Flat_file!$B:$B,Summary_Employed!$B$2,Flat_file!$C:$C,"Women",Flat_file!$D:$D,"40-44",Flat_file!$E:$E,"354",Flat_file!$F:$F,"E")+SUMIFS(Flat_file!$H:$H,Flat_file!$B:$B,Summary_Employed!$B$2,Flat_file!$C:$C,"Women",Flat_file!$D:$D,"40-44",Flat_file!$E:$E,"453",Flat_file!$F:$F,"E")+SUMIFS(Flat_file!$H:$H,Flat_file!$B:$B,Summary_Employed!$B$2,Flat_file!$C:$C,"Women",Flat_file!$D:$D,"40-44",Flat_file!$E:$E,"454",Flat_file!$F:$F,"E")</f>
        <v>0</v>
      </c>
      <c r="Y89" s="90"/>
      <c r="Z89" s="89">
        <f>SUMIFS(Flat_file!$H:$H,Flat_file!$B:$B,Summary_Employed!$B$2,Flat_file!$C:$C,"Women",Flat_file!$D:$D,"40-44",Flat_file!$E:$E,"640",Flat_file!$F:$F,"E")+SUMIFS(Flat_file!$H:$H,Flat_file!$B:$B,Summary_Employed!$B$2,Flat_file!$C:$C,"Women",Flat_file!$D:$D,"40-44",Flat_file!$E:$E,"740",Flat_file!$F:$F,"E")+SUMIFS(Flat_file!$H:$H,Flat_file!$B:$B,Summary_Employed!$B$2,Flat_file!$C:$C,"Women",Flat_file!$D:$D,"40-44",Flat_file!$E:$E,"840",Flat_file!$F:$F,"E")</f>
        <v>0</v>
      </c>
      <c r="AA89" s="89">
        <f>SUMIFS(Flat_file!$H:$H,Flat_file!$B:$B,Summary_Employed!$B$2,Flat_file!$C:$C,"Women",Flat_file!$D:$D,"40-44",Flat_file!$E:$E,"650",Flat_file!$F:$F,"E")+SUMIFS(Flat_file!$H:$H,Flat_file!$B:$B,Summary_Employed!$B$2,Flat_file!$C:$C,"Women",Flat_file!$D:$D,"40-44",Flat_file!$E:$E,"750",Flat_file!$F:$F,"E")+SUMIFS(Flat_file!$H:$H,Flat_file!$B:$B,Summary_Employed!$B$2,Flat_file!$C:$C,"Women",Flat_file!$D:$D,"40-44",Flat_file!$E:$E,"850",Flat_file!$F:$F,"E")</f>
        <v>0</v>
      </c>
      <c r="AB89" s="89">
        <f>SUMIFS(Flat_file!$H:$H,Flat_file!$B:$B,Summary_Employed!$B$2,Flat_file!$C:$C,"Women",Flat_file!$D:$D,"40-44",Flat_file!$E:$E,"660",Flat_file!$F:$F,"E")+SUMIFS(Flat_file!$H:$H,Flat_file!$B:$B,Summary_Employed!$B$2,Flat_file!$C:$C,"Women",Flat_file!$D:$D,"40-44",Flat_file!$E:$E,"760",Flat_file!$F:$F,"E")+SUMIFS(Flat_file!$H:$H,Flat_file!$B:$B,Summary_Employed!$B$2,Flat_file!$C:$C,"Women",Flat_file!$D:$D,"40-44",Flat_file!$E:$E,"860",Flat_file!$F:$F,"E")</f>
        <v>0</v>
      </c>
      <c r="AC89" s="3"/>
      <c r="AD89" s="3"/>
      <c r="AE89" s="3"/>
      <c r="AF89" s="3"/>
      <c r="AG89" s="3"/>
      <c r="AH89" s="3"/>
      <c r="AI89" s="3"/>
      <c r="AJ89" s="3"/>
      <c r="AK89" s="3"/>
    </row>
    <row r="90" spans="1:37" customFormat="1" x14ac:dyDescent="0.2">
      <c r="A90" s="352"/>
      <c r="B90" s="79" t="s">
        <v>93</v>
      </c>
      <c r="C90" s="89">
        <f>SUMIFS(Flat_file!$H:$H,Flat_file!$B:$B,Summary_Employed!$B$2,Flat_file!$C:$C,"Women",Flat_file!$D:$D,"45-49",Flat_file!$E:$E,"010",Flat_file!$F:$F,"E")+SUMIFS(Flat_file!$H:$H,Flat_file!$B:$B,Summary_Employed!$B$2,Flat_file!$C:$C,"Women",Flat_file!$D:$D,"45-49",Flat_file!$E:$E,"020",Flat_file!$F:$F,"E")+SUMIFS(Flat_file!$H:$H,Flat_file!$B:$B,Summary_Employed!$B$2,Flat_file!$C:$C,"Women",Flat_file!$D:$D,"45-49",Flat_file!$E:$E,"030",Flat_file!$F:$F,"E")</f>
        <v>0</v>
      </c>
      <c r="D90" s="89">
        <f>SUMIFS(Flat_file!$H:$H,Flat_file!$B:$B,Summary_Employed!$B$2,Flat_file!$C:$C,"Women",Flat_file!$D:$D,"45-49",Flat_file!$E:$E,"100",Flat_file!$F:$F,"E")</f>
        <v>0</v>
      </c>
      <c r="E90" s="89">
        <f>SUMIFS(Flat_file!$H:$H,Flat_file!$B:$B,Summary_Employed!$B$2,Flat_file!$C:$C,"Women",Flat_file!$D:$D,"45-49",Flat_file!$E:$E,"242",Flat_file!$F:$F,"E")+SUMIFS(Flat_file!$H:$H,Flat_file!$B:$B,Summary_Employed!$B$2,Flat_file!$C:$C,"Women",Flat_file!$D:$D,"45-49",Flat_file!$E:$E,"252",Flat_file!$F:$F,"E")</f>
        <v>0</v>
      </c>
      <c r="F90" s="89">
        <f>SUMIFS(Flat_file!$H:$H,Flat_file!$B:$B,Summary_Employed!$B$2,Flat_file!$C:$C,"Women",Flat_file!$D:$D,"45-49",Flat_file!$E:$E,"243",Flat_file!$F:$F,"E")+SUMIFS(Flat_file!$H:$H,Flat_file!$B:$B,Summary_Employed!$B$2,Flat_file!$C:$C,"Women",Flat_file!$D:$D,"45-49",Flat_file!$E:$E,"244",Flat_file!$F:$F,"E")+SUMIFS(Flat_file!$H:$H,Flat_file!$B:$B,Summary_Employed!$B$2,Flat_file!$C:$C,"Women",Flat_file!$D:$D,"45-49",Flat_file!$E:$E,"253",Flat_file!$F:$F,"E")+SUMIFS(Flat_file!$H:$H,Flat_file!$B:$B,Summary_Employed!$B$2,Flat_file!$C:$C,"Women",Flat_file!$D:$D,"45-49",Flat_file!$E:$E,"254",Flat_file!$F:$F,"E")</f>
        <v>0</v>
      </c>
      <c r="G90" s="89">
        <f>SUMIFS(Flat_file!$H:$H,Flat_file!$B:$B,Summary_Employed!$B$2,Flat_file!$C:$C,"Women",Flat_file!$D:$D,"45-49",Flat_file!$E:$E,"342",Flat_file!$F:$F,"E")+SUMIFS(Flat_file!$H:$H,Flat_file!$B:$B,Summary_Employed!$B$2,Flat_file!$C:$C,"Women",Flat_file!$D:$D,"45-49",Flat_file!$E:$E,"352",Flat_file!$F:$F,"E")</f>
        <v>0</v>
      </c>
      <c r="H90" s="89">
        <f>SUMIFS(Flat_file!$H:$H,Flat_file!$B:$B,Summary_Employed!$B$2,Flat_file!$C:$C,"Women",Flat_file!$D:$D,"45-49",Flat_file!$E:$E,"343",Flat_file!$F:$F,"E")+SUMIFS(Flat_file!$H:$H,Flat_file!$B:$B,Summary_Employed!$B$2,Flat_file!$C:$C,"Women",Flat_file!$D:$D,"45-49",Flat_file!$E:$E,"344",Flat_file!$F:$F,"E")+SUMIFS(Flat_file!$H:$H,Flat_file!$B:$B,Summary_Employed!$B$2,Flat_file!$C:$C,"Women",Flat_file!$D:$D,"45-49",Flat_file!$E:$E,"353",Flat_file!$F:$F,"E")+SUMIFS(Flat_file!$H:$H,Flat_file!$B:$B,Summary_Employed!$B$2,Flat_file!$C:$C,"Women",Flat_file!$D:$D,"45-49",Flat_file!$E:$E,"354",Flat_file!$F:$F,"E")</f>
        <v>0</v>
      </c>
      <c r="I90" s="89">
        <f>SUMIFS(Flat_file!$H:$H,Flat_file!$B:$B,Summary_Employed!$B$2,Flat_file!$C:$C,"Women",Flat_file!$D:$D,"45-49",Flat_file!$E:$E,"443",Flat_file!$F:$F,"E")+SUMIFS(Flat_file!$H:$H,Flat_file!$B:$B,Summary_Employed!$B$2,Flat_file!$C:$C,"Women",Flat_file!$D:$D,"45-49",Flat_file!$E:$E,"444",Flat_file!$F:$F,"E")+SUMIFS(Flat_file!$H:$H,Flat_file!$B:$B,Summary_Employed!$B$2,Flat_file!$C:$C,"Women",Flat_file!$D:$D,"45-49",Flat_file!$E:$E,"453",Flat_file!$F:$F,"E")+SUMIFS(Flat_file!$H:$H,Flat_file!$B:$B,Summary_Employed!$B$2,Flat_file!$C:$C,"Women",Flat_file!$D:$D,"45-49",Flat_file!$E:$E,"454",Flat_file!$F:$F,"E")</f>
        <v>0</v>
      </c>
      <c r="J90" s="89">
        <f>SUMIFS(Flat_file!$H:$H,Flat_file!$B:$B,Summary_Employed!$B$2,Flat_file!$C:$C,"Women",Flat_file!$D:$D,"45-49",Flat_file!$E:$E,"540",Flat_file!$F:$F,"E")+SUMIFS(Flat_file!$H:$H,Flat_file!$B:$B,Summary_Employed!$B$2,Flat_file!$C:$C,"Women",Flat_file!$D:$D,"45-49",Flat_file!$E:$E,"550",Flat_file!$F:$F,"E")+SUMIFS(Flat_file!$H:$H,Flat_file!$B:$B,Summary_Employed!$B$2,Flat_file!$C:$C,"Women",Flat_file!$D:$D,"45-49",Flat_file!$E:$E,"560",Flat_file!$F:$F,"E")</f>
        <v>0</v>
      </c>
      <c r="K90" s="89">
        <f>SUMIFS(Flat_file!$H:$H,Flat_file!$B:$B,Summary_Employed!$B$2,Flat_file!$C:$C,"Women",Flat_file!$D:$D,"45-49",Flat_file!$E:$E,"640",Flat_file!$F:$F,"E")+SUMIFS(Flat_file!$H:$H,Flat_file!$B:$B,Summary_Employed!$B$2,Flat_file!$C:$C,"Women",Flat_file!$D:$D,"45-49",Flat_file!$E:$E,"650",Flat_file!$F:$F,"E")+SUMIFS(Flat_file!$H:$H,Flat_file!$B:$B,Summary_Employed!$B$2,Flat_file!$C:$C,"Women",Flat_file!$D:$D,"45-49",Flat_file!$E:$E,"660",Flat_file!$F:$F,"E")</f>
        <v>0</v>
      </c>
      <c r="L90" s="89">
        <f>SUMIFS(Flat_file!$H:$H,Flat_file!$B:$B,Summary_Employed!$B$2,Flat_file!$C:$C,"Women",Flat_file!$D:$D,"45-49",Flat_file!$E:$E,"740",Flat_file!$F:$F,"E")+SUMIFS(Flat_file!$H:$H,Flat_file!$B:$B,Summary_Employed!$B$2,Flat_file!$C:$C,"Women",Flat_file!$D:$D,"45-49",Flat_file!$E:$E,"750",Flat_file!$F:$F,"E")+SUMIFS(Flat_file!$H:$H,Flat_file!$B:$B,Summary_Employed!$B$2,Flat_file!$C:$C,"Women",Flat_file!$D:$D,"45-49",Flat_file!$E:$E,"760",Flat_file!$F:$F,"E")</f>
        <v>0</v>
      </c>
      <c r="M90" s="89">
        <f>SUMIFS(Flat_file!$H:$H,Flat_file!$B:$B,Summary_Employed!$B$2,Flat_file!$C:$C,"Women",Flat_file!$D:$D,"45-49",Flat_file!$E:$E,"840",Flat_file!$F:$F,"E")+SUMIFS(Flat_file!$H:$H,Flat_file!$B:$B,Summary_Employed!$B$2,Flat_file!$C:$C,"Women",Flat_file!$D:$D,"45-49",Flat_file!$E:$E,"850",Flat_file!$F:$F,"E")+SUMIFS(Flat_file!$H:$H,Flat_file!$B:$B,Summary_Employed!$B$2,Flat_file!$C:$C,"Women",Flat_file!$D:$D,"45-49",Flat_file!$E:$E,"860",Flat_file!$F:$F,"E")</f>
        <v>0</v>
      </c>
      <c r="N90" s="89">
        <f>SUMIFS(Flat_file!$H:$H,Flat_file!$B:$B,Summary_Employed!$B$2,Flat_file!$C:$C,"Women",Flat_file!$D:$D,"45-49",Flat_file!$E:$E,"999",Flat_file!$F:$F,"E")</f>
        <v>0</v>
      </c>
      <c r="O90" s="89">
        <f t="shared" si="68"/>
        <v>0</v>
      </c>
      <c r="P90" s="90"/>
      <c r="Q90" s="89">
        <f t="shared" si="69"/>
        <v>0</v>
      </c>
      <c r="R90" s="91"/>
      <c r="S90" s="89">
        <f t="shared" si="70"/>
        <v>0</v>
      </c>
      <c r="T90" s="89">
        <f t="shared" si="71"/>
        <v>0</v>
      </c>
      <c r="U90" s="89">
        <f t="shared" si="72"/>
        <v>0</v>
      </c>
      <c r="V90" s="90"/>
      <c r="W90" s="89">
        <f>SUMIFS(Flat_file!$H:$H,Flat_file!$B:$B,Summary_Employed!$B$2,Flat_file!$C:$C,"Women",Flat_file!$D:$D,"45-49",Flat_file!$E:$E,"343",Flat_file!$F:$F,"E")+SUMIFS(Flat_file!$H:$H,Flat_file!$B:$B,Summary_Employed!$B$2,Flat_file!$C:$C,"Women",Flat_file!$D:$D,"45-49",Flat_file!$E:$E,"344",Flat_file!$F:$F,"E")+SUMIFS(Flat_file!$H:$H,Flat_file!$B:$B,Summary_Employed!$B$2,Flat_file!$C:$C,"Women",Flat_file!$D:$D,"45-49",Flat_file!$E:$E,"443",Flat_file!$F:$F,"E")+SUMIFS(Flat_file!$H:$H,Flat_file!$B:$B,Summary_Employed!$B$2,Flat_file!$C:$C,"Women",Flat_file!$D:$D,"45-49",Flat_file!$E:$E,"444",Flat_file!$F:$F,"E")</f>
        <v>0</v>
      </c>
      <c r="X90" s="89">
        <f>SUMIFS(Flat_file!$H:$H,Flat_file!$B:$B,Summary_Employed!$B$2,Flat_file!$C:$C,"Women",Flat_file!$D:$D,"45-49",Flat_file!$E:$E,"353",Flat_file!$F:$F,"E")+SUMIFS(Flat_file!$H:$H,Flat_file!$B:$B,Summary_Employed!$B$2,Flat_file!$C:$C,"Women",Flat_file!$D:$D,"45-49",Flat_file!$E:$E,"354",Flat_file!$F:$F,"E")+SUMIFS(Flat_file!$H:$H,Flat_file!$B:$B,Summary_Employed!$B$2,Flat_file!$C:$C,"Women",Flat_file!$D:$D,"45-49",Flat_file!$E:$E,"453",Flat_file!$F:$F,"E")+SUMIFS(Flat_file!$H:$H,Flat_file!$B:$B,Summary_Employed!$B$2,Flat_file!$C:$C,"Women",Flat_file!$D:$D,"45-49",Flat_file!$E:$E,"454",Flat_file!$F:$F,"E")</f>
        <v>0</v>
      </c>
      <c r="Y90" s="90"/>
      <c r="Z90" s="89">
        <f>SUMIFS(Flat_file!$H:$H,Flat_file!$B:$B,Summary_Employed!$B$2,Flat_file!$C:$C,"Women",Flat_file!$D:$D,"45-49",Flat_file!$E:$E,"640",Flat_file!$F:$F,"E")+SUMIFS(Flat_file!$H:$H,Flat_file!$B:$B,Summary_Employed!$B$2,Flat_file!$C:$C,"Women",Flat_file!$D:$D,"45-49",Flat_file!$E:$E,"740",Flat_file!$F:$F,"E")+SUMIFS(Flat_file!$H:$H,Flat_file!$B:$B,Summary_Employed!$B$2,Flat_file!$C:$C,"Women",Flat_file!$D:$D,"45-49",Flat_file!$E:$E,"840",Flat_file!$F:$F,"E")</f>
        <v>0</v>
      </c>
      <c r="AA90" s="89">
        <f>SUMIFS(Flat_file!$H:$H,Flat_file!$B:$B,Summary_Employed!$B$2,Flat_file!$C:$C,"Women",Flat_file!$D:$D,"45-49",Flat_file!$E:$E,"650",Flat_file!$F:$F,"E")+SUMIFS(Flat_file!$H:$H,Flat_file!$B:$B,Summary_Employed!$B$2,Flat_file!$C:$C,"Women",Flat_file!$D:$D,"45-49",Flat_file!$E:$E,"750",Flat_file!$F:$F,"E")+SUMIFS(Flat_file!$H:$H,Flat_file!$B:$B,Summary_Employed!$B$2,Flat_file!$C:$C,"Women",Flat_file!$D:$D,"45-49",Flat_file!$E:$E,"850",Flat_file!$F:$F,"E")</f>
        <v>0</v>
      </c>
      <c r="AB90" s="89">
        <f>SUMIFS(Flat_file!$H:$H,Flat_file!$B:$B,Summary_Employed!$B$2,Flat_file!$C:$C,"Women",Flat_file!$D:$D,"45-49",Flat_file!$E:$E,"660",Flat_file!$F:$F,"E")+SUMIFS(Flat_file!$H:$H,Flat_file!$B:$B,Summary_Employed!$B$2,Flat_file!$C:$C,"Women",Flat_file!$D:$D,"45-49",Flat_file!$E:$E,"760",Flat_file!$F:$F,"E")+SUMIFS(Flat_file!$H:$H,Flat_file!$B:$B,Summary_Employed!$B$2,Flat_file!$C:$C,"Women",Flat_file!$D:$D,"45-49",Flat_file!$E:$E,"860",Flat_file!$F:$F,"E")</f>
        <v>0</v>
      </c>
      <c r="AC90" s="3"/>
      <c r="AD90" s="3"/>
      <c r="AE90" s="3"/>
      <c r="AF90" s="3"/>
      <c r="AG90" s="3"/>
      <c r="AH90" s="3"/>
      <c r="AI90" s="3"/>
      <c r="AJ90" s="3"/>
      <c r="AK90" s="3"/>
    </row>
    <row r="91" spans="1:37" customFormat="1" x14ac:dyDescent="0.2">
      <c r="A91" s="352"/>
      <c r="B91" s="79" t="s">
        <v>94</v>
      </c>
      <c r="C91" s="89">
        <f>SUMIFS(Flat_file!$H:$H,Flat_file!$B:$B,Summary_Employed!$B$2,Flat_file!$C:$C,"Women",Flat_file!$D:$D,"50-54",Flat_file!$E:$E,"010",Flat_file!$F:$F,"E")+SUMIFS(Flat_file!$H:$H,Flat_file!$B:$B,Summary_Employed!$B$2,Flat_file!$C:$C,"Women",Flat_file!$D:$D,"50-54",Flat_file!$E:$E,"020",Flat_file!$F:$F,"E")+SUMIFS(Flat_file!$H:$H,Flat_file!$B:$B,Summary_Employed!$B$2,Flat_file!$C:$C,"Women",Flat_file!$D:$D,"50-54",Flat_file!$E:$E,"030",Flat_file!$F:$F,"E")</f>
        <v>0</v>
      </c>
      <c r="D91" s="89">
        <f>SUMIFS(Flat_file!$H:$H,Flat_file!$B:$B,Summary_Employed!$B$2,Flat_file!$C:$C,"Women",Flat_file!$D:$D,"50-54",Flat_file!$E:$E,"100",Flat_file!$F:$F,"E")</f>
        <v>0</v>
      </c>
      <c r="E91" s="89">
        <f>SUMIFS(Flat_file!$H:$H,Flat_file!$B:$B,Summary_Employed!$B$2,Flat_file!$C:$C,"Women",Flat_file!$D:$D,"50-54",Flat_file!$E:$E,"242",Flat_file!$F:$F,"E")+SUMIFS(Flat_file!$H:$H,Flat_file!$B:$B,Summary_Employed!$B$2,Flat_file!$C:$C,"Women",Flat_file!$D:$D,"50-54",Flat_file!$E:$E,"252",Flat_file!$F:$F,"E")</f>
        <v>0</v>
      </c>
      <c r="F91" s="89">
        <f>SUMIFS(Flat_file!$H:$H,Flat_file!$B:$B,Summary_Employed!$B$2,Flat_file!$C:$C,"Women",Flat_file!$D:$D,"50-54",Flat_file!$E:$E,"243",Flat_file!$F:$F,"E")+SUMIFS(Flat_file!$H:$H,Flat_file!$B:$B,Summary_Employed!$B$2,Flat_file!$C:$C,"Women",Flat_file!$D:$D,"50-54",Flat_file!$E:$E,"244",Flat_file!$F:$F,"E")+SUMIFS(Flat_file!$H:$H,Flat_file!$B:$B,Summary_Employed!$B$2,Flat_file!$C:$C,"Women",Flat_file!$D:$D,"50-54",Flat_file!$E:$E,"253",Flat_file!$F:$F,"E")+SUMIFS(Flat_file!$H:$H,Flat_file!$B:$B,Summary_Employed!$B$2,Flat_file!$C:$C,"Women",Flat_file!$D:$D,"50-54",Flat_file!$E:$E,"254",Flat_file!$F:$F,"E")</f>
        <v>0</v>
      </c>
      <c r="G91" s="89">
        <f>SUMIFS(Flat_file!$H:$H,Flat_file!$B:$B,Summary_Employed!$B$2,Flat_file!$C:$C,"Women",Flat_file!$D:$D,"50-54",Flat_file!$E:$E,"342",Flat_file!$F:$F,"E")+SUMIFS(Flat_file!$H:$H,Flat_file!$B:$B,Summary_Employed!$B$2,Flat_file!$C:$C,"Women",Flat_file!$D:$D,"50-54",Flat_file!$E:$E,"352",Flat_file!$F:$F,"E")</f>
        <v>0</v>
      </c>
      <c r="H91" s="89">
        <f>SUMIFS(Flat_file!$H:$H,Flat_file!$B:$B,Summary_Employed!$B$2,Flat_file!$C:$C,"Women",Flat_file!$D:$D,"50-54",Flat_file!$E:$E,"343",Flat_file!$F:$F,"E")+SUMIFS(Flat_file!$H:$H,Flat_file!$B:$B,Summary_Employed!$B$2,Flat_file!$C:$C,"Women",Flat_file!$D:$D,"50-54",Flat_file!$E:$E,"344",Flat_file!$F:$F,"E")+SUMIFS(Flat_file!$H:$H,Flat_file!$B:$B,Summary_Employed!$B$2,Flat_file!$C:$C,"Women",Flat_file!$D:$D,"50-54",Flat_file!$E:$E,"353",Flat_file!$F:$F,"E")+SUMIFS(Flat_file!$H:$H,Flat_file!$B:$B,Summary_Employed!$B$2,Flat_file!$C:$C,"Women",Flat_file!$D:$D,"50-54",Flat_file!$E:$E,"354",Flat_file!$F:$F,"E")</f>
        <v>0</v>
      </c>
      <c r="I91" s="89">
        <f>SUMIFS(Flat_file!$H:$H,Flat_file!$B:$B,Summary_Employed!$B$2,Flat_file!$C:$C,"Women",Flat_file!$D:$D,"50-54",Flat_file!$E:$E,"443",Flat_file!$F:$F,"E")+SUMIFS(Flat_file!$H:$H,Flat_file!$B:$B,Summary_Employed!$B$2,Flat_file!$C:$C,"Women",Flat_file!$D:$D,"50-54",Flat_file!$E:$E,"444",Flat_file!$F:$F,"E")+SUMIFS(Flat_file!$H:$H,Flat_file!$B:$B,Summary_Employed!$B$2,Flat_file!$C:$C,"Women",Flat_file!$D:$D,"50-54",Flat_file!$E:$E,"453",Flat_file!$F:$F,"E")+SUMIFS(Flat_file!$H:$H,Flat_file!$B:$B,Summary_Employed!$B$2,Flat_file!$C:$C,"Women",Flat_file!$D:$D,"50-54",Flat_file!$E:$E,"454",Flat_file!$F:$F,"E")</f>
        <v>0</v>
      </c>
      <c r="J91" s="89">
        <f>SUMIFS(Flat_file!$H:$H,Flat_file!$B:$B,Summary_Employed!$B$2,Flat_file!$C:$C,"Women",Flat_file!$D:$D,"50-54",Flat_file!$E:$E,"540",Flat_file!$F:$F,"E")+SUMIFS(Flat_file!$H:$H,Flat_file!$B:$B,Summary_Employed!$B$2,Flat_file!$C:$C,"Women",Flat_file!$D:$D,"50-54",Flat_file!$E:$E,"550",Flat_file!$F:$F,"E")+SUMIFS(Flat_file!$H:$H,Flat_file!$B:$B,Summary_Employed!$B$2,Flat_file!$C:$C,"Women",Flat_file!$D:$D,"50-54",Flat_file!$E:$E,"560",Flat_file!$F:$F,"E")</f>
        <v>0</v>
      </c>
      <c r="K91" s="89">
        <f>SUMIFS(Flat_file!$H:$H,Flat_file!$B:$B,Summary_Employed!$B$2,Flat_file!$C:$C,"Women",Flat_file!$D:$D,"50-54",Flat_file!$E:$E,"640",Flat_file!$F:$F,"E")+SUMIFS(Flat_file!$H:$H,Flat_file!$B:$B,Summary_Employed!$B$2,Flat_file!$C:$C,"Women",Flat_file!$D:$D,"50-54",Flat_file!$E:$E,"650",Flat_file!$F:$F,"E")+SUMIFS(Flat_file!$H:$H,Flat_file!$B:$B,Summary_Employed!$B$2,Flat_file!$C:$C,"Women",Flat_file!$D:$D,"50-54",Flat_file!$E:$E,"660",Flat_file!$F:$F,"E")</f>
        <v>0</v>
      </c>
      <c r="L91" s="89">
        <f>SUMIFS(Flat_file!$H:$H,Flat_file!$B:$B,Summary_Employed!$B$2,Flat_file!$C:$C,"Women",Flat_file!$D:$D,"50-54",Flat_file!$E:$E,"740",Flat_file!$F:$F,"E")+SUMIFS(Flat_file!$H:$H,Flat_file!$B:$B,Summary_Employed!$B$2,Flat_file!$C:$C,"Women",Flat_file!$D:$D,"50-54",Flat_file!$E:$E,"750",Flat_file!$F:$F,"E")+SUMIFS(Flat_file!$H:$H,Flat_file!$B:$B,Summary_Employed!$B$2,Flat_file!$C:$C,"Women",Flat_file!$D:$D,"50-54",Flat_file!$E:$E,"760",Flat_file!$F:$F,"E")</f>
        <v>0</v>
      </c>
      <c r="M91" s="89">
        <f>SUMIFS(Flat_file!$H:$H,Flat_file!$B:$B,Summary_Employed!$B$2,Flat_file!$C:$C,"Women",Flat_file!$D:$D,"50-54",Flat_file!$E:$E,"840",Flat_file!$F:$F,"E")+SUMIFS(Flat_file!$H:$H,Flat_file!$B:$B,Summary_Employed!$B$2,Flat_file!$C:$C,"Women",Flat_file!$D:$D,"50-54",Flat_file!$E:$E,"850",Flat_file!$F:$F,"E")+SUMIFS(Flat_file!$H:$H,Flat_file!$B:$B,Summary_Employed!$B$2,Flat_file!$C:$C,"Women",Flat_file!$D:$D,"50-54",Flat_file!$E:$E,"860",Flat_file!$F:$F,"E")</f>
        <v>0</v>
      </c>
      <c r="N91" s="89">
        <f>SUMIFS(Flat_file!$H:$H,Flat_file!$B:$B,Summary_Employed!$B$2,Flat_file!$C:$C,"Women",Flat_file!$D:$D,"50-54",Flat_file!$E:$E,"999",Flat_file!$F:$F,"E")</f>
        <v>0</v>
      </c>
      <c r="O91" s="89">
        <f t="shared" si="68"/>
        <v>0</v>
      </c>
      <c r="P91" s="90"/>
      <c r="Q91" s="89">
        <f t="shared" si="69"/>
        <v>0</v>
      </c>
      <c r="R91" s="91"/>
      <c r="S91" s="89">
        <f t="shared" si="70"/>
        <v>0</v>
      </c>
      <c r="T91" s="89">
        <f t="shared" si="71"/>
        <v>0</v>
      </c>
      <c r="U91" s="89">
        <f t="shared" si="72"/>
        <v>0</v>
      </c>
      <c r="V91" s="90"/>
      <c r="W91" s="89">
        <f>SUMIFS(Flat_file!$H:$H,Flat_file!$B:$B,Summary_Employed!$B$2,Flat_file!$C:$C,"Women",Flat_file!$D:$D,"50-54",Flat_file!$E:$E,"343",Flat_file!$F:$F,"E")+SUMIFS(Flat_file!$H:$H,Flat_file!$B:$B,Summary_Employed!$B$2,Flat_file!$C:$C,"Women",Flat_file!$D:$D,"50-54",Flat_file!$E:$E,"344",Flat_file!$F:$F,"E")+SUMIFS(Flat_file!$H:$H,Flat_file!$B:$B,Summary_Employed!$B$2,Flat_file!$C:$C,"Women",Flat_file!$D:$D,"50-54",Flat_file!$E:$E,"443",Flat_file!$F:$F,"E")+SUMIFS(Flat_file!$H:$H,Flat_file!$B:$B,Summary_Employed!$B$2,Flat_file!$C:$C,"Women",Flat_file!$D:$D,"50-54",Flat_file!$E:$E,"444",Flat_file!$F:$F,"E")</f>
        <v>0</v>
      </c>
      <c r="X91" s="89">
        <f>SUMIFS(Flat_file!$H:$H,Flat_file!$B:$B,Summary_Employed!$B$2,Flat_file!$C:$C,"Women",Flat_file!$D:$D,"50-54",Flat_file!$E:$E,"353",Flat_file!$F:$F,"E")+SUMIFS(Flat_file!$H:$H,Flat_file!$B:$B,Summary_Employed!$B$2,Flat_file!$C:$C,"Women",Flat_file!$D:$D,"50-54",Flat_file!$E:$E,"354",Flat_file!$F:$F,"E")+SUMIFS(Flat_file!$H:$H,Flat_file!$B:$B,Summary_Employed!$B$2,Flat_file!$C:$C,"Women",Flat_file!$D:$D,"50-54",Flat_file!$E:$E,"453",Flat_file!$F:$F,"E")+SUMIFS(Flat_file!$H:$H,Flat_file!$B:$B,Summary_Employed!$B$2,Flat_file!$C:$C,"Women",Flat_file!$D:$D,"50-54",Flat_file!$E:$E,"454",Flat_file!$F:$F,"E")</f>
        <v>0</v>
      </c>
      <c r="Y91" s="90"/>
      <c r="Z91" s="89">
        <f>SUMIFS(Flat_file!$H:$H,Flat_file!$B:$B,Summary_Employed!$B$2,Flat_file!$C:$C,"Women",Flat_file!$D:$D,"50-54",Flat_file!$E:$E,"640",Flat_file!$F:$F,"E")+SUMIFS(Flat_file!$H:$H,Flat_file!$B:$B,Summary_Employed!$B$2,Flat_file!$C:$C,"Women",Flat_file!$D:$D,"50-54",Flat_file!$E:$E,"740",Flat_file!$F:$F,"E")+SUMIFS(Flat_file!$H:$H,Flat_file!$B:$B,Summary_Employed!$B$2,Flat_file!$C:$C,"Women",Flat_file!$D:$D,"50-54",Flat_file!$E:$E,"840",Flat_file!$F:$F,"E")</f>
        <v>0</v>
      </c>
      <c r="AA91" s="89">
        <f>SUMIFS(Flat_file!$H:$H,Flat_file!$B:$B,Summary_Employed!$B$2,Flat_file!$C:$C,"Women",Flat_file!$D:$D,"50-54",Flat_file!$E:$E,"650",Flat_file!$F:$F,"E")+SUMIFS(Flat_file!$H:$H,Flat_file!$B:$B,Summary_Employed!$B$2,Flat_file!$C:$C,"Women",Flat_file!$D:$D,"50-54",Flat_file!$E:$E,"750",Flat_file!$F:$F,"E")+SUMIFS(Flat_file!$H:$H,Flat_file!$B:$B,Summary_Employed!$B$2,Flat_file!$C:$C,"Women",Flat_file!$D:$D,"50-54",Flat_file!$E:$E,"850",Flat_file!$F:$F,"E")</f>
        <v>0</v>
      </c>
      <c r="AB91" s="89">
        <f>SUMIFS(Flat_file!$H:$H,Flat_file!$B:$B,Summary_Employed!$B$2,Flat_file!$C:$C,"Women",Flat_file!$D:$D,"50-54",Flat_file!$E:$E,"660",Flat_file!$F:$F,"E")+SUMIFS(Flat_file!$H:$H,Flat_file!$B:$B,Summary_Employed!$B$2,Flat_file!$C:$C,"Women",Flat_file!$D:$D,"50-54",Flat_file!$E:$E,"760",Flat_file!$F:$F,"E")+SUMIFS(Flat_file!$H:$H,Flat_file!$B:$B,Summary_Employed!$B$2,Flat_file!$C:$C,"Women",Flat_file!$D:$D,"50-54",Flat_file!$E:$E,"860",Flat_file!$F:$F,"E")</f>
        <v>0</v>
      </c>
      <c r="AC91" s="3"/>
      <c r="AD91" s="3"/>
      <c r="AE91" s="3"/>
      <c r="AF91" s="3"/>
      <c r="AG91" s="3"/>
      <c r="AH91" s="3"/>
      <c r="AI91" s="3"/>
      <c r="AJ91" s="3"/>
      <c r="AK91" s="3"/>
    </row>
    <row r="92" spans="1:37" customFormat="1" x14ac:dyDescent="0.2">
      <c r="A92" s="352"/>
      <c r="B92" s="79" t="s">
        <v>95</v>
      </c>
      <c r="C92" s="89">
        <f>SUMIFS(Flat_file!$H:$H,Flat_file!$B:$B,Summary_Employed!$B$2,Flat_file!$C:$C,"Women",Flat_file!$D:$D,"55-59",Flat_file!$E:$E,"010",Flat_file!$F:$F,"E")+SUMIFS(Flat_file!$H:$H,Flat_file!$B:$B,Summary_Employed!$B$2,Flat_file!$C:$C,"Women",Flat_file!$D:$D,"55-59",Flat_file!$E:$E,"020",Flat_file!$F:$F,"E")+SUMIFS(Flat_file!$H:$H,Flat_file!$B:$B,Summary_Employed!$B$2,Flat_file!$C:$C,"Women",Flat_file!$D:$D,"55-59",Flat_file!$E:$E,"030",Flat_file!$F:$F,"E")</f>
        <v>0</v>
      </c>
      <c r="D92" s="89">
        <f>SUMIFS(Flat_file!$H:$H,Flat_file!$B:$B,Summary_Employed!$B$2,Flat_file!$C:$C,"Women",Flat_file!$D:$D,"55-59",Flat_file!$E:$E,"100",Flat_file!$F:$F,"E")</f>
        <v>0</v>
      </c>
      <c r="E92" s="89">
        <f>SUMIFS(Flat_file!$H:$H,Flat_file!$B:$B,Summary_Employed!$B$2,Flat_file!$C:$C,"Women",Flat_file!$D:$D,"55-59",Flat_file!$E:$E,"242",Flat_file!$F:$F,"E")+SUMIFS(Flat_file!$H:$H,Flat_file!$B:$B,Summary_Employed!$B$2,Flat_file!$C:$C,"Women",Flat_file!$D:$D,"55-59",Flat_file!$E:$E,"252",Flat_file!$F:$F,"E")</f>
        <v>0</v>
      </c>
      <c r="F92" s="89">
        <f>SUMIFS(Flat_file!$H:$H,Flat_file!$B:$B,Summary_Employed!$B$2,Flat_file!$C:$C,"Women",Flat_file!$D:$D,"55-59",Flat_file!$E:$E,"243",Flat_file!$F:$F,"E")+SUMIFS(Flat_file!$H:$H,Flat_file!$B:$B,Summary_Employed!$B$2,Flat_file!$C:$C,"Women",Flat_file!$D:$D,"55-59",Flat_file!$E:$E,"244",Flat_file!$F:$F,"E")+SUMIFS(Flat_file!$H:$H,Flat_file!$B:$B,Summary_Employed!$B$2,Flat_file!$C:$C,"Women",Flat_file!$D:$D,"55-59",Flat_file!$E:$E,"253",Flat_file!$F:$F,"E")+SUMIFS(Flat_file!$H:$H,Flat_file!$B:$B,Summary_Employed!$B$2,Flat_file!$C:$C,"Women",Flat_file!$D:$D,"55-59",Flat_file!$E:$E,"254",Flat_file!$F:$F,"E")</f>
        <v>0</v>
      </c>
      <c r="G92" s="89">
        <f>SUMIFS(Flat_file!$H:$H,Flat_file!$B:$B,Summary_Employed!$B$2,Flat_file!$C:$C,"Women",Flat_file!$D:$D,"55-59",Flat_file!$E:$E,"342",Flat_file!$F:$F,"E")+SUMIFS(Flat_file!$H:$H,Flat_file!$B:$B,Summary_Employed!$B$2,Flat_file!$C:$C,"Women",Flat_file!$D:$D,"55-59",Flat_file!$E:$E,"352",Flat_file!$F:$F,"E")</f>
        <v>0</v>
      </c>
      <c r="H92" s="89">
        <f>SUMIFS(Flat_file!$H:$H,Flat_file!$B:$B,Summary_Employed!$B$2,Flat_file!$C:$C,"Women",Flat_file!$D:$D,"55-59",Flat_file!$E:$E,"343",Flat_file!$F:$F,"E")+SUMIFS(Flat_file!$H:$H,Flat_file!$B:$B,Summary_Employed!$B$2,Flat_file!$C:$C,"Women",Flat_file!$D:$D,"55-59",Flat_file!$E:$E,"344",Flat_file!$F:$F,"E")+SUMIFS(Flat_file!$H:$H,Flat_file!$B:$B,Summary_Employed!$B$2,Flat_file!$C:$C,"Women",Flat_file!$D:$D,"55-59",Flat_file!$E:$E,"353",Flat_file!$F:$F,"E")+SUMIFS(Flat_file!$H:$H,Flat_file!$B:$B,Summary_Employed!$B$2,Flat_file!$C:$C,"Women",Flat_file!$D:$D,"55-59",Flat_file!$E:$E,"354",Flat_file!$F:$F,"E")</f>
        <v>0</v>
      </c>
      <c r="I92" s="89">
        <f>SUMIFS(Flat_file!$H:$H,Flat_file!$B:$B,Summary_Employed!$B$2,Flat_file!$C:$C,"Women",Flat_file!$D:$D,"55-59",Flat_file!$E:$E,"443",Flat_file!$F:$F,"E")+SUMIFS(Flat_file!$H:$H,Flat_file!$B:$B,Summary_Employed!$B$2,Flat_file!$C:$C,"Women",Flat_file!$D:$D,"55-59",Flat_file!$E:$E,"444",Flat_file!$F:$F,"E")+SUMIFS(Flat_file!$H:$H,Flat_file!$B:$B,Summary_Employed!$B$2,Flat_file!$C:$C,"Women",Flat_file!$D:$D,"55-59",Flat_file!$E:$E,"453",Flat_file!$F:$F,"E")+SUMIFS(Flat_file!$H:$H,Flat_file!$B:$B,Summary_Employed!$B$2,Flat_file!$C:$C,"Women",Flat_file!$D:$D,"55-59",Flat_file!$E:$E,"454",Flat_file!$F:$F,"E")</f>
        <v>0</v>
      </c>
      <c r="J92" s="89">
        <f>SUMIFS(Flat_file!$H:$H,Flat_file!$B:$B,Summary_Employed!$B$2,Flat_file!$C:$C,"Women",Flat_file!$D:$D,"55-59",Flat_file!$E:$E,"540",Flat_file!$F:$F,"E")+SUMIFS(Flat_file!$H:$H,Flat_file!$B:$B,Summary_Employed!$B$2,Flat_file!$C:$C,"Women",Flat_file!$D:$D,"55-59",Flat_file!$E:$E,"550",Flat_file!$F:$F,"E")+SUMIFS(Flat_file!$H:$H,Flat_file!$B:$B,Summary_Employed!$B$2,Flat_file!$C:$C,"Women",Flat_file!$D:$D,"55-59",Flat_file!$E:$E,"560",Flat_file!$F:$F,"E")</f>
        <v>0</v>
      </c>
      <c r="K92" s="89">
        <f>SUMIFS(Flat_file!$H:$H,Flat_file!$B:$B,Summary_Employed!$B$2,Flat_file!$C:$C,"Women",Flat_file!$D:$D,"55-59",Flat_file!$E:$E,"640",Flat_file!$F:$F,"E")+SUMIFS(Flat_file!$H:$H,Flat_file!$B:$B,Summary_Employed!$B$2,Flat_file!$C:$C,"Women",Flat_file!$D:$D,"55-59",Flat_file!$E:$E,"650",Flat_file!$F:$F,"E")+SUMIFS(Flat_file!$H:$H,Flat_file!$B:$B,Summary_Employed!$B$2,Flat_file!$C:$C,"Women",Flat_file!$D:$D,"55-59",Flat_file!$E:$E,"660",Flat_file!$F:$F,"E")</f>
        <v>0</v>
      </c>
      <c r="L92" s="89">
        <f>SUMIFS(Flat_file!$H:$H,Flat_file!$B:$B,Summary_Employed!$B$2,Flat_file!$C:$C,"Women",Flat_file!$D:$D,"55-59",Flat_file!$E:$E,"740",Flat_file!$F:$F,"E")+SUMIFS(Flat_file!$H:$H,Flat_file!$B:$B,Summary_Employed!$B$2,Flat_file!$C:$C,"Women",Flat_file!$D:$D,"55-59",Flat_file!$E:$E,"750",Flat_file!$F:$F,"E")+SUMIFS(Flat_file!$H:$H,Flat_file!$B:$B,Summary_Employed!$B$2,Flat_file!$C:$C,"Women",Flat_file!$D:$D,"55-59",Flat_file!$E:$E,"760",Flat_file!$F:$F,"E")</f>
        <v>0</v>
      </c>
      <c r="M92" s="89">
        <f>SUMIFS(Flat_file!$H:$H,Flat_file!$B:$B,Summary_Employed!$B$2,Flat_file!$C:$C,"Women",Flat_file!$D:$D,"55-59",Flat_file!$E:$E,"840",Flat_file!$F:$F,"E")+SUMIFS(Flat_file!$H:$H,Flat_file!$B:$B,Summary_Employed!$B$2,Flat_file!$C:$C,"Women",Flat_file!$D:$D,"55-59",Flat_file!$E:$E,"850",Flat_file!$F:$F,"E")+SUMIFS(Flat_file!$H:$H,Flat_file!$B:$B,Summary_Employed!$B$2,Flat_file!$C:$C,"Women",Flat_file!$D:$D,"55-59",Flat_file!$E:$E,"860",Flat_file!$F:$F,"E")</f>
        <v>0</v>
      </c>
      <c r="N92" s="89">
        <f>SUMIFS(Flat_file!$H:$H,Flat_file!$B:$B,Summary_Employed!$B$2,Flat_file!$C:$C,"Women",Flat_file!$D:$D,"55-59",Flat_file!$E:$E,"999",Flat_file!$F:$F,"E")</f>
        <v>0</v>
      </c>
      <c r="O92" s="89">
        <f t="shared" si="68"/>
        <v>0</v>
      </c>
      <c r="P92" s="90"/>
      <c r="Q92" s="89">
        <f t="shared" si="69"/>
        <v>0</v>
      </c>
      <c r="R92" s="91"/>
      <c r="S92" s="89">
        <f t="shared" si="70"/>
        <v>0</v>
      </c>
      <c r="T92" s="89">
        <f t="shared" si="71"/>
        <v>0</v>
      </c>
      <c r="U92" s="89">
        <f t="shared" si="72"/>
        <v>0</v>
      </c>
      <c r="V92" s="90"/>
      <c r="W92" s="89">
        <f>SUMIFS(Flat_file!$H:$H,Flat_file!$B:$B,Summary_Employed!$B$2,Flat_file!$C:$C,"Women",Flat_file!$D:$D,"55-59",Flat_file!$E:$E,"343",Flat_file!$F:$F,"E")+SUMIFS(Flat_file!$H:$H,Flat_file!$B:$B,Summary_Employed!$B$2,Flat_file!$C:$C,"Women",Flat_file!$D:$D,"55-59",Flat_file!$E:$E,"344",Flat_file!$F:$F,"E")+SUMIFS(Flat_file!$H:$H,Flat_file!$B:$B,Summary_Employed!$B$2,Flat_file!$C:$C,"Women",Flat_file!$D:$D,"55-59",Flat_file!$E:$E,"443",Flat_file!$F:$F,"E")+SUMIFS(Flat_file!$H:$H,Flat_file!$B:$B,Summary_Employed!$B$2,Flat_file!$C:$C,"Women",Flat_file!$D:$D,"55-59",Flat_file!$E:$E,"444",Flat_file!$F:$F,"E")</f>
        <v>0</v>
      </c>
      <c r="X92" s="89">
        <f>SUMIFS(Flat_file!$H:$H,Flat_file!$B:$B,Summary_Employed!$B$2,Flat_file!$C:$C,"Women",Flat_file!$D:$D,"55-59",Flat_file!$E:$E,"353",Flat_file!$F:$F,"E")+SUMIFS(Flat_file!$H:$H,Flat_file!$B:$B,Summary_Employed!$B$2,Flat_file!$C:$C,"Women",Flat_file!$D:$D,"55-59",Flat_file!$E:$E,"354",Flat_file!$F:$F,"E")+SUMIFS(Flat_file!$H:$H,Flat_file!$B:$B,Summary_Employed!$B$2,Flat_file!$C:$C,"Women",Flat_file!$D:$D,"55-59",Flat_file!$E:$E,"453",Flat_file!$F:$F,"E")+SUMIFS(Flat_file!$H:$H,Flat_file!$B:$B,Summary_Employed!$B$2,Flat_file!$C:$C,"Women",Flat_file!$D:$D,"55-59",Flat_file!$E:$E,"454",Flat_file!$F:$F,"E")</f>
        <v>0</v>
      </c>
      <c r="Y92" s="90"/>
      <c r="Z92" s="89">
        <f>SUMIFS(Flat_file!$H:$H,Flat_file!$B:$B,Summary_Employed!$B$2,Flat_file!$C:$C,"Women",Flat_file!$D:$D,"55-59",Flat_file!$E:$E,"640",Flat_file!$F:$F,"E")+SUMIFS(Flat_file!$H:$H,Flat_file!$B:$B,Summary_Employed!$B$2,Flat_file!$C:$C,"Women",Flat_file!$D:$D,"55-59",Flat_file!$E:$E,"740",Flat_file!$F:$F,"E")+SUMIFS(Flat_file!$H:$H,Flat_file!$B:$B,Summary_Employed!$B$2,Flat_file!$C:$C,"Women",Flat_file!$D:$D,"55-59",Flat_file!$E:$E,"840",Flat_file!$F:$F,"E")</f>
        <v>0</v>
      </c>
      <c r="AA92" s="89">
        <f>SUMIFS(Flat_file!$H:$H,Flat_file!$B:$B,Summary_Employed!$B$2,Flat_file!$C:$C,"Women",Flat_file!$D:$D,"55-59",Flat_file!$E:$E,"650",Flat_file!$F:$F,"E")+SUMIFS(Flat_file!$H:$H,Flat_file!$B:$B,Summary_Employed!$B$2,Flat_file!$C:$C,"Women",Flat_file!$D:$D,"55-59",Flat_file!$E:$E,"750",Flat_file!$F:$F,"E")+SUMIFS(Flat_file!$H:$H,Flat_file!$B:$B,Summary_Employed!$B$2,Flat_file!$C:$C,"Women",Flat_file!$D:$D,"55-59",Flat_file!$E:$E,"850",Flat_file!$F:$F,"E")</f>
        <v>0</v>
      </c>
      <c r="AB92" s="89">
        <f>SUMIFS(Flat_file!$H:$H,Flat_file!$B:$B,Summary_Employed!$B$2,Flat_file!$C:$C,"Women",Flat_file!$D:$D,"55-59",Flat_file!$E:$E,"660",Flat_file!$F:$F,"E")+SUMIFS(Flat_file!$H:$H,Flat_file!$B:$B,Summary_Employed!$B$2,Flat_file!$C:$C,"Women",Flat_file!$D:$D,"55-59",Flat_file!$E:$E,"760",Flat_file!$F:$F,"E")+SUMIFS(Flat_file!$H:$H,Flat_file!$B:$B,Summary_Employed!$B$2,Flat_file!$C:$C,"Women",Flat_file!$D:$D,"55-59",Flat_file!$E:$E,"860",Flat_file!$F:$F,"E")</f>
        <v>0</v>
      </c>
      <c r="AC92" s="3"/>
      <c r="AD92" s="3"/>
      <c r="AE92" s="3"/>
      <c r="AF92" s="3"/>
      <c r="AG92" s="3"/>
      <c r="AH92" s="3"/>
      <c r="AI92" s="3"/>
      <c r="AJ92" s="3"/>
      <c r="AK92" s="3"/>
    </row>
    <row r="93" spans="1:37" customFormat="1" x14ac:dyDescent="0.2">
      <c r="A93" s="352"/>
      <c r="B93" s="79" t="s">
        <v>96</v>
      </c>
      <c r="C93" s="89">
        <f>SUMIFS(Flat_file!$H:$H,Flat_file!$B:$B,Summary_Employed!$B$2,Flat_file!$C:$C,"Women",Flat_file!$D:$D,"60-64",Flat_file!$E:$E,"010",Flat_file!$F:$F,"E")+SUMIFS(Flat_file!$H:$H,Flat_file!$B:$B,Summary_Employed!$B$2,Flat_file!$C:$C,"Women",Flat_file!$D:$D,"60-64",Flat_file!$E:$E,"020",Flat_file!$F:$F,"E")+SUMIFS(Flat_file!$H:$H,Flat_file!$B:$B,Summary_Employed!$B$2,Flat_file!$C:$C,"Women",Flat_file!$D:$D,"60-64",Flat_file!$E:$E,"030",Flat_file!$F:$F,"E")</f>
        <v>0</v>
      </c>
      <c r="D93" s="89">
        <f>SUMIFS(Flat_file!$H:$H,Flat_file!$B:$B,Summary_Employed!$B$2,Flat_file!$C:$C,"Women",Flat_file!$D:$D,"60-64",Flat_file!$E:$E,"100",Flat_file!$F:$F,"E")</f>
        <v>0</v>
      </c>
      <c r="E93" s="89">
        <f>SUMIFS(Flat_file!$H:$H,Flat_file!$B:$B,Summary_Employed!$B$2,Flat_file!$C:$C,"Women",Flat_file!$D:$D,"60-64",Flat_file!$E:$E,"242",Flat_file!$F:$F,"E")+SUMIFS(Flat_file!$H:$H,Flat_file!$B:$B,Summary_Employed!$B$2,Flat_file!$C:$C,"Women",Flat_file!$D:$D,"60-64",Flat_file!$E:$E,"252",Flat_file!$F:$F,"E")</f>
        <v>0</v>
      </c>
      <c r="F93" s="89">
        <f>SUMIFS(Flat_file!$H:$H,Flat_file!$B:$B,Summary_Employed!$B$2,Flat_file!$C:$C,"Women",Flat_file!$D:$D,"60-64",Flat_file!$E:$E,"243",Flat_file!$F:$F,"E")+SUMIFS(Flat_file!$H:$H,Flat_file!$B:$B,Summary_Employed!$B$2,Flat_file!$C:$C,"Women",Flat_file!$D:$D,"60-64",Flat_file!$E:$E,"244",Flat_file!$F:$F,"E")+SUMIFS(Flat_file!$H:$H,Flat_file!$B:$B,Summary_Employed!$B$2,Flat_file!$C:$C,"Women",Flat_file!$D:$D,"60-64",Flat_file!$E:$E,"253",Flat_file!$F:$F,"E")+SUMIFS(Flat_file!$H:$H,Flat_file!$B:$B,Summary_Employed!$B$2,Flat_file!$C:$C,"Women",Flat_file!$D:$D,"60-64",Flat_file!$E:$E,"254",Flat_file!$F:$F,"E")</f>
        <v>0</v>
      </c>
      <c r="G93" s="89">
        <f>SUMIFS(Flat_file!$H:$H,Flat_file!$B:$B,Summary_Employed!$B$2,Flat_file!$C:$C,"Women",Flat_file!$D:$D,"60-64",Flat_file!$E:$E,"342",Flat_file!$F:$F,"E")+SUMIFS(Flat_file!$H:$H,Flat_file!$B:$B,Summary_Employed!$B$2,Flat_file!$C:$C,"Women",Flat_file!$D:$D,"60-64",Flat_file!$E:$E,"352",Flat_file!$F:$F,"E")</f>
        <v>0</v>
      </c>
      <c r="H93" s="89">
        <f>SUMIFS(Flat_file!$H:$H,Flat_file!$B:$B,Summary_Employed!$B$2,Flat_file!$C:$C,"Women",Flat_file!$D:$D,"60-64",Flat_file!$E:$E,"343",Flat_file!$F:$F,"E")+SUMIFS(Flat_file!$H:$H,Flat_file!$B:$B,Summary_Employed!$B$2,Flat_file!$C:$C,"Women",Flat_file!$D:$D,"60-64",Flat_file!$E:$E,"344",Flat_file!$F:$F,"E")+SUMIFS(Flat_file!$H:$H,Flat_file!$B:$B,Summary_Employed!$B$2,Flat_file!$C:$C,"Women",Flat_file!$D:$D,"60-64",Flat_file!$E:$E,"353",Flat_file!$F:$F,"E")+SUMIFS(Flat_file!$H:$H,Flat_file!$B:$B,Summary_Employed!$B$2,Flat_file!$C:$C,"Women",Flat_file!$D:$D,"60-64",Flat_file!$E:$E,"354",Flat_file!$F:$F,"E")</f>
        <v>0</v>
      </c>
      <c r="I93" s="89">
        <f>SUMIFS(Flat_file!$H:$H,Flat_file!$B:$B,Summary_Employed!$B$2,Flat_file!$C:$C,"Women",Flat_file!$D:$D,"60-64",Flat_file!$E:$E,"443",Flat_file!$F:$F,"E")+SUMIFS(Flat_file!$H:$H,Flat_file!$B:$B,Summary_Employed!$B$2,Flat_file!$C:$C,"Women",Flat_file!$D:$D,"60-64",Flat_file!$E:$E,"444",Flat_file!$F:$F,"E")+SUMIFS(Flat_file!$H:$H,Flat_file!$B:$B,Summary_Employed!$B$2,Flat_file!$C:$C,"Women",Flat_file!$D:$D,"60-64",Flat_file!$E:$E,"453",Flat_file!$F:$F,"E")+SUMIFS(Flat_file!$H:$H,Flat_file!$B:$B,Summary_Employed!$B$2,Flat_file!$C:$C,"Women",Flat_file!$D:$D,"60-64",Flat_file!$E:$E,"454",Flat_file!$F:$F,"E")</f>
        <v>0</v>
      </c>
      <c r="J93" s="89">
        <f>SUMIFS(Flat_file!$H:$H,Flat_file!$B:$B,Summary_Employed!$B$2,Flat_file!$C:$C,"Women",Flat_file!$D:$D,"60-64",Flat_file!$E:$E,"540",Flat_file!$F:$F,"E")+SUMIFS(Flat_file!$H:$H,Flat_file!$B:$B,Summary_Employed!$B$2,Flat_file!$C:$C,"Women",Flat_file!$D:$D,"60-64",Flat_file!$E:$E,"550",Flat_file!$F:$F,"E")+SUMIFS(Flat_file!$H:$H,Flat_file!$B:$B,Summary_Employed!$B$2,Flat_file!$C:$C,"Women",Flat_file!$D:$D,"60-64",Flat_file!$E:$E,"560",Flat_file!$F:$F,"E")</f>
        <v>0</v>
      </c>
      <c r="K93" s="89">
        <f>SUMIFS(Flat_file!$H:$H,Flat_file!$B:$B,Summary_Employed!$B$2,Flat_file!$C:$C,"Women",Flat_file!$D:$D,"60-64",Flat_file!$E:$E,"640",Flat_file!$F:$F,"E")+SUMIFS(Flat_file!$H:$H,Flat_file!$B:$B,Summary_Employed!$B$2,Flat_file!$C:$C,"Women",Flat_file!$D:$D,"60-64",Flat_file!$E:$E,"650",Flat_file!$F:$F,"E")+SUMIFS(Flat_file!$H:$H,Flat_file!$B:$B,Summary_Employed!$B$2,Flat_file!$C:$C,"Women",Flat_file!$D:$D,"60-64",Flat_file!$E:$E,"660",Flat_file!$F:$F,"E")</f>
        <v>0</v>
      </c>
      <c r="L93" s="89">
        <f>SUMIFS(Flat_file!$H:$H,Flat_file!$B:$B,Summary_Employed!$B$2,Flat_file!$C:$C,"Women",Flat_file!$D:$D,"60-64",Flat_file!$E:$E,"740",Flat_file!$F:$F,"E")+SUMIFS(Flat_file!$H:$H,Flat_file!$B:$B,Summary_Employed!$B$2,Flat_file!$C:$C,"Women",Flat_file!$D:$D,"60-64",Flat_file!$E:$E,"750",Flat_file!$F:$F,"E")+SUMIFS(Flat_file!$H:$H,Flat_file!$B:$B,Summary_Employed!$B$2,Flat_file!$C:$C,"Women",Flat_file!$D:$D,"60-64",Flat_file!$E:$E,"760",Flat_file!$F:$F,"E")</f>
        <v>0</v>
      </c>
      <c r="M93" s="89">
        <f>SUMIFS(Flat_file!$H:$H,Flat_file!$B:$B,Summary_Employed!$B$2,Flat_file!$C:$C,"Women",Flat_file!$D:$D,"60-64",Flat_file!$E:$E,"840",Flat_file!$F:$F,"E")+SUMIFS(Flat_file!$H:$H,Flat_file!$B:$B,Summary_Employed!$B$2,Flat_file!$C:$C,"Women",Flat_file!$D:$D,"60-64",Flat_file!$E:$E,"850",Flat_file!$F:$F,"E")+SUMIFS(Flat_file!$H:$H,Flat_file!$B:$B,Summary_Employed!$B$2,Flat_file!$C:$C,"Women",Flat_file!$D:$D,"60-64",Flat_file!$E:$E,"860",Flat_file!$F:$F,"E")</f>
        <v>0</v>
      </c>
      <c r="N93" s="89">
        <f>SUMIFS(Flat_file!$H:$H,Flat_file!$B:$B,Summary_Employed!$B$2,Flat_file!$C:$C,"Women",Flat_file!$D:$D,"60-64",Flat_file!$E:$E,"999",Flat_file!$F:$F,"E")</f>
        <v>0</v>
      </c>
      <c r="O93" s="89">
        <f t="shared" si="68"/>
        <v>0</v>
      </c>
      <c r="P93" s="90"/>
      <c r="Q93" s="89">
        <f t="shared" si="69"/>
        <v>0</v>
      </c>
      <c r="R93" s="91"/>
      <c r="S93" s="89">
        <f t="shared" si="70"/>
        <v>0</v>
      </c>
      <c r="T93" s="89">
        <f t="shared" si="71"/>
        <v>0</v>
      </c>
      <c r="U93" s="89">
        <f t="shared" si="72"/>
        <v>0</v>
      </c>
      <c r="V93" s="90"/>
      <c r="W93" s="89">
        <f>SUMIFS(Flat_file!$H:$H,Flat_file!$B:$B,Summary_Employed!$B$2,Flat_file!$C:$C,"Women",Flat_file!$D:$D,"60-64",Flat_file!$E:$E,"343",Flat_file!$F:$F,"E")+SUMIFS(Flat_file!$H:$H,Flat_file!$B:$B,Summary_Employed!$B$2,Flat_file!$C:$C,"Women",Flat_file!$D:$D,"60-64",Flat_file!$E:$E,"344",Flat_file!$F:$F,"E")+SUMIFS(Flat_file!$H:$H,Flat_file!$B:$B,Summary_Employed!$B$2,Flat_file!$C:$C,"Women",Flat_file!$D:$D,"60-64",Flat_file!$E:$E,"443",Flat_file!$F:$F,"E")+SUMIFS(Flat_file!$H:$H,Flat_file!$B:$B,Summary_Employed!$B$2,Flat_file!$C:$C,"Women",Flat_file!$D:$D,"60-64",Flat_file!$E:$E,"444",Flat_file!$F:$F,"E")</f>
        <v>0</v>
      </c>
      <c r="X93" s="89">
        <f>SUMIFS(Flat_file!$H:$H,Flat_file!$B:$B,Summary_Employed!$B$2,Flat_file!$C:$C,"Women",Flat_file!$D:$D,"60-64",Flat_file!$E:$E,"353",Flat_file!$F:$F,"E")+SUMIFS(Flat_file!$H:$H,Flat_file!$B:$B,Summary_Employed!$B$2,Flat_file!$C:$C,"Women",Flat_file!$D:$D,"60-64",Flat_file!$E:$E,"354",Flat_file!$F:$F,"E")+SUMIFS(Flat_file!$H:$H,Flat_file!$B:$B,Summary_Employed!$B$2,Flat_file!$C:$C,"Women",Flat_file!$D:$D,"60-64",Flat_file!$E:$E,"453",Flat_file!$F:$F,"E")+SUMIFS(Flat_file!$H:$H,Flat_file!$B:$B,Summary_Employed!$B$2,Flat_file!$C:$C,"Women",Flat_file!$D:$D,"60-64",Flat_file!$E:$E,"454",Flat_file!$F:$F,"E")</f>
        <v>0</v>
      </c>
      <c r="Y93" s="90"/>
      <c r="Z93" s="89">
        <f>SUMIFS(Flat_file!$H:$H,Flat_file!$B:$B,Summary_Employed!$B$2,Flat_file!$C:$C,"Women",Flat_file!$D:$D,"60-64",Flat_file!$E:$E,"640",Flat_file!$F:$F,"E")+SUMIFS(Flat_file!$H:$H,Flat_file!$B:$B,Summary_Employed!$B$2,Flat_file!$C:$C,"Women",Flat_file!$D:$D,"60-64",Flat_file!$E:$E,"740",Flat_file!$F:$F,"E")+SUMIFS(Flat_file!$H:$H,Flat_file!$B:$B,Summary_Employed!$B$2,Flat_file!$C:$C,"Women",Flat_file!$D:$D,"60-64",Flat_file!$E:$E,"840",Flat_file!$F:$F,"E")</f>
        <v>0</v>
      </c>
      <c r="AA93" s="89">
        <f>SUMIFS(Flat_file!$H:$H,Flat_file!$B:$B,Summary_Employed!$B$2,Flat_file!$C:$C,"Women",Flat_file!$D:$D,"60-64",Flat_file!$E:$E,"650",Flat_file!$F:$F,"E")+SUMIFS(Flat_file!$H:$H,Flat_file!$B:$B,Summary_Employed!$B$2,Flat_file!$C:$C,"Women",Flat_file!$D:$D,"60-64",Flat_file!$E:$E,"750",Flat_file!$F:$F,"E")+SUMIFS(Flat_file!$H:$H,Flat_file!$B:$B,Summary_Employed!$B$2,Flat_file!$C:$C,"Women",Flat_file!$D:$D,"60-64",Flat_file!$E:$E,"850",Flat_file!$F:$F,"E")</f>
        <v>0</v>
      </c>
      <c r="AB93" s="89">
        <f>SUMIFS(Flat_file!$H:$H,Flat_file!$B:$B,Summary_Employed!$B$2,Flat_file!$C:$C,"Women",Flat_file!$D:$D,"60-64",Flat_file!$E:$E,"660",Flat_file!$F:$F,"E")+SUMIFS(Flat_file!$H:$H,Flat_file!$B:$B,Summary_Employed!$B$2,Flat_file!$C:$C,"Women",Flat_file!$D:$D,"60-64",Flat_file!$E:$E,"760",Flat_file!$F:$F,"E")+SUMIFS(Flat_file!$H:$H,Flat_file!$B:$B,Summary_Employed!$B$2,Flat_file!$C:$C,"Women",Flat_file!$D:$D,"60-64",Flat_file!$E:$E,"860",Flat_file!$F:$F,"E")</f>
        <v>0</v>
      </c>
      <c r="AC93" s="3"/>
      <c r="AD93" s="3"/>
      <c r="AE93" s="3"/>
      <c r="AF93" s="3"/>
      <c r="AG93" s="3"/>
      <c r="AH93" s="3"/>
      <c r="AI93" s="3"/>
      <c r="AJ93" s="3"/>
      <c r="AK93" s="3"/>
    </row>
    <row r="94" spans="1:37" customFormat="1" x14ac:dyDescent="0.2">
      <c r="A94" s="352"/>
      <c r="B94" s="79" t="s">
        <v>258</v>
      </c>
      <c r="C94" s="225">
        <f>SUMIFS(Flat_file!$H:$H,Flat_file!$B:$B,Summary_Employed!$B$2,Flat_file!$C:$C,"Women",Flat_file!$D:$D,"65-69",Flat_file!$E:$E,"010",Flat_file!$F:$F,"E")+SUMIFS(Flat_file!$H:$H,Flat_file!$B:$B,Summary_Employed!$B$2,Flat_file!$C:$C,"Women",Flat_file!$D:$D,"65-69",Flat_file!$E:$E,"020",Flat_file!$F:$F,"E")+SUMIFS(Flat_file!$H:$H,Flat_file!$B:$B,Summary_Employed!$B$2,Flat_file!$C:$C,"Women",Flat_file!$D:$D,"65-69",Flat_file!$E:$E,"030",Flat_file!$F:$F,"E")</f>
        <v>0</v>
      </c>
      <c r="D94" s="225">
        <f>SUMIFS(Flat_file!$H:$H,Flat_file!$B:$B,Summary_Employed!$B$2,Flat_file!$C:$C,"Women",Flat_file!$D:$D,"65-69",Flat_file!$E:$E,"100",Flat_file!$F:$F,"E")</f>
        <v>0</v>
      </c>
      <c r="E94" s="225">
        <f>SUMIFS(Flat_file!$H:$H,Flat_file!$B:$B,Summary_Employed!$B$2,Flat_file!$C:$C,"Women",Flat_file!$D:$D,"65-69",Flat_file!$E:$E,"242",Flat_file!$F:$F,"E")+SUMIFS(Flat_file!$H:$H,Flat_file!$B:$B,Summary_Employed!$B$2,Flat_file!$C:$C,"Women",Flat_file!$D:$D,"65-69",Flat_file!$E:$E,"252",Flat_file!$F:$F,"E")</f>
        <v>0</v>
      </c>
      <c r="F94" s="225">
        <f>SUMIFS(Flat_file!$H:$H,Flat_file!$B:$B,Summary_Employed!$B$2,Flat_file!$C:$C,"Women",Flat_file!$D:$D,"65-69",Flat_file!$E:$E,"243",Flat_file!$F:$F,"E")+SUMIFS(Flat_file!$H:$H,Flat_file!$B:$B,Summary_Employed!$B$2,Flat_file!$C:$C,"Women",Flat_file!$D:$D,"65-69",Flat_file!$E:$E,"244",Flat_file!$F:$F,"E")+SUMIFS(Flat_file!$H:$H,Flat_file!$B:$B,Summary_Employed!$B$2,Flat_file!$C:$C,"Women",Flat_file!$D:$D,"65-69",Flat_file!$E:$E,"253",Flat_file!$F:$F,"E")+SUMIFS(Flat_file!$H:$H,Flat_file!$B:$B,Summary_Employed!$B$2,Flat_file!$C:$C,"Women",Flat_file!$D:$D,"65-69",Flat_file!$E:$E,"254",Flat_file!$F:$F,"E")</f>
        <v>0</v>
      </c>
      <c r="G94" s="225">
        <f>SUMIFS(Flat_file!$H:$H,Flat_file!$B:$B,Summary_Employed!$B$2,Flat_file!$C:$C,"Women",Flat_file!$D:$D,"65-69",Flat_file!$E:$E,"342",Flat_file!$F:$F,"E")+SUMIFS(Flat_file!$H:$H,Flat_file!$B:$B,Summary_Employed!$B$2,Flat_file!$C:$C,"Women",Flat_file!$D:$D,"65-69",Flat_file!$E:$E,"352",Flat_file!$F:$F,"E")</f>
        <v>0</v>
      </c>
      <c r="H94" s="225">
        <f>SUMIFS(Flat_file!$H:$H,Flat_file!$B:$B,Summary_Employed!$B$2,Flat_file!$C:$C,"Women",Flat_file!$D:$D,"65-69",Flat_file!$E:$E,"343",Flat_file!$F:$F,"E")+SUMIFS(Flat_file!$H:$H,Flat_file!$B:$B,Summary_Employed!$B$2,Flat_file!$C:$C,"Women",Flat_file!$D:$D,"65-69",Flat_file!$E:$E,"344",Flat_file!$F:$F,"E")+SUMIFS(Flat_file!$H:$H,Flat_file!$B:$B,Summary_Employed!$B$2,Flat_file!$C:$C,"Women",Flat_file!$D:$D,"65-69",Flat_file!$E:$E,"353",Flat_file!$F:$F,"E")+SUMIFS(Flat_file!$H:$H,Flat_file!$B:$B,Summary_Employed!$B$2,Flat_file!$C:$C,"Women",Flat_file!$D:$D,"65-69",Flat_file!$E:$E,"354",Flat_file!$F:$F,"E")</f>
        <v>0</v>
      </c>
      <c r="I94" s="225">
        <f>SUMIFS(Flat_file!$H:$H,Flat_file!$B:$B,Summary_Employed!$B$2,Flat_file!$C:$C,"Women",Flat_file!$D:$D,"65-69",Flat_file!$E:$E,"443",Flat_file!$F:$F,"E")+SUMIFS(Flat_file!$H:$H,Flat_file!$B:$B,Summary_Employed!$B$2,Flat_file!$C:$C,"Women",Flat_file!$D:$D,"65-69",Flat_file!$E:$E,"444",Flat_file!$F:$F,"E")+SUMIFS(Flat_file!$H:$H,Flat_file!$B:$B,Summary_Employed!$B$2,Flat_file!$C:$C,"Women",Flat_file!$D:$D,"65-69",Flat_file!$E:$E,"453",Flat_file!$F:$F,"E")+SUMIFS(Flat_file!$H:$H,Flat_file!$B:$B,Summary_Employed!$B$2,Flat_file!$C:$C,"Women",Flat_file!$D:$D,"65-69",Flat_file!$E:$E,"454",Flat_file!$F:$F,"E")</f>
        <v>0</v>
      </c>
      <c r="J94" s="225">
        <f>SUMIFS(Flat_file!$H:$H,Flat_file!$B:$B,Summary_Employed!$B$2,Flat_file!$C:$C,"Women",Flat_file!$D:$D,"65-69",Flat_file!$E:$E,"540",Flat_file!$F:$F,"E")+SUMIFS(Flat_file!$H:$H,Flat_file!$B:$B,Summary_Employed!$B$2,Flat_file!$C:$C,"Women",Flat_file!$D:$D,"65-69",Flat_file!$E:$E,"550",Flat_file!$F:$F,"E")+SUMIFS(Flat_file!$H:$H,Flat_file!$B:$B,Summary_Employed!$B$2,Flat_file!$C:$C,"Women",Flat_file!$D:$D,"65-69",Flat_file!$E:$E,"560",Flat_file!$F:$F,"E")</f>
        <v>0</v>
      </c>
      <c r="K94" s="225">
        <f>SUMIFS(Flat_file!$H:$H,Flat_file!$B:$B,Summary_Employed!$B$2,Flat_file!$C:$C,"Women",Flat_file!$D:$D,"65-69",Flat_file!$E:$E,"640",Flat_file!$F:$F,"E")+SUMIFS(Flat_file!$H:$H,Flat_file!$B:$B,Summary_Employed!$B$2,Flat_file!$C:$C,"Women",Flat_file!$D:$D,"65-69",Flat_file!$E:$E,"650",Flat_file!$F:$F,"E")+SUMIFS(Flat_file!$H:$H,Flat_file!$B:$B,Summary_Employed!$B$2,Flat_file!$C:$C,"Women",Flat_file!$D:$D,"65-69",Flat_file!$E:$E,"660",Flat_file!$F:$F,"E")</f>
        <v>0</v>
      </c>
      <c r="L94" s="225">
        <f>SUMIFS(Flat_file!$H:$H,Flat_file!$B:$B,Summary_Employed!$B$2,Flat_file!$C:$C,"Women",Flat_file!$D:$D,"65-69",Flat_file!$E:$E,"740",Flat_file!$F:$F,"E")+SUMIFS(Flat_file!$H:$H,Flat_file!$B:$B,Summary_Employed!$B$2,Flat_file!$C:$C,"Women",Flat_file!$D:$D,"65-69",Flat_file!$E:$E,"750",Flat_file!$F:$F,"E")+SUMIFS(Flat_file!$H:$H,Flat_file!$B:$B,Summary_Employed!$B$2,Flat_file!$C:$C,"Women",Flat_file!$D:$D,"65-69",Flat_file!$E:$E,"760",Flat_file!$F:$F,"E")</f>
        <v>0</v>
      </c>
      <c r="M94" s="225">
        <f>SUMIFS(Flat_file!$H:$H,Flat_file!$B:$B,Summary_Employed!$B$2,Flat_file!$C:$C,"Women",Flat_file!$D:$D,"65-69",Flat_file!$E:$E,"840",Flat_file!$F:$F,"E")+SUMIFS(Flat_file!$H:$H,Flat_file!$B:$B,Summary_Employed!$B$2,Flat_file!$C:$C,"Women",Flat_file!$D:$D,"65-69",Flat_file!$E:$E,"850",Flat_file!$F:$F,"E")+SUMIFS(Flat_file!$H:$H,Flat_file!$B:$B,Summary_Employed!$B$2,Flat_file!$C:$C,"Women",Flat_file!$D:$D,"65-69",Flat_file!$E:$E,"860",Flat_file!$F:$F,"E")</f>
        <v>0</v>
      </c>
      <c r="N94" s="225">
        <f>SUMIFS(Flat_file!$H:$H,Flat_file!$B:$B,Summary_Employed!$B$2,Flat_file!$C:$C,"Women",Flat_file!$D:$D,"65-69",Flat_file!$E:$E,"999",Flat_file!$F:$F,"E")</f>
        <v>0</v>
      </c>
      <c r="O94" s="225">
        <f t="shared" si="68"/>
        <v>0</v>
      </c>
      <c r="P94" s="90"/>
      <c r="Q94" s="89">
        <f t="shared" si="69"/>
        <v>0</v>
      </c>
      <c r="R94" s="91"/>
      <c r="S94" s="89">
        <f t="shared" si="70"/>
        <v>0</v>
      </c>
      <c r="T94" s="89">
        <f t="shared" si="71"/>
        <v>0</v>
      </c>
      <c r="U94" s="89">
        <f t="shared" si="72"/>
        <v>0</v>
      </c>
      <c r="V94" s="90"/>
      <c r="W94" s="225">
        <f>SUMIFS(Flat_file!$H:$H,Flat_file!$B:$B,Summary_Employed!$B$2,Flat_file!$C:$C,"Women",Flat_file!$D:$D,"65-69",Flat_file!$E:$E,"343",Flat_file!$F:$F,"E")+SUMIFS(Flat_file!$H:$H,Flat_file!$B:$B,Summary_Employed!$B$2,Flat_file!$C:$C,"Women",Flat_file!$D:$D,"65-69",Flat_file!$E:$E,"344",Flat_file!$F:$F,"E")+SUMIFS(Flat_file!$H:$H,Flat_file!$B:$B,Summary_Employed!$B$2,Flat_file!$C:$C,"Women",Flat_file!$D:$D,"65-69",Flat_file!$E:$E,"443",Flat_file!$F:$F,"E")+SUMIFS(Flat_file!$H:$H,Flat_file!$B:$B,Summary_Employed!$B$2,Flat_file!$C:$C,"Women",Flat_file!$D:$D,"65-69",Flat_file!$E:$E,"444",Flat_file!$F:$F,"E")</f>
        <v>0</v>
      </c>
      <c r="X94" s="225">
        <f>SUMIFS(Flat_file!$H:$H,Flat_file!$B:$B,Summary_Employed!$B$2,Flat_file!$C:$C,"Women",Flat_file!$D:$D,"65-69",Flat_file!$E:$E,"353",Flat_file!$F:$F,"E")+SUMIFS(Flat_file!$H:$H,Flat_file!$B:$B,Summary_Employed!$B$2,Flat_file!$C:$C,"Women",Flat_file!$D:$D,"65-69",Flat_file!$E:$E,"354",Flat_file!$F:$F,"E")+SUMIFS(Flat_file!$H:$H,Flat_file!$B:$B,Summary_Employed!$B$2,Flat_file!$C:$C,"Women",Flat_file!$D:$D,"65-69",Flat_file!$E:$E,"453",Flat_file!$F:$F,"E")+SUMIFS(Flat_file!$H:$H,Flat_file!$B:$B,Summary_Employed!$B$2,Flat_file!$C:$C,"Women",Flat_file!$D:$D,"65-69",Flat_file!$E:$E,"454",Flat_file!$F:$F,"E")</f>
        <v>0</v>
      </c>
      <c r="Y94" s="90"/>
      <c r="Z94" s="225">
        <f>SUMIFS(Flat_file!$H:$H,Flat_file!$B:$B,Summary_Employed!$B$2,Flat_file!$C:$C,"Women",Flat_file!$D:$D,"65-69",Flat_file!$E:$E,"640",Flat_file!$F:$F,"E")+SUMIFS(Flat_file!$H:$H,Flat_file!$B:$B,Summary_Employed!$B$2,Flat_file!$C:$C,"Women",Flat_file!$D:$D,"65-69",Flat_file!$E:$E,"740",Flat_file!$F:$F,"E")+SUMIFS(Flat_file!$H:$H,Flat_file!$B:$B,Summary_Employed!$B$2,Flat_file!$C:$C,"Women",Flat_file!$D:$D,"65-69",Flat_file!$E:$E,"840",Flat_file!$F:$F,"E")</f>
        <v>0</v>
      </c>
      <c r="AA94" s="225">
        <f>SUMIFS(Flat_file!$H:$H,Flat_file!$B:$B,Summary_Employed!$B$2,Flat_file!$C:$C,"Women",Flat_file!$D:$D,"65-69",Flat_file!$E:$E,"650",Flat_file!$F:$F,"E")+SUMIFS(Flat_file!$H:$H,Flat_file!$B:$B,Summary_Employed!$B$2,Flat_file!$C:$C,"Women",Flat_file!$D:$D,"65-69",Flat_file!$E:$E,"750",Flat_file!$F:$F,"E")+SUMIFS(Flat_file!$H:$H,Flat_file!$B:$B,Summary_Employed!$B$2,Flat_file!$C:$C,"Women",Flat_file!$D:$D,"65-69",Flat_file!$E:$E,"850",Flat_file!$F:$F,"E")</f>
        <v>0</v>
      </c>
      <c r="AB94" s="225">
        <f>SUMIFS(Flat_file!$H:$H,Flat_file!$B:$B,Summary_Employed!$B$2,Flat_file!$C:$C,"Women",Flat_file!$D:$D,"65-69",Flat_file!$E:$E,"660",Flat_file!$F:$F,"E")+SUMIFS(Flat_file!$H:$H,Flat_file!$B:$B,Summary_Employed!$B$2,Flat_file!$C:$C,"Women",Flat_file!$D:$D,"65-69",Flat_file!$E:$E,"760",Flat_file!$F:$F,"E")+SUMIFS(Flat_file!$H:$H,Flat_file!$B:$B,Summary_Employed!$B$2,Flat_file!$C:$C,"Women",Flat_file!$D:$D,"65-69",Flat_file!$E:$E,"860",Flat_file!$F:$F,"E")</f>
        <v>0</v>
      </c>
      <c r="AC94" s="3"/>
      <c r="AD94" s="3"/>
      <c r="AE94" s="3"/>
      <c r="AF94" s="3"/>
      <c r="AG94" s="3"/>
      <c r="AH94" s="3"/>
      <c r="AI94" s="3"/>
      <c r="AJ94" s="3"/>
      <c r="AK94" s="3"/>
    </row>
    <row r="95" spans="1:37" customFormat="1" x14ac:dyDescent="0.2">
      <c r="A95" s="352"/>
      <c r="B95" s="79" t="s">
        <v>260</v>
      </c>
      <c r="C95" s="225">
        <f>SUMIFS(Flat_file!$H:$H,Flat_file!$B:$B,Summary_Employed!$B$2,Flat_file!$C:$C,"Women",Flat_file!$D:$D,"70-74",Flat_file!$E:$E,"010",Flat_file!$F:$F,"E")+SUMIFS(Flat_file!$H:$H,Flat_file!$B:$B,Summary_Employed!$B$2,Flat_file!$C:$C,"Women",Flat_file!$D:$D,"70-74",Flat_file!$E:$E,"020",Flat_file!$F:$F,"E")+SUMIFS(Flat_file!$H:$H,Flat_file!$B:$B,Summary_Employed!$B$2,Flat_file!$C:$C,"Women",Flat_file!$D:$D,"70-74",Flat_file!$E:$E,"030",Flat_file!$F:$F,"E")</f>
        <v>0</v>
      </c>
      <c r="D95" s="225">
        <f>SUMIFS(Flat_file!$H:$H,Flat_file!$B:$B,Summary_Employed!$B$2,Flat_file!$C:$C,"Women",Flat_file!$D:$D,"70-74",Flat_file!$E:$E,"100",Flat_file!$F:$F,"E")</f>
        <v>0</v>
      </c>
      <c r="E95" s="225">
        <f>SUMIFS(Flat_file!$H:$H,Flat_file!$B:$B,Summary_Employed!$B$2,Flat_file!$C:$C,"Women",Flat_file!$D:$D,"70-74",Flat_file!$E:$E,"242",Flat_file!$F:$F,"E")+SUMIFS(Flat_file!$H:$H,Flat_file!$B:$B,Summary_Employed!$B$2,Flat_file!$C:$C,"Women",Flat_file!$D:$D,"70-74",Flat_file!$E:$E,"252",Flat_file!$F:$F,"E")</f>
        <v>0</v>
      </c>
      <c r="F95" s="225">
        <f>SUMIFS(Flat_file!$H:$H,Flat_file!$B:$B,Summary_Employed!$B$2,Flat_file!$C:$C,"Women",Flat_file!$D:$D,"70-74",Flat_file!$E:$E,"243",Flat_file!$F:$F,"E")+SUMIFS(Flat_file!$H:$H,Flat_file!$B:$B,Summary_Employed!$B$2,Flat_file!$C:$C,"Women",Flat_file!$D:$D,"70-74",Flat_file!$E:$E,"244",Flat_file!$F:$F,"E")+SUMIFS(Flat_file!$H:$H,Flat_file!$B:$B,Summary_Employed!$B$2,Flat_file!$C:$C,"Women",Flat_file!$D:$D,"70-74",Flat_file!$E:$E,"253",Flat_file!$F:$F,"E")+SUMIFS(Flat_file!$H:$H,Flat_file!$B:$B,Summary_Employed!$B$2,Flat_file!$C:$C,"Women",Flat_file!$D:$D,"70-74",Flat_file!$E:$E,"254",Flat_file!$F:$F,"E")</f>
        <v>0</v>
      </c>
      <c r="G95" s="225">
        <f>SUMIFS(Flat_file!$H:$H,Flat_file!$B:$B,Summary_Employed!$B$2,Flat_file!$C:$C,"Women",Flat_file!$D:$D,"70-74",Flat_file!$E:$E,"342",Flat_file!$F:$F,"E")+SUMIFS(Flat_file!$H:$H,Flat_file!$B:$B,Summary_Employed!$B$2,Flat_file!$C:$C,"Women",Flat_file!$D:$D,"70-74",Flat_file!$E:$E,"352",Flat_file!$F:$F,"E")</f>
        <v>0</v>
      </c>
      <c r="H95" s="225">
        <f>SUMIFS(Flat_file!$H:$H,Flat_file!$B:$B,Summary_Employed!$B$2,Flat_file!$C:$C,"Women",Flat_file!$D:$D,"70-74",Flat_file!$E:$E,"343",Flat_file!$F:$F,"E")+SUMIFS(Flat_file!$H:$H,Flat_file!$B:$B,Summary_Employed!$B$2,Flat_file!$C:$C,"Women",Flat_file!$D:$D,"70-74",Flat_file!$E:$E,"344",Flat_file!$F:$F,"E")+SUMIFS(Flat_file!$H:$H,Flat_file!$B:$B,Summary_Employed!$B$2,Flat_file!$C:$C,"Women",Flat_file!$D:$D,"70-74",Flat_file!$E:$E,"353",Flat_file!$F:$F,"E")+SUMIFS(Flat_file!$H:$H,Flat_file!$B:$B,Summary_Employed!$B$2,Flat_file!$C:$C,"Women",Flat_file!$D:$D,"70-74",Flat_file!$E:$E,"354",Flat_file!$F:$F,"E")</f>
        <v>0</v>
      </c>
      <c r="I95" s="225">
        <f>SUMIFS(Flat_file!$H:$H,Flat_file!$B:$B,Summary_Employed!$B$2,Flat_file!$C:$C,"Women",Flat_file!$D:$D,"70-74",Flat_file!$E:$E,"443",Flat_file!$F:$F,"E")+SUMIFS(Flat_file!$H:$H,Flat_file!$B:$B,Summary_Employed!$B$2,Flat_file!$C:$C,"Women",Flat_file!$D:$D,"70-74",Flat_file!$E:$E,"444",Flat_file!$F:$F,"E")+SUMIFS(Flat_file!$H:$H,Flat_file!$B:$B,Summary_Employed!$B$2,Flat_file!$C:$C,"Women",Flat_file!$D:$D,"70-74",Flat_file!$E:$E,"453",Flat_file!$F:$F,"E")+SUMIFS(Flat_file!$H:$H,Flat_file!$B:$B,Summary_Employed!$B$2,Flat_file!$C:$C,"Women",Flat_file!$D:$D,"70-74",Flat_file!$E:$E,"454",Flat_file!$F:$F,"E")</f>
        <v>0</v>
      </c>
      <c r="J95" s="225">
        <f>SUMIFS(Flat_file!$H:$H,Flat_file!$B:$B,Summary_Employed!$B$2,Flat_file!$C:$C,"Women",Flat_file!$D:$D,"70-74",Flat_file!$E:$E,"540",Flat_file!$F:$F,"E")+SUMIFS(Flat_file!$H:$H,Flat_file!$B:$B,Summary_Employed!$B$2,Flat_file!$C:$C,"Women",Flat_file!$D:$D,"70-74",Flat_file!$E:$E,"550",Flat_file!$F:$F,"E")+SUMIFS(Flat_file!$H:$H,Flat_file!$B:$B,Summary_Employed!$B$2,Flat_file!$C:$C,"Women",Flat_file!$D:$D,"70-74",Flat_file!$E:$E,"560",Flat_file!$F:$F,"E")</f>
        <v>0</v>
      </c>
      <c r="K95" s="225">
        <f>SUMIFS(Flat_file!$H:$H,Flat_file!$B:$B,Summary_Employed!$B$2,Flat_file!$C:$C,"Women",Flat_file!$D:$D,"70-74",Flat_file!$E:$E,"640",Flat_file!$F:$F,"E")+SUMIFS(Flat_file!$H:$H,Flat_file!$B:$B,Summary_Employed!$B$2,Flat_file!$C:$C,"Women",Flat_file!$D:$D,"70-74",Flat_file!$E:$E,"650",Flat_file!$F:$F,"E")+SUMIFS(Flat_file!$H:$H,Flat_file!$B:$B,Summary_Employed!$B$2,Flat_file!$C:$C,"Women",Flat_file!$D:$D,"70-74",Flat_file!$E:$E,"660",Flat_file!$F:$F,"E")</f>
        <v>0</v>
      </c>
      <c r="L95" s="225">
        <f>SUMIFS(Flat_file!$H:$H,Flat_file!$B:$B,Summary_Employed!$B$2,Flat_file!$C:$C,"Women",Flat_file!$D:$D,"70-74",Flat_file!$E:$E,"740",Flat_file!$F:$F,"E")+SUMIFS(Flat_file!$H:$H,Flat_file!$B:$B,Summary_Employed!$B$2,Flat_file!$C:$C,"Women",Flat_file!$D:$D,"70-74",Flat_file!$E:$E,"750",Flat_file!$F:$F,"E")+SUMIFS(Flat_file!$H:$H,Flat_file!$B:$B,Summary_Employed!$B$2,Flat_file!$C:$C,"Women",Flat_file!$D:$D,"70-74",Flat_file!$E:$E,"760",Flat_file!$F:$F,"E")</f>
        <v>0</v>
      </c>
      <c r="M95" s="225">
        <f>SUMIFS(Flat_file!$H:$H,Flat_file!$B:$B,Summary_Employed!$B$2,Flat_file!$C:$C,"Women",Flat_file!$D:$D,"70-74",Flat_file!$E:$E,"840",Flat_file!$F:$F,"E")+SUMIFS(Flat_file!$H:$H,Flat_file!$B:$B,Summary_Employed!$B$2,Flat_file!$C:$C,"Women",Flat_file!$D:$D,"70-74",Flat_file!$E:$E,"850",Flat_file!$F:$F,"E")+SUMIFS(Flat_file!$H:$H,Flat_file!$B:$B,Summary_Employed!$B$2,Flat_file!$C:$C,"Women",Flat_file!$D:$D,"70-74",Flat_file!$E:$E,"860",Flat_file!$F:$F,"E")</f>
        <v>0</v>
      </c>
      <c r="N95" s="225">
        <f>SUMIFS(Flat_file!$H:$H,Flat_file!$B:$B,Summary_Employed!$B$2,Flat_file!$C:$C,"Women",Flat_file!$D:$D,"70-74",Flat_file!$E:$E,"999",Flat_file!$F:$F,"E")</f>
        <v>0</v>
      </c>
      <c r="O95" s="225">
        <f t="shared" si="68"/>
        <v>0</v>
      </c>
      <c r="P95" s="90"/>
      <c r="Q95" s="89">
        <f t="shared" si="69"/>
        <v>0</v>
      </c>
      <c r="R95" s="91"/>
      <c r="S95" s="89">
        <f t="shared" si="70"/>
        <v>0</v>
      </c>
      <c r="T95" s="89">
        <f t="shared" si="71"/>
        <v>0</v>
      </c>
      <c r="U95" s="89">
        <f t="shared" si="72"/>
        <v>0</v>
      </c>
      <c r="V95" s="90"/>
      <c r="W95" s="225">
        <f>SUMIFS(Flat_file!$H:$H,Flat_file!$B:$B,Summary_Employed!$B$2,Flat_file!$C:$C,"Women",Flat_file!$D:$D,"70-74",Flat_file!$E:$E,"343",Flat_file!$F:$F,"E")+SUMIFS(Flat_file!$H:$H,Flat_file!$B:$B,Summary_Employed!$B$2,Flat_file!$C:$C,"Women",Flat_file!$D:$D,"70-74",Flat_file!$E:$E,"344",Flat_file!$F:$F,"E")+SUMIFS(Flat_file!$H:$H,Flat_file!$B:$B,Summary_Employed!$B$2,Flat_file!$C:$C,"Women",Flat_file!$D:$D,"70-74",Flat_file!$E:$E,"443",Flat_file!$F:$F,"E")+SUMIFS(Flat_file!$H:$H,Flat_file!$B:$B,Summary_Employed!$B$2,Flat_file!$C:$C,"Women",Flat_file!$D:$D,"70-74",Flat_file!$E:$E,"444",Flat_file!$F:$F,"E")</f>
        <v>0</v>
      </c>
      <c r="X95" s="225">
        <f>SUMIFS(Flat_file!$H:$H,Flat_file!$B:$B,Summary_Employed!$B$2,Flat_file!$C:$C,"Women",Flat_file!$D:$D,"70-74",Flat_file!$E:$E,"353",Flat_file!$F:$F,"E")+SUMIFS(Flat_file!$H:$H,Flat_file!$B:$B,Summary_Employed!$B$2,Flat_file!$C:$C,"Women",Flat_file!$D:$D,"70-74",Flat_file!$E:$E,"354",Flat_file!$F:$F,"E")+SUMIFS(Flat_file!$H:$H,Flat_file!$B:$B,Summary_Employed!$B$2,Flat_file!$C:$C,"Women",Flat_file!$D:$D,"70-74",Flat_file!$E:$E,"453",Flat_file!$F:$F,"E")+SUMIFS(Flat_file!$H:$H,Flat_file!$B:$B,Summary_Employed!$B$2,Flat_file!$C:$C,"Women",Flat_file!$D:$D,"70-74",Flat_file!$E:$E,"454",Flat_file!$F:$F,"E")</f>
        <v>0</v>
      </c>
      <c r="Y95" s="90"/>
      <c r="Z95" s="225">
        <f>SUMIFS(Flat_file!$H:$H,Flat_file!$B:$B,Summary_Employed!$B$2,Flat_file!$C:$C,"Women",Flat_file!$D:$D,"70-74",Flat_file!$E:$E,"640",Flat_file!$F:$F,"E")+SUMIFS(Flat_file!$H:$H,Flat_file!$B:$B,Summary_Employed!$B$2,Flat_file!$C:$C,"Women",Flat_file!$D:$D,"70-74",Flat_file!$E:$E,"740",Flat_file!$F:$F,"E")+SUMIFS(Flat_file!$H:$H,Flat_file!$B:$B,Summary_Employed!$B$2,Flat_file!$C:$C,"Women",Flat_file!$D:$D,"70-74",Flat_file!$E:$E,"840",Flat_file!$F:$F,"E")</f>
        <v>0</v>
      </c>
      <c r="AA95" s="225">
        <f>SUMIFS(Flat_file!$H:$H,Flat_file!$B:$B,Summary_Employed!$B$2,Flat_file!$C:$C,"Women",Flat_file!$D:$D,"70-74",Flat_file!$E:$E,"650",Flat_file!$F:$F,"E")+SUMIFS(Flat_file!$H:$H,Flat_file!$B:$B,Summary_Employed!$B$2,Flat_file!$C:$C,"Women",Flat_file!$D:$D,"70-74",Flat_file!$E:$E,"750",Flat_file!$F:$F,"E")+SUMIFS(Flat_file!$H:$H,Flat_file!$B:$B,Summary_Employed!$B$2,Flat_file!$C:$C,"Women",Flat_file!$D:$D,"70-74",Flat_file!$E:$E,"850",Flat_file!$F:$F,"E")</f>
        <v>0</v>
      </c>
      <c r="AB95" s="225">
        <f>SUMIFS(Flat_file!$H:$H,Flat_file!$B:$B,Summary_Employed!$B$2,Flat_file!$C:$C,"Women",Flat_file!$D:$D,"70-74",Flat_file!$E:$E,"660",Flat_file!$F:$F,"E")+SUMIFS(Flat_file!$H:$H,Flat_file!$B:$B,Summary_Employed!$B$2,Flat_file!$C:$C,"Women",Flat_file!$D:$D,"70-74",Flat_file!$E:$E,"760",Flat_file!$F:$F,"E")+SUMIFS(Flat_file!$H:$H,Flat_file!$B:$B,Summary_Employed!$B$2,Flat_file!$C:$C,"Women",Flat_file!$D:$D,"70-74",Flat_file!$E:$E,"860",Flat_file!$F:$F,"E")</f>
        <v>0</v>
      </c>
      <c r="AC95" s="3"/>
      <c r="AD95" s="3"/>
      <c r="AE95" s="3"/>
      <c r="AF95" s="3"/>
      <c r="AG95" s="3"/>
      <c r="AH95" s="3"/>
      <c r="AI95" s="3"/>
      <c r="AJ95" s="3"/>
      <c r="AK95" s="3"/>
    </row>
    <row r="96" spans="1:37" customFormat="1" ht="13.5" thickBot="1" x14ac:dyDescent="0.25">
      <c r="A96" s="352"/>
      <c r="B96" s="79" t="s">
        <v>261</v>
      </c>
      <c r="C96" s="225">
        <f>SUMIFS(Flat_file!$H:$H,Flat_file!$B:$B,Summary_Employed!$B$2,Flat_file!$C:$C,"Women",Flat_file!$D:$D,"75+",Flat_file!$E:$E,"010",Flat_file!$F:$F,"E")+SUMIFS(Flat_file!$H:$H,Flat_file!$B:$B,Summary_Employed!$B$2,Flat_file!$C:$C,"Women",Flat_file!$D:$D,"75+",Flat_file!$E:$E,"020",Flat_file!$F:$F,"E")+SUMIFS(Flat_file!$H:$H,Flat_file!$B:$B,Summary_Employed!$B$2,Flat_file!$C:$C,"Women",Flat_file!$D:$D,"75+",Flat_file!$E:$E,"030",Flat_file!$F:$F,"E")</f>
        <v>0</v>
      </c>
      <c r="D96" s="225">
        <f>SUMIFS(Flat_file!$H:$H,Flat_file!$B:$B,Summary_Employed!$B$2,Flat_file!$C:$C,"Women",Flat_file!$D:$D,"75+",Flat_file!$E:$E,"100",Flat_file!$F:$F,"E")</f>
        <v>0</v>
      </c>
      <c r="E96" s="225">
        <f>SUMIFS(Flat_file!$H:$H,Flat_file!$B:$B,Summary_Employed!$B$2,Flat_file!$C:$C,"Women",Flat_file!$D:$D,"75+",Flat_file!$E:$E,"242",Flat_file!$F:$F,"E")+SUMIFS(Flat_file!$H:$H,Flat_file!$B:$B,Summary_Employed!$B$2,Flat_file!$C:$C,"Women",Flat_file!$D:$D,"75+",Flat_file!$E:$E,"252",Flat_file!$F:$F,"E")</f>
        <v>0</v>
      </c>
      <c r="F96" s="225">
        <f>SUMIFS(Flat_file!$H:$H,Flat_file!$B:$B,Summary_Employed!$B$2,Flat_file!$C:$C,"Women",Flat_file!$D:$D,"75+",Flat_file!$E:$E,"243",Flat_file!$F:$F,"E")+SUMIFS(Flat_file!$H:$H,Flat_file!$B:$B,Summary_Employed!$B$2,Flat_file!$C:$C,"Women",Flat_file!$D:$D,"75+",Flat_file!$E:$E,"244",Flat_file!$F:$F,"E")+SUMIFS(Flat_file!$H:$H,Flat_file!$B:$B,Summary_Employed!$B$2,Flat_file!$C:$C,"Women",Flat_file!$D:$D,"75+",Flat_file!$E:$E,"253",Flat_file!$F:$F,"E")+SUMIFS(Flat_file!$H:$H,Flat_file!$B:$B,Summary_Employed!$B$2,Flat_file!$C:$C,"Women",Flat_file!$D:$D,"75+",Flat_file!$E:$E,"254",Flat_file!$F:$F,"E")</f>
        <v>0</v>
      </c>
      <c r="G96" s="225">
        <f>SUMIFS(Flat_file!$H:$H,Flat_file!$B:$B,Summary_Employed!$B$2,Flat_file!$C:$C,"Women",Flat_file!$D:$D,"75+",Flat_file!$E:$E,"342",Flat_file!$F:$F,"E")+SUMIFS(Flat_file!$H:$H,Flat_file!$B:$B,Summary_Employed!$B$2,Flat_file!$C:$C,"Women",Flat_file!$D:$D,"75+",Flat_file!$E:$E,"352",Flat_file!$F:$F,"E")</f>
        <v>0</v>
      </c>
      <c r="H96" s="225">
        <f>SUMIFS(Flat_file!$H:$H,Flat_file!$B:$B,Summary_Employed!$B$2,Flat_file!$C:$C,"Women",Flat_file!$D:$D,"75+",Flat_file!$E:$E,"343",Flat_file!$F:$F,"E")+SUMIFS(Flat_file!$H:$H,Flat_file!$B:$B,Summary_Employed!$B$2,Flat_file!$C:$C,"Women",Flat_file!$D:$D,"75+",Flat_file!$E:$E,"344",Flat_file!$F:$F,"E")+SUMIFS(Flat_file!$H:$H,Flat_file!$B:$B,Summary_Employed!$B$2,Flat_file!$C:$C,"Women",Flat_file!$D:$D,"75+",Flat_file!$E:$E,"353",Flat_file!$F:$F,"E")+SUMIFS(Flat_file!$H:$H,Flat_file!$B:$B,Summary_Employed!$B$2,Flat_file!$C:$C,"Women",Flat_file!$D:$D,"75+",Flat_file!$E:$E,"354",Flat_file!$F:$F,"E")</f>
        <v>0</v>
      </c>
      <c r="I96" s="225">
        <f>SUMIFS(Flat_file!$H:$H,Flat_file!$B:$B,Summary_Employed!$B$2,Flat_file!$C:$C,"Women",Flat_file!$D:$D,"75+",Flat_file!$E:$E,"443",Flat_file!$F:$F,"E")+SUMIFS(Flat_file!$H:$H,Flat_file!$B:$B,Summary_Employed!$B$2,Flat_file!$C:$C,"Women",Flat_file!$D:$D,"75+",Flat_file!$E:$E,"444",Flat_file!$F:$F,"E")+SUMIFS(Flat_file!$H:$H,Flat_file!$B:$B,Summary_Employed!$B$2,Flat_file!$C:$C,"Women",Flat_file!$D:$D,"75+",Flat_file!$E:$E,"453",Flat_file!$F:$F,"E")+SUMIFS(Flat_file!$H:$H,Flat_file!$B:$B,Summary_Employed!$B$2,Flat_file!$C:$C,"Women",Flat_file!$D:$D,"75+",Flat_file!$E:$E,"454",Flat_file!$F:$F,"E")</f>
        <v>0</v>
      </c>
      <c r="J96" s="225">
        <f>SUMIFS(Flat_file!$H:$H,Flat_file!$B:$B,Summary_Employed!$B$2,Flat_file!$C:$C,"Women",Flat_file!$D:$D,"75+",Flat_file!$E:$E,"540",Flat_file!$F:$F,"E")+SUMIFS(Flat_file!$H:$H,Flat_file!$B:$B,Summary_Employed!$B$2,Flat_file!$C:$C,"Women",Flat_file!$D:$D,"75+",Flat_file!$E:$E,"550",Flat_file!$F:$F,"E")+SUMIFS(Flat_file!$H:$H,Flat_file!$B:$B,Summary_Employed!$B$2,Flat_file!$C:$C,"Women",Flat_file!$D:$D,"75+",Flat_file!$E:$E,"560",Flat_file!$F:$F,"E")</f>
        <v>0</v>
      </c>
      <c r="K96" s="225">
        <f>SUMIFS(Flat_file!$H:$H,Flat_file!$B:$B,Summary_Employed!$B$2,Flat_file!$C:$C,"Women",Flat_file!$D:$D,"75+",Flat_file!$E:$E,"640",Flat_file!$F:$F,"E")+SUMIFS(Flat_file!$H:$H,Flat_file!$B:$B,Summary_Employed!$B$2,Flat_file!$C:$C,"Women",Flat_file!$D:$D,"75+",Flat_file!$E:$E,"650",Flat_file!$F:$F,"E")+SUMIFS(Flat_file!$H:$H,Flat_file!$B:$B,Summary_Employed!$B$2,Flat_file!$C:$C,"Women",Flat_file!$D:$D,"75+",Flat_file!$E:$E,"660",Flat_file!$F:$F,"E")</f>
        <v>0</v>
      </c>
      <c r="L96" s="225">
        <f>SUMIFS(Flat_file!$H:$H,Flat_file!$B:$B,Summary_Employed!$B$2,Flat_file!$C:$C,"Women",Flat_file!$D:$D,"75+",Flat_file!$E:$E,"740",Flat_file!$F:$F,"E")+SUMIFS(Flat_file!$H:$H,Flat_file!$B:$B,Summary_Employed!$B$2,Flat_file!$C:$C,"Women",Flat_file!$D:$D,"75+",Flat_file!$E:$E,"750",Flat_file!$F:$F,"E")+SUMIFS(Flat_file!$H:$H,Flat_file!$B:$B,Summary_Employed!$B$2,Flat_file!$C:$C,"Women",Flat_file!$D:$D,"75+",Flat_file!$E:$E,"760",Flat_file!$F:$F,"E")</f>
        <v>0</v>
      </c>
      <c r="M96" s="225">
        <f>SUMIFS(Flat_file!$H:$H,Flat_file!$B:$B,Summary_Employed!$B$2,Flat_file!$C:$C,"Women",Flat_file!$D:$D,"75+",Flat_file!$E:$E,"840",Flat_file!$F:$F,"E")+SUMIFS(Flat_file!$H:$H,Flat_file!$B:$B,Summary_Employed!$B$2,Flat_file!$C:$C,"Women",Flat_file!$D:$D,"75+",Flat_file!$E:$E,"850",Flat_file!$F:$F,"E")+SUMIFS(Flat_file!$H:$H,Flat_file!$B:$B,Summary_Employed!$B$2,Flat_file!$C:$C,"Women",Flat_file!$D:$D,"75+",Flat_file!$E:$E,"860",Flat_file!$F:$F,"E")</f>
        <v>0</v>
      </c>
      <c r="N96" s="225">
        <f>SUMIFS(Flat_file!$H:$H,Flat_file!$B:$B,Summary_Employed!$B$2,Flat_file!$C:$C,"Women",Flat_file!$D:$D,"75+",Flat_file!$E:$E,"999",Flat_file!$F:$F,"E")</f>
        <v>0</v>
      </c>
      <c r="O96" s="225">
        <f t="shared" si="68"/>
        <v>0</v>
      </c>
      <c r="P96" s="90"/>
      <c r="Q96" s="89">
        <f t="shared" si="69"/>
        <v>0</v>
      </c>
      <c r="R96" s="91"/>
      <c r="S96" s="89">
        <f t="shared" si="70"/>
        <v>0</v>
      </c>
      <c r="T96" s="89">
        <f t="shared" si="71"/>
        <v>0</v>
      </c>
      <c r="U96" s="89">
        <f t="shared" si="72"/>
        <v>0</v>
      </c>
      <c r="V96" s="90"/>
      <c r="W96" s="225">
        <f>SUMIFS(Flat_file!$H:$H,Flat_file!$B:$B,Summary_Employed!$B$2,Flat_file!$C:$C,"Women",Flat_file!$D:$D,"75+",Flat_file!$E:$E,"343",Flat_file!$F:$F,"E")+SUMIFS(Flat_file!$H:$H,Flat_file!$B:$B,Summary_Employed!$B$2,Flat_file!$C:$C,"Women",Flat_file!$D:$D,"75+",Flat_file!$E:$E,"344",Flat_file!$F:$F,"E")+SUMIFS(Flat_file!$H:$H,Flat_file!$B:$B,Summary_Employed!$B$2,Flat_file!$C:$C,"Women",Flat_file!$D:$D,"75+",Flat_file!$E:$E,"443",Flat_file!$F:$F,"E")+SUMIFS(Flat_file!$H:$H,Flat_file!$B:$B,Summary_Employed!$B$2,Flat_file!$C:$C,"Women",Flat_file!$D:$D,"75+",Flat_file!$E:$E,"444",Flat_file!$F:$F,"E")</f>
        <v>0</v>
      </c>
      <c r="X96" s="225">
        <f>SUMIFS(Flat_file!$H:$H,Flat_file!$B:$B,Summary_Employed!$B$2,Flat_file!$C:$C,"Women",Flat_file!$D:$D,"75+",Flat_file!$E:$E,"353",Flat_file!$F:$F,"E")+SUMIFS(Flat_file!$H:$H,Flat_file!$B:$B,Summary_Employed!$B$2,Flat_file!$C:$C,"Women",Flat_file!$D:$D,"75+",Flat_file!$E:$E,"354",Flat_file!$F:$F,"E")+SUMIFS(Flat_file!$H:$H,Flat_file!$B:$B,Summary_Employed!$B$2,Flat_file!$C:$C,"Women",Flat_file!$D:$D,"75+",Flat_file!$E:$E,"453",Flat_file!$F:$F,"E")+SUMIFS(Flat_file!$H:$H,Flat_file!$B:$B,Summary_Employed!$B$2,Flat_file!$C:$C,"Women",Flat_file!$D:$D,"75+",Flat_file!$E:$E,"454",Flat_file!$F:$F,"E")</f>
        <v>0</v>
      </c>
      <c r="Y96" s="90"/>
      <c r="Z96" s="225">
        <f>SUMIFS(Flat_file!$H:$H,Flat_file!$B:$B,Summary_Employed!$B$2,Flat_file!$C:$C,"Women",Flat_file!$D:$D,"75+",Flat_file!$E:$E,"640",Flat_file!$F:$F,"E")+SUMIFS(Flat_file!$H:$H,Flat_file!$B:$B,Summary_Employed!$B$2,Flat_file!$C:$C,"Women",Flat_file!$D:$D,"75+",Flat_file!$E:$E,"740",Flat_file!$F:$F,"E")+SUMIFS(Flat_file!$H:$H,Flat_file!$B:$B,Summary_Employed!$B$2,Flat_file!$C:$C,"Women",Flat_file!$D:$D,"75+",Flat_file!$E:$E,"840",Flat_file!$F:$F,"E")</f>
        <v>0</v>
      </c>
      <c r="AA96" s="225">
        <f>SUMIFS(Flat_file!$H:$H,Flat_file!$B:$B,Summary_Employed!$B$2,Flat_file!$C:$C,"Women",Flat_file!$D:$D,"75+",Flat_file!$E:$E,"650",Flat_file!$F:$F,"E")+SUMIFS(Flat_file!$H:$H,Flat_file!$B:$B,Summary_Employed!$B$2,Flat_file!$C:$C,"Women",Flat_file!$D:$D,"75+",Flat_file!$E:$E,"750",Flat_file!$F:$F,"E")+SUMIFS(Flat_file!$H:$H,Flat_file!$B:$B,Summary_Employed!$B$2,Flat_file!$C:$C,"Women",Flat_file!$D:$D,"75+",Flat_file!$E:$E,"850",Flat_file!$F:$F,"E")</f>
        <v>0</v>
      </c>
      <c r="AB96" s="225">
        <f>SUMIFS(Flat_file!$H:$H,Flat_file!$B:$B,Summary_Employed!$B$2,Flat_file!$C:$C,"Women",Flat_file!$D:$D,"75+",Flat_file!$E:$E,"660",Flat_file!$F:$F,"E")+SUMIFS(Flat_file!$H:$H,Flat_file!$B:$B,Summary_Employed!$B$2,Flat_file!$C:$C,"Women",Flat_file!$D:$D,"75+",Flat_file!$E:$E,"760",Flat_file!$F:$F,"E")+SUMIFS(Flat_file!$H:$H,Flat_file!$B:$B,Summary_Employed!$B$2,Flat_file!$C:$C,"Women",Flat_file!$D:$D,"75+",Flat_file!$E:$E,"860",Flat_file!$F:$F,"E")</f>
        <v>0</v>
      </c>
      <c r="AC96" s="3"/>
      <c r="AD96" s="3"/>
      <c r="AE96" s="3"/>
      <c r="AF96" s="3"/>
      <c r="AG96" s="3"/>
      <c r="AH96" s="3"/>
      <c r="AI96" s="3"/>
      <c r="AJ96" s="3"/>
      <c r="AK96" s="3"/>
    </row>
    <row r="97" spans="1:28" x14ac:dyDescent="0.2">
      <c r="A97" s="351" t="s">
        <v>133</v>
      </c>
      <c r="B97" s="78" t="s">
        <v>87</v>
      </c>
      <c r="C97" s="86">
        <f t="shared" ref="C97:O97" si="73">C71+C84</f>
        <v>0</v>
      </c>
      <c r="D97" s="86">
        <f t="shared" si="73"/>
        <v>0</v>
      </c>
      <c r="E97" s="86">
        <f t="shared" si="73"/>
        <v>0</v>
      </c>
      <c r="F97" s="86">
        <f t="shared" si="73"/>
        <v>0</v>
      </c>
      <c r="G97" s="86">
        <f t="shared" si="73"/>
        <v>0</v>
      </c>
      <c r="H97" s="86">
        <f t="shared" si="73"/>
        <v>0</v>
      </c>
      <c r="I97" s="86">
        <f t="shared" si="73"/>
        <v>0</v>
      </c>
      <c r="J97" s="86">
        <f t="shared" si="73"/>
        <v>0</v>
      </c>
      <c r="K97" s="86">
        <f t="shared" si="73"/>
        <v>0</v>
      </c>
      <c r="L97" s="86">
        <f t="shared" si="73"/>
        <v>0</v>
      </c>
      <c r="M97" s="86">
        <f t="shared" si="73"/>
        <v>0</v>
      </c>
      <c r="N97" s="86">
        <f t="shared" si="73"/>
        <v>0</v>
      </c>
      <c r="O97" s="86">
        <f t="shared" si="73"/>
        <v>0</v>
      </c>
      <c r="P97" s="87"/>
      <c r="Q97" s="86">
        <f t="shared" ref="Q97:Q106" si="74">Q71+Q84</f>
        <v>0</v>
      </c>
      <c r="R97" s="88"/>
      <c r="S97" s="86">
        <f t="shared" ref="S97:U106" si="75">S71+S84</f>
        <v>0</v>
      </c>
      <c r="T97" s="86">
        <f t="shared" si="75"/>
        <v>0</v>
      </c>
      <c r="U97" s="86">
        <f t="shared" si="75"/>
        <v>0</v>
      </c>
      <c r="V97" s="87"/>
      <c r="W97" s="86">
        <f t="shared" ref="W97:X106" si="76">W71+W84</f>
        <v>0</v>
      </c>
      <c r="X97" s="86">
        <f t="shared" si="76"/>
        <v>0</v>
      </c>
      <c r="Y97" s="87"/>
      <c r="Z97" s="86">
        <f t="shared" ref="Z97:AB106" si="77">Z71+Z84</f>
        <v>0</v>
      </c>
      <c r="AA97" s="86">
        <f t="shared" si="77"/>
        <v>0</v>
      </c>
      <c r="AB97" s="86">
        <f t="shared" si="77"/>
        <v>0</v>
      </c>
    </row>
    <row r="98" spans="1:28" x14ac:dyDescent="0.2">
      <c r="A98" s="352"/>
      <c r="B98" s="79" t="s">
        <v>88</v>
      </c>
      <c r="C98" s="89">
        <f t="shared" ref="C98:O98" si="78">C72+C85</f>
        <v>0</v>
      </c>
      <c r="D98" s="89">
        <f t="shared" si="78"/>
        <v>0</v>
      </c>
      <c r="E98" s="89">
        <f t="shared" si="78"/>
        <v>0</v>
      </c>
      <c r="F98" s="89">
        <f t="shared" si="78"/>
        <v>0</v>
      </c>
      <c r="G98" s="89">
        <f t="shared" si="78"/>
        <v>0</v>
      </c>
      <c r="H98" s="89">
        <f t="shared" si="78"/>
        <v>0</v>
      </c>
      <c r="I98" s="89">
        <f t="shared" si="78"/>
        <v>0</v>
      </c>
      <c r="J98" s="89">
        <f t="shared" si="78"/>
        <v>0</v>
      </c>
      <c r="K98" s="89">
        <f t="shared" si="78"/>
        <v>0</v>
      </c>
      <c r="L98" s="89">
        <f t="shared" si="78"/>
        <v>0</v>
      </c>
      <c r="M98" s="89">
        <f t="shared" si="78"/>
        <v>0</v>
      </c>
      <c r="N98" s="89">
        <f t="shared" si="78"/>
        <v>0</v>
      </c>
      <c r="O98" s="89">
        <f t="shared" si="78"/>
        <v>0</v>
      </c>
      <c r="P98" s="90"/>
      <c r="Q98" s="89">
        <f t="shared" si="74"/>
        <v>0</v>
      </c>
      <c r="R98" s="91"/>
      <c r="S98" s="89">
        <f t="shared" si="75"/>
        <v>0</v>
      </c>
      <c r="T98" s="89">
        <f t="shared" si="75"/>
        <v>0</v>
      </c>
      <c r="U98" s="89">
        <f t="shared" si="75"/>
        <v>0</v>
      </c>
      <c r="V98" s="90"/>
      <c r="W98" s="89">
        <f t="shared" si="76"/>
        <v>0</v>
      </c>
      <c r="X98" s="89">
        <f t="shared" si="76"/>
        <v>0</v>
      </c>
      <c r="Y98" s="90"/>
      <c r="Z98" s="89">
        <f t="shared" si="77"/>
        <v>0</v>
      </c>
      <c r="AA98" s="89">
        <f t="shared" si="77"/>
        <v>0</v>
      </c>
      <c r="AB98" s="89">
        <f t="shared" si="77"/>
        <v>0</v>
      </c>
    </row>
    <row r="99" spans="1:28" x14ac:dyDescent="0.2">
      <c r="A99" s="352"/>
      <c r="B99" s="79" t="s">
        <v>89</v>
      </c>
      <c r="C99" s="89">
        <f t="shared" ref="C99:O99" si="79">C73+C86</f>
        <v>0</v>
      </c>
      <c r="D99" s="89">
        <f t="shared" si="79"/>
        <v>0</v>
      </c>
      <c r="E99" s="89">
        <f t="shared" si="79"/>
        <v>0</v>
      </c>
      <c r="F99" s="89">
        <f t="shared" si="79"/>
        <v>0</v>
      </c>
      <c r="G99" s="89">
        <f t="shared" si="79"/>
        <v>0</v>
      </c>
      <c r="H99" s="89">
        <f t="shared" si="79"/>
        <v>0</v>
      </c>
      <c r="I99" s="89">
        <f t="shared" si="79"/>
        <v>0</v>
      </c>
      <c r="J99" s="89">
        <f t="shared" si="79"/>
        <v>0</v>
      </c>
      <c r="K99" s="89">
        <f t="shared" si="79"/>
        <v>0</v>
      </c>
      <c r="L99" s="89">
        <f t="shared" si="79"/>
        <v>0</v>
      </c>
      <c r="M99" s="89">
        <f t="shared" si="79"/>
        <v>0</v>
      </c>
      <c r="N99" s="89">
        <f t="shared" si="79"/>
        <v>0</v>
      </c>
      <c r="O99" s="89">
        <f t="shared" si="79"/>
        <v>0</v>
      </c>
      <c r="P99" s="90"/>
      <c r="Q99" s="89">
        <f t="shared" si="74"/>
        <v>0</v>
      </c>
      <c r="R99" s="91"/>
      <c r="S99" s="89">
        <f t="shared" si="75"/>
        <v>0</v>
      </c>
      <c r="T99" s="89">
        <f t="shared" si="75"/>
        <v>0</v>
      </c>
      <c r="U99" s="89">
        <f t="shared" si="75"/>
        <v>0</v>
      </c>
      <c r="V99" s="90"/>
      <c r="W99" s="89">
        <f t="shared" si="76"/>
        <v>0</v>
      </c>
      <c r="X99" s="89">
        <f t="shared" si="76"/>
        <v>0</v>
      </c>
      <c r="Y99" s="90"/>
      <c r="Z99" s="89">
        <f t="shared" si="77"/>
        <v>0</v>
      </c>
      <c r="AA99" s="89">
        <f t="shared" si="77"/>
        <v>0</v>
      </c>
      <c r="AB99" s="89">
        <f t="shared" si="77"/>
        <v>0</v>
      </c>
    </row>
    <row r="100" spans="1:28" x14ac:dyDescent="0.2">
      <c r="A100" s="352"/>
      <c r="B100" s="79" t="s">
        <v>90</v>
      </c>
      <c r="C100" s="89">
        <f t="shared" ref="C100:O100" si="80">C74+C87</f>
        <v>0</v>
      </c>
      <c r="D100" s="89">
        <f t="shared" si="80"/>
        <v>0</v>
      </c>
      <c r="E100" s="89">
        <f t="shared" si="80"/>
        <v>0</v>
      </c>
      <c r="F100" s="89">
        <f t="shared" si="80"/>
        <v>0</v>
      </c>
      <c r="G100" s="89">
        <f t="shared" si="80"/>
        <v>0</v>
      </c>
      <c r="H100" s="89">
        <f t="shared" si="80"/>
        <v>0</v>
      </c>
      <c r="I100" s="89">
        <f t="shared" si="80"/>
        <v>0</v>
      </c>
      <c r="J100" s="89">
        <f t="shared" si="80"/>
        <v>0</v>
      </c>
      <c r="K100" s="89">
        <f t="shared" si="80"/>
        <v>0</v>
      </c>
      <c r="L100" s="89">
        <f t="shared" si="80"/>
        <v>0</v>
      </c>
      <c r="M100" s="89">
        <f t="shared" si="80"/>
        <v>0</v>
      </c>
      <c r="N100" s="89">
        <f t="shared" si="80"/>
        <v>0</v>
      </c>
      <c r="O100" s="89">
        <f t="shared" si="80"/>
        <v>0</v>
      </c>
      <c r="P100" s="90"/>
      <c r="Q100" s="89">
        <f t="shared" si="74"/>
        <v>0</v>
      </c>
      <c r="R100" s="91"/>
      <c r="S100" s="89">
        <f t="shared" si="75"/>
        <v>0</v>
      </c>
      <c r="T100" s="89">
        <f t="shared" si="75"/>
        <v>0</v>
      </c>
      <c r="U100" s="89">
        <f t="shared" si="75"/>
        <v>0</v>
      </c>
      <c r="V100" s="90"/>
      <c r="W100" s="89">
        <f t="shared" si="76"/>
        <v>0</v>
      </c>
      <c r="X100" s="89">
        <f t="shared" si="76"/>
        <v>0</v>
      </c>
      <c r="Y100" s="90"/>
      <c r="Z100" s="89">
        <f t="shared" si="77"/>
        <v>0</v>
      </c>
      <c r="AA100" s="89">
        <f t="shared" si="77"/>
        <v>0</v>
      </c>
      <c r="AB100" s="89">
        <f t="shared" si="77"/>
        <v>0</v>
      </c>
    </row>
    <row r="101" spans="1:28" x14ac:dyDescent="0.2">
      <c r="A101" s="352"/>
      <c r="B101" s="79" t="s">
        <v>91</v>
      </c>
      <c r="C101" s="89">
        <f t="shared" ref="C101:O101" si="81">C75+C88</f>
        <v>0</v>
      </c>
      <c r="D101" s="89">
        <f t="shared" si="81"/>
        <v>0</v>
      </c>
      <c r="E101" s="89">
        <f t="shared" si="81"/>
        <v>0</v>
      </c>
      <c r="F101" s="89">
        <f t="shared" si="81"/>
        <v>0</v>
      </c>
      <c r="G101" s="89">
        <f t="shared" si="81"/>
        <v>0</v>
      </c>
      <c r="H101" s="89">
        <f t="shared" si="81"/>
        <v>0</v>
      </c>
      <c r="I101" s="89">
        <f t="shared" si="81"/>
        <v>0</v>
      </c>
      <c r="J101" s="89">
        <f t="shared" si="81"/>
        <v>0</v>
      </c>
      <c r="K101" s="89">
        <f t="shared" si="81"/>
        <v>0</v>
      </c>
      <c r="L101" s="89">
        <f t="shared" si="81"/>
        <v>0</v>
      </c>
      <c r="M101" s="89">
        <f t="shared" si="81"/>
        <v>0</v>
      </c>
      <c r="N101" s="89">
        <f t="shared" si="81"/>
        <v>0</v>
      </c>
      <c r="O101" s="89">
        <f t="shared" si="81"/>
        <v>0</v>
      </c>
      <c r="P101" s="90"/>
      <c r="Q101" s="89">
        <f t="shared" si="74"/>
        <v>0</v>
      </c>
      <c r="R101" s="91"/>
      <c r="S101" s="89">
        <f t="shared" si="75"/>
        <v>0</v>
      </c>
      <c r="T101" s="89">
        <f t="shared" si="75"/>
        <v>0</v>
      </c>
      <c r="U101" s="89">
        <f t="shared" si="75"/>
        <v>0</v>
      </c>
      <c r="V101" s="90"/>
      <c r="W101" s="89">
        <f t="shared" si="76"/>
        <v>0</v>
      </c>
      <c r="X101" s="89">
        <f t="shared" si="76"/>
        <v>0</v>
      </c>
      <c r="Y101" s="90"/>
      <c r="Z101" s="89">
        <f t="shared" si="77"/>
        <v>0</v>
      </c>
      <c r="AA101" s="89">
        <f t="shared" si="77"/>
        <v>0</v>
      </c>
      <c r="AB101" s="89">
        <f t="shared" si="77"/>
        <v>0</v>
      </c>
    </row>
    <row r="102" spans="1:28" x14ac:dyDescent="0.2">
      <c r="A102" s="352"/>
      <c r="B102" s="79" t="s">
        <v>92</v>
      </c>
      <c r="C102" s="89">
        <f t="shared" ref="C102:O102" si="82">C76+C89</f>
        <v>0</v>
      </c>
      <c r="D102" s="89">
        <f t="shared" si="82"/>
        <v>0</v>
      </c>
      <c r="E102" s="89">
        <f t="shared" si="82"/>
        <v>0</v>
      </c>
      <c r="F102" s="89">
        <f t="shared" si="82"/>
        <v>0</v>
      </c>
      <c r="G102" s="89">
        <f t="shared" si="82"/>
        <v>0</v>
      </c>
      <c r="H102" s="89">
        <f t="shared" si="82"/>
        <v>0</v>
      </c>
      <c r="I102" s="89">
        <f t="shared" si="82"/>
        <v>0</v>
      </c>
      <c r="J102" s="89">
        <f t="shared" si="82"/>
        <v>0</v>
      </c>
      <c r="K102" s="89">
        <f t="shared" si="82"/>
        <v>0</v>
      </c>
      <c r="L102" s="89">
        <f t="shared" si="82"/>
        <v>0</v>
      </c>
      <c r="M102" s="89">
        <f t="shared" si="82"/>
        <v>0</v>
      </c>
      <c r="N102" s="89">
        <f t="shared" si="82"/>
        <v>0</v>
      </c>
      <c r="O102" s="89">
        <f t="shared" si="82"/>
        <v>0</v>
      </c>
      <c r="P102" s="90"/>
      <c r="Q102" s="89">
        <f t="shared" si="74"/>
        <v>0</v>
      </c>
      <c r="R102" s="91"/>
      <c r="S102" s="89">
        <f t="shared" si="75"/>
        <v>0</v>
      </c>
      <c r="T102" s="89">
        <f t="shared" si="75"/>
        <v>0</v>
      </c>
      <c r="U102" s="89">
        <f t="shared" si="75"/>
        <v>0</v>
      </c>
      <c r="V102" s="90"/>
      <c r="W102" s="89">
        <f t="shared" si="76"/>
        <v>0</v>
      </c>
      <c r="X102" s="89">
        <f t="shared" si="76"/>
        <v>0</v>
      </c>
      <c r="Y102" s="90"/>
      <c r="Z102" s="89">
        <f t="shared" si="77"/>
        <v>0</v>
      </c>
      <c r="AA102" s="89">
        <f t="shared" si="77"/>
        <v>0</v>
      </c>
      <c r="AB102" s="89">
        <f t="shared" si="77"/>
        <v>0</v>
      </c>
    </row>
    <row r="103" spans="1:28" x14ac:dyDescent="0.2">
      <c r="A103" s="352"/>
      <c r="B103" s="79" t="s">
        <v>93</v>
      </c>
      <c r="C103" s="89">
        <f t="shared" ref="C103:O103" si="83">C77+C90</f>
        <v>0</v>
      </c>
      <c r="D103" s="89">
        <f t="shared" si="83"/>
        <v>0</v>
      </c>
      <c r="E103" s="89">
        <f t="shared" si="83"/>
        <v>0</v>
      </c>
      <c r="F103" s="89">
        <f t="shared" si="83"/>
        <v>0</v>
      </c>
      <c r="G103" s="89">
        <f t="shared" si="83"/>
        <v>0</v>
      </c>
      <c r="H103" s="89">
        <f t="shared" si="83"/>
        <v>0</v>
      </c>
      <c r="I103" s="89">
        <f t="shared" si="83"/>
        <v>0</v>
      </c>
      <c r="J103" s="89">
        <f t="shared" si="83"/>
        <v>0</v>
      </c>
      <c r="K103" s="89">
        <f t="shared" si="83"/>
        <v>0</v>
      </c>
      <c r="L103" s="89">
        <f t="shared" si="83"/>
        <v>0</v>
      </c>
      <c r="M103" s="89">
        <f t="shared" si="83"/>
        <v>0</v>
      </c>
      <c r="N103" s="89">
        <f t="shared" si="83"/>
        <v>0</v>
      </c>
      <c r="O103" s="89">
        <f t="shared" si="83"/>
        <v>0</v>
      </c>
      <c r="P103" s="90"/>
      <c r="Q103" s="89">
        <f t="shared" si="74"/>
        <v>0</v>
      </c>
      <c r="R103" s="91"/>
      <c r="S103" s="89">
        <f t="shared" si="75"/>
        <v>0</v>
      </c>
      <c r="T103" s="89">
        <f t="shared" si="75"/>
        <v>0</v>
      </c>
      <c r="U103" s="89">
        <f t="shared" si="75"/>
        <v>0</v>
      </c>
      <c r="V103" s="90"/>
      <c r="W103" s="89">
        <f t="shared" si="76"/>
        <v>0</v>
      </c>
      <c r="X103" s="89">
        <f t="shared" si="76"/>
        <v>0</v>
      </c>
      <c r="Y103" s="90"/>
      <c r="Z103" s="89">
        <f t="shared" si="77"/>
        <v>0</v>
      </c>
      <c r="AA103" s="89">
        <f t="shared" si="77"/>
        <v>0</v>
      </c>
      <c r="AB103" s="89">
        <f t="shared" si="77"/>
        <v>0</v>
      </c>
    </row>
    <row r="104" spans="1:28" x14ac:dyDescent="0.2">
      <c r="A104" s="352"/>
      <c r="B104" s="79" t="s">
        <v>94</v>
      </c>
      <c r="C104" s="89">
        <f t="shared" ref="C104:O104" si="84">C78+C91</f>
        <v>0</v>
      </c>
      <c r="D104" s="89">
        <f t="shared" si="84"/>
        <v>0</v>
      </c>
      <c r="E104" s="89">
        <f t="shared" si="84"/>
        <v>0</v>
      </c>
      <c r="F104" s="89">
        <f t="shared" si="84"/>
        <v>0</v>
      </c>
      <c r="G104" s="89">
        <f t="shared" si="84"/>
        <v>0</v>
      </c>
      <c r="H104" s="89">
        <f t="shared" si="84"/>
        <v>0</v>
      </c>
      <c r="I104" s="89">
        <f t="shared" si="84"/>
        <v>0</v>
      </c>
      <c r="J104" s="89">
        <f t="shared" si="84"/>
        <v>0</v>
      </c>
      <c r="K104" s="89">
        <f t="shared" si="84"/>
        <v>0</v>
      </c>
      <c r="L104" s="89">
        <f t="shared" si="84"/>
        <v>0</v>
      </c>
      <c r="M104" s="89">
        <f t="shared" si="84"/>
        <v>0</v>
      </c>
      <c r="N104" s="89">
        <f t="shared" si="84"/>
        <v>0</v>
      </c>
      <c r="O104" s="89">
        <f t="shared" si="84"/>
        <v>0</v>
      </c>
      <c r="P104" s="90"/>
      <c r="Q104" s="89">
        <f t="shared" si="74"/>
        <v>0</v>
      </c>
      <c r="R104" s="91"/>
      <c r="S104" s="89">
        <f t="shared" si="75"/>
        <v>0</v>
      </c>
      <c r="T104" s="89">
        <f t="shared" si="75"/>
        <v>0</v>
      </c>
      <c r="U104" s="89">
        <f t="shared" si="75"/>
        <v>0</v>
      </c>
      <c r="V104" s="90"/>
      <c r="W104" s="89">
        <f t="shared" si="76"/>
        <v>0</v>
      </c>
      <c r="X104" s="89">
        <f t="shared" si="76"/>
        <v>0</v>
      </c>
      <c r="Y104" s="90"/>
      <c r="Z104" s="89">
        <f t="shared" si="77"/>
        <v>0</v>
      </c>
      <c r="AA104" s="89">
        <f t="shared" si="77"/>
        <v>0</v>
      </c>
      <c r="AB104" s="89">
        <f t="shared" si="77"/>
        <v>0</v>
      </c>
    </row>
    <row r="105" spans="1:28" x14ac:dyDescent="0.2">
      <c r="A105" s="352"/>
      <c r="B105" s="79" t="s">
        <v>95</v>
      </c>
      <c r="C105" s="89">
        <f t="shared" ref="C105:O105" si="85">C79+C92</f>
        <v>0</v>
      </c>
      <c r="D105" s="89">
        <f t="shared" si="85"/>
        <v>0</v>
      </c>
      <c r="E105" s="89">
        <f t="shared" si="85"/>
        <v>0</v>
      </c>
      <c r="F105" s="89">
        <f t="shared" si="85"/>
        <v>0</v>
      </c>
      <c r="G105" s="89">
        <f t="shared" si="85"/>
        <v>0</v>
      </c>
      <c r="H105" s="89">
        <f t="shared" si="85"/>
        <v>0</v>
      </c>
      <c r="I105" s="89">
        <f t="shared" si="85"/>
        <v>0</v>
      </c>
      <c r="J105" s="89">
        <f t="shared" si="85"/>
        <v>0</v>
      </c>
      <c r="K105" s="89">
        <f t="shared" si="85"/>
        <v>0</v>
      </c>
      <c r="L105" s="89">
        <f t="shared" si="85"/>
        <v>0</v>
      </c>
      <c r="M105" s="89">
        <f t="shared" si="85"/>
        <v>0</v>
      </c>
      <c r="N105" s="89">
        <f t="shared" si="85"/>
        <v>0</v>
      </c>
      <c r="O105" s="89">
        <f t="shared" si="85"/>
        <v>0</v>
      </c>
      <c r="P105" s="90"/>
      <c r="Q105" s="89">
        <f t="shared" si="74"/>
        <v>0</v>
      </c>
      <c r="R105" s="91"/>
      <c r="S105" s="89">
        <f t="shared" si="75"/>
        <v>0</v>
      </c>
      <c r="T105" s="89">
        <f t="shared" si="75"/>
        <v>0</v>
      </c>
      <c r="U105" s="89">
        <f t="shared" si="75"/>
        <v>0</v>
      </c>
      <c r="V105" s="90"/>
      <c r="W105" s="89">
        <f t="shared" si="76"/>
        <v>0</v>
      </c>
      <c r="X105" s="89">
        <f t="shared" si="76"/>
        <v>0</v>
      </c>
      <c r="Y105" s="90"/>
      <c r="Z105" s="89">
        <f t="shared" si="77"/>
        <v>0</v>
      </c>
      <c r="AA105" s="89">
        <f t="shared" si="77"/>
        <v>0</v>
      </c>
      <c r="AB105" s="89">
        <f t="shared" si="77"/>
        <v>0</v>
      </c>
    </row>
    <row r="106" spans="1:28" x14ac:dyDescent="0.2">
      <c r="A106" s="352"/>
      <c r="B106" s="79" t="s">
        <v>96</v>
      </c>
      <c r="C106" s="89">
        <f t="shared" ref="C106:O106" si="86">C80+C93</f>
        <v>0</v>
      </c>
      <c r="D106" s="89">
        <f t="shared" si="86"/>
        <v>0</v>
      </c>
      <c r="E106" s="89">
        <f t="shared" si="86"/>
        <v>0</v>
      </c>
      <c r="F106" s="89">
        <f t="shared" si="86"/>
        <v>0</v>
      </c>
      <c r="G106" s="89">
        <f t="shared" si="86"/>
        <v>0</v>
      </c>
      <c r="H106" s="89">
        <f t="shared" si="86"/>
        <v>0</v>
      </c>
      <c r="I106" s="89">
        <f t="shared" si="86"/>
        <v>0</v>
      </c>
      <c r="J106" s="89">
        <f t="shared" si="86"/>
        <v>0</v>
      </c>
      <c r="K106" s="89">
        <f t="shared" si="86"/>
        <v>0</v>
      </c>
      <c r="L106" s="89">
        <f t="shared" si="86"/>
        <v>0</v>
      </c>
      <c r="M106" s="89">
        <f t="shared" si="86"/>
        <v>0</v>
      </c>
      <c r="N106" s="89">
        <f t="shared" si="86"/>
        <v>0</v>
      </c>
      <c r="O106" s="89">
        <f t="shared" si="86"/>
        <v>0</v>
      </c>
      <c r="P106" s="90"/>
      <c r="Q106" s="89">
        <f t="shared" si="74"/>
        <v>0</v>
      </c>
      <c r="R106" s="91"/>
      <c r="S106" s="89">
        <f t="shared" si="75"/>
        <v>0</v>
      </c>
      <c r="T106" s="89">
        <f t="shared" si="75"/>
        <v>0</v>
      </c>
      <c r="U106" s="89">
        <f t="shared" si="75"/>
        <v>0</v>
      </c>
      <c r="V106" s="90"/>
      <c r="W106" s="89">
        <f t="shared" si="76"/>
        <v>0</v>
      </c>
      <c r="X106" s="89">
        <f t="shared" si="76"/>
        <v>0</v>
      </c>
      <c r="Y106" s="90"/>
      <c r="Z106" s="89">
        <f t="shared" si="77"/>
        <v>0</v>
      </c>
      <c r="AA106" s="89">
        <f t="shared" si="77"/>
        <v>0</v>
      </c>
      <c r="AB106" s="89">
        <f t="shared" si="77"/>
        <v>0</v>
      </c>
    </row>
    <row r="107" spans="1:28" x14ac:dyDescent="0.2">
      <c r="A107" s="352"/>
      <c r="B107" s="79" t="s">
        <v>258</v>
      </c>
      <c r="C107" s="225">
        <f t="shared" ref="C107:O107" si="87">C81+C94</f>
        <v>0</v>
      </c>
      <c r="D107" s="225">
        <f t="shared" si="87"/>
        <v>0</v>
      </c>
      <c r="E107" s="225">
        <f t="shared" si="87"/>
        <v>0</v>
      </c>
      <c r="F107" s="225">
        <f t="shared" si="87"/>
        <v>0</v>
      </c>
      <c r="G107" s="225">
        <f t="shared" si="87"/>
        <v>0</v>
      </c>
      <c r="H107" s="225">
        <f t="shared" si="87"/>
        <v>0</v>
      </c>
      <c r="I107" s="225">
        <f t="shared" si="87"/>
        <v>0</v>
      </c>
      <c r="J107" s="225">
        <f t="shared" si="87"/>
        <v>0</v>
      </c>
      <c r="K107" s="225">
        <f t="shared" si="87"/>
        <v>0</v>
      </c>
      <c r="L107" s="225">
        <f t="shared" si="87"/>
        <v>0</v>
      </c>
      <c r="M107" s="225">
        <f t="shared" si="87"/>
        <v>0</v>
      </c>
      <c r="N107" s="225">
        <f t="shared" si="87"/>
        <v>0</v>
      </c>
      <c r="O107" s="225">
        <f t="shared" si="87"/>
        <v>0</v>
      </c>
      <c r="P107" s="90"/>
      <c r="Q107" s="225">
        <f t="shared" ref="Q107:AB107" si="88">Q81+Q94</f>
        <v>0</v>
      </c>
      <c r="R107" s="91">
        <f t="shared" si="88"/>
        <v>0</v>
      </c>
      <c r="S107" s="225">
        <f t="shared" si="88"/>
        <v>0</v>
      </c>
      <c r="T107" s="225">
        <f t="shared" si="88"/>
        <v>0</v>
      </c>
      <c r="U107" s="225">
        <f t="shared" si="88"/>
        <v>0</v>
      </c>
      <c r="V107" s="90">
        <f t="shared" si="88"/>
        <v>0</v>
      </c>
      <c r="W107" s="225">
        <f t="shared" si="88"/>
        <v>0</v>
      </c>
      <c r="X107" s="225">
        <f t="shared" si="88"/>
        <v>0</v>
      </c>
      <c r="Y107" s="90">
        <f t="shared" si="88"/>
        <v>0</v>
      </c>
      <c r="Z107" s="225">
        <f t="shared" si="88"/>
        <v>0</v>
      </c>
      <c r="AA107" s="225">
        <f t="shared" si="88"/>
        <v>0</v>
      </c>
      <c r="AB107" s="225">
        <f t="shared" si="88"/>
        <v>0</v>
      </c>
    </row>
    <row r="108" spans="1:28" x14ac:dyDescent="0.2">
      <c r="A108" s="352"/>
      <c r="B108" s="79" t="s">
        <v>260</v>
      </c>
      <c r="C108" s="225">
        <f t="shared" ref="C108:O108" si="89">C82+C95</f>
        <v>0</v>
      </c>
      <c r="D108" s="225">
        <f t="shared" si="89"/>
        <v>0</v>
      </c>
      <c r="E108" s="225">
        <f t="shared" si="89"/>
        <v>0</v>
      </c>
      <c r="F108" s="225">
        <f t="shared" si="89"/>
        <v>0</v>
      </c>
      <c r="G108" s="225">
        <f t="shared" si="89"/>
        <v>0</v>
      </c>
      <c r="H108" s="225">
        <f t="shared" si="89"/>
        <v>0</v>
      </c>
      <c r="I108" s="225">
        <f t="shared" si="89"/>
        <v>0</v>
      </c>
      <c r="J108" s="225">
        <f t="shared" si="89"/>
        <v>0</v>
      </c>
      <c r="K108" s="225">
        <f t="shared" si="89"/>
        <v>0</v>
      </c>
      <c r="L108" s="225">
        <f t="shared" si="89"/>
        <v>0</v>
      </c>
      <c r="M108" s="225">
        <f t="shared" si="89"/>
        <v>0</v>
      </c>
      <c r="N108" s="225">
        <f t="shared" si="89"/>
        <v>0</v>
      </c>
      <c r="O108" s="225">
        <f t="shared" si="89"/>
        <v>0</v>
      </c>
      <c r="P108" s="90"/>
      <c r="Q108" s="225">
        <f t="shared" ref="Q108:AB108" si="90">Q82+Q95</f>
        <v>0</v>
      </c>
      <c r="R108" s="91">
        <f t="shared" si="90"/>
        <v>0</v>
      </c>
      <c r="S108" s="225">
        <f t="shared" si="90"/>
        <v>0</v>
      </c>
      <c r="T108" s="225">
        <f t="shared" si="90"/>
        <v>0</v>
      </c>
      <c r="U108" s="225">
        <f t="shared" si="90"/>
        <v>0</v>
      </c>
      <c r="V108" s="90">
        <f t="shared" si="90"/>
        <v>0</v>
      </c>
      <c r="W108" s="225">
        <f t="shared" si="90"/>
        <v>0</v>
      </c>
      <c r="X108" s="225">
        <f t="shared" si="90"/>
        <v>0</v>
      </c>
      <c r="Y108" s="90">
        <f t="shared" si="90"/>
        <v>0</v>
      </c>
      <c r="Z108" s="225">
        <f t="shared" si="90"/>
        <v>0</v>
      </c>
      <c r="AA108" s="225">
        <f t="shared" si="90"/>
        <v>0</v>
      </c>
      <c r="AB108" s="225">
        <f t="shared" si="90"/>
        <v>0</v>
      </c>
    </row>
    <row r="109" spans="1:28" ht="13.5" thickBot="1" x14ac:dyDescent="0.25">
      <c r="A109" s="353"/>
      <c r="B109" s="80" t="s">
        <v>261</v>
      </c>
      <c r="C109" s="92">
        <f t="shared" ref="C109:O109" si="91">C83+C96</f>
        <v>0</v>
      </c>
      <c r="D109" s="92">
        <f t="shared" si="91"/>
        <v>0</v>
      </c>
      <c r="E109" s="92">
        <f t="shared" si="91"/>
        <v>0</v>
      </c>
      <c r="F109" s="92">
        <f t="shared" si="91"/>
        <v>0</v>
      </c>
      <c r="G109" s="92">
        <f t="shared" si="91"/>
        <v>0</v>
      </c>
      <c r="H109" s="92">
        <f t="shared" si="91"/>
        <v>0</v>
      </c>
      <c r="I109" s="92">
        <f t="shared" si="91"/>
        <v>0</v>
      </c>
      <c r="J109" s="92">
        <f t="shared" si="91"/>
        <v>0</v>
      </c>
      <c r="K109" s="92">
        <f t="shared" si="91"/>
        <v>0</v>
      </c>
      <c r="L109" s="92">
        <f t="shared" si="91"/>
        <v>0</v>
      </c>
      <c r="M109" s="92">
        <f t="shared" si="91"/>
        <v>0</v>
      </c>
      <c r="N109" s="92">
        <f t="shared" si="91"/>
        <v>0</v>
      </c>
      <c r="O109" s="92">
        <f t="shared" si="91"/>
        <v>0</v>
      </c>
      <c r="P109" s="93"/>
      <c r="Q109" s="92">
        <f t="shared" ref="Q109:AB109" si="92">Q83+Q96</f>
        <v>0</v>
      </c>
      <c r="R109" s="94">
        <f t="shared" si="92"/>
        <v>0</v>
      </c>
      <c r="S109" s="92">
        <f t="shared" si="92"/>
        <v>0</v>
      </c>
      <c r="T109" s="92">
        <f t="shared" si="92"/>
        <v>0</v>
      </c>
      <c r="U109" s="92">
        <f t="shared" si="92"/>
        <v>0</v>
      </c>
      <c r="V109" s="93">
        <f t="shared" si="92"/>
        <v>0</v>
      </c>
      <c r="W109" s="92">
        <f t="shared" si="92"/>
        <v>0</v>
      </c>
      <c r="X109" s="92">
        <f t="shared" si="92"/>
        <v>0</v>
      </c>
      <c r="Y109" s="93">
        <f t="shared" si="92"/>
        <v>0</v>
      </c>
      <c r="Z109" s="92">
        <f t="shared" si="92"/>
        <v>0</v>
      </c>
      <c r="AA109" s="92">
        <f t="shared" si="92"/>
        <v>0</v>
      </c>
      <c r="AB109" s="92">
        <f t="shared" si="92"/>
        <v>0</v>
      </c>
    </row>
  </sheetData>
  <mergeCells count="29">
    <mergeCell ref="AD3:AG3"/>
    <mergeCell ref="N68:N69"/>
    <mergeCell ref="O68:O69"/>
    <mergeCell ref="Q68:Q69"/>
    <mergeCell ref="S68:S69"/>
    <mergeCell ref="C3:AB3"/>
    <mergeCell ref="T68:T69"/>
    <mergeCell ref="U68:U69"/>
    <mergeCell ref="W68:X68"/>
    <mergeCell ref="Z68:AB68"/>
    <mergeCell ref="C67:AB67"/>
    <mergeCell ref="G68:H68"/>
    <mergeCell ref="I68:I69"/>
    <mergeCell ref="J68:M68"/>
    <mergeCell ref="B68:B69"/>
    <mergeCell ref="C68:C69"/>
    <mergeCell ref="D68:D69"/>
    <mergeCell ref="E68:F68"/>
    <mergeCell ref="AD4:AG4"/>
    <mergeCell ref="A97:A109"/>
    <mergeCell ref="A6:A18"/>
    <mergeCell ref="A71:A83"/>
    <mergeCell ref="A84:A96"/>
    <mergeCell ref="A19:A31"/>
    <mergeCell ref="A32:A44"/>
    <mergeCell ref="A68:A69"/>
    <mergeCell ref="A45:A51"/>
    <mergeCell ref="A52:A58"/>
    <mergeCell ref="A59:A65"/>
  </mergeCells>
  <pageMargins left="0.70866141732283472" right="0.70866141732283472" top="0.74803149606299213" bottom="0.74803149606299213" header="0.31496062992125984" footer="0.31496062992125984"/>
  <pageSetup paperSize="9" scale="53" orientation="landscape" r:id="rId1"/>
  <headerFooter>
    <oddFooter>&amp;R&amp;A</oddFooter>
  </headerFooter>
  <rowBreaks count="1" manualBreakCount="1">
    <brk id="65" max="27"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3" id="{ABAC7181-5152-4095-8C59-E4DA2EC92275}">
            <xm:f>ISERROR(VLOOKUP(Flat_file!#REF!,$AF$6:$AF$44,1,0))</xm:f>
            <x14:dxf/>
          </x14:cfRule>
          <xm:sqref>E2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249977111117893"/>
    <pageSetUpPr fitToPage="1"/>
  </sheetPr>
  <dimension ref="A1:AS109"/>
  <sheetViews>
    <sheetView zoomScaleNormal="100" zoomScaleSheetLayoutView="100" workbookViewId="0">
      <pane xSplit="2" ySplit="5" topLeftCell="C6" activePane="bottomRight" state="frozen"/>
      <selection pane="topRight"/>
      <selection pane="bottomLeft"/>
      <selection pane="bottomRight"/>
    </sheetView>
  </sheetViews>
  <sheetFormatPr defaultColWidth="9.140625" defaultRowHeight="12.75" x14ac:dyDescent="0.2"/>
  <cols>
    <col min="1" max="1" width="16.7109375" style="1" bestFit="1" customWidth="1"/>
    <col min="2" max="2" width="8.28515625" style="1" customWidth="1"/>
    <col min="3" max="4" width="9.28515625" style="3" customWidth="1"/>
    <col min="5" max="6" width="10.28515625" style="3" customWidth="1"/>
    <col min="7" max="7" width="9.7109375" style="3" customWidth="1"/>
    <col min="8" max="8" width="11.42578125" style="3" customWidth="1"/>
    <col min="9" max="10" width="9.28515625" style="3" customWidth="1"/>
    <col min="11" max="11" width="10.42578125" style="3" customWidth="1"/>
    <col min="12" max="12" width="9.28515625" style="3" customWidth="1"/>
    <col min="13" max="14" width="10.7109375" style="3" customWidth="1"/>
    <col min="15" max="15" width="9.28515625" style="3" customWidth="1"/>
    <col min="16" max="16" width="1.28515625" style="3" customWidth="1"/>
    <col min="17" max="17" width="10.85546875" style="3" customWidth="1"/>
    <col min="18" max="18" width="0.85546875" style="3" customWidth="1"/>
    <col min="19" max="21" width="9.140625" style="3"/>
    <col min="22" max="22" width="1.140625" style="3" customWidth="1"/>
    <col min="23" max="24" width="9.140625" style="3"/>
    <col min="25" max="25" width="1.140625" style="3" customWidth="1"/>
    <col min="26" max="27" width="9.28515625" style="3" bestFit="1" customWidth="1"/>
    <col min="28" max="28" width="9.7109375" style="3" customWidth="1"/>
    <col min="29" max="29" width="9.28515625" style="3" bestFit="1" customWidth="1"/>
    <col min="30" max="30" width="10" style="3" bestFit="1" customWidth="1"/>
    <col min="31" max="34" width="9.28515625" style="3" bestFit="1" customWidth="1"/>
    <col min="35" max="35" width="10.7109375" style="3" customWidth="1"/>
    <col min="36" max="36" width="9.28515625" style="3" bestFit="1" customWidth="1"/>
    <col min="37" max="37" width="1.28515625" style="3" customWidth="1"/>
    <col min="38" max="38" width="9.28515625" style="3" bestFit="1" customWidth="1"/>
    <col min="39" max="39" width="0.85546875" style="3" customWidth="1"/>
    <col min="40" max="42" width="9.140625" style="3"/>
    <col min="43" max="43" width="1.140625" style="3" customWidth="1"/>
    <col min="44" max="45" width="9.140625" style="3"/>
    <col min="46" max="16384" width="9.140625" style="1"/>
  </cols>
  <sheetData>
    <row r="1" spans="1:45" customFormat="1" x14ac:dyDescent="0.2">
      <c r="A1" s="170" t="s">
        <v>77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ustomFormat="1" x14ac:dyDescent="0.2">
      <c r="A2" s="62" t="s">
        <v>13</v>
      </c>
      <c r="B2" s="63">
        <f>Flat_file!$B$2</f>
        <v>0</v>
      </c>
      <c r="C2" s="3"/>
      <c r="D2" s="63"/>
      <c r="E2" s="2"/>
      <c r="F2" s="2"/>
      <c r="G2" s="2"/>
      <c r="H2" s="3"/>
      <c r="I2" s="3"/>
      <c r="J2" s="3"/>
      <c r="K2" s="3"/>
      <c r="L2" s="3"/>
      <c r="M2" s="3"/>
      <c r="N2" s="3"/>
      <c r="O2" s="3"/>
      <c r="P2" s="3"/>
      <c r="Q2" s="3"/>
      <c r="R2" s="3"/>
      <c r="S2" s="3"/>
      <c r="T2" s="3"/>
      <c r="U2" s="3"/>
      <c r="V2" s="3"/>
      <c r="W2" s="3"/>
      <c r="X2" s="3"/>
      <c r="Y2" s="3"/>
      <c r="Z2" s="2"/>
      <c r="AA2" s="2"/>
      <c r="AB2" s="2"/>
      <c r="AC2" s="3"/>
      <c r="AD2" s="3"/>
      <c r="AE2" s="3"/>
      <c r="AF2" s="3"/>
      <c r="AG2" s="3"/>
      <c r="AH2" s="3"/>
      <c r="AI2" s="3"/>
      <c r="AJ2" s="3"/>
      <c r="AK2" s="3"/>
      <c r="AL2" s="3"/>
      <c r="AM2" s="3"/>
      <c r="AN2" s="3"/>
      <c r="AO2" s="3"/>
      <c r="AP2" s="3"/>
      <c r="AQ2" s="3"/>
      <c r="AR2" s="3"/>
      <c r="AS2" s="2"/>
    </row>
    <row r="3" spans="1:45" customFormat="1" ht="13.5" thickBot="1" x14ac:dyDescent="0.25">
      <c r="C3" s="372" t="s">
        <v>12</v>
      </c>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
      <c r="AD3" s="3"/>
      <c r="AE3" s="3"/>
      <c r="AF3" s="3"/>
      <c r="AG3" s="3"/>
      <c r="AH3" s="3"/>
      <c r="AI3" s="3"/>
      <c r="AJ3" s="3"/>
      <c r="AK3" s="3"/>
      <c r="AL3" s="3"/>
      <c r="AM3" s="3"/>
      <c r="AN3" s="3"/>
      <c r="AO3" s="3"/>
      <c r="AP3" s="3"/>
      <c r="AQ3" s="3"/>
      <c r="AR3" s="3"/>
      <c r="AS3" s="3"/>
    </row>
    <row r="4" spans="1:45" customFormat="1" ht="81.75" customHeight="1" thickBot="1" x14ac:dyDescent="0.25">
      <c r="A4" s="129"/>
      <c r="B4" s="130" t="s">
        <v>11</v>
      </c>
      <c r="C4" s="125" t="s">
        <v>140</v>
      </c>
      <c r="D4" s="125" t="s">
        <v>136</v>
      </c>
      <c r="E4" s="73" t="s">
        <v>137</v>
      </c>
      <c r="F4" s="131" t="s">
        <v>138</v>
      </c>
      <c r="G4" s="73" t="s">
        <v>139</v>
      </c>
      <c r="H4" s="128" t="s">
        <v>141</v>
      </c>
      <c r="I4" s="125" t="s">
        <v>142</v>
      </c>
      <c r="J4" s="126" t="s">
        <v>164</v>
      </c>
      <c r="K4" s="126" t="s">
        <v>128</v>
      </c>
      <c r="L4" s="126" t="s">
        <v>129</v>
      </c>
      <c r="M4" s="126" t="s">
        <v>130</v>
      </c>
      <c r="N4" s="127" t="s">
        <v>120</v>
      </c>
      <c r="O4" s="166" t="s">
        <v>221</v>
      </c>
      <c r="P4" s="4"/>
      <c r="Q4" s="125" t="s">
        <v>169</v>
      </c>
      <c r="R4" s="4"/>
      <c r="S4" s="125" t="s">
        <v>144</v>
      </c>
      <c r="T4" s="125" t="s">
        <v>145</v>
      </c>
      <c r="U4" s="125" t="s">
        <v>8</v>
      </c>
      <c r="V4" s="4"/>
      <c r="W4" s="311" t="s">
        <v>175</v>
      </c>
      <c r="X4" s="312" t="s">
        <v>171</v>
      </c>
      <c r="Y4" s="4"/>
      <c r="Z4" s="123" t="s">
        <v>172</v>
      </c>
      <c r="AA4" s="123" t="s">
        <v>173</v>
      </c>
      <c r="AB4" s="124" t="s">
        <v>174</v>
      </c>
      <c r="AC4" s="3"/>
      <c r="AD4" s="3"/>
      <c r="AE4" s="3"/>
      <c r="AF4" s="3"/>
      <c r="AG4" s="3"/>
      <c r="AH4" s="3"/>
      <c r="AI4" s="3"/>
      <c r="AJ4" s="3"/>
      <c r="AK4" s="3"/>
      <c r="AL4" s="3"/>
      <c r="AM4" s="3"/>
      <c r="AN4" s="3"/>
      <c r="AO4" s="3"/>
      <c r="AP4" s="3"/>
      <c r="AQ4" s="3"/>
      <c r="AR4" s="3"/>
      <c r="AS4" s="3"/>
    </row>
    <row r="5" spans="1:45" customFormat="1" ht="79.5" thickBot="1" x14ac:dyDescent="0.25">
      <c r="A5" s="81" t="s">
        <v>105</v>
      </c>
      <c r="B5" s="82"/>
      <c r="C5" s="71" t="s">
        <v>106</v>
      </c>
      <c r="D5" s="71" t="s">
        <v>97</v>
      </c>
      <c r="E5" s="71" t="s">
        <v>108</v>
      </c>
      <c r="F5" s="71" t="s">
        <v>107</v>
      </c>
      <c r="G5" s="71" t="s">
        <v>109</v>
      </c>
      <c r="H5" s="71" t="s">
        <v>110</v>
      </c>
      <c r="I5" s="72" t="s">
        <v>111</v>
      </c>
      <c r="J5" s="71" t="s">
        <v>112</v>
      </c>
      <c r="K5" s="71" t="s">
        <v>113</v>
      </c>
      <c r="L5" s="71" t="s">
        <v>114</v>
      </c>
      <c r="M5" s="71" t="s">
        <v>115</v>
      </c>
      <c r="N5" s="75" t="s">
        <v>121</v>
      </c>
      <c r="O5" s="76"/>
      <c r="P5" s="72"/>
      <c r="Q5" s="73" t="str">
        <f>CONCATENATE(H5&amp;", "&amp;I5&amp;", "&amp;J5&amp;", "&amp;K5&amp;", "&amp;L5&amp;", "&amp;M5)</f>
        <v>343, 344, 353, 354, 443, 444, 453, 454, 540, 550, 560, 640, 650, 660, 740, 750, 760, 840, 850, 860</v>
      </c>
      <c r="R5" s="72"/>
      <c r="S5" s="73" t="str">
        <f>CONCATENATE(C5&amp;", "&amp;D5&amp;", "&amp;E5&amp;", "&amp;F5&amp;", "&amp;G5)</f>
        <v>010, 020, 030, 100, 242, 252, 243, 244, 253, 254, 342, 352</v>
      </c>
      <c r="T5" s="73" t="str">
        <f>CONCATENATE(H5&amp;", "&amp;I5)</f>
        <v>343, 344, 353, 354, 443, 444, 453, 454</v>
      </c>
      <c r="U5" s="73" t="str">
        <f>CONCATENATE(J5&amp;", "&amp;K5&amp;", "&amp;L5&amp;", "&amp;M5)</f>
        <v>540, 550, 560, 640, 650, 660, 740, 750, 760, 840, 850, 860</v>
      </c>
      <c r="V5" s="72"/>
      <c r="W5" s="71" t="s">
        <v>118</v>
      </c>
      <c r="X5" s="71" t="s">
        <v>119</v>
      </c>
      <c r="Y5" s="72"/>
      <c r="Z5" s="77" t="s">
        <v>122</v>
      </c>
      <c r="AA5" s="77" t="s">
        <v>123</v>
      </c>
      <c r="AB5" s="74" t="s">
        <v>124</v>
      </c>
      <c r="AC5" s="3"/>
      <c r="AD5" s="3"/>
      <c r="AE5" s="3"/>
      <c r="AF5" s="3"/>
      <c r="AG5" s="3"/>
      <c r="AH5" s="3"/>
      <c r="AI5" s="3"/>
      <c r="AJ5" s="3"/>
      <c r="AK5" s="3"/>
      <c r="AL5" s="3"/>
      <c r="AM5" s="3"/>
      <c r="AN5" s="3"/>
      <c r="AO5" s="3"/>
      <c r="AP5" s="3"/>
      <c r="AQ5" s="3"/>
      <c r="AR5" s="3"/>
      <c r="AS5" s="3"/>
    </row>
    <row r="6" spans="1:45" customFormat="1" ht="12.75" customHeight="1" x14ac:dyDescent="0.2">
      <c r="A6" s="351" t="s">
        <v>5</v>
      </c>
      <c r="B6" s="78" t="s">
        <v>87</v>
      </c>
      <c r="C6" s="86">
        <f>SUMIFS(Flat_file!$G:$G,Flat_file!$B:$B,Summary_Unemployed!$B$2,Flat_file!$C:$C,"Men",Flat_file!$D:$D,"15-19",Flat_file!$E:$E,"010",Flat_file!$F:$F,"U")+SUMIFS(Flat_file!$G:$G,Flat_file!$B:$B,Summary_Unemployed!$B$2,Flat_file!$C:$C,"Men",Flat_file!$D:$D,"15-19",Flat_file!$E:$E,"020",Flat_file!$F:$F,"U")+SUMIFS(Flat_file!$G:$G,Flat_file!$B:$B,Summary_Unemployed!$B$2,Flat_file!$C:$C,"Men",Flat_file!$D:$D,"15-19",Flat_file!$E:$E,"030",Flat_file!$F:$F,"U")</f>
        <v>0</v>
      </c>
      <c r="D6" s="86">
        <f>SUMIFS(Flat_file!$G:$G,Flat_file!$B:$B,Summary_Unemployed!$B$2,Flat_file!$C:$C,"Men",Flat_file!$D:$D,"15-19",Flat_file!$E:$E,"100",Flat_file!$F:$F,"U")</f>
        <v>0</v>
      </c>
      <c r="E6" s="86">
        <f>SUMIFS(Flat_file!$G:$G,Flat_file!$B:$B,Summary_Unemployed!$B$2,Flat_file!$C:$C,"Men",Flat_file!$D:$D,"15-19",Flat_file!$E:$E,"242",Flat_file!$F:$F,"U")+SUMIFS(Flat_file!$G:$G,Flat_file!$B:$B,Summary_Unemployed!$B$2,Flat_file!$C:$C,"Men",Flat_file!$D:$D,"15-19",Flat_file!$E:$E,"252",Flat_file!$F:$F,"U")</f>
        <v>0</v>
      </c>
      <c r="F6" s="86">
        <f>SUMIFS(Flat_file!$G:$G,Flat_file!$B:$B,Summary_Unemployed!$B$2,Flat_file!$C:$C,"Men",Flat_file!$D:$D,"15-19",Flat_file!$E:$E,"243",Flat_file!$F:$F,"U")+SUMIFS(Flat_file!$G:$G,Flat_file!$B:$B,Summary_Unemployed!$B$2,Flat_file!$C:$C,"Men",Flat_file!$D:$D,"15-19",Flat_file!$E:$E,"244",Flat_file!$F:$F,"U")+SUMIFS(Flat_file!$G:$G,Flat_file!$B:$B,Summary_Unemployed!$B$2,Flat_file!$C:$C,"Men",Flat_file!$D:$D,"15-19",Flat_file!$E:$E,"253",Flat_file!$F:$F,"U")+SUMIFS(Flat_file!$G:$G,Flat_file!$B:$B,Summary_Unemployed!$B$2,Flat_file!$C:$C,"Men",Flat_file!$D:$D,"15-19",Flat_file!$E:$E,"254",Flat_file!$F:$F,"U")</f>
        <v>0</v>
      </c>
      <c r="G6" s="86">
        <f>SUMIFS(Flat_file!$G:$G,Flat_file!$B:$B,Summary_Unemployed!$B$2,Flat_file!$C:$C,"Men",Flat_file!$D:$D,"15-19",Flat_file!$E:$E,"342",Flat_file!$F:$F,"U")+SUMIFS(Flat_file!$G:$G,Flat_file!$B:$B,Summary_Unemployed!$B$2,Flat_file!$C:$C,"Men",Flat_file!$D:$D,"15-19",Flat_file!$E:$E,"352",Flat_file!$F:$F,"U")</f>
        <v>0</v>
      </c>
      <c r="H6" s="86">
        <f>SUMIFS(Flat_file!$G:$G,Flat_file!$B:$B,Summary_Unemployed!$B$2,Flat_file!$C:$C,"Men",Flat_file!$D:$D,"15-19",Flat_file!$E:$E,"343",Flat_file!$F:$F,"U")+SUMIFS(Flat_file!$G:$G,Flat_file!$B:$B,Summary_Unemployed!$B$2,Flat_file!$C:$C,"Men",Flat_file!$D:$D,"15-19",Flat_file!$E:$E,"344",Flat_file!$F:$F,"U")+SUMIFS(Flat_file!$G:$G,Flat_file!$B:$B,Summary_Unemployed!$B$2,Flat_file!$C:$C,"Men",Flat_file!$D:$D,"15-19",Flat_file!$E:$E,"353",Flat_file!$F:$F,"U")+SUMIFS(Flat_file!$G:$G,Flat_file!$B:$B,Summary_Unemployed!$B$2,Flat_file!$C:$C,"Men",Flat_file!$D:$D,"15-19",Flat_file!$E:$E,"354",Flat_file!$F:$F,"U")</f>
        <v>0</v>
      </c>
      <c r="I6" s="86">
        <f>SUMIFS(Flat_file!$G:$G,Flat_file!$B:$B,Summary_Unemployed!$B$2,Flat_file!$C:$C,"Men",Flat_file!$D:$D,"15-19",Flat_file!$E:$E,"443",Flat_file!$F:$F,"U")+SUMIFS(Flat_file!$G:$G,Flat_file!$B:$B,Summary_Unemployed!$B$2,Flat_file!$C:$C,"Men",Flat_file!$D:$D,"15-19",Flat_file!$E:$E,"444",Flat_file!$F:$F,"U")+SUMIFS(Flat_file!$G:$G,Flat_file!$B:$B,Summary_Unemployed!$B$2,Flat_file!$C:$C,"Men",Flat_file!$D:$D,"15-19",Flat_file!$E:$E,"453",Flat_file!$F:$F,"U")+SUMIFS(Flat_file!$G:$G,Flat_file!$B:$B,Summary_Unemployed!$B$2,Flat_file!$C:$C,"Men",Flat_file!$D:$D,"15-19",Flat_file!$E:$E,"454",Flat_file!$F:$F,"U")</f>
        <v>0</v>
      </c>
      <c r="J6" s="86">
        <f>SUMIFS(Flat_file!$G:$G,Flat_file!$B:$B,Summary_Unemployed!$B$2,Flat_file!$C:$C,"Men",Flat_file!$D:$D,"15-19",Flat_file!$E:$E,"540",Flat_file!$F:$F,"U")+SUMIFS(Flat_file!$G:$G,Flat_file!$B:$B,Summary_Unemployed!$B$2,Flat_file!$C:$C,"Men",Flat_file!$D:$D,"15-19",Flat_file!$E:$E,"550",Flat_file!$F:$F,"U")+SUMIFS(Flat_file!$G:$G,Flat_file!$B:$B,Summary_Unemployed!$B$2,Flat_file!$C:$C,"Men",Flat_file!$D:$D,"15-19",Flat_file!$E:$E,"560",Flat_file!$F:$F,"U")</f>
        <v>0</v>
      </c>
      <c r="K6" s="86">
        <f>SUMIFS(Flat_file!$G:$G,Flat_file!$B:$B,Summary_Unemployed!$B$2,Flat_file!$C:$C,"Men",Flat_file!$D:$D,"15-19",Flat_file!$E:$E,"640",Flat_file!$F:$F,"U")+SUMIFS(Flat_file!$G:$G,Flat_file!$B:$B,Summary_Unemployed!$B$2,Flat_file!$C:$C,"Men",Flat_file!$D:$D,"15-19",Flat_file!$E:$E,"650",Flat_file!$F:$F,"U")+SUMIFS(Flat_file!$G:$G,Flat_file!$B:$B,Summary_Unemployed!$B$2,Flat_file!$C:$C,"Men",Flat_file!$D:$D,"15-19",Flat_file!$E:$E,"660",Flat_file!$F:$F,"U")</f>
        <v>0</v>
      </c>
      <c r="L6" s="86">
        <f>SUMIFS(Flat_file!$G:$G,Flat_file!$B:$B,Summary_Unemployed!$B$2,Flat_file!$C:$C,"Men",Flat_file!$D:$D,"15-19",Flat_file!$E:$E,"740",Flat_file!$F:$F,"U")+SUMIFS(Flat_file!$G:$G,Flat_file!$B:$B,Summary_Unemployed!$B$2,Flat_file!$C:$C,"Men",Flat_file!$D:$D,"15-19",Flat_file!$E:$E,"750",Flat_file!$F:$F,"U")+SUMIFS(Flat_file!$G:$G,Flat_file!$B:$B,Summary_Unemployed!$B$2,Flat_file!$C:$C,"Men",Flat_file!$D:$D,"15-19",Flat_file!$E:$E,"760",Flat_file!$F:$F,"U")</f>
        <v>0</v>
      </c>
      <c r="M6" s="86">
        <f>SUMIFS(Flat_file!$G:$G,Flat_file!$B:$B,Summary_Unemployed!$B$2,Flat_file!$C:$C,"Men",Flat_file!$D:$D,"15-19",Flat_file!$E:$E,"840",Flat_file!$F:$F,"U")+SUMIFS(Flat_file!$G:$G,Flat_file!$B:$B,Summary_Unemployed!$B$2,Flat_file!$C:$C,"Men",Flat_file!$D:$D,"15-19",Flat_file!$E:$E,"850",Flat_file!$F:$F,"U")+SUMIFS(Flat_file!$G:$G,Flat_file!$B:$B,Summary_Unemployed!$B$2,Flat_file!$C:$C,"Men",Flat_file!$D:$D,"15-19",Flat_file!$E:$E,"860",Flat_file!$F:$F,"U")</f>
        <v>0</v>
      </c>
      <c r="N6" s="86">
        <f>SUMIFS(Flat_file!$G:$G,Flat_file!$B:$B,Summary_Unemployed!$B$2,Flat_file!$C:$C,"Men",Flat_file!$D:$D,"15-19",Flat_file!$E:$E,"999",Flat_file!$F:$F,"U")</f>
        <v>0</v>
      </c>
      <c r="O6" s="86">
        <f>SUM(C6:M6)</f>
        <v>0</v>
      </c>
      <c r="P6" s="87"/>
      <c r="Q6" s="86">
        <f>SUM(H6:M6)</f>
        <v>0</v>
      </c>
      <c r="R6" s="88"/>
      <c r="S6" s="86">
        <f>SUM(C6:G6)</f>
        <v>0</v>
      </c>
      <c r="T6" s="86">
        <f>SUM(H6:I6)</f>
        <v>0</v>
      </c>
      <c r="U6" s="86">
        <f>SUM(J6:M6)</f>
        <v>0</v>
      </c>
      <c r="V6" s="87"/>
      <c r="W6" s="86">
        <f>SUMIFS(Flat_file!$G:$G,Flat_file!$B:$B,Summary_Unemployed!$B$2,Flat_file!$C:$C,"Men",Flat_file!$D:$D,"15-19",Flat_file!$E:$E,"343",Flat_file!$F:$F,"U")+SUMIFS(Flat_file!$G:$G,Flat_file!$B:$B,Summary_Unemployed!$B$2,Flat_file!$C:$C,"Men",Flat_file!$D:$D,"15-19",Flat_file!$E:$E,"344",Flat_file!$F:$F,"U")+SUMIFS(Flat_file!$G:$G,Flat_file!$B:$B,Summary_Unemployed!$B$2,Flat_file!$C:$C,"Men",Flat_file!$D:$D,"15-19",Flat_file!$E:$E,"443",Flat_file!$F:$F,"U")+SUMIFS(Flat_file!$G:$G,Flat_file!$B:$B,Summary_Unemployed!$B$2,Flat_file!$C:$C,"Men",Flat_file!$D:$D,"15-19",Flat_file!$E:$E,"444",Flat_file!$F:$F,"U")</f>
        <v>0</v>
      </c>
      <c r="X6" s="86">
        <f>SUMIFS(Flat_file!$G:$G,Flat_file!$B:$B,Summary_Unemployed!$B$2,Flat_file!$C:$C,"Men",Flat_file!$D:$D,"15-19",Flat_file!$E:$E,"353",Flat_file!$F:$F,"U")+SUMIFS(Flat_file!$G:$G,Flat_file!$B:$B,Summary_Unemployed!$B$2,Flat_file!$C:$C,"Men",Flat_file!$D:$D,"15-19",Flat_file!$E:$E,"354",Flat_file!$F:$F,"U")+SUMIFS(Flat_file!$G:$G,Flat_file!$B:$B,Summary_Unemployed!$B$2,Flat_file!$C:$C,"Men",Flat_file!$D:$D,"15-19",Flat_file!$E:$E,"453",Flat_file!$F:$F,"U")+SUMIFS(Flat_file!$G:$G,Flat_file!$B:$B,Summary_Unemployed!$B$2,Flat_file!$C:$C,"Men",Flat_file!$D:$D,"15-19",Flat_file!$E:$E,"454",Flat_file!$F:$F,"U")</f>
        <v>0</v>
      </c>
      <c r="Y6" s="87"/>
      <c r="Z6" s="86">
        <f>SUMIFS(Flat_file!$G:$G,Flat_file!$B:$B,Summary_Unemployed!$B$2,Flat_file!$C:$C,"Men",Flat_file!$D:$D,"15-19",Flat_file!$E:$E,"640",Flat_file!$F:$F,"U")+SUMIFS(Flat_file!$G:$G,Flat_file!$B:$B,Summary_Unemployed!$B$2,Flat_file!$C:$C,"Men",Flat_file!$D:$D,"15-19",Flat_file!$E:$E,"740",Flat_file!$F:$F,"U")+SUMIFS(Flat_file!$G:$G,Flat_file!$B:$B,Summary_Unemployed!$B$2,Flat_file!$C:$C,"Men",Flat_file!$D:$D,"15-19",Flat_file!$E:$E,"840",Flat_file!$F:$F,"U")</f>
        <v>0</v>
      </c>
      <c r="AA6" s="86">
        <f>SUMIFS(Flat_file!$G:$G,Flat_file!$B:$B,Summary_Unemployed!$B$2,Flat_file!$C:$C,"Men",Flat_file!$D:$D,"15-19",Flat_file!$E:$E,"650",Flat_file!$F:$F,"U")+SUMIFS(Flat_file!$G:$G,Flat_file!$B:$B,Summary_Unemployed!$B$2,Flat_file!$C:$C,"Men",Flat_file!$D:$D,"15-19",Flat_file!$E:$E,"750",Flat_file!$F:$F,"U")+SUMIFS(Flat_file!$G:$G,Flat_file!$B:$B,Summary_Unemployed!$B$2,Flat_file!$C:$C,"Men",Flat_file!$D:$D,"15-19",Flat_file!$E:$E,"850",Flat_file!$F:$F,"U")</f>
        <v>0</v>
      </c>
      <c r="AB6" s="86">
        <f>SUMIFS(Flat_file!$G:$G,Flat_file!$B:$B,Summary_Unemployed!$B$2,Flat_file!$C:$C,"Men",Flat_file!$D:$D,"15-19",Flat_file!$E:$E,"660",Flat_file!$F:$F,"U")+SUMIFS(Flat_file!$G:$G,Flat_file!$B:$B,Summary_Unemployed!$B$2,Flat_file!$C:$C,"Men",Flat_file!$D:$D,"15-19",Flat_file!$E:$E,"760",Flat_file!$F:$F,"U")+SUMIFS(Flat_file!$G:$G,Flat_file!$B:$B,Summary_Unemployed!$B$2,Flat_file!$C:$C,"Men",Flat_file!$D:$D,"15-19",Flat_file!$E:$E,"860",Flat_file!$F:$F,"U")</f>
        <v>0</v>
      </c>
      <c r="AC6" s="3"/>
      <c r="AD6" s="3"/>
      <c r="AE6" s="3"/>
      <c r="AF6" s="3"/>
      <c r="AG6" s="3"/>
      <c r="AH6" s="3"/>
      <c r="AI6" s="3"/>
      <c r="AJ6" s="3"/>
      <c r="AK6" s="3"/>
      <c r="AL6" s="3"/>
      <c r="AM6" s="3"/>
      <c r="AN6" s="3"/>
      <c r="AO6" s="3"/>
      <c r="AP6" s="3"/>
      <c r="AQ6" s="3"/>
      <c r="AR6" s="3"/>
      <c r="AS6" s="3"/>
    </row>
    <row r="7" spans="1:45" customFormat="1" x14ac:dyDescent="0.2">
      <c r="A7" s="352"/>
      <c r="B7" s="79" t="s">
        <v>88</v>
      </c>
      <c r="C7" s="89">
        <f>SUMIFS(Flat_file!$G:$G,Flat_file!$B:$B,Summary_Unemployed!$B$2,Flat_file!$C:$C,"Men",Flat_file!$D:$D,"20-24",Flat_file!$E:$E,"010",Flat_file!$F:$F,"U")+SUMIFS(Flat_file!$G:$G,Flat_file!$B:$B,Summary_Unemployed!$B$2,Flat_file!$C:$C,"Men",Flat_file!$D:$D,"20-24",Flat_file!$E:$E,"020",Flat_file!$F:$F,"U")+SUMIFS(Flat_file!$G:$G,Flat_file!$B:$B,Summary_Unemployed!$B$2,Flat_file!$C:$C,"Men",Flat_file!$D:$D,"20-24",Flat_file!$E:$E,"030",Flat_file!$F:$F,"U")</f>
        <v>0</v>
      </c>
      <c r="D7" s="89">
        <f>SUMIFS(Flat_file!$G:$G,Flat_file!$B:$B,Summary_Unemployed!$B$2,Flat_file!$C:$C,"Men",Flat_file!$D:$D,"20-24",Flat_file!$E:$E,"100",Flat_file!$F:$F,"U")</f>
        <v>0</v>
      </c>
      <c r="E7" s="89">
        <f>SUMIFS(Flat_file!$G:$G,Flat_file!$B:$B,Summary_Unemployed!$B$2,Flat_file!$C:$C,"Men",Flat_file!$D:$D,"20-24",Flat_file!$E:$E,"242",Flat_file!$F:$F,"U")+SUMIFS(Flat_file!$G:$G,Flat_file!$B:$B,Summary_Unemployed!$B$2,Flat_file!$C:$C,"Men",Flat_file!$D:$D,"20-24",Flat_file!$E:$E,"252",Flat_file!$F:$F,"U")</f>
        <v>0</v>
      </c>
      <c r="F7" s="89">
        <f>SUMIFS(Flat_file!$G:$G,Flat_file!$B:$B,Summary_Unemployed!$B$2,Flat_file!$C:$C,"Men",Flat_file!$D:$D,"20-24",Flat_file!$E:$E,"243",Flat_file!$F:$F,"U")+SUMIFS(Flat_file!$G:$G,Flat_file!$B:$B,Summary_Unemployed!$B$2,Flat_file!$C:$C,"Men",Flat_file!$D:$D,"20-24",Flat_file!$E:$E,"244",Flat_file!$F:$F,"U")+SUMIFS(Flat_file!$G:$G,Flat_file!$B:$B,Summary_Unemployed!$B$2,Flat_file!$C:$C,"Men",Flat_file!$D:$D,"20-24",Flat_file!$E:$E,"253",Flat_file!$F:$F,"U")+SUMIFS(Flat_file!$G:$G,Flat_file!$B:$B,Summary_Unemployed!$B$2,Flat_file!$C:$C,"Men",Flat_file!$D:$D,"20-24",Flat_file!$E:$E,"254",Flat_file!$F:$F,"U")</f>
        <v>0</v>
      </c>
      <c r="G7" s="89">
        <f>SUMIFS(Flat_file!$G:$G,Flat_file!$B:$B,Summary_Unemployed!$B$2,Flat_file!$C:$C,"Men",Flat_file!$D:$D,"20-24",Flat_file!$E:$E,"342",Flat_file!$F:$F,"U")+SUMIFS(Flat_file!$G:$G,Flat_file!$B:$B,Summary_Unemployed!$B$2,Flat_file!$C:$C,"Men",Flat_file!$D:$D,"20-24",Flat_file!$E:$E,"352",Flat_file!$F:$F,"U")</f>
        <v>0</v>
      </c>
      <c r="H7" s="89">
        <f>SUMIFS(Flat_file!$G:$G,Flat_file!$B:$B,Summary_Unemployed!$B$2,Flat_file!$C:$C,"Men",Flat_file!$D:$D,"20-24",Flat_file!$E:$E,"343",Flat_file!$F:$F,"U")+SUMIFS(Flat_file!$G:$G,Flat_file!$B:$B,Summary_Unemployed!$B$2,Flat_file!$C:$C,"Men",Flat_file!$D:$D,"20-24",Flat_file!$E:$E,"344",Flat_file!$F:$F,"U")+SUMIFS(Flat_file!$G:$G,Flat_file!$B:$B,Summary_Unemployed!$B$2,Flat_file!$C:$C,"Men",Flat_file!$D:$D,"20-24",Flat_file!$E:$E,"353",Flat_file!$F:$F,"U")+SUMIFS(Flat_file!$G:$G,Flat_file!$B:$B,Summary_Unemployed!$B$2,Flat_file!$C:$C,"Men",Flat_file!$D:$D,"20-24",Flat_file!$E:$E,"354",Flat_file!$F:$F,"U")</f>
        <v>0</v>
      </c>
      <c r="I7" s="89">
        <f>SUMIFS(Flat_file!$G:$G,Flat_file!$B:$B,Summary_Unemployed!$B$2,Flat_file!$C:$C,"Men",Flat_file!$D:$D,"20-24",Flat_file!$E:$E,"443",Flat_file!$F:$F,"U")+SUMIFS(Flat_file!$G:$G,Flat_file!$B:$B,Summary_Unemployed!$B$2,Flat_file!$C:$C,"Men",Flat_file!$D:$D,"20-24",Flat_file!$E:$E,"444",Flat_file!$F:$F,"U")+SUMIFS(Flat_file!$G:$G,Flat_file!$B:$B,Summary_Unemployed!$B$2,Flat_file!$C:$C,"Men",Flat_file!$D:$D,"20-24",Flat_file!$E:$E,"453",Flat_file!$F:$F,"U")+SUMIFS(Flat_file!$G:$G,Flat_file!$B:$B,Summary_Unemployed!$B$2,Flat_file!$C:$C,"Men",Flat_file!$D:$D,"20-24",Flat_file!$E:$E,"454",Flat_file!$F:$F,"U")</f>
        <v>0</v>
      </c>
      <c r="J7" s="89">
        <f>SUMIFS(Flat_file!$G:$G,Flat_file!$B:$B,Summary_Unemployed!$B$2,Flat_file!$C:$C,"Men",Flat_file!$D:$D,"20-24",Flat_file!$E:$E,"540",Flat_file!$F:$F,"U")+SUMIFS(Flat_file!$G:$G,Flat_file!$B:$B,Summary_Unemployed!$B$2,Flat_file!$C:$C,"Men",Flat_file!$D:$D,"20-24",Flat_file!$E:$E,"550",Flat_file!$F:$F,"U")+SUMIFS(Flat_file!$G:$G,Flat_file!$B:$B,Summary_Unemployed!$B$2,Flat_file!$C:$C,"Men",Flat_file!$D:$D,"20-24",Flat_file!$E:$E,"560",Flat_file!$F:$F,"U")</f>
        <v>0</v>
      </c>
      <c r="K7" s="89">
        <f>SUMIFS(Flat_file!$G:$G,Flat_file!$B:$B,Summary_Unemployed!$B$2,Flat_file!$C:$C,"Men",Flat_file!$D:$D,"20-24",Flat_file!$E:$E,"640",Flat_file!$F:$F,"U")+SUMIFS(Flat_file!$G:$G,Flat_file!$B:$B,Summary_Unemployed!$B$2,Flat_file!$C:$C,"Men",Flat_file!$D:$D,"20-24",Flat_file!$E:$E,"650",Flat_file!$F:$F,"U")+SUMIFS(Flat_file!$G:$G,Flat_file!$B:$B,Summary_Unemployed!$B$2,Flat_file!$C:$C,"Men",Flat_file!$D:$D,"20-24",Flat_file!$E:$E,"660",Flat_file!$F:$F,"U")</f>
        <v>0</v>
      </c>
      <c r="L7" s="89">
        <f>SUMIFS(Flat_file!$G:$G,Flat_file!$B:$B,Summary_Unemployed!$B$2,Flat_file!$C:$C,"Men",Flat_file!$D:$D,"20-24",Flat_file!$E:$E,"740",Flat_file!$F:$F,"U")+SUMIFS(Flat_file!$G:$G,Flat_file!$B:$B,Summary_Unemployed!$B$2,Flat_file!$C:$C,"Men",Flat_file!$D:$D,"20-24",Flat_file!$E:$E,"750",Flat_file!$F:$F,"U")+SUMIFS(Flat_file!$G:$G,Flat_file!$B:$B,Summary_Unemployed!$B$2,Flat_file!$C:$C,"Men",Flat_file!$D:$D,"20-24",Flat_file!$E:$E,"760",Flat_file!$F:$F,"U")</f>
        <v>0</v>
      </c>
      <c r="M7" s="89">
        <f>SUMIFS(Flat_file!$G:$G,Flat_file!$B:$B,Summary_Unemployed!$B$2,Flat_file!$C:$C,"Men",Flat_file!$D:$D,"20-24",Flat_file!$E:$E,"840",Flat_file!$F:$F,"U")+SUMIFS(Flat_file!$G:$G,Flat_file!$B:$B,Summary_Unemployed!$B$2,Flat_file!$C:$C,"Men",Flat_file!$D:$D,"20-24",Flat_file!$E:$E,"850",Flat_file!$F:$F,"U")+SUMIFS(Flat_file!$G:$G,Flat_file!$B:$B,Summary_Unemployed!$B$2,Flat_file!$C:$C,"Men",Flat_file!$D:$D,"20-24",Flat_file!$E:$E,"860",Flat_file!$F:$F,"U")</f>
        <v>0</v>
      </c>
      <c r="N7" s="89">
        <f>SUMIFS(Flat_file!$G:$G,Flat_file!$B:$B,Summary_Unemployed!$B$2,Flat_file!$C:$C,"Men",Flat_file!$D:$D,"20-24",Flat_file!$E:$E,"999",Flat_file!$F:$F,"U")</f>
        <v>0</v>
      </c>
      <c r="O7" s="89">
        <f t="shared" ref="O7:O18" si="0">SUM(C7:M7)</f>
        <v>0</v>
      </c>
      <c r="P7" s="90"/>
      <c r="Q7" s="89">
        <f t="shared" ref="Q7:Q18" si="1">SUM(H7:M7)</f>
        <v>0</v>
      </c>
      <c r="R7" s="91"/>
      <c r="S7" s="89">
        <f t="shared" ref="S7:S18" si="2">SUM(C7:G7)</f>
        <v>0</v>
      </c>
      <c r="T7" s="89">
        <f t="shared" ref="T7:T18" si="3">SUM(H7:I7)</f>
        <v>0</v>
      </c>
      <c r="U7" s="89">
        <f t="shared" ref="U7:U18" si="4">SUM(J7:M7)</f>
        <v>0</v>
      </c>
      <c r="V7" s="90"/>
      <c r="W7" s="89">
        <f>SUMIFS(Flat_file!$G:$G,Flat_file!$B:$B,Summary_Unemployed!$B$2,Flat_file!$C:$C,"Men",Flat_file!$D:$D,"20-24",Flat_file!$E:$E,"343",Flat_file!$F:$F,"U")+SUMIFS(Flat_file!$G:$G,Flat_file!$B:$B,Summary_Unemployed!$B$2,Flat_file!$C:$C,"Men",Flat_file!$D:$D,"20-24",Flat_file!$E:$E,"344",Flat_file!$F:$F,"U")+SUMIFS(Flat_file!$G:$G,Flat_file!$B:$B,Summary_Unemployed!$B$2,Flat_file!$C:$C,"Men",Flat_file!$D:$D,"20-24",Flat_file!$E:$E,"443",Flat_file!$F:$F,"U")+SUMIFS(Flat_file!$G:$G,Flat_file!$B:$B,Summary_Unemployed!$B$2,Flat_file!$C:$C,"Men",Flat_file!$D:$D,"20-24",Flat_file!$E:$E,"444",Flat_file!$F:$F,"U")</f>
        <v>0</v>
      </c>
      <c r="X7" s="89">
        <f>SUMIFS(Flat_file!$G:$G,Flat_file!$B:$B,Summary_Unemployed!$B$2,Flat_file!$C:$C,"Men",Flat_file!$D:$D,"20-24",Flat_file!$E:$E,"353",Flat_file!$F:$F,"U")+SUMIFS(Flat_file!$G:$G,Flat_file!$B:$B,Summary_Unemployed!$B$2,Flat_file!$C:$C,"Men",Flat_file!$D:$D,"20-24",Flat_file!$E:$E,"354",Flat_file!$F:$F,"U")+SUMIFS(Flat_file!$G:$G,Flat_file!$B:$B,Summary_Unemployed!$B$2,Flat_file!$C:$C,"Men",Flat_file!$D:$D,"20-24",Flat_file!$E:$E,"453",Flat_file!$F:$F,"U")+SUMIFS(Flat_file!$G:$G,Flat_file!$B:$B,Summary_Unemployed!$B$2,Flat_file!$C:$C,"Men",Flat_file!$D:$D,"20-24",Flat_file!$E:$E,"454",Flat_file!$F:$F,"U")</f>
        <v>0</v>
      </c>
      <c r="Y7" s="90"/>
      <c r="Z7" s="89">
        <f>SUMIFS(Flat_file!$G:$G,Flat_file!$B:$B,Summary_Unemployed!$B$2,Flat_file!$C:$C,"Men",Flat_file!$D:$D,"20-24",Flat_file!$E:$E,"640",Flat_file!$F:$F,"U")+SUMIFS(Flat_file!$G:$G,Flat_file!$B:$B,Summary_Unemployed!$B$2,Flat_file!$C:$C,"Men",Flat_file!$D:$D,"20-24",Flat_file!$E:$E,"740",Flat_file!$F:$F,"U")+SUMIFS(Flat_file!$G:$G,Flat_file!$B:$B,Summary_Unemployed!$B$2,Flat_file!$C:$C,"Men",Flat_file!$D:$D,"20-24",Flat_file!$E:$E,"840",Flat_file!$F:$F,"U")</f>
        <v>0</v>
      </c>
      <c r="AA7" s="89">
        <f>SUMIFS(Flat_file!$G:$G,Flat_file!$B:$B,Summary_Unemployed!$B$2,Flat_file!$C:$C,"Men",Flat_file!$D:$D,"20-24",Flat_file!$E:$E,"650",Flat_file!$F:$F,"U")+SUMIFS(Flat_file!$G:$G,Flat_file!$B:$B,Summary_Unemployed!$B$2,Flat_file!$C:$C,"Men",Flat_file!$D:$D,"20-24",Flat_file!$E:$E,"750",Flat_file!$F:$F,"U")+SUMIFS(Flat_file!$G:$G,Flat_file!$B:$B,Summary_Unemployed!$B$2,Flat_file!$C:$C,"Men",Flat_file!$D:$D,"20-24",Flat_file!$E:$E,"850",Flat_file!$F:$F,"U")</f>
        <v>0</v>
      </c>
      <c r="AB7" s="89">
        <f>SUMIFS(Flat_file!$G:$G,Flat_file!$B:$B,Summary_Unemployed!$B$2,Flat_file!$C:$C,"Men",Flat_file!$D:$D,"20-24",Flat_file!$E:$E,"660",Flat_file!$F:$F,"U")+SUMIFS(Flat_file!$G:$G,Flat_file!$B:$B,Summary_Unemployed!$B$2,Flat_file!$C:$C,"Men",Flat_file!$D:$D,"20-24",Flat_file!$E:$E,"760",Flat_file!$F:$F,"U")+SUMIFS(Flat_file!$G:$G,Flat_file!$B:$B,Summary_Unemployed!$B$2,Flat_file!$C:$C,"Men",Flat_file!$D:$D,"20-24",Flat_file!$E:$E,"860",Flat_file!$F:$F,"U")</f>
        <v>0</v>
      </c>
      <c r="AC7" s="3"/>
      <c r="AD7" s="3"/>
      <c r="AE7" s="3"/>
      <c r="AF7" s="3"/>
      <c r="AG7" s="3"/>
      <c r="AH7" s="3"/>
      <c r="AI7" s="3"/>
      <c r="AJ7" s="3"/>
      <c r="AK7" s="3"/>
      <c r="AL7" s="3"/>
      <c r="AM7" s="3"/>
      <c r="AN7" s="3"/>
      <c r="AO7" s="3"/>
      <c r="AP7" s="3"/>
      <c r="AQ7" s="3"/>
      <c r="AR7" s="3"/>
      <c r="AS7" s="3"/>
    </row>
    <row r="8" spans="1:45" customFormat="1" x14ac:dyDescent="0.2">
      <c r="A8" s="352"/>
      <c r="B8" s="79" t="s">
        <v>89</v>
      </c>
      <c r="C8" s="89">
        <f>SUMIFS(Flat_file!$G:$G,Flat_file!$B:$B,Summary_Unemployed!$B$2,Flat_file!$C:$C,"Men",Flat_file!$D:$D,"25-29",Flat_file!$E:$E,"010",Flat_file!$F:$F,"U")+SUMIFS(Flat_file!$G:$G,Flat_file!$B:$B,Summary_Unemployed!$B$2,Flat_file!$C:$C,"Men",Flat_file!$D:$D,"25-29",Flat_file!$E:$E,"020",Flat_file!$F:$F,"U")+SUMIFS(Flat_file!$G:$G,Flat_file!$B:$B,Summary_Unemployed!$B$2,Flat_file!$C:$C,"Men",Flat_file!$D:$D,"25-29",Flat_file!$E:$E,"030",Flat_file!$F:$F,"U")</f>
        <v>0</v>
      </c>
      <c r="D8" s="89">
        <f>SUMIFS(Flat_file!$G:$G,Flat_file!$B:$B,Summary_Unemployed!$B$2,Flat_file!$C:$C,"Men",Flat_file!$D:$D,"25-29",Flat_file!$E:$E,"100",Flat_file!$F:$F,"U")</f>
        <v>0</v>
      </c>
      <c r="E8" s="89">
        <f>SUMIFS(Flat_file!$G:$G,Flat_file!$B:$B,Summary_Unemployed!$B$2,Flat_file!$C:$C,"Men",Flat_file!$D:$D,"25-29",Flat_file!$E:$E,"242",Flat_file!$F:$F,"U")+SUMIFS(Flat_file!$G:$G,Flat_file!$B:$B,Summary_Unemployed!$B$2,Flat_file!$C:$C,"Men",Flat_file!$D:$D,"25-29",Flat_file!$E:$E,"252",Flat_file!$F:$F,"U")</f>
        <v>0</v>
      </c>
      <c r="F8" s="89">
        <f>SUMIFS(Flat_file!$G:$G,Flat_file!$B:$B,Summary_Unemployed!$B$2,Flat_file!$C:$C,"Men",Flat_file!$D:$D,"25-29",Flat_file!$E:$E,"243",Flat_file!$F:$F,"U")+SUMIFS(Flat_file!$G:$G,Flat_file!$B:$B,Summary_Unemployed!$B$2,Flat_file!$C:$C,"Men",Flat_file!$D:$D,"25-29",Flat_file!$E:$E,"244",Flat_file!$F:$F,"U")+SUMIFS(Flat_file!$G:$G,Flat_file!$B:$B,Summary_Unemployed!$B$2,Flat_file!$C:$C,"Men",Flat_file!$D:$D,"25-29",Flat_file!$E:$E,"253",Flat_file!$F:$F,"U")+SUMIFS(Flat_file!$G:$G,Flat_file!$B:$B,Summary_Unemployed!$B$2,Flat_file!$C:$C,"Men",Flat_file!$D:$D,"25-29",Flat_file!$E:$E,"254",Flat_file!$F:$F,"U")</f>
        <v>0</v>
      </c>
      <c r="G8" s="89">
        <f>SUMIFS(Flat_file!$G:$G,Flat_file!$B:$B,Summary_Unemployed!$B$2,Flat_file!$C:$C,"Men",Flat_file!$D:$D,"25-29",Flat_file!$E:$E,"342",Flat_file!$F:$F,"U")+SUMIFS(Flat_file!$G:$G,Flat_file!$B:$B,Summary_Unemployed!$B$2,Flat_file!$C:$C,"Men",Flat_file!$D:$D,"25-29",Flat_file!$E:$E,"352",Flat_file!$F:$F,"U")</f>
        <v>0</v>
      </c>
      <c r="H8" s="89">
        <f>SUMIFS(Flat_file!$G:$G,Flat_file!$B:$B,Summary_Unemployed!$B$2,Flat_file!$C:$C,"Men",Flat_file!$D:$D,"25-29",Flat_file!$E:$E,"343",Flat_file!$F:$F,"U")+SUMIFS(Flat_file!$G:$G,Flat_file!$B:$B,Summary_Unemployed!$B$2,Flat_file!$C:$C,"Men",Flat_file!$D:$D,"25-29",Flat_file!$E:$E,"344",Flat_file!$F:$F,"U")+SUMIFS(Flat_file!$G:$G,Flat_file!$B:$B,Summary_Unemployed!$B$2,Flat_file!$C:$C,"Men",Flat_file!$D:$D,"25-29",Flat_file!$E:$E,"353",Flat_file!$F:$F,"U")+SUMIFS(Flat_file!$G:$G,Flat_file!$B:$B,Summary_Unemployed!$B$2,Flat_file!$C:$C,"Men",Flat_file!$D:$D,"25-29",Flat_file!$E:$E,"354",Flat_file!$F:$F,"U")</f>
        <v>0</v>
      </c>
      <c r="I8" s="89">
        <f>SUMIFS(Flat_file!$G:$G,Flat_file!$B:$B,Summary_Unemployed!$B$2,Flat_file!$C:$C,"Men",Flat_file!$D:$D,"25-29",Flat_file!$E:$E,"443",Flat_file!$F:$F,"U")+SUMIFS(Flat_file!$G:$G,Flat_file!$B:$B,Summary_Unemployed!$B$2,Flat_file!$C:$C,"Men",Flat_file!$D:$D,"25-29",Flat_file!$E:$E,"444",Flat_file!$F:$F,"U")+SUMIFS(Flat_file!$G:$G,Flat_file!$B:$B,Summary_Unemployed!$B$2,Flat_file!$C:$C,"Men",Flat_file!$D:$D,"25-29",Flat_file!$E:$E,"453",Flat_file!$F:$F,"U")+SUMIFS(Flat_file!$G:$G,Flat_file!$B:$B,Summary_Unemployed!$B$2,Flat_file!$C:$C,"Men",Flat_file!$D:$D,"25-29",Flat_file!$E:$E,"454",Flat_file!$F:$F,"U")</f>
        <v>0</v>
      </c>
      <c r="J8" s="89">
        <f>SUMIFS(Flat_file!$G:$G,Flat_file!$B:$B,Summary_Unemployed!$B$2,Flat_file!$C:$C,"Men",Flat_file!$D:$D,"25-29",Flat_file!$E:$E,"540",Flat_file!$F:$F,"U")+SUMIFS(Flat_file!$G:$G,Flat_file!$B:$B,Summary_Unemployed!$B$2,Flat_file!$C:$C,"Men",Flat_file!$D:$D,"25-29",Flat_file!$E:$E,"550",Flat_file!$F:$F,"U")+SUMIFS(Flat_file!$G:$G,Flat_file!$B:$B,Summary_Unemployed!$B$2,Flat_file!$C:$C,"Men",Flat_file!$D:$D,"25-29",Flat_file!$E:$E,"560",Flat_file!$F:$F,"U")</f>
        <v>0</v>
      </c>
      <c r="K8" s="89">
        <f>SUMIFS(Flat_file!$G:$G,Flat_file!$B:$B,Summary_Unemployed!$B$2,Flat_file!$C:$C,"Men",Flat_file!$D:$D,"25-29",Flat_file!$E:$E,"640",Flat_file!$F:$F,"U")+SUMIFS(Flat_file!$G:$G,Flat_file!$B:$B,Summary_Unemployed!$B$2,Flat_file!$C:$C,"Men",Flat_file!$D:$D,"25-29",Flat_file!$E:$E,"650",Flat_file!$F:$F,"U")+SUMIFS(Flat_file!$G:$G,Flat_file!$B:$B,Summary_Unemployed!$B$2,Flat_file!$C:$C,"Men",Flat_file!$D:$D,"25-29",Flat_file!$E:$E,"660",Flat_file!$F:$F,"U")</f>
        <v>0</v>
      </c>
      <c r="L8" s="89">
        <f>SUMIFS(Flat_file!$G:$G,Flat_file!$B:$B,Summary_Unemployed!$B$2,Flat_file!$C:$C,"Men",Flat_file!$D:$D,"25-29",Flat_file!$E:$E,"740",Flat_file!$F:$F,"U")+SUMIFS(Flat_file!$G:$G,Flat_file!$B:$B,Summary_Unemployed!$B$2,Flat_file!$C:$C,"Men",Flat_file!$D:$D,"25-29",Flat_file!$E:$E,"750",Flat_file!$F:$F,"U")+SUMIFS(Flat_file!$G:$G,Flat_file!$B:$B,Summary_Unemployed!$B$2,Flat_file!$C:$C,"Men",Flat_file!$D:$D,"25-29",Flat_file!$E:$E,"760",Flat_file!$F:$F,"U")</f>
        <v>0</v>
      </c>
      <c r="M8" s="89">
        <f>SUMIFS(Flat_file!$G:$G,Flat_file!$B:$B,Summary_Unemployed!$B$2,Flat_file!$C:$C,"Men",Flat_file!$D:$D,"25-29",Flat_file!$E:$E,"840",Flat_file!$F:$F,"U")+SUMIFS(Flat_file!$G:$G,Flat_file!$B:$B,Summary_Unemployed!$B$2,Flat_file!$C:$C,"Men",Flat_file!$D:$D,"25-29",Flat_file!$E:$E,"850",Flat_file!$F:$F,"U")+SUMIFS(Flat_file!$G:$G,Flat_file!$B:$B,Summary_Unemployed!$B$2,Flat_file!$C:$C,"Men",Flat_file!$D:$D,"25-29",Flat_file!$E:$E,"860",Flat_file!$F:$F,"U")</f>
        <v>0</v>
      </c>
      <c r="N8" s="89">
        <f>SUMIFS(Flat_file!$G:$G,Flat_file!$B:$B,Summary_Unemployed!$B$2,Flat_file!$C:$C,"Men",Flat_file!$D:$D,"25-29",Flat_file!$E:$E,"999",Flat_file!$F:$F,"U")</f>
        <v>0</v>
      </c>
      <c r="O8" s="89">
        <f t="shared" si="0"/>
        <v>0</v>
      </c>
      <c r="P8" s="90"/>
      <c r="Q8" s="89">
        <f t="shared" si="1"/>
        <v>0</v>
      </c>
      <c r="R8" s="91"/>
      <c r="S8" s="89">
        <f t="shared" si="2"/>
        <v>0</v>
      </c>
      <c r="T8" s="89">
        <f t="shared" si="3"/>
        <v>0</v>
      </c>
      <c r="U8" s="89">
        <f t="shared" si="4"/>
        <v>0</v>
      </c>
      <c r="V8" s="90"/>
      <c r="W8" s="89">
        <f>SUMIFS(Flat_file!$G:$G,Flat_file!$B:$B,Summary_Unemployed!$B$2,Flat_file!$C:$C,"Men",Flat_file!$D:$D,"25-29",Flat_file!$E:$E,"343",Flat_file!$F:$F,"U")+SUMIFS(Flat_file!$G:$G,Flat_file!$B:$B,Summary_Unemployed!$B$2,Flat_file!$C:$C,"Men",Flat_file!$D:$D,"25-29",Flat_file!$E:$E,"344",Flat_file!$F:$F,"U")+SUMIFS(Flat_file!$G:$G,Flat_file!$B:$B,Summary_Unemployed!$B$2,Flat_file!$C:$C,"Men",Flat_file!$D:$D,"25-29",Flat_file!$E:$E,"443",Flat_file!$F:$F,"U")+SUMIFS(Flat_file!$G:$G,Flat_file!$B:$B,Summary_Unemployed!$B$2,Flat_file!$C:$C,"Men",Flat_file!$D:$D,"25-29",Flat_file!$E:$E,"444",Flat_file!$F:$F,"U")</f>
        <v>0</v>
      </c>
      <c r="X8" s="89">
        <f>SUMIFS(Flat_file!$G:$G,Flat_file!$B:$B,Summary_Unemployed!$B$2,Flat_file!$C:$C,"Men",Flat_file!$D:$D,"25-29",Flat_file!$E:$E,"353",Flat_file!$F:$F,"U")+SUMIFS(Flat_file!$G:$G,Flat_file!$B:$B,Summary_Unemployed!$B$2,Flat_file!$C:$C,"Men",Flat_file!$D:$D,"25-29",Flat_file!$E:$E,"354",Flat_file!$F:$F,"U")+SUMIFS(Flat_file!$G:$G,Flat_file!$B:$B,Summary_Unemployed!$B$2,Flat_file!$C:$C,"Men",Flat_file!$D:$D,"25-29",Flat_file!$E:$E,"453",Flat_file!$F:$F,"U")+SUMIFS(Flat_file!$G:$G,Flat_file!$B:$B,Summary_Unemployed!$B$2,Flat_file!$C:$C,"Men",Flat_file!$D:$D,"25-29",Flat_file!$E:$E,"454",Flat_file!$F:$F,"U")</f>
        <v>0</v>
      </c>
      <c r="Y8" s="90"/>
      <c r="Z8" s="89">
        <f>SUMIFS(Flat_file!$G:$G,Flat_file!$B:$B,Summary_Unemployed!$B$2,Flat_file!$C:$C,"Men",Flat_file!$D:$D,"25-29",Flat_file!$E:$E,"640",Flat_file!$F:$F,"U")+SUMIFS(Flat_file!$G:$G,Flat_file!$B:$B,Summary_Unemployed!$B$2,Flat_file!$C:$C,"Men",Flat_file!$D:$D,"25-29",Flat_file!$E:$E,"740",Flat_file!$F:$F,"U")+SUMIFS(Flat_file!$G:$G,Flat_file!$B:$B,Summary_Unemployed!$B$2,Flat_file!$C:$C,"Men",Flat_file!$D:$D,"25-29",Flat_file!$E:$E,"840",Flat_file!$F:$F,"U")</f>
        <v>0</v>
      </c>
      <c r="AA8" s="89">
        <f>SUMIFS(Flat_file!$G:$G,Flat_file!$B:$B,Summary_Unemployed!$B$2,Flat_file!$C:$C,"Men",Flat_file!$D:$D,"25-29",Flat_file!$E:$E,"650",Flat_file!$F:$F,"U")+SUMIFS(Flat_file!$G:$G,Flat_file!$B:$B,Summary_Unemployed!$B$2,Flat_file!$C:$C,"Men",Flat_file!$D:$D,"25-29",Flat_file!$E:$E,"750",Flat_file!$F:$F,"U")+SUMIFS(Flat_file!$G:$G,Flat_file!$B:$B,Summary_Unemployed!$B$2,Flat_file!$C:$C,"Men",Flat_file!$D:$D,"25-29",Flat_file!$E:$E,"850",Flat_file!$F:$F,"U")</f>
        <v>0</v>
      </c>
      <c r="AB8" s="89">
        <f>SUMIFS(Flat_file!$G:$G,Flat_file!$B:$B,Summary_Unemployed!$B$2,Flat_file!$C:$C,"Men",Flat_file!$D:$D,"25-29",Flat_file!$E:$E,"660",Flat_file!$F:$F,"U")+SUMIFS(Flat_file!$G:$G,Flat_file!$B:$B,Summary_Unemployed!$B$2,Flat_file!$C:$C,"Men",Flat_file!$D:$D,"25-29",Flat_file!$E:$E,"760",Flat_file!$F:$F,"U")+SUMIFS(Flat_file!$G:$G,Flat_file!$B:$B,Summary_Unemployed!$B$2,Flat_file!$C:$C,"Men",Flat_file!$D:$D,"25-29",Flat_file!$E:$E,"860",Flat_file!$F:$F,"U")</f>
        <v>0</v>
      </c>
      <c r="AC8" s="3"/>
      <c r="AD8" s="3"/>
      <c r="AE8" s="3"/>
      <c r="AF8" s="3"/>
      <c r="AG8" s="3"/>
      <c r="AH8" s="3"/>
      <c r="AI8" s="3"/>
      <c r="AJ8" s="3"/>
      <c r="AK8" s="3"/>
      <c r="AL8" s="3"/>
      <c r="AM8" s="3"/>
      <c r="AN8" s="3"/>
      <c r="AO8" s="3"/>
      <c r="AP8" s="3"/>
      <c r="AQ8" s="3"/>
      <c r="AR8" s="3"/>
      <c r="AS8" s="3"/>
    </row>
    <row r="9" spans="1:45" customFormat="1" x14ac:dyDescent="0.2">
      <c r="A9" s="352"/>
      <c r="B9" s="79" t="s">
        <v>90</v>
      </c>
      <c r="C9" s="89">
        <f>SUMIFS(Flat_file!$G:$G,Flat_file!$B:$B,Summary_Unemployed!$B$2,Flat_file!$C:$C,"Men",Flat_file!$D:$D,"30-34",Flat_file!$E:$E,"010",Flat_file!$F:$F,"U")+SUMIFS(Flat_file!$G:$G,Flat_file!$B:$B,Summary_Unemployed!$B$2,Flat_file!$C:$C,"Men",Flat_file!$D:$D,"30-34",Flat_file!$E:$E,"020",Flat_file!$F:$F,"U")+SUMIFS(Flat_file!$G:$G,Flat_file!$B:$B,Summary_Unemployed!$B$2,Flat_file!$C:$C,"Men",Flat_file!$D:$D,"30-34",Flat_file!$E:$E,"030",Flat_file!$F:$F,"U")</f>
        <v>0</v>
      </c>
      <c r="D9" s="89">
        <f>SUMIFS(Flat_file!$G:$G,Flat_file!$B:$B,Summary_Unemployed!$B$2,Flat_file!$C:$C,"Men",Flat_file!$D:$D,"30-34",Flat_file!$E:$E,"100",Flat_file!$F:$F,"U")</f>
        <v>0</v>
      </c>
      <c r="E9" s="89">
        <f>SUMIFS(Flat_file!$G:$G,Flat_file!$B:$B,Summary_Unemployed!$B$2,Flat_file!$C:$C,"Men",Flat_file!$D:$D,"30-34",Flat_file!$E:$E,"242",Flat_file!$F:$F,"U")+SUMIFS(Flat_file!$G:$G,Flat_file!$B:$B,Summary_Unemployed!$B$2,Flat_file!$C:$C,"Men",Flat_file!$D:$D,"30-34",Flat_file!$E:$E,"252",Flat_file!$F:$F,"U")</f>
        <v>0</v>
      </c>
      <c r="F9" s="89">
        <f>SUMIFS(Flat_file!$G:$G,Flat_file!$B:$B,Summary_Unemployed!$B$2,Flat_file!$C:$C,"Men",Flat_file!$D:$D,"30-34",Flat_file!$E:$E,"243",Flat_file!$F:$F,"U")+SUMIFS(Flat_file!$G:$G,Flat_file!$B:$B,Summary_Unemployed!$B$2,Flat_file!$C:$C,"Men",Flat_file!$D:$D,"30-34",Flat_file!$E:$E,"244",Flat_file!$F:$F,"U")+SUMIFS(Flat_file!$G:$G,Flat_file!$B:$B,Summary_Unemployed!$B$2,Flat_file!$C:$C,"Men",Flat_file!$D:$D,"30-34",Flat_file!$E:$E,"253",Flat_file!$F:$F,"U")+SUMIFS(Flat_file!$G:$G,Flat_file!$B:$B,Summary_Unemployed!$B$2,Flat_file!$C:$C,"Men",Flat_file!$D:$D,"30-34",Flat_file!$E:$E,"254",Flat_file!$F:$F,"U")</f>
        <v>0</v>
      </c>
      <c r="G9" s="89">
        <f>SUMIFS(Flat_file!$G:$G,Flat_file!$B:$B,Summary_Unemployed!$B$2,Flat_file!$C:$C,"Men",Flat_file!$D:$D,"30-34",Flat_file!$E:$E,"342",Flat_file!$F:$F,"U")+SUMIFS(Flat_file!$G:$G,Flat_file!$B:$B,Summary_Unemployed!$B$2,Flat_file!$C:$C,"Men",Flat_file!$D:$D,"30-34",Flat_file!$E:$E,"352",Flat_file!$F:$F,"U")</f>
        <v>0</v>
      </c>
      <c r="H9" s="89">
        <f>SUMIFS(Flat_file!$G:$G,Flat_file!$B:$B,Summary_Unemployed!$B$2,Flat_file!$C:$C,"Men",Flat_file!$D:$D,"30-34",Flat_file!$E:$E,"343",Flat_file!$F:$F,"U")+SUMIFS(Flat_file!$G:$G,Flat_file!$B:$B,Summary_Unemployed!$B$2,Flat_file!$C:$C,"Men",Flat_file!$D:$D,"30-34",Flat_file!$E:$E,"344",Flat_file!$F:$F,"U")+SUMIFS(Flat_file!$G:$G,Flat_file!$B:$B,Summary_Unemployed!$B$2,Flat_file!$C:$C,"Men",Flat_file!$D:$D,"30-34",Flat_file!$E:$E,"353",Flat_file!$F:$F,"U")+SUMIFS(Flat_file!$G:$G,Flat_file!$B:$B,Summary_Unemployed!$B$2,Flat_file!$C:$C,"Men",Flat_file!$D:$D,"30-34",Flat_file!$E:$E,"354",Flat_file!$F:$F,"U")</f>
        <v>0</v>
      </c>
      <c r="I9" s="89">
        <f>SUMIFS(Flat_file!$G:$G,Flat_file!$B:$B,Summary_Unemployed!$B$2,Flat_file!$C:$C,"Men",Flat_file!$D:$D,"30-34",Flat_file!$E:$E,"443",Flat_file!$F:$F,"U")+SUMIFS(Flat_file!$G:$G,Flat_file!$B:$B,Summary_Unemployed!$B$2,Flat_file!$C:$C,"Men",Flat_file!$D:$D,"30-34",Flat_file!$E:$E,"444",Flat_file!$F:$F,"U")+SUMIFS(Flat_file!$G:$G,Flat_file!$B:$B,Summary_Unemployed!$B$2,Flat_file!$C:$C,"Men",Flat_file!$D:$D,"30-34",Flat_file!$E:$E,"453",Flat_file!$F:$F,"U")+SUMIFS(Flat_file!$G:$G,Flat_file!$B:$B,Summary_Unemployed!$B$2,Flat_file!$C:$C,"Men",Flat_file!$D:$D,"30-34",Flat_file!$E:$E,"454",Flat_file!$F:$F,"U")</f>
        <v>0</v>
      </c>
      <c r="J9" s="89">
        <f>SUMIFS(Flat_file!$G:$G,Flat_file!$B:$B,Summary_Unemployed!$B$2,Flat_file!$C:$C,"Men",Flat_file!$D:$D,"30-34",Flat_file!$E:$E,"540",Flat_file!$F:$F,"U")+SUMIFS(Flat_file!$G:$G,Flat_file!$B:$B,Summary_Unemployed!$B$2,Flat_file!$C:$C,"Men",Flat_file!$D:$D,"30-34",Flat_file!$E:$E,"550",Flat_file!$F:$F,"U")+SUMIFS(Flat_file!$G:$G,Flat_file!$B:$B,Summary_Unemployed!$B$2,Flat_file!$C:$C,"Men",Flat_file!$D:$D,"30-34",Flat_file!$E:$E,"560",Flat_file!$F:$F,"U")</f>
        <v>0</v>
      </c>
      <c r="K9" s="89">
        <f>SUMIFS(Flat_file!$G:$G,Flat_file!$B:$B,Summary_Unemployed!$B$2,Flat_file!$C:$C,"Men",Flat_file!$D:$D,"30-34",Flat_file!$E:$E,"640",Flat_file!$F:$F,"U")+SUMIFS(Flat_file!$G:$G,Flat_file!$B:$B,Summary_Unemployed!$B$2,Flat_file!$C:$C,"Men",Flat_file!$D:$D,"30-34",Flat_file!$E:$E,"650",Flat_file!$F:$F,"U")+SUMIFS(Flat_file!$G:$G,Flat_file!$B:$B,Summary_Unemployed!$B$2,Flat_file!$C:$C,"Men",Flat_file!$D:$D,"30-34",Flat_file!$E:$E,"660",Flat_file!$F:$F,"U")</f>
        <v>0</v>
      </c>
      <c r="L9" s="89">
        <f>SUMIFS(Flat_file!$G:$G,Flat_file!$B:$B,Summary_Unemployed!$B$2,Flat_file!$C:$C,"Men",Flat_file!$D:$D,"30-34",Flat_file!$E:$E,"740",Flat_file!$F:$F,"U")+SUMIFS(Flat_file!$G:$G,Flat_file!$B:$B,Summary_Unemployed!$B$2,Flat_file!$C:$C,"Men",Flat_file!$D:$D,"30-34",Flat_file!$E:$E,"750",Flat_file!$F:$F,"U")+SUMIFS(Flat_file!$G:$G,Flat_file!$B:$B,Summary_Unemployed!$B$2,Flat_file!$C:$C,"Men",Flat_file!$D:$D,"30-34",Flat_file!$E:$E,"760",Flat_file!$F:$F,"U")</f>
        <v>0</v>
      </c>
      <c r="M9" s="89">
        <f>SUMIFS(Flat_file!$G:$G,Flat_file!$B:$B,Summary_Unemployed!$B$2,Flat_file!$C:$C,"Men",Flat_file!$D:$D,"30-34",Flat_file!$E:$E,"840",Flat_file!$F:$F,"U")+SUMIFS(Flat_file!$G:$G,Flat_file!$B:$B,Summary_Unemployed!$B$2,Flat_file!$C:$C,"Men",Flat_file!$D:$D,"30-34",Flat_file!$E:$E,"850",Flat_file!$F:$F,"U")+SUMIFS(Flat_file!$G:$G,Flat_file!$B:$B,Summary_Unemployed!$B$2,Flat_file!$C:$C,"Men",Flat_file!$D:$D,"30-34",Flat_file!$E:$E,"860",Flat_file!$F:$F,"U")</f>
        <v>0</v>
      </c>
      <c r="N9" s="89">
        <f>SUMIFS(Flat_file!$G:$G,Flat_file!$B:$B,Summary_Unemployed!$B$2,Flat_file!$C:$C,"Men",Flat_file!$D:$D,"30-34",Flat_file!$E:$E,"999",Flat_file!$F:$F,"U")</f>
        <v>0</v>
      </c>
      <c r="O9" s="89">
        <f t="shared" si="0"/>
        <v>0</v>
      </c>
      <c r="P9" s="90"/>
      <c r="Q9" s="89">
        <f t="shared" si="1"/>
        <v>0</v>
      </c>
      <c r="R9" s="91"/>
      <c r="S9" s="89">
        <f t="shared" si="2"/>
        <v>0</v>
      </c>
      <c r="T9" s="89">
        <f t="shared" si="3"/>
        <v>0</v>
      </c>
      <c r="U9" s="89">
        <f t="shared" si="4"/>
        <v>0</v>
      </c>
      <c r="V9" s="90"/>
      <c r="W9" s="89">
        <f>SUMIFS(Flat_file!$G:$G,Flat_file!$B:$B,Summary_Unemployed!$B$2,Flat_file!$C:$C,"Men",Flat_file!$D:$D,"30-34",Flat_file!$E:$E,"343",Flat_file!$F:$F,"U")+SUMIFS(Flat_file!$G:$G,Flat_file!$B:$B,Summary_Unemployed!$B$2,Flat_file!$C:$C,"Men",Flat_file!$D:$D,"30-34",Flat_file!$E:$E,"344",Flat_file!$F:$F,"U")+SUMIFS(Flat_file!$G:$G,Flat_file!$B:$B,Summary_Unemployed!$B$2,Flat_file!$C:$C,"Men",Flat_file!$D:$D,"30-34",Flat_file!$E:$E,"443",Flat_file!$F:$F,"U")+SUMIFS(Flat_file!$G:$G,Flat_file!$B:$B,Summary_Unemployed!$B$2,Flat_file!$C:$C,"Men",Flat_file!$D:$D,"30-34",Flat_file!$E:$E,"444",Flat_file!$F:$F,"U")</f>
        <v>0</v>
      </c>
      <c r="X9" s="89">
        <f>SUMIFS(Flat_file!$G:$G,Flat_file!$B:$B,Summary_Unemployed!$B$2,Flat_file!$C:$C,"Men",Flat_file!$D:$D,"30-34",Flat_file!$E:$E,"353",Flat_file!$F:$F,"U")+SUMIFS(Flat_file!$G:$G,Flat_file!$B:$B,Summary_Unemployed!$B$2,Flat_file!$C:$C,"Men",Flat_file!$D:$D,"30-34",Flat_file!$E:$E,"354",Flat_file!$F:$F,"U")+SUMIFS(Flat_file!$G:$G,Flat_file!$B:$B,Summary_Unemployed!$B$2,Flat_file!$C:$C,"Men",Flat_file!$D:$D,"30-34",Flat_file!$E:$E,"453",Flat_file!$F:$F,"U")+SUMIFS(Flat_file!$G:$G,Flat_file!$B:$B,Summary_Unemployed!$B$2,Flat_file!$C:$C,"Men",Flat_file!$D:$D,"30-34",Flat_file!$E:$E,"454",Flat_file!$F:$F,"U")</f>
        <v>0</v>
      </c>
      <c r="Y9" s="90"/>
      <c r="Z9" s="89">
        <f>SUMIFS(Flat_file!$G:$G,Flat_file!$B:$B,Summary_Unemployed!$B$2,Flat_file!$C:$C,"Men",Flat_file!$D:$D,"30-34",Flat_file!$E:$E,"640",Flat_file!$F:$F,"U")+SUMIFS(Flat_file!$G:$G,Flat_file!$B:$B,Summary_Unemployed!$B$2,Flat_file!$C:$C,"Men",Flat_file!$D:$D,"30-34",Flat_file!$E:$E,"740",Flat_file!$F:$F,"U")+SUMIFS(Flat_file!$G:$G,Flat_file!$B:$B,Summary_Unemployed!$B$2,Flat_file!$C:$C,"Men",Flat_file!$D:$D,"30-34",Flat_file!$E:$E,"840",Flat_file!$F:$F,"U")</f>
        <v>0</v>
      </c>
      <c r="AA9" s="89">
        <f>SUMIFS(Flat_file!$G:$G,Flat_file!$B:$B,Summary_Unemployed!$B$2,Flat_file!$C:$C,"Men",Flat_file!$D:$D,"30-34",Flat_file!$E:$E,"650",Flat_file!$F:$F,"U")+SUMIFS(Flat_file!$G:$G,Flat_file!$B:$B,Summary_Unemployed!$B$2,Flat_file!$C:$C,"Men",Flat_file!$D:$D,"30-34",Flat_file!$E:$E,"750",Flat_file!$F:$F,"U")+SUMIFS(Flat_file!$G:$G,Flat_file!$B:$B,Summary_Unemployed!$B$2,Flat_file!$C:$C,"Men",Flat_file!$D:$D,"30-34",Flat_file!$E:$E,"850",Flat_file!$F:$F,"U")</f>
        <v>0</v>
      </c>
      <c r="AB9" s="89">
        <f>SUMIFS(Flat_file!$G:$G,Flat_file!$B:$B,Summary_Unemployed!$B$2,Flat_file!$C:$C,"Men",Flat_file!$D:$D,"30-34",Flat_file!$E:$E,"660",Flat_file!$F:$F,"U")+SUMIFS(Flat_file!$G:$G,Flat_file!$B:$B,Summary_Unemployed!$B$2,Flat_file!$C:$C,"Men",Flat_file!$D:$D,"30-34",Flat_file!$E:$E,"760",Flat_file!$F:$F,"U")+SUMIFS(Flat_file!$G:$G,Flat_file!$B:$B,Summary_Unemployed!$B$2,Flat_file!$C:$C,"Men",Flat_file!$D:$D,"30-34",Flat_file!$E:$E,"860",Flat_file!$F:$F,"U")</f>
        <v>0</v>
      </c>
      <c r="AC9" s="3"/>
      <c r="AD9" s="3"/>
      <c r="AE9" s="3"/>
      <c r="AF9" s="3"/>
      <c r="AG9" s="3"/>
      <c r="AH9" s="3"/>
      <c r="AI9" s="3"/>
      <c r="AJ9" s="3"/>
      <c r="AK9" s="3"/>
      <c r="AL9" s="3"/>
      <c r="AM9" s="3"/>
      <c r="AN9" s="3"/>
      <c r="AO9" s="3"/>
      <c r="AP9" s="3"/>
      <c r="AQ9" s="3"/>
      <c r="AR9" s="3"/>
      <c r="AS9" s="3"/>
    </row>
    <row r="10" spans="1:45" customFormat="1" x14ac:dyDescent="0.2">
      <c r="A10" s="352"/>
      <c r="B10" s="79" t="s">
        <v>91</v>
      </c>
      <c r="C10" s="89">
        <f>SUMIFS(Flat_file!$G:$G,Flat_file!$B:$B,Summary_Unemployed!$B$2,Flat_file!$C:$C,"Men",Flat_file!$D:$D,"35-39",Flat_file!$E:$E,"010",Flat_file!$F:$F,"U")+SUMIFS(Flat_file!$G:$G,Flat_file!$B:$B,Summary_Unemployed!$B$2,Flat_file!$C:$C,"Men",Flat_file!$D:$D,"35-39",Flat_file!$E:$E,"020",Flat_file!$F:$F,"U")+SUMIFS(Flat_file!$G:$G,Flat_file!$B:$B,Summary_Unemployed!$B$2,Flat_file!$C:$C,"Men",Flat_file!$D:$D,"35-39",Flat_file!$E:$E,"030",Flat_file!$F:$F,"U")</f>
        <v>0</v>
      </c>
      <c r="D10" s="89">
        <f>SUMIFS(Flat_file!$G:$G,Flat_file!$B:$B,Summary_Unemployed!$B$2,Flat_file!$C:$C,"Men",Flat_file!$D:$D,"35-39",Flat_file!$E:$E,"100",Flat_file!$F:$F,"U")</f>
        <v>0</v>
      </c>
      <c r="E10" s="89">
        <f>SUMIFS(Flat_file!$G:$G,Flat_file!$B:$B,Summary_Unemployed!$B$2,Flat_file!$C:$C,"Men",Flat_file!$D:$D,"35-39",Flat_file!$E:$E,"242",Flat_file!$F:$F,"U")+SUMIFS(Flat_file!$G:$G,Flat_file!$B:$B,Summary_Unemployed!$B$2,Flat_file!$C:$C,"Men",Flat_file!$D:$D,"35-39",Flat_file!$E:$E,"252",Flat_file!$F:$F,"U")</f>
        <v>0</v>
      </c>
      <c r="F10" s="89">
        <f>SUMIFS(Flat_file!$G:$G,Flat_file!$B:$B,Summary_Unemployed!$B$2,Flat_file!$C:$C,"Men",Flat_file!$D:$D,"35-39",Flat_file!$E:$E,"243",Flat_file!$F:$F,"U")+SUMIFS(Flat_file!$G:$G,Flat_file!$B:$B,Summary_Unemployed!$B$2,Flat_file!$C:$C,"Men",Flat_file!$D:$D,"35-39",Flat_file!$E:$E,"244",Flat_file!$F:$F,"U")+SUMIFS(Flat_file!$G:$G,Flat_file!$B:$B,Summary_Unemployed!$B$2,Flat_file!$C:$C,"Men",Flat_file!$D:$D,"35-39",Flat_file!$E:$E,"253",Flat_file!$F:$F,"U")+SUMIFS(Flat_file!$G:$G,Flat_file!$B:$B,Summary_Unemployed!$B$2,Flat_file!$C:$C,"Men",Flat_file!$D:$D,"35-39",Flat_file!$E:$E,"254",Flat_file!$F:$F,"U")</f>
        <v>0</v>
      </c>
      <c r="G10" s="89">
        <f>SUMIFS(Flat_file!$G:$G,Flat_file!$B:$B,Summary_Unemployed!$B$2,Flat_file!$C:$C,"Men",Flat_file!$D:$D,"35-39",Flat_file!$E:$E,"342",Flat_file!$F:$F,"U")+SUMIFS(Flat_file!$G:$G,Flat_file!$B:$B,Summary_Unemployed!$B$2,Flat_file!$C:$C,"Men",Flat_file!$D:$D,"35-39",Flat_file!$E:$E,"352",Flat_file!$F:$F,"U")</f>
        <v>0</v>
      </c>
      <c r="H10" s="89">
        <f>SUMIFS(Flat_file!$G:$G,Flat_file!$B:$B,Summary_Unemployed!$B$2,Flat_file!$C:$C,"Men",Flat_file!$D:$D,"35-39",Flat_file!$E:$E,"343",Flat_file!$F:$F,"U")+SUMIFS(Flat_file!$G:$G,Flat_file!$B:$B,Summary_Unemployed!$B$2,Flat_file!$C:$C,"Men",Flat_file!$D:$D,"35-39",Flat_file!$E:$E,"344",Flat_file!$F:$F,"U")+SUMIFS(Flat_file!$G:$G,Flat_file!$B:$B,Summary_Unemployed!$B$2,Flat_file!$C:$C,"Men",Flat_file!$D:$D,"35-39",Flat_file!$E:$E,"353",Flat_file!$F:$F,"U")+SUMIFS(Flat_file!$G:$G,Flat_file!$B:$B,Summary_Unemployed!$B$2,Flat_file!$C:$C,"Men",Flat_file!$D:$D,"35-39",Flat_file!$E:$E,"354",Flat_file!$F:$F,"U")</f>
        <v>0</v>
      </c>
      <c r="I10" s="89">
        <f>SUMIFS(Flat_file!$G:$G,Flat_file!$B:$B,Summary_Unemployed!$B$2,Flat_file!$C:$C,"Men",Flat_file!$D:$D,"35-39",Flat_file!$E:$E,"443",Flat_file!$F:$F,"U")+SUMIFS(Flat_file!$G:$G,Flat_file!$B:$B,Summary_Unemployed!$B$2,Flat_file!$C:$C,"Men",Flat_file!$D:$D,"35-39",Flat_file!$E:$E,"444",Flat_file!$F:$F,"U")+SUMIFS(Flat_file!$G:$G,Flat_file!$B:$B,Summary_Unemployed!$B$2,Flat_file!$C:$C,"Men",Flat_file!$D:$D,"35-39",Flat_file!$E:$E,"453",Flat_file!$F:$F,"U")+SUMIFS(Flat_file!$G:$G,Flat_file!$B:$B,Summary_Unemployed!$B$2,Flat_file!$C:$C,"Men",Flat_file!$D:$D,"35-39",Flat_file!$E:$E,"454",Flat_file!$F:$F,"U")</f>
        <v>0</v>
      </c>
      <c r="J10" s="89">
        <f>SUMIFS(Flat_file!$G:$G,Flat_file!$B:$B,Summary_Unemployed!$B$2,Flat_file!$C:$C,"Men",Flat_file!$D:$D,"35-39",Flat_file!$E:$E,"540",Flat_file!$F:$F,"U")+SUMIFS(Flat_file!$G:$G,Flat_file!$B:$B,Summary_Unemployed!$B$2,Flat_file!$C:$C,"Men",Flat_file!$D:$D,"35-39",Flat_file!$E:$E,"550",Flat_file!$F:$F,"U")+SUMIFS(Flat_file!$G:$G,Flat_file!$B:$B,Summary_Unemployed!$B$2,Flat_file!$C:$C,"Men",Flat_file!$D:$D,"35-39",Flat_file!$E:$E,"560",Flat_file!$F:$F,"U")</f>
        <v>0</v>
      </c>
      <c r="K10" s="89">
        <f>SUMIFS(Flat_file!$G:$G,Flat_file!$B:$B,Summary_Unemployed!$B$2,Flat_file!$C:$C,"Men",Flat_file!$D:$D,"35-39",Flat_file!$E:$E,"640",Flat_file!$F:$F,"U")+SUMIFS(Flat_file!$G:$G,Flat_file!$B:$B,Summary_Unemployed!$B$2,Flat_file!$C:$C,"Men",Flat_file!$D:$D,"35-39",Flat_file!$E:$E,"650",Flat_file!$F:$F,"U")+SUMIFS(Flat_file!$G:$G,Flat_file!$B:$B,Summary_Unemployed!$B$2,Flat_file!$C:$C,"Men",Flat_file!$D:$D,"35-39",Flat_file!$E:$E,"660",Flat_file!$F:$F,"U")</f>
        <v>0</v>
      </c>
      <c r="L10" s="89">
        <f>SUMIFS(Flat_file!$G:$G,Flat_file!$B:$B,Summary_Unemployed!$B$2,Flat_file!$C:$C,"Men",Flat_file!$D:$D,"35-39",Flat_file!$E:$E,"740",Flat_file!$F:$F,"U")+SUMIFS(Flat_file!$G:$G,Flat_file!$B:$B,Summary_Unemployed!$B$2,Flat_file!$C:$C,"Men",Flat_file!$D:$D,"35-39",Flat_file!$E:$E,"750",Flat_file!$F:$F,"U")+SUMIFS(Flat_file!$G:$G,Flat_file!$B:$B,Summary_Unemployed!$B$2,Flat_file!$C:$C,"Men",Flat_file!$D:$D,"35-39",Flat_file!$E:$E,"760",Flat_file!$F:$F,"U")</f>
        <v>0</v>
      </c>
      <c r="M10" s="89">
        <f>SUMIFS(Flat_file!$G:$G,Flat_file!$B:$B,Summary_Unemployed!$B$2,Flat_file!$C:$C,"Men",Flat_file!$D:$D,"35-39",Flat_file!$E:$E,"840",Flat_file!$F:$F,"U")+SUMIFS(Flat_file!$G:$G,Flat_file!$B:$B,Summary_Unemployed!$B$2,Flat_file!$C:$C,"Men",Flat_file!$D:$D,"35-39",Flat_file!$E:$E,"850",Flat_file!$F:$F,"U")+SUMIFS(Flat_file!$G:$G,Flat_file!$B:$B,Summary_Unemployed!$B$2,Flat_file!$C:$C,"Men",Flat_file!$D:$D,"35-39",Flat_file!$E:$E,"860",Flat_file!$F:$F,"U")</f>
        <v>0</v>
      </c>
      <c r="N10" s="89">
        <f>SUMIFS(Flat_file!$G:$G,Flat_file!$B:$B,Summary_Unemployed!$B$2,Flat_file!$C:$C,"Men",Flat_file!$D:$D,"35-39",Flat_file!$E:$E,"999",Flat_file!$F:$F,"U")</f>
        <v>0</v>
      </c>
      <c r="O10" s="89">
        <f t="shared" si="0"/>
        <v>0</v>
      </c>
      <c r="P10" s="90"/>
      <c r="Q10" s="89">
        <f t="shared" si="1"/>
        <v>0</v>
      </c>
      <c r="R10" s="91"/>
      <c r="S10" s="89">
        <f t="shared" si="2"/>
        <v>0</v>
      </c>
      <c r="T10" s="89">
        <f t="shared" si="3"/>
        <v>0</v>
      </c>
      <c r="U10" s="89">
        <f t="shared" si="4"/>
        <v>0</v>
      </c>
      <c r="V10" s="90"/>
      <c r="W10" s="89">
        <f>SUMIFS(Flat_file!$G:$G,Flat_file!$B:$B,Summary_Unemployed!$B$2,Flat_file!$C:$C,"Men",Flat_file!$D:$D,"35-39",Flat_file!$E:$E,"343",Flat_file!$F:$F,"U")+SUMIFS(Flat_file!$G:$G,Flat_file!$B:$B,Summary_Unemployed!$B$2,Flat_file!$C:$C,"Men",Flat_file!$D:$D,"35-39",Flat_file!$E:$E,"344",Flat_file!$F:$F,"U")+SUMIFS(Flat_file!$G:$G,Flat_file!$B:$B,Summary_Unemployed!$B$2,Flat_file!$C:$C,"Men",Flat_file!$D:$D,"35-39",Flat_file!$E:$E,"443",Flat_file!$F:$F,"U")+SUMIFS(Flat_file!$G:$G,Flat_file!$B:$B,Summary_Unemployed!$B$2,Flat_file!$C:$C,"Men",Flat_file!$D:$D,"35-39",Flat_file!$E:$E,"444",Flat_file!$F:$F,"U")</f>
        <v>0</v>
      </c>
      <c r="X10" s="89">
        <f>SUMIFS(Flat_file!$G:$G,Flat_file!$B:$B,Summary_Unemployed!$B$2,Flat_file!$C:$C,"Men",Flat_file!$D:$D,"35-39",Flat_file!$E:$E,"353",Flat_file!$F:$F,"U")+SUMIFS(Flat_file!$G:$G,Flat_file!$B:$B,Summary_Unemployed!$B$2,Flat_file!$C:$C,"Men",Flat_file!$D:$D,"35-39",Flat_file!$E:$E,"354",Flat_file!$F:$F,"U")+SUMIFS(Flat_file!$G:$G,Flat_file!$B:$B,Summary_Unemployed!$B$2,Flat_file!$C:$C,"Men",Flat_file!$D:$D,"35-39",Flat_file!$E:$E,"453",Flat_file!$F:$F,"U")+SUMIFS(Flat_file!$G:$G,Flat_file!$B:$B,Summary_Unemployed!$B$2,Flat_file!$C:$C,"Men",Flat_file!$D:$D,"35-39",Flat_file!$E:$E,"454",Flat_file!$F:$F,"U")</f>
        <v>0</v>
      </c>
      <c r="Y10" s="90"/>
      <c r="Z10" s="89">
        <f>SUMIFS(Flat_file!$G:$G,Flat_file!$B:$B,Summary_Unemployed!$B$2,Flat_file!$C:$C,"Men",Flat_file!$D:$D,"35-39",Flat_file!$E:$E,"640",Flat_file!$F:$F,"U")+SUMIFS(Flat_file!$G:$G,Flat_file!$B:$B,Summary_Unemployed!$B$2,Flat_file!$C:$C,"Men",Flat_file!$D:$D,"35-39",Flat_file!$E:$E,"740",Flat_file!$F:$F,"U")+SUMIFS(Flat_file!$G:$G,Flat_file!$B:$B,Summary_Unemployed!$B$2,Flat_file!$C:$C,"Men",Flat_file!$D:$D,"35-39",Flat_file!$E:$E,"840",Flat_file!$F:$F,"U")</f>
        <v>0</v>
      </c>
      <c r="AA10" s="89">
        <f>SUMIFS(Flat_file!$G:$G,Flat_file!$B:$B,Summary_Unemployed!$B$2,Flat_file!$C:$C,"Men",Flat_file!$D:$D,"35-39",Flat_file!$E:$E,"650",Flat_file!$F:$F,"U")+SUMIFS(Flat_file!$G:$G,Flat_file!$B:$B,Summary_Unemployed!$B$2,Flat_file!$C:$C,"Men",Flat_file!$D:$D,"35-39",Flat_file!$E:$E,"750",Flat_file!$F:$F,"U")+SUMIFS(Flat_file!$G:$G,Flat_file!$B:$B,Summary_Unemployed!$B$2,Flat_file!$C:$C,"Men",Flat_file!$D:$D,"35-39",Flat_file!$E:$E,"850",Flat_file!$F:$F,"U")</f>
        <v>0</v>
      </c>
      <c r="AB10" s="89">
        <f>SUMIFS(Flat_file!$G:$G,Flat_file!$B:$B,Summary_Unemployed!$B$2,Flat_file!$C:$C,"Men",Flat_file!$D:$D,"35-39",Flat_file!$E:$E,"660",Flat_file!$F:$F,"U")+SUMIFS(Flat_file!$G:$G,Flat_file!$B:$B,Summary_Unemployed!$B$2,Flat_file!$C:$C,"Men",Flat_file!$D:$D,"35-39",Flat_file!$E:$E,"760",Flat_file!$F:$F,"U")+SUMIFS(Flat_file!$G:$G,Flat_file!$B:$B,Summary_Unemployed!$B$2,Flat_file!$C:$C,"Men",Flat_file!$D:$D,"35-39",Flat_file!$E:$E,"860",Flat_file!$F:$F,"U")</f>
        <v>0</v>
      </c>
      <c r="AC10" s="3"/>
      <c r="AD10" s="3"/>
      <c r="AE10" s="3"/>
      <c r="AF10" s="3"/>
      <c r="AG10" s="3"/>
      <c r="AH10" s="3"/>
      <c r="AI10" s="3"/>
      <c r="AJ10" s="3"/>
      <c r="AK10" s="3"/>
      <c r="AL10" s="3"/>
      <c r="AM10" s="3"/>
      <c r="AN10" s="3"/>
      <c r="AO10" s="3"/>
      <c r="AP10" s="3"/>
      <c r="AQ10" s="3"/>
      <c r="AR10" s="3"/>
      <c r="AS10" s="3"/>
    </row>
    <row r="11" spans="1:45" customFormat="1" x14ac:dyDescent="0.2">
      <c r="A11" s="352"/>
      <c r="B11" s="79" t="s">
        <v>92</v>
      </c>
      <c r="C11" s="89">
        <f>SUMIFS(Flat_file!$G:$G,Flat_file!$B:$B,Summary_Unemployed!$B$2,Flat_file!$C:$C,"Men",Flat_file!$D:$D,"40-44",Flat_file!$E:$E,"010",Flat_file!$F:$F,"U")+SUMIFS(Flat_file!$G:$G,Flat_file!$B:$B,Summary_Unemployed!$B$2,Flat_file!$C:$C,"Men",Flat_file!$D:$D,"40-44",Flat_file!$E:$E,"020",Flat_file!$F:$F,"U")+SUMIFS(Flat_file!$G:$G,Flat_file!$B:$B,Summary_Unemployed!$B$2,Flat_file!$C:$C,"Men",Flat_file!$D:$D,"40-44",Flat_file!$E:$E,"030",Flat_file!$F:$F,"U")</f>
        <v>0</v>
      </c>
      <c r="D11" s="89">
        <f>SUMIFS(Flat_file!$G:$G,Flat_file!$B:$B,Summary_Unemployed!$B$2,Flat_file!$C:$C,"Men",Flat_file!$D:$D,"40-44",Flat_file!$E:$E,"100",Flat_file!$F:$F,"U")</f>
        <v>0</v>
      </c>
      <c r="E11" s="89">
        <f>SUMIFS(Flat_file!$G:$G,Flat_file!$B:$B,Summary_Unemployed!$B$2,Flat_file!$C:$C,"Men",Flat_file!$D:$D,"40-44",Flat_file!$E:$E,"242",Flat_file!$F:$F,"U")+SUMIFS(Flat_file!$G:$G,Flat_file!$B:$B,Summary_Unemployed!$B$2,Flat_file!$C:$C,"Men",Flat_file!$D:$D,"40-44",Flat_file!$E:$E,"252",Flat_file!$F:$F,"U")</f>
        <v>0</v>
      </c>
      <c r="F11" s="89">
        <f>SUMIFS(Flat_file!$G:$G,Flat_file!$B:$B,Summary_Unemployed!$B$2,Flat_file!$C:$C,"Men",Flat_file!$D:$D,"40-44",Flat_file!$E:$E,"243",Flat_file!$F:$F,"U")+SUMIFS(Flat_file!$G:$G,Flat_file!$B:$B,Summary_Unemployed!$B$2,Flat_file!$C:$C,"Men",Flat_file!$D:$D,"40-44",Flat_file!$E:$E,"244",Flat_file!$F:$F,"U")+SUMIFS(Flat_file!$G:$G,Flat_file!$B:$B,Summary_Unemployed!$B$2,Flat_file!$C:$C,"Men",Flat_file!$D:$D,"40-44",Flat_file!$E:$E,"253",Flat_file!$F:$F,"U")+SUMIFS(Flat_file!$G:$G,Flat_file!$B:$B,Summary_Unemployed!$B$2,Flat_file!$C:$C,"Men",Flat_file!$D:$D,"40-44",Flat_file!$E:$E,"254",Flat_file!$F:$F,"U")</f>
        <v>0</v>
      </c>
      <c r="G11" s="89">
        <f>SUMIFS(Flat_file!$G:$G,Flat_file!$B:$B,Summary_Unemployed!$B$2,Flat_file!$C:$C,"Men",Flat_file!$D:$D,"40-44",Flat_file!$E:$E,"342",Flat_file!$F:$F,"U")+SUMIFS(Flat_file!$G:$G,Flat_file!$B:$B,Summary_Unemployed!$B$2,Flat_file!$C:$C,"Men",Flat_file!$D:$D,"40-44",Flat_file!$E:$E,"352",Flat_file!$F:$F,"U")</f>
        <v>0</v>
      </c>
      <c r="H11" s="89">
        <f>SUMIFS(Flat_file!$G:$G,Flat_file!$B:$B,Summary_Unemployed!$B$2,Flat_file!$C:$C,"Men",Flat_file!$D:$D,"40-44",Flat_file!$E:$E,"343",Flat_file!$F:$F,"U")+SUMIFS(Flat_file!$G:$G,Flat_file!$B:$B,Summary_Unemployed!$B$2,Flat_file!$C:$C,"Men",Flat_file!$D:$D,"40-44",Flat_file!$E:$E,"344",Flat_file!$F:$F,"U")+SUMIFS(Flat_file!$G:$G,Flat_file!$B:$B,Summary_Unemployed!$B$2,Flat_file!$C:$C,"Men",Flat_file!$D:$D,"40-44",Flat_file!$E:$E,"353",Flat_file!$F:$F,"U")+SUMIFS(Flat_file!$G:$G,Flat_file!$B:$B,Summary_Unemployed!$B$2,Flat_file!$C:$C,"Men",Flat_file!$D:$D,"40-44",Flat_file!$E:$E,"354",Flat_file!$F:$F,"U")</f>
        <v>0</v>
      </c>
      <c r="I11" s="89">
        <f>SUMIFS(Flat_file!$G:$G,Flat_file!$B:$B,Summary_Unemployed!$B$2,Flat_file!$C:$C,"Men",Flat_file!$D:$D,"40-44",Flat_file!$E:$E,"443",Flat_file!$F:$F,"U")+SUMIFS(Flat_file!$G:$G,Flat_file!$B:$B,Summary_Unemployed!$B$2,Flat_file!$C:$C,"Men",Flat_file!$D:$D,"40-44",Flat_file!$E:$E,"444",Flat_file!$F:$F,"U")+SUMIFS(Flat_file!$G:$G,Flat_file!$B:$B,Summary_Unemployed!$B$2,Flat_file!$C:$C,"Men",Flat_file!$D:$D,"40-44",Flat_file!$E:$E,"453",Flat_file!$F:$F,"U")+SUMIFS(Flat_file!$G:$G,Flat_file!$B:$B,Summary_Unemployed!$B$2,Flat_file!$C:$C,"Men",Flat_file!$D:$D,"40-44",Flat_file!$E:$E,"454",Flat_file!$F:$F,"U")</f>
        <v>0</v>
      </c>
      <c r="J11" s="89">
        <f>SUMIFS(Flat_file!$G:$G,Flat_file!$B:$B,Summary_Unemployed!$B$2,Flat_file!$C:$C,"Men",Flat_file!$D:$D,"40-44",Flat_file!$E:$E,"540",Flat_file!$F:$F,"U")+SUMIFS(Flat_file!$G:$G,Flat_file!$B:$B,Summary_Unemployed!$B$2,Flat_file!$C:$C,"Men",Flat_file!$D:$D,"40-44",Flat_file!$E:$E,"550",Flat_file!$F:$F,"U")+SUMIFS(Flat_file!$G:$G,Flat_file!$B:$B,Summary_Unemployed!$B$2,Flat_file!$C:$C,"Men",Flat_file!$D:$D,"40-44",Flat_file!$E:$E,"560",Flat_file!$F:$F,"U")</f>
        <v>0</v>
      </c>
      <c r="K11" s="89">
        <f>SUMIFS(Flat_file!$G:$G,Flat_file!$B:$B,Summary_Unemployed!$B$2,Flat_file!$C:$C,"Men",Flat_file!$D:$D,"40-44",Flat_file!$E:$E,"640",Flat_file!$F:$F,"U")+SUMIFS(Flat_file!$G:$G,Flat_file!$B:$B,Summary_Unemployed!$B$2,Flat_file!$C:$C,"Men",Flat_file!$D:$D,"40-44",Flat_file!$E:$E,"650",Flat_file!$F:$F,"U")+SUMIFS(Flat_file!$G:$G,Flat_file!$B:$B,Summary_Unemployed!$B$2,Flat_file!$C:$C,"Men",Flat_file!$D:$D,"40-44",Flat_file!$E:$E,"660",Flat_file!$F:$F,"U")</f>
        <v>0</v>
      </c>
      <c r="L11" s="89">
        <f>SUMIFS(Flat_file!$G:$G,Flat_file!$B:$B,Summary_Unemployed!$B$2,Flat_file!$C:$C,"Men",Flat_file!$D:$D,"40-44",Flat_file!$E:$E,"740",Flat_file!$F:$F,"U")+SUMIFS(Flat_file!$G:$G,Flat_file!$B:$B,Summary_Unemployed!$B$2,Flat_file!$C:$C,"Men",Flat_file!$D:$D,"40-44",Flat_file!$E:$E,"750",Flat_file!$F:$F,"U")+SUMIFS(Flat_file!$G:$G,Flat_file!$B:$B,Summary_Unemployed!$B$2,Flat_file!$C:$C,"Men",Flat_file!$D:$D,"40-44",Flat_file!$E:$E,"760",Flat_file!$F:$F,"U")</f>
        <v>0</v>
      </c>
      <c r="M11" s="89">
        <f>SUMIFS(Flat_file!$G:$G,Flat_file!$B:$B,Summary_Unemployed!$B$2,Flat_file!$C:$C,"Men",Flat_file!$D:$D,"40-44",Flat_file!$E:$E,"840",Flat_file!$F:$F,"U")+SUMIFS(Flat_file!$G:$G,Flat_file!$B:$B,Summary_Unemployed!$B$2,Flat_file!$C:$C,"Men",Flat_file!$D:$D,"40-44",Flat_file!$E:$E,"850",Flat_file!$F:$F,"U")+SUMIFS(Flat_file!$G:$G,Flat_file!$B:$B,Summary_Unemployed!$B$2,Flat_file!$C:$C,"Men",Flat_file!$D:$D,"40-44",Flat_file!$E:$E,"860",Flat_file!$F:$F,"U")</f>
        <v>0</v>
      </c>
      <c r="N11" s="89">
        <f>SUMIFS(Flat_file!$G:$G,Flat_file!$B:$B,Summary_Unemployed!$B$2,Flat_file!$C:$C,"Men",Flat_file!$D:$D,"40-44",Flat_file!$E:$E,"999",Flat_file!$F:$F,"U")</f>
        <v>0</v>
      </c>
      <c r="O11" s="89">
        <f t="shared" si="0"/>
        <v>0</v>
      </c>
      <c r="P11" s="90"/>
      <c r="Q11" s="89">
        <f t="shared" si="1"/>
        <v>0</v>
      </c>
      <c r="R11" s="91"/>
      <c r="S11" s="89">
        <f t="shared" si="2"/>
        <v>0</v>
      </c>
      <c r="T11" s="89">
        <f t="shared" si="3"/>
        <v>0</v>
      </c>
      <c r="U11" s="89">
        <f t="shared" si="4"/>
        <v>0</v>
      </c>
      <c r="V11" s="90"/>
      <c r="W11" s="89">
        <f>SUMIFS(Flat_file!$G:$G,Flat_file!$B:$B,Summary_Unemployed!$B$2,Flat_file!$C:$C,"Men",Flat_file!$D:$D,"40-44",Flat_file!$E:$E,"343",Flat_file!$F:$F,"U")+SUMIFS(Flat_file!$G:$G,Flat_file!$B:$B,Summary_Unemployed!$B$2,Flat_file!$C:$C,"Men",Flat_file!$D:$D,"40-44",Flat_file!$E:$E,"344",Flat_file!$F:$F,"U")+SUMIFS(Flat_file!$G:$G,Flat_file!$B:$B,Summary_Unemployed!$B$2,Flat_file!$C:$C,"Men",Flat_file!$D:$D,"40-44",Flat_file!$E:$E,"443",Flat_file!$F:$F,"U")+SUMIFS(Flat_file!$G:$G,Flat_file!$B:$B,Summary_Unemployed!$B$2,Flat_file!$C:$C,"Men",Flat_file!$D:$D,"40-44",Flat_file!$E:$E,"444",Flat_file!$F:$F,"U")</f>
        <v>0</v>
      </c>
      <c r="X11" s="89">
        <f>SUMIFS(Flat_file!$G:$G,Flat_file!$B:$B,Summary_Unemployed!$B$2,Flat_file!$C:$C,"Men",Flat_file!$D:$D,"40-44",Flat_file!$E:$E,"353",Flat_file!$F:$F,"U")+SUMIFS(Flat_file!$G:$G,Flat_file!$B:$B,Summary_Unemployed!$B$2,Flat_file!$C:$C,"Men",Flat_file!$D:$D,"40-44",Flat_file!$E:$E,"354",Flat_file!$F:$F,"U")+SUMIFS(Flat_file!$G:$G,Flat_file!$B:$B,Summary_Unemployed!$B$2,Flat_file!$C:$C,"Men",Flat_file!$D:$D,"40-44",Flat_file!$E:$E,"453",Flat_file!$F:$F,"U")+SUMIFS(Flat_file!$G:$G,Flat_file!$B:$B,Summary_Unemployed!$B$2,Flat_file!$C:$C,"Men",Flat_file!$D:$D,"40-44",Flat_file!$E:$E,"454",Flat_file!$F:$F,"U")</f>
        <v>0</v>
      </c>
      <c r="Y11" s="90"/>
      <c r="Z11" s="89">
        <f>SUMIFS(Flat_file!$G:$G,Flat_file!$B:$B,Summary_Unemployed!$B$2,Flat_file!$C:$C,"Men",Flat_file!$D:$D,"40-44",Flat_file!$E:$E,"640",Flat_file!$F:$F,"U")+SUMIFS(Flat_file!$G:$G,Flat_file!$B:$B,Summary_Unemployed!$B$2,Flat_file!$C:$C,"Men",Flat_file!$D:$D,"40-44",Flat_file!$E:$E,"740",Flat_file!$F:$F,"U")+SUMIFS(Flat_file!$G:$G,Flat_file!$B:$B,Summary_Unemployed!$B$2,Flat_file!$C:$C,"Men",Flat_file!$D:$D,"40-44",Flat_file!$E:$E,"840",Flat_file!$F:$F,"U")</f>
        <v>0</v>
      </c>
      <c r="AA11" s="89">
        <f>SUMIFS(Flat_file!$G:$G,Flat_file!$B:$B,Summary_Unemployed!$B$2,Flat_file!$C:$C,"Men",Flat_file!$D:$D,"40-44",Flat_file!$E:$E,"650",Flat_file!$F:$F,"U")+SUMIFS(Flat_file!$G:$G,Flat_file!$B:$B,Summary_Unemployed!$B$2,Flat_file!$C:$C,"Men",Flat_file!$D:$D,"40-44",Flat_file!$E:$E,"750",Flat_file!$F:$F,"U")+SUMIFS(Flat_file!$G:$G,Flat_file!$B:$B,Summary_Unemployed!$B$2,Flat_file!$C:$C,"Men",Flat_file!$D:$D,"40-44",Flat_file!$E:$E,"850",Flat_file!$F:$F,"U")</f>
        <v>0</v>
      </c>
      <c r="AB11" s="89">
        <f>SUMIFS(Flat_file!$G:$G,Flat_file!$B:$B,Summary_Unemployed!$B$2,Flat_file!$C:$C,"Men",Flat_file!$D:$D,"40-44",Flat_file!$E:$E,"660",Flat_file!$F:$F,"U")+SUMIFS(Flat_file!$G:$G,Flat_file!$B:$B,Summary_Unemployed!$B$2,Flat_file!$C:$C,"Men",Flat_file!$D:$D,"40-44",Flat_file!$E:$E,"760",Flat_file!$F:$F,"U")+SUMIFS(Flat_file!$G:$G,Flat_file!$B:$B,Summary_Unemployed!$B$2,Flat_file!$C:$C,"Men",Flat_file!$D:$D,"40-44",Flat_file!$E:$E,"860",Flat_file!$F:$F,"U")</f>
        <v>0</v>
      </c>
      <c r="AC11" s="3"/>
      <c r="AD11" s="3"/>
      <c r="AE11" s="3"/>
      <c r="AF11" s="3"/>
      <c r="AG11" s="3"/>
      <c r="AH11" s="3"/>
      <c r="AI11" s="3"/>
      <c r="AJ11" s="3"/>
      <c r="AK11" s="3"/>
      <c r="AL11" s="3"/>
      <c r="AM11" s="3"/>
      <c r="AN11" s="3"/>
      <c r="AO11" s="3"/>
      <c r="AP11" s="3"/>
      <c r="AQ11" s="3"/>
      <c r="AR11" s="3"/>
      <c r="AS11" s="3"/>
    </row>
    <row r="12" spans="1:45" customFormat="1" x14ac:dyDescent="0.2">
      <c r="A12" s="352"/>
      <c r="B12" s="79" t="s">
        <v>93</v>
      </c>
      <c r="C12" s="89">
        <f>SUMIFS(Flat_file!$G:$G,Flat_file!$B:$B,Summary_Unemployed!$B$2,Flat_file!$C:$C,"Men",Flat_file!$D:$D,"45-49",Flat_file!$E:$E,"010",Flat_file!$F:$F,"U")+SUMIFS(Flat_file!$G:$G,Flat_file!$B:$B,Summary_Unemployed!$B$2,Flat_file!$C:$C,"Men",Flat_file!$D:$D,"45-49",Flat_file!$E:$E,"020",Flat_file!$F:$F,"U")+SUMIFS(Flat_file!$G:$G,Flat_file!$B:$B,Summary_Unemployed!$B$2,Flat_file!$C:$C,"Men",Flat_file!$D:$D,"45-49",Flat_file!$E:$E,"030",Flat_file!$F:$F,"U")</f>
        <v>0</v>
      </c>
      <c r="D12" s="89">
        <f>SUMIFS(Flat_file!$G:$G,Flat_file!$B:$B,Summary_Unemployed!$B$2,Flat_file!$C:$C,"Men",Flat_file!$D:$D,"45-49",Flat_file!$E:$E,"100",Flat_file!$F:$F,"U")</f>
        <v>0</v>
      </c>
      <c r="E12" s="89">
        <f>SUMIFS(Flat_file!$G:$G,Flat_file!$B:$B,Summary_Unemployed!$B$2,Flat_file!$C:$C,"Men",Flat_file!$D:$D,"45-49",Flat_file!$E:$E,"242",Flat_file!$F:$F,"U")+SUMIFS(Flat_file!$G:$G,Flat_file!$B:$B,Summary_Unemployed!$B$2,Flat_file!$C:$C,"Men",Flat_file!$D:$D,"45-49",Flat_file!$E:$E,"252",Flat_file!$F:$F,"U")</f>
        <v>0</v>
      </c>
      <c r="F12" s="89">
        <f>SUMIFS(Flat_file!$G:$G,Flat_file!$B:$B,Summary_Unemployed!$B$2,Flat_file!$C:$C,"Men",Flat_file!$D:$D,"45-49",Flat_file!$E:$E,"243",Flat_file!$F:$F,"U")+SUMIFS(Flat_file!$G:$G,Flat_file!$B:$B,Summary_Unemployed!$B$2,Flat_file!$C:$C,"Men",Flat_file!$D:$D,"45-49",Flat_file!$E:$E,"244",Flat_file!$F:$F,"U")+SUMIFS(Flat_file!$G:$G,Flat_file!$B:$B,Summary_Unemployed!$B$2,Flat_file!$C:$C,"Men",Flat_file!$D:$D,"45-49",Flat_file!$E:$E,"253",Flat_file!$F:$F,"U")+SUMIFS(Flat_file!$G:$G,Flat_file!$B:$B,Summary_Unemployed!$B$2,Flat_file!$C:$C,"Men",Flat_file!$D:$D,"45-49",Flat_file!$E:$E,"254",Flat_file!$F:$F,"U")</f>
        <v>0</v>
      </c>
      <c r="G12" s="89">
        <f>SUMIFS(Flat_file!$G:$G,Flat_file!$B:$B,Summary_Unemployed!$B$2,Flat_file!$C:$C,"Men",Flat_file!$D:$D,"45-49",Flat_file!$E:$E,"342",Flat_file!$F:$F,"U")+SUMIFS(Flat_file!$G:$G,Flat_file!$B:$B,Summary_Unemployed!$B$2,Flat_file!$C:$C,"Men",Flat_file!$D:$D,"45-49",Flat_file!$E:$E,"352",Flat_file!$F:$F,"U")</f>
        <v>0</v>
      </c>
      <c r="H12" s="89">
        <f>SUMIFS(Flat_file!$G:$G,Flat_file!$B:$B,Summary_Unemployed!$B$2,Flat_file!$C:$C,"Men",Flat_file!$D:$D,"45-49",Flat_file!$E:$E,"343",Flat_file!$F:$F,"U")+SUMIFS(Flat_file!$G:$G,Flat_file!$B:$B,Summary_Unemployed!$B$2,Flat_file!$C:$C,"Men",Flat_file!$D:$D,"45-49",Flat_file!$E:$E,"344",Flat_file!$F:$F,"U")+SUMIFS(Flat_file!$G:$G,Flat_file!$B:$B,Summary_Unemployed!$B$2,Flat_file!$C:$C,"Men",Flat_file!$D:$D,"45-49",Flat_file!$E:$E,"353",Flat_file!$F:$F,"U")+SUMIFS(Flat_file!$G:$G,Flat_file!$B:$B,Summary_Unemployed!$B$2,Flat_file!$C:$C,"Men",Flat_file!$D:$D,"45-49",Flat_file!$E:$E,"354",Flat_file!$F:$F,"U")</f>
        <v>0</v>
      </c>
      <c r="I12" s="89">
        <f>SUMIFS(Flat_file!$G:$G,Flat_file!$B:$B,Summary_Unemployed!$B$2,Flat_file!$C:$C,"Men",Flat_file!$D:$D,"45-49",Flat_file!$E:$E,"443",Flat_file!$F:$F,"U")+SUMIFS(Flat_file!$G:$G,Flat_file!$B:$B,Summary_Unemployed!$B$2,Flat_file!$C:$C,"Men",Flat_file!$D:$D,"45-49",Flat_file!$E:$E,"444",Flat_file!$F:$F,"U")+SUMIFS(Flat_file!$G:$G,Flat_file!$B:$B,Summary_Unemployed!$B$2,Flat_file!$C:$C,"Men",Flat_file!$D:$D,"45-49",Flat_file!$E:$E,"453",Flat_file!$F:$F,"U")+SUMIFS(Flat_file!$G:$G,Flat_file!$B:$B,Summary_Unemployed!$B$2,Flat_file!$C:$C,"Men",Flat_file!$D:$D,"45-49",Flat_file!$E:$E,"454",Flat_file!$F:$F,"U")</f>
        <v>0</v>
      </c>
      <c r="J12" s="89">
        <f>SUMIFS(Flat_file!$G:$G,Flat_file!$B:$B,Summary_Unemployed!$B$2,Flat_file!$C:$C,"Men",Flat_file!$D:$D,"45-49",Flat_file!$E:$E,"540",Flat_file!$F:$F,"U")+SUMIFS(Flat_file!$G:$G,Flat_file!$B:$B,Summary_Unemployed!$B$2,Flat_file!$C:$C,"Men",Flat_file!$D:$D,"45-49",Flat_file!$E:$E,"550",Flat_file!$F:$F,"U")+SUMIFS(Flat_file!$G:$G,Flat_file!$B:$B,Summary_Unemployed!$B$2,Flat_file!$C:$C,"Men",Flat_file!$D:$D,"45-49",Flat_file!$E:$E,"560",Flat_file!$F:$F,"U")</f>
        <v>0</v>
      </c>
      <c r="K12" s="89">
        <f>SUMIFS(Flat_file!$G:$G,Flat_file!$B:$B,Summary_Unemployed!$B$2,Flat_file!$C:$C,"Men",Flat_file!$D:$D,"45-49",Flat_file!$E:$E,"640",Flat_file!$F:$F,"U")+SUMIFS(Flat_file!$G:$G,Flat_file!$B:$B,Summary_Unemployed!$B$2,Flat_file!$C:$C,"Men",Flat_file!$D:$D,"45-49",Flat_file!$E:$E,"650",Flat_file!$F:$F,"U")+SUMIFS(Flat_file!$G:$G,Flat_file!$B:$B,Summary_Unemployed!$B$2,Flat_file!$C:$C,"Men",Flat_file!$D:$D,"45-49",Flat_file!$E:$E,"660",Flat_file!$F:$F,"U")</f>
        <v>0</v>
      </c>
      <c r="L12" s="89">
        <f>SUMIFS(Flat_file!$G:$G,Flat_file!$B:$B,Summary_Unemployed!$B$2,Flat_file!$C:$C,"Men",Flat_file!$D:$D,"45-49",Flat_file!$E:$E,"740",Flat_file!$F:$F,"U")+SUMIFS(Flat_file!$G:$G,Flat_file!$B:$B,Summary_Unemployed!$B$2,Flat_file!$C:$C,"Men",Flat_file!$D:$D,"45-49",Flat_file!$E:$E,"750",Flat_file!$F:$F,"U")+SUMIFS(Flat_file!$G:$G,Flat_file!$B:$B,Summary_Unemployed!$B$2,Flat_file!$C:$C,"Men",Flat_file!$D:$D,"45-49",Flat_file!$E:$E,"760",Flat_file!$F:$F,"U")</f>
        <v>0</v>
      </c>
      <c r="M12" s="89">
        <f>SUMIFS(Flat_file!$G:$G,Flat_file!$B:$B,Summary_Unemployed!$B$2,Flat_file!$C:$C,"Men",Flat_file!$D:$D,"45-49",Flat_file!$E:$E,"840",Flat_file!$F:$F,"U")+SUMIFS(Flat_file!$G:$G,Flat_file!$B:$B,Summary_Unemployed!$B$2,Flat_file!$C:$C,"Men",Flat_file!$D:$D,"45-49",Flat_file!$E:$E,"850",Flat_file!$F:$F,"U")+SUMIFS(Flat_file!$G:$G,Flat_file!$B:$B,Summary_Unemployed!$B$2,Flat_file!$C:$C,"Men",Flat_file!$D:$D,"45-49",Flat_file!$E:$E,"860",Flat_file!$F:$F,"U")</f>
        <v>0</v>
      </c>
      <c r="N12" s="89">
        <f>SUMIFS(Flat_file!$G:$G,Flat_file!$B:$B,Summary_Unemployed!$B$2,Flat_file!$C:$C,"Men",Flat_file!$D:$D,"45-49",Flat_file!$E:$E,"999",Flat_file!$F:$F,"U")</f>
        <v>0</v>
      </c>
      <c r="O12" s="89">
        <f t="shared" si="0"/>
        <v>0</v>
      </c>
      <c r="P12" s="90"/>
      <c r="Q12" s="89">
        <f t="shared" si="1"/>
        <v>0</v>
      </c>
      <c r="R12" s="91"/>
      <c r="S12" s="89">
        <f t="shared" si="2"/>
        <v>0</v>
      </c>
      <c r="T12" s="89">
        <f t="shared" si="3"/>
        <v>0</v>
      </c>
      <c r="U12" s="89">
        <f t="shared" si="4"/>
        <v>0</v>
      </c>
      <c r="V12" s="90"/>
      <c r="W12" s="89">
        <f>SUMIFS(Flat_file!$G:$G,Flat_file!$B:$B,Summary_Unemployed!$B$2,Flat_file!$C:$C,"Men",Flat_file!$D:$D,"45-49",Flat_file!$E:$E,"343",Flat_file!$F:$F,"U")+SUMIFS(Flat_file!$G:$G,Flat_file!$B:$B,Summary_Unemployed!$B$2,Flat_file!$C:$C,"Men",Flat_file!$D:$D,"45-49",Flat_file!$E:$E,"344",Flat_file!$F:$F,"U")+SUMIFS(Flat_file!$G:$G,Flat_file!$B:$B,Summary_Unemployed!$B$2,Flat_file!$C:$C,"Men",Flat_file!$D:$D,"45-49",Flat_file!$E:$E,"443",Flat_file!$F:$F,"U")+SUMIFS(Flat_file!$G:$G,Flat_file!$B:$B,Summary_Unemployed!$B$2,Flat_file!$C:$C,"Men",Flat_file!$D:$D,"45-49",Flat_file!$E:$E,"444",Flat_file!$F:$F,"U")</f>
        <v>0</v>
      </c>
      <c r="X12" s="89">
        <f>SUMIFS(Flat_file!$G:$G,Flat_file!$B:$B,Summary_Unemployed!$B$2,Flat_file!$C:$C,"Men",Flat_file!$D:$D,"45-49",Flat_file!$E:$E,"353",Flat_file!$F:$F,"U")+SUMIFS(Flat_file!$G:$G,Flat_file!$B:$B,Summary_Unemployed!$B$2,Flat_file!$C:$C,"Men",Flat_file!$D:$D,"45-49",Flat_file!$E:$E,"354",Flat_file!$F:$F,"U")+SUMIFS(Flat_file!$G:$G,Flat_file!$B:$B,Summary_Unemployed!$B$2,Flat_file!$C:$C,"Men",Flat_file!$D:$D,"45-49",Flat_file!$E:$E,"453",Flat_file!$F:$F,"U")+SUMIFS(Flat_file!$G:$G,Flat_file!$B:$B,Summary_Unemployed!$B$2,Flat_file!$C:$C,"Men",Flat_file!$D:$D,"45-49",Flat_file!$E:$E,"454",Flat_file!$F:$F,"U")</f>
        <v>0</v>
      </c>
      <c r="Y12" s="90"/>
      <c r="Z12" s="89">
        <f>SUMIFS(Flat_file!$G:$G,Flat_file!$B:$B,Summary_Unemployed!$B$2,Flat_file!$C:$C,"Men",Flat_file!$D:$D,"45-49",Flat_file!$E:$E,"640",Flat_file!$F:$F,"U")+SUMIFS(Flat_file!$G:$G,Flat_file!$B:$B,Summary_Unemployed!$B$2,Flat_file!$C:$C,"Men",Flat_file!$D:$D,"45-49",Flat_file!$E:$E,"740",Flat_file!$F:$F,"U")+SUMIFS(Flat_file!$G:$G,Flat_file!$B:$B,Summary_Unemployed!$B$2,Flat_file!$C:$C,"Men",Flat_file!$D:$D,"45-49",Flat_file!$E:$E,"840",Flat_file!$F:$F,"U")</f>
        <v>0</v>
      </c>
      <c r="AA12" s="89">
        <f>SUMIFS(Flat_file!$G:$G,Flat_file!$B:$B,Summary_Unemployed!$B$2,Flat_file!$C:$C,"Men",Flat_file!$D:$D,"45-49",Flat_file!$E:$E,"650",Flat_file!$F:$F,"U")+SUMIFS(Flat_file!$G:$G,Flat_file!$B:$B,Summary_Unemployed!$B$2,Flat_file!$C:$C,"Men",Flat_file!$D:$D,"45-49",Flat_file!$E:$E,"750",Flat_file!$F:$F,"U")+SUMIFS(Flat_file!$G:$G,Flat_file!$B:$B,Summary_Unemployed!$B$2,Flat_file!$C:$C,"Men",Flat_file!$D:$D,"45-49",Flat_file!$E:$E,"850",Flat_file!$F:$F,"U")</f>
        <v>0</v>
      </c>
      <c r="AB12" s="89">
        <f>SUMIFS(Flat_file!$G:$G,Flat_file!$B:$B,Summary_Unemployed!$B$2,Flat_file!$C:$C,"Men",Flat_file!$D:$D,"45-49",Flat_file!$E:$E,"660",Flat_file!$F:$F,"U")+SUMIFS(Flat_file!$G:$G,Flat_file!$B:$B,Summary_Unemployed!$B$2,Flat_file!$C:$C,"Men",Flat_file!$D:$D,"45-49",Flat_file!$E:$E,"760",Flat_file!$F:$F,"U")+SUMIFS(Flat_file!$G:$G,Flat_file!$B:$B,Summary_Unemployed!$B$2,Flat_file!$C:$C,"Men",Flat_file!$D:$D,"45-49",Flat_file!$E:$E,"860",Flat_file!$F:$F,"U")</f>
        <v>0</v>
      </c>
      <c r="AC12" s="3"/>
      <c r="AD12" s="3"/>
      <c r="AE12" s="3"/>
      <c r="AF12" s="3"/>
      <c r="AG12" s="3"/>
      <c r="AH12" s="3"/>
      <c r="AI12" s="3"/>
      <c r="AJ12" s="3"/>
      <c r="AK12" s="3"/>
      <c r="AL12" s="3"/>
      <c r="AM12" s="3"/>
      <c r="AN12" s="3"/>
      <c r="AO12" s="3"/>
      <c r="AP12" s="3"/>
      <c r="AQ12" s="3"/>
      <c r="AR12" s="3"/>
      <c r="AS12" s="3"/>
    </row>
    <row r="13" spans="1:45" customFormat="1" x14ac:dyDescent="0.2">
      <c r="A13" s="352"/>
      <c r="B13" s="79" t="s">
        <v>94</v>
      </c>
      <c r="C13" s="89">
        <f>SUMIFS(Flat_file!$G:$G,Flat_file!$B:$B,Summary_Unemployed!$B$2,Flat_file!$C:$C,"Men",Flat_file!$D:$D,"50-54",Flat_file!$E:$E,"010",Flat_file!$F:$F,"U")+SUMIFS(Flat_file!$G:$G,Flat_file!$B:$B,Summary_Unemployed!$B$2,Flat_file!$C:$C,"Men",Flat_file!$D:$D,"50-54",Flat_file!$E:$E,"020",Flat_file!$F:$F,"U")+SUMIFS(Flat_file!$G:$G,Flat_file!$B:$B,Summary_Unemployed!$B$2,Flat_file!$C:$C,"Men",Flat_file!$D:$D,"50-54",Flat_file!$E:$E,"030",Flat_file!$F:$F,"U")</f>
        <v>0</v>
      </c>
      <c r="D13" s="89">
        <f>SUMIFS(Flat_file!$G:$G,Flat_file!$B:$B,Summary_Unemployed!$B$2,Flat_file!$C:$C,"Men",Flat_file!$D:$D,"50-54",Flat_file!$E:$E,"100",Flat_file!$F:$F,"U")</f>
        <v>0</v>
      </c>
      <c r="E13" s="89">
        <f>SUMIFS(Flat_file!$G:$G,Flat_file!$B:$B,Summary_Unemployed!$B$2,Flat_file!$C:$C,"Men",Flat_file!$D:$D,"50-54",Flat_file!$E:$E,"242",Flat_file!$F:$F,"U")+SUMIFS(Flat_file!$G:$G,Flat_file!$B:$B,Summary_Unemployed!$B$2,Flat_file!$C:$C,"Men",Flat_file!$D:$D,"50-54",Flat_file!$E:$E,"252",Flat_file!$F:$F,"U")</f>
        <v>0</v>
      </c>
      <c r="F13" s="89">
        <f>SUMIFS(Flat_file!$G:$G,Flat_file!$B:$B,Summary_Unemployed!$B$2,Flat_file!$C:$C,"Men",Flat_file!$D:$D,"50-54",Flat_file!$E:$E,"243",Flat_file!$F:$F,"U")+SUMIFS(Flat_file!$G:$G,Flat_file!$B:$B,Summary_Unemployed!$B$2,Flat_file!$C:$C,"Men",Flat_file!$D:$D,"50-54",Flat_file!$E:$E,"244",Flat_file!$F:$F,"U")+SUMIFS(Flat_file!$G:$G,Flat_file!$B:$B,Summary_Unemployed!$B$2,Flat_file!$C:$C,"Men",Flat_file!$D:$D,"50-54",Flat_file!$E:$E,"253",Flat_file!$F:$F,"U")+SUMIFS(Flat_file!$G:$G,Flat_file!$B:$B,Summary_Unemployed!$B$2,Flat_file!$C:$C,"Men",Flat_file!$D:$D,"50-54",Flat_file!$E:$E,"254",Flat_file!$F:$F,"U")</f>
        <v>0</v>
      </c>
      <c r="G13" s="89">
        <f>SUMIFS(Flat_file!$G:$G,Flat_file!$B:$B,Summary_Unemployed!$B$2,Flat_file!$C:$C,"Men",Flat_file!$D:$D,"50-54",Flat_file!$E:$E,"342",Flat_file!$F:$F,"U")+SUMIFS(Flat_file!$G:$G,Flat_file!$B:$B,Summary_Unemployed!$B$2,Flat_file!$C:$C,"Men",Flat_file!$D:$D,"50-54",Flat_file!$E:$E,"352",Flat_file!$F:$F,"U")</f>
        <v>0</v>
      </c>
      <c r="H13" s="89">
        <f>SUMIFS(Flat_file!$G:$G,Flat_file!$B:$B,Summary_Unemployed!$B$2,Flat_file!$C:$C,"Men",Flat_file!$D:$D,"50-54",Flat_file!$E:$E,"343",Flat_file!$F:$F,"U")+SUMIFS(Flat_file!$G:$G,Flat_file!$B:$B,Summary_Unemployed!$B$2,Flat_file!$C:$C,"Men",Flat_file!$D:$D,"50-54",Flat_file!$E:$E,"344",Flat_file!$F:$F,"U")+SUMIFS(Flat_file!$G:$G,Flat_file!$B:$B,Summary_Unemployed!$B$2,Flat_file!$C:$C,"Men",Flat_file!$D:$D,"50-54",Flat_file!$E:$E,"353",Flat_file!$F:$F,"U")+SUMIFS(Flat_file!$G:$G,Flat_file!$B:$B,Summary_Unemployed!$B$2,Flat_file!$C:$C,"Men",Flat_file!$D:$D,"50-54",Flat_file!$E:$E,"354",Flat_file!$F:$F,"U")</f>
        <v>0</v>
      </c>
      <c r="I13" s="89">
        <f>SUMIFS(Flat_file!$G:$G,Flat_file!$B:$B,Summary_Unemployed!$B$2,Flat_file!$C:$C,"Men",Flat_file!$D:$D,"50-54",Flat_file!$E:$E,"443",Flat_file!$F:$F,"U")+SUMIFS(Flat_file!$G:$G,Flat_file!$B:$B,Summary_Unemployed!$B$2,Flat_file!$C:$C,"Men",Flat_file!$D:$D,"50-54",Flat_file!$E:$E,"444",Flat_file!$F:$F,"U")+SUMIFS(Flat_file!$G:$G,Flat_file!$B:$B,Summary_Unemployed!$B$2,Flat_file!$C:$C,"Men",Flat_file!$D:$D,"50-54",Flat_file!$E:$E,"453",Flat_file!$F:$F,"U")+SUMIFS(Flat_file!$G:$G,Flat_file!$B:$B,Summary_Unemployed!$B$2,Flat_file!$C:$C,"Men",Flat_file!$D:$D,"50-54",Flat_file!$E:$E,"454",Flat_file!$F:$F,"U")</f>
        <v>0</v>
      </c>
      <c r="J13" s="89">
        <f>SUMIFS(Flat_file!$G:$G,Flat_file!$B:$B,Summary_Unemployed!$B$2,Flat_file!$C:$C,"Men",Flat_file!$D:$D,"50-54",Flat_file!$E:$E,"540",Flat_file!$F:$F,"U")+SUMIFS(Flat_file!$G:$G,Flat_file!$B:$B,Summary_Unemployed!$B$2,Flat_file!$C:$C,"Men",Flat_file!$D:$D,"50-54",Flat_file!$E:$E,"550",Flat_file!$F:$F,"U")+SUMIFS(Flat_file!$G:$G,Flat_file!$B:$B,Summary_Unemployed!$B$2,Flat_file!$C:$C,"Men",Flat_file!$D:$D,"50-54",Flat_file!$E:$E,"560",Flat_file!$F:$F,"U")</f>
        <v>0</v>
      </c>
      <c r="K13" s="89">
        <f>SUMIFS(Flat_file!$G:$G,Flat_file!$B:$B,Summary_Unemployed!$B$2,Flat_file!$C:$C,"Men",Flat_file!$D:$D,"50-54",Flat_file!$E:$E,"640",Flat_file!$F:$F,"U")+SUMIFS(Flat_file!$G:$G,Flat_file!$B:$B,Summary_Unemployed!$B$2,Flat_file!$C:$C,"Men",Flat_file!$D:$D,"50-54",Flat_file!$E:$E,"650",Flat_file!$F:$F,"U")+SUMIFS(Flat_file!$G:$G,Flat_file!$B:$B,Summary_Unemployed!$B$2,Flat_file!$C:$C,"Men",Flat_file!$D:$D,"50-54",Flat_file!$E:$E,"660",Flat_file!$F:$F,"U")</f>
        <v>0</v>
      </c>
      <c r="L13" s="89">
        <f>SUMIFS(Flat_file!$G:$G,Flat_file!$B:$B,Summary_Unemployed!$B$2,Flat_file!$C:$C,"Men",Flat_file!$D:$D,"50-54",Flat_file!$E:$E,"740",Flat_file!$F:$F,"U")+SUMIFS(Flat_file!$G:$G,Flat_file!$B:$B,Summary_Unemployed!$B$2,Flat_file!$C:$C,"Men",Flat_file!$D:$D,"50-54",Flat_file!$E:$E,"750",Flat_file!$F:$F,"U")+SUMIFS(Flat_file!$G:$G,Flat_file!$B:$B,Summary_Unemployed!$B$2,Flat_file!$C:$C,"Men",Flat_file!$D:$D,"50-54",Flat_file!$E:$E,"760",Flat_file!$F:$F,"U")</f>
        <v>0</v>
      </c>
      <c r="M13" s="89">
        <f>SUMIFS(Flat_file!$G:$G,Flat_file!$B:$B,Summary_Unemployed!$B$2,Flat_file!$C:$C,"Men",Flat_file!$D:$D,"50-54",Flat_file!$E:$E,"840",Flat_file!$F:$F,"U")+SUMIFS(Flat_file!$G:$G,Flat_file!$B:$B,Summary_Unemployed!$B$2,Flat_file!$C:$C,"Men",Flat_file!$D:$D,"50-54",Flat_file!$E:$E,"850",Flat_file!$F:$F,"U")+SUMIFS(Flat_file!$G:$G,Flat_file!$B:$B,Summary_Unemployed!$B$2,Flat_file!$C:$C,"Men",Flat_file!$D:$D,"50-54",Flat_file!$E:$E,"860",Flat_file!$F:$F,"U")</f>
        <v>0</v>
      </c>
      <c r="N13" s="89">
        <f>SUMIFS(Flat_file!$G:$G,Flat_file!$B:$B,Summary_Unemployed!$B$2,Flat_file!$C:$C,"Men",Flat_file!$D:$D,"50-54",Flat_file!$E:$E,"999",Flat_file!$F:$F,"U")</f>
        <v>0</v>
      </c>
      <c r="O13" s="89">
        <f t="shared" si="0"/>
        <v>0</v>
      </c>
      <c r="P13" s="90"/>
      <c r="Q13" s="89">
        <f t="shared" si="1"/>
        <v>0</v>
      </c>
      <c r="R13" s="91"/>
      <c r="S13" s="89">
        <f t="shared" si="2"/>
        <v>0</v>
      </c>
      <c r="T13" s="89">
        <f t="shared" si="3"/>
        <v>0</v>
      </c>
      <c r="U13" s="89">
        <f t="shared" si="4"/>
        <v>0</v>
      </c>
      <c r="V13" s="90"/>
      <c r="W13" s="89">
        <f>SUMIFS(Flat_file!$G:$G,Flat_file!$B:$B,Summary_Unemployed!$B$2,Flat_file!$C:$C,"Men",Flat_file!$D:$D,"50-54",Flat_file!$E:$E,"343",Flat_file!$F:$F,"U")+SUMIFS(Flat_file!$G:$G,Flat_file!$B:$B,Summary_Unemployed!$B$2,Flat_file!$C:$C,"Men",Flat_file!$D:$D,"50-54",Flat_file!$E:$E,"344",Flat_file!$F:$F,"U")+SUMIFS(Flat_file!$G:$G,Flat_file!$B:$B,Summary_Unemployed!$B$2,Flat_file!$C:$C,"Men",Flat_file!$D:$D,"50-54",Flat_file!$E:$E,"443",Flat_file!$F:$F,"U")+SUMIFS(Flat_file!$G:$G,Flat_file!$B:$B,Summary_Unemployed!$B$2,Flat_file!$C:$C,"Men",Flat_file!$D:$D,"50-54",Flat_file!$E:$E,"444",Flat_file!$F:$F,"U")</f>
        <v>0</v>
      </c>
      <c r="X13" s="89">
        <f>SUMIFS(Flat_file!$G:$G,Flat_file!$B:$B,Summary_Unemployed!$B$2,Flat_file!$C:$C,"Men",Flat_file!$D:$D,"50-54",Flat_file!$E:$E,"353",Flat_file!$F:$F,"U")+SUMIFS(Flat_file!$G:$G,Flat_file!$B:$B,Summary_Unemployed!$B$2,Flat_file!$C:$C,"Men",Flat_file!$D:$D,"50-54",Flat_file!$E:$E,"354",Flat_file!$F:$F,"U")+SUMIFS(Flat_file!$G:$G,Flat_file!$B:$B,Summary_Unemployed!$B$2,Flat_file!$C:$C,"Men",Flat_file!$D:$D,"50-54",Flat_file!$E:$E,"453",Flat_file!$F:$F,"U")+SUMIFS(Flat_file!$G:$G,Flat_file!$B:$B,Summary_Unemployed!$B$2,Flat_file!$C:$C,"Men",Flat_file!$D:$D,"50-54",Flat_file!$E:$E,"454",Flat_file!$F:$F,"U")</f>
        <v>0</v>
      </c>
      <c r="Y13" s="90"/>
      <c r="Z13" s="89">
        <f>SUMIFS(Flat_file!$G:$G,Flat_file!$B:$B,Summary_Unemployed!$B$2,Flat_file!$C:$C,"Men",Flat_file!$D:$D,"50-54",Flat_file!$E:$E,"640",Flat_file!$F:$F,"U")+SUMIFS(Flat_file!$G:$G,Flat_file!$B:$B,Summary_Unemployed!$B$2,Flat_file!$C:$C,"Men",Flat_file!$D:$D,"50-54",Flat_file!$E:$E,"740",Flat_file!$F:$F,"U")+SUMIFS(Flat_file!$G:$G,Flat_file!$B:$B,Summary_Unemployed!$B$2,Flat_file!$C:$C,"Men",Flat_file!$D:$D,"50-54",Flat_file!$E:$E,"840",Flat_file!$F:$F,"U")</f>
        <v>0</v>
      </c>
      <c r="AA13" s="89">
        <f>SUMIFS(Flat_file!$G:$G,Flat_file!$B:$B,Summary_Unemployed!$B$2,Flat_file!$C:$C,"Men",Flat_file!$D:$D,"50-54",Flat_file!$E:$E,"650",Flat_file!$F:$F,"U")+SUMIFS(Flat_file!$G:$G,Flat_file!$B:$B,Summary_Unemployed!$B$2,Flat_file!$C:$C,"Men",Flat_file!$D:$D,"50-54",Flat_file!$E:$E,"750",Flat_file!$F:$F,"U")+SUMIFS(Flat_file!$G:$G,Flat_file!$B:$B,Summary_Unemployed!$B$2,Flat_file!$C:$C,"Men",Flat_file!$D:$D,"50-54",Flat_file!$E:$E,"850",Flat_file!$F:$F,"U")</f>
        <v>0</v>
      </c>
      <c r="AB13" s="89">
        <f>SUMIFS(Flat_file!$G:$G,Flat_file!$B:$B,Summary_Unemployed!$B$2,Flat_file!$C:$C,"Men",Flat_file!$D:$D,"50-54",Flat_file!$E:$E,"660",Flat_file!$F:$F,"U")+SUMIFS(Flat_file!$G:$G,Flat_file!$B:$B,Summary_Unemployed!$B$2,Flat_file!$C:$C,"Men",Flat_file!$D:$D,"50-54",Flat_file!$E:$E,"760",Flat_file!$F:$F,"U")+SUMIFS(Flat_file!$G:$G,Flat_file!$B:$B,Summary_Unemployed!$B$2,Flat_file!$C:$C,"Men",Flat_file!$D:$D,"50-54",Flat_file!$E:$E,"860",Flat_file!$F:$F,"U")</f>
        <v>0</v>
      </c>
      <c r="AC13" s="3"/>
      <c r="AD13" s="3"/>
      <c r="AE13" s="3"/>
      <c r="AF13" s="3"/>
      <c r="AG13" s="3"/>
      <c r="AH13" s="3"/>
      <c r="AI13" s="3"/>
      <c r="AJ13" s="3"/>
      <c r="AK13" s="3"/>
      <c r="AL13" s="3"/>
      <c r="AM13" s="3"/>
      <c r="AN13" s="3"/>
      <c r="AO13" s="3"/>
      <c r="AP13" s="3"/>
      <c r="AQ13" s="3"/>
      <c r="AR13" s="3"/>
      <c r="AS13" s="3"/>
    </row>
    <row r="14" spans="1:45" customFormat="1" x14ac:dyDescent="0.2">
      <c r="A14" s="352"/>
      <c r="B14" s="79" t="s">
        <v>95</v>
      </c>
      <c r="C14" s="89">
        <f>SUMIFS(Flat_file!$G:$G,Flat_file!$B:$B,Summary_Unemployed!$B$2,Flat_file!$C:$C,"Men",Flat_file!$D:$D,"55-59",Flat_file!$E:$E,"010",Flat_file!$F:$F,"U")+SUMIFS(Flat_file!$G:$G,Flat_file!$B:$B,Summary_Unemployed!$B$2,Flat_file!$C:$C,"Men",Flat_file!$D:$D,"55-59",Flat_file!$E:$E,"020",Flat_file!$F:$F,"U")+SUMIFS(Flat_file!$G:$G,Flat_file!$B:$B,Summary_Unemployed!$B$2,Flat_file!$C:$C,"Men",Flat_file!$D:$D,"55-59",Flat_file!$E:$E,"030",Flat_file!$F:$F,"U")</f>
        <v>0</v>
      </c>
      <c r="D14" s="89">
        <f>SUMIFS(Flat_file!$G:$G,Flat_file!$B:$B,Summary_Unemployed!$B$2,Flat_file!$C:$C,"Men",Flat_file!$D:$D,"55-59",Flat_file!$E:$E,"100",Flat_file!$F:$F,"U")</f>
        <v>0</v>
      </c>
      <c r="E14" s="89">
        <f>SUMIFS(Flat_file!$G:$G,Flat_file!$B:$B,Summary_Unemployed!$B$2,Flat_file!$C:$C,"Men",Flat_file!$D:$D,"55-59",Flat_file!$E:$E,"242",Flat_file!$F:$F,"U")+SUMIFS(Flat_file!$G:$G,Flat_file!$B:$B,Summary_Unemployed!$B$2,Flat_file!$C:$C,"Men",Flat_file!$D:$D,"55-59",Flat_file!$E:$E,"252",Flat_file!$F:$F,"U")</f>
        <v>0</v>
      </c>
      <c r="F14" s="89">
        <f>SUMIFS(Flat_file!$G:$G,Flat_file!$B:$B,Summary_Unemployed!$B$2,Flat_file!$C:$C,"Men",Flat_file!$D:$D,"55-59",Flat_file!$E:$E,"243",Flat_file!$F:$F,"U")+SUMIFS(Flat_file!$G:$G,Flat_file!$B:$B,Summary_Unemployed!$B$2,Flat_file!$C:$C,"Men",Flat_file!$D:$D,"55-59",Flat_file!$E:$E,"244",Flat_file!$F:$F,"U")+SUMIFS(Flat_file!$G:$G,Flat_file!$B:$B,Summary_Unemployed!$B$2,Flat_file!$C:$C,"Men",Flat_file!$D:$D,"55-59",Flat_file!$E:$E,"253",Flat_file!$F:$F,"U")+SUMIFS(Flat_file!$G:$G,Flat_file!$B:$B,Summary_Unemployed!$B$2,Flat_file!$C:$C,"Men",Flat_file!$D:$D,"55-59",Flat_file!$E:$E,"254",Flat_file!$F:$F,"U")</f>
        <v>0</v>
      </c>
      <c r="G14" s="89">
        <f>SUMIFS(Flat_file!$G:$G,Flat_file!$B:$B,Summary_Unemployed!$B$2,Flat_file!$C:$C,"Men",Flat_file!$D:$D,"55-59",Flat_file!$E:$E,"342",Flat_file!$F:$F,"U")+SUMIFS(Flat_file!$G:$G,Flat_file!$B:$B,Summary_Unemployed!$B$2,Flat_file!$C:$C,"Men",Flat_file!$D:$D,"55-59",Flat_file!$E:$E,"352",Flat_file!$F:$F,"U")</f>
        <v>0</v>
      </c>
      <c r="H14" s="89">
        <f>SUMIFS(Flat_file!$G:$G,Flat_file!$B:$B,Summary_Unemployed!$B$2,Flat_file!$C:$C,"Men",Flat_file!$D:$D,"55-59",Flat_file!$E:$E,"343",Flat_file!$F:$F,"U")+SUMIFS(Flat_file!$G:$G,Flat_file!$B:$B,Summary_Unemployed!$B$2,Flat_file!$C:$C,"Men",Flat_file!$D:$D,"55-59",Flat_file!$E:$E,"344",Flat_file!$F:$F,"U")+SUMIFS(Flat_file!$G:$G,Flat_file!$B:$B,Summary_Unemployed!$B$2,Flat_file!$C:$C,"Men",Flat_file!$D:$D,"55-59",Flat_file!$E:$E,"353",Flat_file!$F:$F,"U")+SUMIFS(Flat_file!$G:$G,Flat_file!$B:$B,Summary_Unemployed!$B$2,Flat_file!$C:$C,"Men",Flat_file!$D:$D,"55-59",Flat_file!$E:$E,"354",Flat_file!$F:$F,"U")</f>
        <v>0</v>
      </c>
      <c r="I14" s="89">
        <f>SUMIFS(Flat_file!$G:$G,Flat_file!$B:$B,Summary_Unemployed!$B$2,Flat_file!$C:$C,"Men",Flat_file!$D:$D,"55-59",Flat_file!$E:$E,"443",Flat_file!$F:$F,"U")+SUMIFS(Flat_file!$G:$G,Flat_file!$B:$B,Summary_Unemployed!$B$2,Flat_file!$C:$C,"Men",Flat_file!$D:$D,"55-59",Flat_file!$E:$E,"444",Flat_file!$F:$F,"U")+SUMIFS(Flat_file!$G:$G,Flat_file!$B:$B,Summary_Unemployed!$B$2,Flat_file!$C:$C,"Men",Flat_file!$D:$D,"55-59",Flat_file!$E:$E,"453",Flat_file!$F:$F,"U")+SUMIFS(Flat_file!$G:$G,Flat_file!$B:$B,Summary_Unemployed!$B$2,Flat_file!$C:$C,"Men",Flat_file!$D:$D,"55-59",Flat_file!$E:$E,"454",Flat_file!$F:$F,"U")</f>
        <v>0</v>
      </c>
      <c r="J14" s="89">
        <f>SUMIFS(Flat_file!$G:$G,Flat_file!$B:$B,Summary_Unemployed!$B$2,Flat_file!$C:$C,"Men",Flat_file!$D:$D,"55-59",Flat_file!$E:$E,"540",Flat_file!$F:$F,"U")+SUMIFS(Flat_file!$G:$G,Flat_file!$B:$B,Summary_Unemployed!$B$2,Flat_file!$C:$C,"Men",Flat_file!$D:$D,"55-59",Flat_file!$E:$E,"550",Flat_file!$F:$F,"U")+SUMIFS(Flat_file!$G:$G,Flat_file!$B:$B,Summary_Unemployed!$B$2,Flat_file!$C:$C,"Men",Flat_file!$D:$D,"55-59",Flat_file!$E:$E,"560",Flat_file!$F:$F,"U")</f>
        <v>0</v>
      </c>
      <c r="K14" s="89">
        <f>SUMIFS(Flat_file!$G:$G,Flat_file!$B:$B,Summary_Unemployed!$B$2,Flat_file!$C:$C,"Men",Flat_file!$D:$D,"55-59",Flat_file!$E:$E,"640",Flat_file!$F:$F,"U")+SUMIFS(Flat_file!$G:$G,Flat_file!$B:$B,Summary_Unemployed!$B$2,Flat_file!$C:$C,"Men",Flat_file!$D:$D,"55-59",Flat_file!$E:$E,"650",Flat_file!$F:$F,"U")+SUMIFS(Flat_file!$G:$G,Flat_file!$B:$B,Summary_Unemployed!$B$2,Flat_file!$C:$C,"Men",Flat_file!$D:$D,"55-59",Flat_file!$E:$E,"660",Flat_file!$F:$F,"U")</f>
        <v>0</v>
      </c>
      <c r="L14" s="89">
        <f>SUMIFS(Flat_file!$G:$G,Flat_file!$B:$B,Summary_Unemployed!$B$2,Flat_file!$C:$C,"Men",Flat_file!$D:$D,"55-59",Flat_file!$E:$E,"740",Flat_file!$F:$F,"U")+SUMIFS(Flat_file!$G:$G,Flat_file!$B:$B,Summary_Unemployed!$B$2,Flat_file!$C:$C,"Men",Flat_file!$D:$D,"55-59",Flat_file!$E:$E,"750",Flat_file!$F:$F,"U")+SUMIFS(Flat_file!$G:$G,Flat_file!$B:$B,Summary_Unemployed!$B$2,Flat_file!$C:$C,"Men",Flat_file!$D:$D,"55-59",Flat_file!$E:$E,"760",Flat_file!$F:$F,"U")</f>
        <v>0</v>
      </c>
      <c r="M14" s="89">
        <f>SUMIFS(Flat_file!$G:$G,Flat_file!$B:$B,Summary_Unemployed!$B$2,Flat_file!$C:$C,"Men",Flat_file!$D:$D,"55-59",Flat_file!$E:$E,"840",Flat_file!$F:$F,"U")+SUMIFS(Flat_file!$G:$G,Flat_file!$B:$B,Summary_Unemployed!$B$2,Flat_file!$C:$C,"Men",Flat_file!$D:$D,"55-59",Flat_file!$E:$E,"850",Flat_file!$F:$F,"U")+SUMIFS(Flat_file!$G:$G,Flat_file!$B:$B,Summary_Unemployed!$B$2,Flat_file!$C:$C,"Men",Flat_file!$D:$D,"55-59",Flat_file!$E:$E,"860",Flat_file!$F:$F,"U")</f>
        <v>0</v>
      </c>
      <c r="N14" s="89">
        <f>SUMIFS(Flat_file!$G:$G,Flat_file!$B:$B,Summary_Unemployed!$B$2,Flat_file!$C:$C,"Men",Flat_file!$D:$D,"55-59",Flat_file!$E:$E,"999",Flat_file!$F:$F,"U")</f>
        <v>0</v>
      </c>
      <c r="O14" s="89">
        <f t="shared" si="0"/>
        <v>0</v>
      </c>
      <c r="P14" s="90"/>
      <c r="Q14" s="89">
        <f t="shared" si="1"/>
        <v>0</v>
      </c>
      <c r="R14" s="91"/>
      <c r="S14" s="89">
        <f t="shared" si="2"/>
        <v>0</v>
      </c>
      <c r="T14" s="89">
        <f t="shared" si="3"/>
        <v>0</v>
      </c>
      <c r="U14" s="89">
        <f t="shared" si="4"/>
        <v>0</v>
      </c>
      <c r="V14" s="90"/>
      <c r="W14" s="89">
        <f>SUMIFS(Flat_file!$G:$G,Flat_file!$B:$B,Summary_Unemployed!$B$2,Flat_file!$C:$C,"Men",Flat_file!$D:$D,"55-59",Flat_file!$E:$E,"343",Flat_file!$F:$F,"U")+SUMIFS(Flat_file!$G:$G,Flat_file!$B:$B,Summary_Unemployed!$B$2,Flat_file!$C:$C,"Men",Flat_file!$D:$D,"55-59",Flat_file!$E:$E,"344",Flat_file!$F:$F,"U")+SUMIFS(Flat_file!$G:$G,Flat_file!$B:$B,Summary_Unemployed!$B$2,Flat_file!$C:$C,"Men",Flat_file!$D:$D,"55-59",Flat_file!$E:$E,"443",Flat_file!$F:$F,"U")+SUMIFS(Flat_file!$G:$G,Flat_file!$B:$B,Summary_Unemployed!$B$2,Flat_file!$C:$C,"Men",Flat_file!$D:$D,"55-59",Flat_file!$E:$E,"444",Flat_file!$F:$F,"U")</f>
        <v>0</v>
      </c>
      <c r="X14" s="89">
        <f>SUMIFS(Flat_file!$G:$G,Flat_file!$B:$B,Summary_Unemployed!$B$2,Flat_file!$C:$C,"Men",Flat_file!$D:$D,"55-59",Flat_file!$E:$E,"353",Flat_file!$F:$F,"U")+SUMIFS(Flat_file!$G:$G,Flat_file!$B:$B,Summary_Unemployed!$B$2,Flat_file!$C:$C,"Men",Flat_file!$D:$D,"55-59",Flat_file!$E:$E,"354",Flat_file!$F:$F,"U")+SUMIFS(Flat_file!$G:$G,Flat_file!$B:$B,Summary_Unemployed!$B$2,Flat_file!$C:$C,"Men",Flat_file!$D:$D,"55-59",Flat_file!$E:$E,"453",Flat_file!$F:$F,"U")+SUMIFS(Flat_file!$G:$G,Flat_file!$B:$B,Summary_Unemployed!$B$2,Flat_file!$C:$C,"Men",Flat_file!$D:$D,"55-59",Flat_file!$E:$E,"454",Flat_file!$F:$F,"U")</f>
        <v>0</v>
      </c>
      <c r="Y14" s="90"/>
      <c r="Z14" s="89">
        <f>SUMIFS(Flat_file!$G:$G,Flat_file!$B:$B,Summary_Unemployed!$B$2,Flat_file!$C:$C,"Men",Flat_file!$D:$D,"55-59",Flat_file!$E:$E,"640",Flat_file!$F:$F,"U")+SUMIFS(Flat_file!$G:$G,Flat_file!$B:$B,Summary_Unemployed!$B$2,Flat_file!$C:$C,"Men",Flat_file!$D:$D,"55-59",Flat_file!$E:$E,"740",Flat_file!$F:$F,"U")+SUMIFS(Flat_file!$G:$G,Flat_file!$B:$B,Summary_Unemployed!$B$2,Flat_file!$C:$C,"Men",Flat_file!$D:$D,"55-59",Flat_file!$E:$E,"840",Flat_file!$F:$F,"U")</f>
        <v>0</v>
      </c>
      <c r="AA14" s="89">
        <f>SUMIFS(Flat_file!$G:$G,Flat_file!$B:$B,Summary_Unemployed!$B$2,Flat_file!$C:$C,"Men",Flat_file!$D:$D,"55-59",Flat_file!$E:$E,"650",Flat_file!$F:$F,"U")+SUMIFS(Flat_file!$G:$G,Flat_file!$B:$B,Summary_Unemployed!$B$2,Flat_file!$C:$C,"Men",Flat_file!$D:$D,"55-59",Flat_file!$E:$E,"750",Flat_file!$F:$F,"U")+SUMIFS(Flat_file!$G:$G,Flat_file!$B:$B,Summary_Unemployed!$B$2,Flat_file!$C:$C,"Men",Flat_file!$D:$D,"55-59",Flat_file!$E:$E,"850",Flat_file!$F:$F,"U")</f>
        <v>0</v>
      </c>
      <c r="AB14" s="89">
        <f>SUMIFS(Flat_file!$G:$G,Flat_file!$B:$B,Summary_Unemployed!$B$2,Flat_file!$C:$C,"Men",Flat_file!$D:$D,"55-59",Flat_file!$E:$E,"660",Flat_file!$F:$F,"U")+SUMIFS(Flat_file!$G:$G,Flat_file!$B:$B,Summary_Unemployed!$B$2,Flat_file!$C:$C,"Men",Flat_file!$D:$D,"55-59",Flat_file!$E:$E,"760",Flat_file!$F:$F,"U")+SUMIFS(Flat_file!$G:$G,Flat_file!$B:$B,Summary_Unemployed!$B$2,Flat_file!$C:$C,"Men",Flat_file!$D:$D,"55-59",Flat_file!$E:$E,"860",Flat_file!$F:$F,"U")</f>
        <v>0</v>
      </c>
      <c r="AC14" s="3"/>
      <c r="AD14" s="3"/>
      <c r="AE14" s="3"/>
      <c r="AF14" s="3"/>
      <c r="AG14" s="3"/>
      <c r="AH14" s="3"/>
      <c r="AI14" s="3"/>
      <c r="AJ14" s="3"/>
      <c r="AK14" s="3"/>
      <c r="AL14" s="3"/>
      <c r="AM14" s="3"/>
      <c r="AN14" s="3"/>
      <c r="AO14" s="3"/>
      <c r="AP14" s="3"/>
      <c r="AQ14" s="3"/>
      <c r="AR14" s="3"/>
      <c r="AS14" s="3"/>
    </row>
    <row r="15" spans="1:45" customFormat="1" x14ac:dyDescent="0.2">
      <c r="A15" s="352"/>
      <c r="B15" s="79" t="s">
        <v>96</v>
      </c>
      <c r="C15" s="89">
        <f>SUMIFS(Flat_file!$G:$G,Flat_file!$B:$B,Summary_Unemployed!$B$2,Flat_file!$C:$C,"Men",Flat_file!$D:$D,"60-64",Flat_file!$E:$E,"010",Flat_file!$F:$F,"U")+SUMIFS(Flat_file!$G:$G,Flat_file!$B:$B,Summary_Unemployed!$B$2,Flat_file!$C:$C,"Men",Flat_file!$D:$D,"60-64",Flat_file!$E:$E,"020",Flat_file!$F:$F,"U")+SUMIFS(Flat_file!$G:$G,Flat_file!$B:$B,Summary_Unemployed!$B$2,Flat_file!$C:$C,"Men",Flat_file!$D:$D,"60-64",Flat_file!$E:$E,"030",Flat_file!$F:$F,"U")</f>
        <v>0</v>
      </c>
      <c r="D15" s="89">
        <f>SUMIFS(Flat_file!$G:$G,Flat_file!$B:$B,Summary_Unemployed!$B$2,Flat_file!$C:$C,"Men",Flat_file!$D:$D,"60-64",Flat_file!$E:$E,"100",Flat_file!$F:$F,"U")</f>
        <v>0</v>
      </c>
      <c r="E15" s="89">
        <f>SUMIFS(Flat_file!$G:$G,Flat_file!$B:$B,Summary_Unemployed!$B$2,Flat_file!$C:$C,"Men",Flat_file!$D:$D,"60-64",Flat_file!$E:$E,"242",Flat_file!$F:$F,"U")+SUMIFS(Flat_file!$G:$G,Flat_file!$B:$B,Summary_Unemployed!$B$2,Flat_file!$C:$C,"Men",Flat_file!$D:$D,"60-64",Flat_file!$E:$E,"252",Flat_file!$F:$F,"U")</f>
        <v>0</v>
      </c>
      <c r="F15" s="89">
        <f>SUMIFS(Flat_file!$G:$G,Flat_file!$B:$B,Summary_Unemployed!$B$2,Flat_file!$C:$C,"Men",Flat_file!$D:$D,"60-64",Flat_file!$E:$E,"243",Flat_file!$F:$F,"U")+SUMIFS(Flat_file!$G:$G,Flat_file!$B:$B,Summary_Unemployed!$B$2,Flat_file!$C:$C,"Men",Flat_file!$D:$D,"60-64",Flat_file!$E:$E,"244",Flat_file!$F:$F,"U")+SUMIFS(Flat_file!$G:$G,Flat_file!$B:$B,Summary_Unemployed!$B$2,Flat_file!$C:$C,"Men",Flat_file!$D:$D,"60-64",Flat_file!$E:$E,"253",Flat_file!$F:$F,"U")+SUMIFS(Flat_file!$G:$G,Flat_file!$B:$B,Summary_Unemployed!$B$2,Flat_file!$C:$C,"Men",Flat_file!$D:$D,"60-64",Flat_file!$E:$E,"254",Flat_file!$F:$F,"U")</f>
        <v>0</v>
      </c>
      <c r="G15" s="89">
        <f>SUMIFS(Flat_file!$G:$G,Flat_file!$B:$B,Summary_Unemployed!$B$2,Flat_file!$C:$C,"Men",Flat_file!$D:$D,"60-64",Flat_file!$E:$E,"342",Flat_file!$F:$F,"U")+SUMIFS(Flat_file!$G:$G,Flat_file!$B:$B,Summary_Unemployed!$B$2,Flat_file!$C:$C,"Men",Flat_file!$D:$D,"60-64",Flat_file!$E:$E,"352",Flat_file!$F:$F,"U")</f>
        <v>0</v>
      </c>
      <c r="H15" s="89">
        <f>SUMIFS(Flat_file!$G:$G,Flat_file!$B:$B,Summary_Unemployed!$B$2,Flat_file!$C:$C,"Men",Flat_file!$D:$D,"60-64",Flat_file!$E:$E,"343",Flat_file!$F:$F,"U")+SUMIFS(Flat_file!$G:$G,Flat_file!$B:$B,Summary_Unemployed!$B$2,Flat_file!$C:$C,"Men",Flat_file!$D:$D,"60-64",Flat_file!$E:$E,"344",Flat_file!$F:$F,"U")+SUMIFS(Flat_file!$G:$G,Flat_file!$B:$B,Summary_Unemployed!$B$2,Flat_file!$C:$C,"Men",Flat_file!$D:$D,"60-64",Flat_file!$E:$E,"353",Flat_file!$F:$F,"U")+SUMIFS(Flat_file!$G:$G,Flat_file!$B:$B,Summary_Unemployed!$B$2,Flat_file!$C:$C,"Men",Flat_file!$D:$D,"60-64",Flat_file!$E:$E,"354",Flat_file!$F:$F,"U")</f>
        <v>0</v>
      </c>
      <c r="I15" s="89">
        <f>SUMIFS(Flat_file!$G:$G,Flat_file!$B:$B,Summary_Unemployed!$B$2,Flat_file!$C:$C,"Men",Flat_file!$D:$D,"60-64",Flat_file!$E:$E,"443",Flat_file!$F:$F,"U")+SUMIFS(Flat_file!$G:$G,Flat_file!$B:$B,Summary_Unemployed!$B$2,Flat_file!$C:$C,"Men",Flat_file!$D:$D,"60-64",Flat_file!$E:$E,"444",Flat_file!$F:$F,"U")+SUMIFS(Flat_file!$G:$G,Flat_file!$B:$B,Summary_Unemployed!$B$2,Flat_file!$C:$C,"Men",Flat_file!$D:$D,"60-64",Flat_file!$E:$E,"453",Flat_file!$F:$F,"U")+SUMIFS(Flat_file!$G:$G,Flat_file!$B:$B,Summary_Unemployed!$B$2,Flat_file!$C:$C,"Men",Flat_file!$D:$D,"60-64",Flat_file!$E:$E,"454",Flat_file!$F:$F,"U")</f>
        <v>0</v>
      </c>
      <c r="J15" s="89">
        <f>SUMIFS(Flat_file!$G:$G,Flat_file!$B:$B,Summary_Unemployed!$B$2,Flat_file!$C:$C,"Men",Flat_file!$D:$D,"60-64",Flat_file!$E:$E,"540",Flat_file!$F:$F,"U")+SUMIFS(Flat_file!$G:$G,Flat_file!$B:$B,Summary_Unemployed!$B$2,Flat_file!$C:$C,"Men",Flat_file!$D:$D,"60-64",Flat_file!$E:$E,"550",Flat_file!$F:$F,"U")+SUMIFS(Flat_file!$G:$G,Flat_file!$B:$B,Summary_Unemployed!$B$2,Flat_file!$C:$C,"Men",Flat_file!$D:$D,"60-64",Flat_file!$E:$E,"560",Flat_file!$F:$F,"U")</f>
        <v>0</v>
      </c>
      <c r="K15" s="89">
        <f>SUMIFS(Flat_file!$G:$G,Flat_file!$B:$B,Summary_Unemployed!$B$2,Flat_file!$C:$C,"Men",Flat_file!$D:$D,"60-64",Flat_file!$E:$E,"640",Flat_file!$F:$F,"U")+SUMIFS(Flat_file!$G:$G,Flat_file!$B:$B,Summary_Unemployed!$B$2,Flat_file!$C:$C,"Men",Flat_file!$D:$D,"60-64",Flat_file!$E:$E,"650",Flat_file!$F:$F,"U")+SUMIFS(Flat_file!$G:$G,Flat_file!$B:$B,Summary_Unemployed!$B$2,Flat_file!$C:$C,"Men",Flat_file!$D:$D,"60-64",Flat_file!$E:$E,"660",Flat_file!$F:$F,"U")</f>
        <v>0</v>
      </c>
      <c r="L15" s="89">
        <f>SUMIFS(Flat_file!$G:$G,Flat_file!$B:$B,Summary_Unemployed!$B$2,Flat_file!$C:$C,"Men",Flat_file!$D:$D,"60-64",Flat_file!$E:$E,"740",Flat_file!$F:$F,"U")+SUMIFS(Flat_file!$G:$G,Flat_file!$B:$B,Summary_Unemployed!$B$2,Flat_file!$C:$C,"Men",Flat_file!$D:$D,"60-64",Flat_file!$E:$E,"750",Flat_file!$F:$F,"U")+SUMIFS(Flat_file!$G:$G,Flat_file!$B:$B,Summary_Unemployed!$B$2,Flat_file!$C:$C,"Men",Flat_file!$D:$D,"60-64",Flat_file!$E:$E,"760",Flat_file!$F:$F,"U")</f>
        <v>0</v>
      </c>
      <c r="M15" s="89">
        <f>SUMIFS(Flat_file!$G:$G,Flat_file!$B:$B,Summary_Unemployed!$B$2,Flat_file!$C:$C,"Men",Flat_file!$D:$D,"60-64",Flat_file!$E:$E,"840",Flat_file!$F:$F,"U")+SUMIFS(Flat_file!$G:$G,Flat_file!$B:$B,Summary_Unemployed!$B$2,Flat_file!$C:$C,"Men",Flat_file!$D:$D,"60-64",Flat_file!$E:$E,"850",Flat_file!$F:$F,"U")+SUMIFS(Flat_file!$G:$G,Flat_file!$B:$B,Summary_Unemployed!$B$2,Flat_file!$C:$C,"Men",Flat_file!$D:$D,"60-64",Flat_file!$E:$E,"860",Flat_file!$F:$F,"U")</f>
        <v>0</v>
      </c>
      <c r="N15" s="89">
        <f>SUMIFS(Flat_file!$G:$G,Flat_file!$B:$B,Summary_Unemployed!$B$2,Flat_file!$C:$C,"Men",Flat_file!$D:$D,"60-64",Flat_file!$E:$E,"999",Flat_file!$F:$F,"U")</f>
        <v>0</v>
      </c>
      <c r="O15" s="89">
        <f t="shared" si="0"/>
        <v>0</v>
      </c>
      <c r="P15" s="90"/>
      <c r="Q15" s="89">
        <f t="shared" si="1"/>
        <v>0</v>
      </c>
      <c r="R15" s="91"/>
      <c r="S15" s="89">
        <f t="shared" si="2"/>
        <v>0</v>
      </c>
      <c r="T15" s="89">
        <f t="shared" si="3"/>
        <v>0</v>
      </c>
      <c r="U15" s="89">
        <f t="shared" si="4"/>
        <v>0</v>
      </c>
      <c r="V15" s="90"/>
      <c r="W15" s="89">
        <f>SUMIFS(Flat_file!$G:$G,Flat_file!$B:$B,Summary_Unemployed!$B$2,Flat_file!$C:$C,"Men",Flat_file!$D:$D,"60-64",Flat_file!$E:$E,"343",Flat_file!$F:$F,"U")+SUMIFS(Flat_file!$G:$G,Flat_file!$B:$B,Summary_Unemployed!$B$2,Flat_file!$C:$C,"Men",Flat_file!$D:$D,"60-64",Flat_file!$E:$E,"344",Flat_file!$F:$F,"U")+SUMIFS(Flat_file!$G:$G,Flat_file!$B:$B,Summary_Unemployed!$B$2,Flat_file!$C:$C,"Men",Flat_file!$D:$D,"60-64",Flat_file!$E:$E,"443",Flat_file!$F:$F,"U")+SUMIFS(Flat_file!$G:$G,Flat_file!$B:$B,Summary_Unemployed!$B$2,Flat_file!$C:$C,"Men",Flat_file!$D:$D,"60-64",Flat_file!$E:$E,"444",Flat_file!$F:$F,"U")</f>
        <v>0</v>
      </c>
      <c r="X15" s="89">
        <f>SUMIFS(Flat_file!$G:$G,Flat_file!$B:$B,Summary_Unemployed!$B$2,Flat_file!$C:$C,"Men",Flat_file!$D:$D,"60-64",Flat_file!$E:$E,"353",Flat_file!$F:$F,"U")+SUMIFS(Flat_file!$G:$G,Flat_file!$B:$B,Summary_Unemployed!$B$2,Flat_file!$C:$C,"Men",Flat_file!$D:$D,"60-64",Flat_file!$E:$E,"354",Flat_file!$F:$F,"U")+SUMIFS(Flat_file!$G:$G,Flat_file!$B:$B,Summary_Unemployed!$B$2,Flat_file!$C:$C,"Men",Flat_file!$D:$D,"60-64",Flat_file!$E:$E,"453",Flat_file!$F:$F,"U")+SUMIFS(Flat_file!$G:$G,Flat_file!$B:$B,Summary_Unemployed!$B$2,Flat_file!$C:$C,"Men",Flat_file!$D:$D,"60-64",Flat_file!$E:$E,"454",Flat_file!$F:$F,"U")</f>
        <v>0</v>
      </c>
      <c r="Y15" s="90"/>
      <c r="Z15" s="89">
        <f>SUMIFS(Flat_file!$G:$G,Flat_file!$B:$B,Summary_Unemployed!$B$2,Flat_file!$C:$C,"Men",Flat_file!$D:$D,"60-64",Flat_file!$E:$E,"640",Flat_file!$F:$F,"U")+SUMIFS(Flat_file!$G:$G,Flat_file!$B:$B,Summary_Unemployed!$B$2,Flat_file!$C:$C,"Men",Flat_file!$D:$D,"60-64",Flat_file!$E:$E,"740",Flat_file!$F:$F,"U")+SUMIFS(Flat_file!$G:$G,Flat_file!$B:$B,Summary_Unemployed!$B$2,Flat_file!$C:$C,"Men",Flat_file!$D:$D,"60-64",Flat_file!$E:$E,"840",Flat_file!$F:$F,"U")</f>
        <v>0</v>
      </c>
      <c r="AA15" s="89">
        <f>SUMIFS(Flat_file!$G:$G,Flat_file!$B:$B,Summary_Unemployed!$B$2,Flat_file!$C:$C,"Men",Flat_file!$D:$D,"60-64",Flat_file!$E:$E,"650",Flat_file!$F:$F,"U")+SUMIFS(Flat_file!$G:$G,Flat_file!$B:$B,Summary_Unemployed!$B$2,Flat_file!$C:$C,"Men",Flat_file!$D:$D,"60-64",Flat_file!$E:$E,"750",Flat_file!$F:$F,"U")+SUMIFS(Flat_file!$G:$G,Flat_file!$B:$B,Summary_Unemployed!$B$2,Flat_file!$C:$C,"Men",Flat_file!$D:$D,"60-64",Flat_file!$E:$E,"850",Flat_file!$F:$F,"U")</f>
        <v>0</v>
      </c>
      <c r="AB15" s="89">
        <f>SUMIFS(Flat_file!$G:$G,Flat_file!$B:$B,Summary_Unemployed!$B$2,Flat_file!$C:$C,"Men",Flat_file!$D:$D,"60-64",Flat_file!$E:$E,"660",Flat_file!$F:$F,"U")+SUMIFS(Flat_file!$G:$G,Flat_file!$B:$B,Summary_Unemployed!$B$2,Flat_file!$C:$C,"Men",Flat_file!$D:$D,"60-64",Flat_file!$E:$E,"760",Flat_file!$F:$F,"U")+SUMIFS(Flat_file!$G:$G,Flat_file!$B:$B,Summary_Unemployed!$B$2,Flat_file!$C:$C,"Men",Flat_file!$D:$D,"60-64",Flat_file!$E:$E,"860",Flat_file!$F:$F,"U")</f>
        <v>0</v>
      </c>
      <c r="AC15" s="3"/>
      <c r="AD15" s="3"/>
      <c r="AE15" s="3"/>
      <c r="AF15" s="3"/>
      <c r="AG15" s="3"/>
      <c r="AH15" s="3"/>
      <c r="AI15" s="3"/>
      <c r="AJ15" s="3"/>
      <c r="AK15" s="3"/>
      <c r="AL15" s="3"/>
      <c r="AM15" s="3"/>
      <c r="AN15" s="3"/>
      <c r="AO15" s="3"/>
      <c r="AP15" s="3"/>
      <c r="AQ15" s="3"/>
      <c r="AR15" s="3"/>
      <c r="AS15" s="3"/>
    </row>
    <row r="16" spans="1:45" customFormat="1" x14ac:dyDescent="0.2">
      <c r="A16" s="352"/>
      <c r="B16" s="79" t="s">
        <v>258</v>
      </c>
      <c r="C16" s="225">
        <f>SUMIFS(Flat_file!$G:$G,Flat_file!$B:$B,Summary_Unemployed!$B$2,Flat_file!$C:$C,"Men",Flat_file!$D:$D,"65-69",Flat_file!$E:$E,"010",Flat_file!$F:$F,"U")+SUMIFS(Flat_file!$G:$G,Flat_file!$B:$B,Summary_Unemployed!$B$2,Flat_file!$C:$C,"Men",Flat_file!$D:$D,"65-69",Flat_file!$E:$E,"020",Flat_file!$F:$F,"U")+SUMIFS(Flat_file!$G:$G,Flat_file!$B:$B,Summary_Unemployed!$B$2,Flat_file!$C:$C,"Men",Flat_file!$D:$D,"65-69",Flat_file!$E:$E,"030",Flat_file!$F:$F,"U")</f>
        <v>0</v>
      </c>
      <c r="D16" s="225">
        <f>SUMIFS(Flat_file!$G:$G,Flat_file!$B:$B,Summary_Unemployed!$B$2,Flat_file!$C:$C,"Men",Flat_file!$D:$D,"65-69",Flat_file!$E:$E,"100",Flat_file!$F:$F,"U")</f>
        <v>0</v>
      </c>
      <c r="E16" s="225">
        <f>SUMIFS(Flat_file!$G:$G,Flat_file!$B:$B,Summary_Unemployed!$B$2,Flat_file!$C:$C,"Men",Flat_file!$D:$D,"65-69",Flat_file!$E:$E,"242",Flat_file!$F:$F,"U")+SUMIFS(Flat_file!$G:$G,Flat_file!$B:$B,Summary_Unemployed!$B$2,Flat_file!$C:$C,"Men",Flat_file!$D:$D,"65-69",Flat_file!$E:$E,"252",Flat_file!$F:$F,"U")</f>
        <v>0</v>
      </c>
      <c r="F16" s="225">
        <f>SUMIFS(Flat_file!$G:$G,Flat_file!$B:$B,Summary_Unemployed!$B$2,Flat_file!$C:$C,"Men",Flat_file!$D:$D,"65-69",Flat_file!$E:$E,"243",Flat_file!$F:$F,"U")+SUMIFS(Flat_file!$G:$G,Flat_file!$B:$B,Summary_Unemployed!$B$2,Flat_file!$C:$C,"Men",Flat_file!$D:$D,"65-69",Flat_file!$E:$E,"244",Flat_file!$F:$F,"U")+SUMIFS(Flat_file!$G:$G,Flat_file!$B:$B,Summary_Unemployed!$B$2,Flat_file!$C:$C,"Men",Flat_file!$D:$D,"65-69",Flat_file!$E:$E,"253",Flat_file!$F:$F,"U")+SUMIFS(Flat_file!$G:$G,Flat_file!$B:$B,Summary_Unemployed!$B$2,Flat_file!$C:$C,"Men",Flat_file!$D:$D,"65-69",Flat_file!$E:$E,"254",Flat_file!$F:$F,"U")</f>
        <v>0</v>
      </c>
      <c r="G16" s="225">
        <f>SUMIFS(Flat_file!$G:$G,Flat_file!$B:$B,Summary_Unemployed!$B$2,Flat_file!$C:$C,"Men",Flat_file!$D:$D,"65-69",Flat_file!$E:$E,"342",Flat_file!$F:$F,"U")+SUMIFS(Flat_file!$G:$G,Flat_file!$B:$B,Summary_Unemployed!$B$2,Flat_file!$C:$C,"Men",Flat_file!$D:$D,"65-69",Flat_file!$E:$E,"352",Flat_file!$F:$F,"U")</f>
        <v>0</v>
      </c>
      <c r="H16" s="225">
        <f>SUMIFS(Flat_file!$G:$G,Flat_file!$B:$B,Summary_Unemployed!$B$2,Flat_file!$C:$C,"Men",Flat_file!$D:$D,"65-69",Flat_file!$E:$E,"343",Flat_file!$F:$F,"U")+SUMIFS(Flat_file!$G:$G,Flat_file!$B:$B,Summary_Unemployed!$B$2,Flat_file!$C:$C,"Men",Flat_file!$D:$D,"65-69",Flat_file!$E:$E,"344",Flat_file!$F:$F,"U")+SUMIFS(Flat_file!$G:$G,Flat_file!$B:$B,Summary_Unemployed!$B$2,Flat_file!$C:$C,"Men",Flat_file!$D:$D,"65-69",Flat_file!$E:$E,"353",Flat_file!$F:$F,"U")+SUMIFS(Flat_file!$G:$G,Flat_file!$B:$B,Summary_Unemployed!$B$2,Flat_file!$C:$C,"Men",Flat_file!$D:$D,"65-69",Flat_file!$E:$E,"354",Flat_file!$F:$F,"U")</f>
        <v>0</v>
      </c>
      <c r="I16" s="225">
        <v>0</v>
      </c>
      <c r="J16" s="225">
        <f>SUMIFS(Flat_file!$G:$G,Flat_file!$B:$B,Summary_Unemployed!$B$2,Flat_file!$C:$C,"Men",Flat_file!$D:$D,"65-69",Flat_file!$E:$E,"540",Flat_file!$F:$F,"U")+SUMIFS(Flat_file!$G:$G,Flat_file!$B:$B,Summary_Unemployed!$B$2,Flat_file!$C:$C,"Men",Flat_file!$D:$D,"65-69",Flat_file!$E:$E,"550",Flat_file!$F:$F,"U")+SUMIFS(Flat_file!$G:$G,Flat_file!$B:$B,Summary_Unemployed!$B$2,Flat_file!$C:$C,"Men",Flat_file!$D:$D,"65-69",Flat_file!$E:$E,"560",Flat_file!$F:$F,"U")</f>
        <v>0</v>
      </c>
      <c r="K16" s="225">
        <f>SUMIFS(Flat_file!$G:$G,Flat_file!$B:$B,Summary_Unemployed!$B$2,Flat_file!$C:$C,"Men",Flat_file!$D:$D,"65-69",Flat_file!$E:$E,"640",Flat_file!$F:$F,"U")+SUMIFS(Flat_file!$G:$G,Flat_file!$B:$B,Summary_Unemployed!$B$2,Flat_file!$C:$C,"Men",Flat_file!$D:$D,"65-69",Flat_file!$E:$E,"650",Flat_file!$F:$F,"U")+SUMIFS(Flat_file!$G:$G,Flat_file!$B:$B,Summary_Unemployed!$B$2,Flat_file!$C:$C,"Men",Flat_file!$D:$D,"65-69",Flat_file!$E:$E,"660",Flat_file!$F:$F,"U")</f>
        <v>0</v>
      </c>
      <c r="L16" s="225">
        <f>SUMIFS(Flat_file!$G:$G,Flat_file!$B:$B,Summary_Unemployed!$B$2,Flat_file!$C:$C,"Men",Flat_file!$D:$D,"65-69",Flat_file!$E:$E,"740",Flat_file!$F:$F,"U")+SUMIFS(Flat_file!$G:$G,Flat_file!$B:$B,Summary_Unemployed!$B$2,Flat_file!$C:$C,"Men",Flat_file!$D:$D,"65-69",Flat_file!$E:$E,"750",Flat_file!$F:$F,"U")+SUMIFS(Flat_file!$G:$G,Flat_file!$B:$B,Summary_Unemployed!$B$2,Flat_file!$C:$C,"Men",Flat_file!$D:$D,"65-69",Flat_file!$E:$E,"760",Flat_file!$F:$F,"U")</f>
        <v>0</v>
      </c>
      <c r="M16" s="225">
        <f>SUMIFS(Flat_file!$G:$G,Flat_file!$B:$B,Summary_Unemployed!$B$2,Flat_file!$C:$C,"Men",Flat_file!$D:$D,"65-69",Flat_file!$E:$E,"840",Flat_file!$F:$F,"U")+SUMIFS(Flat_file!$G:$G,Flat_file!$B:$B,Summary_Unemployed!$B$2,Flat_file!$C:$C,"Men",Flat_file!$D:$D,"65-69",Flat_file!$E:$E,"850",Flat_file!$F:$F,"U")+SUMIFS(Flat_file!$G:$G,Flat_file!$B:$B,Summary_Unemployed!$B$2,Flat_file!$C:$C,"Men",Flat_file!$D:$D,"65-69",Flat_file!$E:$E,"860",Flat_file!$F:$F,"U")</f>
        <v>0</v>
      </c>
      <c r="N16" s="225">
        <f>SUMIFS(Flat_file!$G:$G,Flat_file!$B:$B,Summary_Unemployed!$B$2,Flat_file!$C:$C,"Men",Flat_file!$D:$D,"65-69",Flat_file!$E:$E,"999",Flat_file!$F:$F,"U")</f>
        <v>0</v>
      </c>
      <c r="O16" s="225">
        <f t="shared" si="0"/>
        <v>0</v>
      </c>
      <c r="P16" s="90"/>
      <c r="Q16" s="225">
        <f t="shared" si="1"/>
        <v>0</v>
      </c>
      <c r="R16" s="91"/>
      <c r="S16" s="225">
        <f t="shared" si="2"/>
        <v>0</v>
      </c>
      <c r="T16" s="225">
        <f t="shared" si="3"/>
        <v>0</v>
      </c>
      <c r="U16" s="225">
        <f t="shared" si="4"/>
        <v>0</v>
      </c>
      <c r="V16" s="90"/>
      <c r="W16" s="225">
        <f>SUMIFS(Flat_file!$G:$G,Flat_file!$B:$B,Summary_Unemployed!$B$2,Flat_file!$C:$C,"Men",Flat_file!$D:$D,"65-69",Flat_file!$E:$E,"343",Flat_file!$F:$F,"U")+SUMIFS(Flat_file!$G:$G,Flat_file!$B:$B,Summary_Unemployed!$B$2,Flat_file!$C:$C,"Men",Flat_file!$D:$D,"65-69",Flat_file!$E:$E,"344",Flat_file!$F:$F,"U")+SUMIFS(Flat_file!$G:$G,Flat_file!$B:$B,Summary_Unemployed!$B$2,Flat_file!$C:$C,"Men",Flat_file!$D:$D,"65-69",Flat_file!$E:$E,"443",Flat_file!$F:$F,"U")+SUMIFS(Flat_file!$G:$G,Flat_file!$B:$B,Summary_Unemployed!$B$2,Flat_file!$C:$C,"Men",Flat_file!$D:$D,"65-69",Flat_file!$E:$E,"444",Flat_file!$F:$F,"U")</f>
        <v>0</v>
      </c>
      <c r="X16" s="225">
        <f>SUMIFS(Flat_file!$G:$G,Flat_file!$B:$B,Summary_Unemployed!$B$2,Flat_file!$C:$C,"Men",Flat_file!$D:$D,"65-69",Flat_file!$E:$E,"353",Flat_file!$F:$F,"U")+SUMIFS(Flat_file!$G:$G,Flat_file!$B:$B,Summary_Unemployed!$B$2,Flat_file!$C:$C,"Men",Flat_file!$D:$D,"65-69",Flat_file!$E:$E,"354",Flat_file!$F:$F,"U")+SUMIFS(Flat_file!$G:$G,Flat_file!$B:$B,Summary_Unemployed!$B$2,Flat_file!$C:$C,"Men",Flat_file!$D:$D,"65-69",Flat_file!$E:$E,"453",Flat_file!$F:$F,"U")+SUMIFS(Flat_file!$G:$G,Flat_file!$B:$B,Summary_Unemployed!$B$2,Flat_file!$C:$C,"Men",Flat_file!$D:$D,"65-69",Flat_file!$E:$E,"454",Flat_file!$F:$F,"U")</f>
        <v>0</v>
      </c>
      <c r="Y16" s="90"/>
      <c r="Z16" s="225">
        <f>SUMIFS(Flat_file!$G:$G,Flat_file!$B:$B,Summary_Unemployed!$B$2,Flat_file!$C:$C,"Men",Flat_file!$D:$D,"65-69",Flat_file!$E:$E,"640",Flat_file!$F:$F,"U")+SUMIFS(Flat_file!$G:$G,Flat_file!$B:$B,Summary_Unemployed!$B$2,Flat_file!$C:$C,"Men",Flat_file!$D:$D,"65-69",Flat_file!$E:$E,"740",Flat_file!$F:$F,"U")+SUMIFS(Flat_file!$G:$G,Flat_file!$B:$B,Summary_Unemployed!$B$2,Flat_file!$C:$C,"Men",Flat_file!$D:$D,"65-69",Flat_file!$E:$E,"840",Flat_file!$F:$F,"U")</f>
        <v>0</v>
      </c>
      <c r="AA16" s="225">
        <f>SUMIFS(Flat_file!$G:$G,Flat_file!$B:$B,Summary_Unemployed!$B$2,Flat_file!$C:$C,"Men",Flat_file!$D:$D,"65-69",Flat_file!$E:$E,"650",Flat_file!$F:$F,"U")+SUMIFS(Flat_file!$G:$G,Flat_file!$B:$B,Summary_Unemployed!$B$2,Flat_file!$C:$C,"Men",Flat_file!$D:$D,"65-69",Flat_file!$E:$E,"750",Flat_file!$F:$F,"U")+SUMIFS(Flat_file!$G:$G,Flat_file!$B:$B,Summary_Unemployed!$B$2,Flat_file!$C:$C,"Men",Flat_file!$D:$D,"65-69",Flat_file!$E:$E,"850",Flat_file!$F:$F,"U")</f>
        <v>0</v>
      </c>
      <c r="AB16" s="225">
        <f>SUMIFS(Flat_file!$G:$G,Flat_file!$B:$B,Summary_Unemployed!$B$2,Flat_file!$C:$C,"Men",Flat_file!$D:$D,"65-69",Flat_file!$E:$E,"660",Flat_file!$F:$F,"U")+SUMIFS(Flat_file!$G:$G,Flat_file!$B:$B,Summary_Unemployed!$B$2,Flat_file!$C:$C,"Men",Flat_file!$D:$D,"65-69",Flat_file!$E:$E,"760",Flat_file!$F:$F,"U")+SUMIFS(Flat_file!$G:$G,Flat_file!$B:$B,Summary_Unemployed!$B$2,Flat_file!$C:$C,"Men",Flat_file!$D:$D,"65-69",Flat_file!$E:$E,"860",Flat_file!$F:$F,"U")</f>
        <v>0</v>
      </c>
      <c r="AC16" s="3"/>
      <c r="AD16" s="3"/>
      <c r="AE16" s="3"/>
      <c r="AF16" s="3"/>
      <c r="AG16" s="3"/>
      <c r="AH16" s="3"/>
      <c r="AI16" s="3"/>
      <c r="AJ16" s="3"/>
      <c r="AK16" s="3"/>
      <c r="AL16" s="3"/>
      <c r="AM16" s="3"/>
      <c r="AN16" s="3"/>
      <c r="AO16" s="3"/>
      <c r="AP16" s="3"/>
      <c r="AQ16" s="3"/>
      <c r="AR16" s="3"/>
      <c r="AS16" s="3"/>
    </row>
    <row r="17" spans="1:45" customFormat="1" x14ac:dyDescent="0.2">
      <c r="A17" s="352"/>
      <c r="B17" s="79" t="s">
        <v>260</v>
      </c>
      <c r="C17" s="225">
        <f>SUMIFS(Flat_file!$G:$G,Flat_file!$B:$B,Summary_Unemployed!$B$2,Flat_file!$C:$C,"Men",Flat_file!$D:$D,"70-74",Flat_file!$E:$E,"010",Flat_file!$F:$F,"U")+SUMIFS(Flat_file!$G:$G,Flat_file!$B:$B,Summary_Unemployed!$B$2,Flat_file!$C:$C,"Men",Flat_file!$D:$D,"70-74",Flat_file!$E:$E,"020",Flat_file!$F:$F,"U")+SUMIFS(Flat_file!$G:$G,Flat_file!$B:$B,Summary_Unemployed!$B$2,Flat_file!$C:$C,"Men",Flat_file!$D:$D,"70-74",Flat_file!$E:$E,"030",Flat_file!$F:$F,"U")</f>
        <v>0</v>
      </c>
      <c r="D17" s="225">
        <f>SUMIFS(Flat_file!$G:$G,Flat_file!$B:$B,Summary_Unemployed!$B$2,Flat_file!$C:$C,"Men",Flat_file!$D:$D,"70-74",Flat_file!$E:$E,"100",Flat_file!$F:$F,"U")</f>
        <v>0</v>
      </c>
      <c r="E17" s="225">
        <f>SUMIFS(Flat_file!$G:$G,Flat_file!$B:$B,Summary_Unemployed!$B$2,Flat_file!$C:$C,"Men",Flat_file!$D:$D,"70-74",Flat_file!$E:$E,"242",Flat_file!$F:$F,"U")+SUMIFS(Flat_file!$G:$G,Flat_file!$B:$B,Summary_Unemployed!$B$2,Flat_file!$C:$C,"Men",Flat_file!$D:$D,"70-74",Flat_file!$E:$E,"252",Flat_file!$F:$F,"U")</f>
        <v>0</v>
      </c>
      <c r="F17" s="225">
        <f>SUMIFS(Flat_file!$G:$G,Flat_file!$B:$B,Summary_Unemployed!$B$2,Flat_file!$C:$C,"Men",Flat_file!$D:$D,"70-74",Flat_file!$E:$E,"243",Flat_file!$F:$F,"U")+SUMIFS(Flat_file!$G:$G,Flat_file!$B:$B,Summary_Unemployed!$B$2,Flat_file!$C:$C,"Men",Flat_file!$D:$D,"70-74",Flat_file!$E:$E,"244",Flat_file!$F:$F,"U")+SUMIFS(Flat_file!$G:$G,Flat_file!$B:$B,Summary_Unemployed!$B$2,Flat_file!$C:$C,"Men",Flat_file!$D:$D,"70-74",Flat_file!$E:$E,"253",Flat_file!$F:$F,"U")+SUMIFS(Flat_file!$G:$G,Flat_file!$B:$B,Summary_Unemployed!$B$2,Flat_file!$C:$C,"Men",Flat_file!$D:$D,"70-74",Flat_file!$E:$E,"254",Flat_file!$F:$F,"U")</f>
        <v>0</v>
      </c>
      <c r="G17" s="225">
        <f>SUMIFS(Flat_file!$G:$G,Flat_file!$B:$B,Summary_Unemployed!$B$2,Flat_file!$C:$C,"Men",Flat_file!$D:$D,"70-74",Flat_file!$E:$E,"342",Flat_file!$F:$F,"U")+SUMIFS(Flat_file!$G:$G,Flat_file!$B:$B,Summary_Unemployed!$B$2,Flat_file!$C:$C,"Men",Flat_file!$D:$D,"70-74",Flat_file!$E:$E,"352",Flat_file!$F:$F,"U")</f>
        <v>0</v>
      </c>
      <c r="H17" s="225">
        <f>SUMIFS(Flat_file!$G:$G,Flat_file!$B:$B,Summary_Unemployed!$B$2,Flat_file!$C:$C,"Men",Flat_file!$D:$D,"70-74",Flat_file!$E:$E,"343",Flat_file!$F:$F,"U")+SUMIFS(Flat_file!$G:$G,Flat_file!$B:$B,Summary_Unemployed!$B$2,Flat_file!$C:$C,"Men",Flat_file!$D:$D,"70-74",Flat_file!$E:$E,"344",Flat_file!$F:$F,"U")+SUMIFS(Flat_file!$G:$G,Flat_file!$B:$B,Summary_Unemployed!$B$2,Flat_file!$C:$C,"Men",Flat_file!$D:$D,"70-74",Flat_file!$E:$E,"353",Flat_file!$F:$F,"U")+SUMIFS(Flat_file!$G:$G,Flat_file!$B:$B,Summary_Unemployed!$B$2,Flat_file!$C:$C,"Men",Flat_file!$D:$D,"70-74",Flat_file!$E:$E,"354",Flat_file!$F:$F,"U")</f>
        <v>0</v>
      </c>
      <c r="I17" s="225">
        <v>0</v>
      </c>
      <c r="J17" s="225">
        <f>SUMIFS(Flat_file!$G:$G,Flat_file!$B:$B,Summary_Unemployed!$B$2,Flat_file!$C:$C,"Men",Flat_file!$D:$D,"70-74",Flat_file!$E:$E,"540",Flat_file!$F:$F,"U")+SUMIFS(Flat_file!$G:$G,Flat_file!$B:$B,Summary_Unemployed!$B$2,Flat_file!$C:$C,"Men",Flat_file!$D:$D,"70-74",Flat_file!$E:$E,"550",Flat_file!$F:$F,"U")+SUMIFS(Flat_file!$G:$G,Flat_file!$B:$B,Summary_Unemployed!$B$2,Flat_file!$C:$C,"Men",Flat_file!$D:$D,"70-74",Flat_file!$E:$E,"560",Flat_file!$F:$F,"U")</f>
        <v>0</v>
      </c>
      <c r="K17" s="225">
        <f>SUMIFS(Flat_file!$G:$G,Flat_file!$B:$B,Summary_Unemployed!$B$2,Flat_file!$C:$C,"Men",Flat_file!$D:$D,"70-74",Flat_file!$E:$E,"640",Flat_file!$F:$F,"U")+SUMIFS(Flat_file!$G:$G,Flat_file!$B:$B,Summary_Unemployed!$B$2,Flat_file!$C:$C,"Men",Flat_file!$D:$D,"70-74",Flat_file!$E:$E,"650",Flat_file!$F:$F,"U")+SUMIFS(Flat_file!$G:$G,Flat_file!$B:$B,Summary_Unemployed!$B$2,Flat_file!$C:$C,"Men",Flat_file!$D:$D,"70-74",Flat_file!$E:$E,"660",Flat_file!$F:$F,"U")</f>
        <v>0</v>
      </c>
      <c r="L17" s="225">
        <f>SUMIFS(Flat_file!$G:$G,Flat_file!$B:$B,Summary_Unemployed!$B$2,Flat_file!$C:$C,"Men",Flat_file!$D:$D,"70-74",Flat_file!$E:$E,"740",Flat_file!$F:$F,"U")+SUMIFS(Flat_file!$G:$G,Flat_file!$B:$B,Summary_Unemployed!$B$2,Flat_file!$C:$C,"Men",Flat_file!$D:$D,"70-74",Flat_file!$E:$E,"750",Flat_file!$F:$F,"U")+SUMIFS(Flat_file!$G:$G,Flat_file!$B:$B,Summary_Unemployed!$B$2,Flat_file!$C:$C,"Men",Flat_file!$D:$D,"70-74",Flat_file!$E:$E,"760",Flat_file!$F:$F,"U")</f>
        <v>0</v>
      </c>
      <c r="M17" s="225">
        <f>SUMIFS(Flat_file!$G:$G,Flat_file!$B:$B,Summary_Unemployed!$B$2,Flat_file!$C:$C,"Men",Flat_file!$D:$D,"70-74",Flat_file!$E:$E,"840",Flat_file!$F:$F,"U")+SUMIFS(Flat_file!$G:$G,Flat_file!$B:$B,Summary_Unemployed!$B$2,Flat_file!$C:$C,"Men",Flat_file!$D:$D,"70-74",Flat_file!$E:$E,"850",Flat_file!$F:$F,"U")+SUMIFS(Flat_file!$G:$G,Flat_file!$B:$B,Summary_Unemployed!$B$2,Flat_file!$C:$C,"Men",Flat_file!$D:$D,"70-74",Flat_file!$E:$E,"860",Flat_file!$F:$F,"U")</f>
        <v>0</v>
      </c>
      <c r="N17" s="225">
        <f>SUMIFS(Flat_file!$G:$G,Flat_file!$B:$B,Summary_Unemployed!$B$2,Flat_file!$C:$C,"Men",Flat_file!$D:$D,"70-74",Flat_file!$E:$E,"999",Flat_file!$F:$F,"U")</f>
        <v>0</v>
      </c>
      <c r="O17" s="225">
        <f t="shared" si="0"/>
        <v>0</v>
      </c>
      <c r="P17" s="90"/>
      <c r="Q17" s="225">
        <f t="shared" si="1"/>
        <v>0</v>
      </c>
      <c r="R17" s="91"/>
      <c r="S17" s="225">
        <f t="shared" si="2"/>
        <v>0</v>
      </c>
      <c r="T17" s="225">
        <f t="shared" si="3"/>
        <v>0</v>
      </c>
      <c r="U17" s="225">
        <f t="shared" si="4"/>
        <v>0</v>
      </c>
      <c r="V17" s="90"/>
      <c r="W17" s="225">
        <f>SUMIFS(Flat_file!$G:$G,Flat_file!$B:$B,Summary_Unemployed!$B$2,Flat_file!$C:$C,"Men",Flat_file!$D:$D,"70-74",Flat_file!$E:$E,"343",Flat_file!$F:$F,"U")+SUMIFS(Flat_file!$G:$G,Flat_file!$B:$B,Summary_Unemployed!$B$2,Flat_file!$C:$C,"Men",Flat_file!$D:$D,"70-74",Flat_file!$E:$E,"344",Flat_file!$F:$F,"U")+SUMIFS(Flat_file!$G:$G,Flat_file!$B:$B,Summary_Unemployed!$B$2,Flat_file!$C:$C,"Men",Flat_file!$D:$D,"70-74",Flat_file!$E:$E,"443",Flat_file!$F:$F,"U")+SUMIFS(Flat_file!$G:$G,Flat_file!$B:$B,Summary_Unemployed!$B$2,Flat_file!$C:$C,"Men",Flat_file!$D:$D,"70-74",Flat_file!$E:$E,"444",Flat_file!$F:$F,"U")</f>
        <v>0</v>
      </c>
      <c r="X17" s="225">
        <f>SUMIFS(Flat_file!$G:$G,Flat_file!$B:$B,Summary_Unemployed!$B$2,Flat_file!$C:$C,"Men",Flat_file!$D:$D,"70-74",Flat_file!$E:$E,"353",Flat_file!$F:$F,"U")+SUMIFS(Flat_file!$G:$G,Flat_file!$B:$B,Summary_Unemployed!$B$2,Flat_file!$C:$C,"Men",Flat_file!$D:$D,"70-74",Flat_file!$E:$E,"354",Flat_file!$F:$F,"U")+SUMIFS(Flat_file!$G:$G,Flat_file!$B:$B,Summary_Unemployed!$B$2,Flat_file!$C:$C,"Men",Flat_file!$D:$D,"70-74",Flat_file!$E:$E,"453",Flat_file!$F:$F,"U")+SUMIFS(Flat_file!$G:$G,Flat_file!$B:$B,Summary_Unemployed!$B$2,Flat_file!$C:$C,"Men",Flat_file!$D:$D,"70-74",Flat_file!$E:$E,"454",Flat_file!$F:$F,"U")</f>
        <v>0</v>
      </c>
      <c r="Y17" s="90"/>
      <c r="Z17" s="225">
        <f>SUMIFS(Flat_file!$G:$G,Flat_file!$B:$B,Summary_Unemployed!$B$2,Flat_file!$C:$C,"Men",Flat_file!$D:$D,"70-74",Flat_file!$E:$E,"640",Flat_file!$F:$F,"U")+SUMIFS(Flat_file!$G:$G,Flat_file!$B:$B,Summary_Unemployed!$B$2,Flat_file!$C:$C,"Men",Flat_file!$D:$D,"70-74",Flat_file!$E:$E,"740",Flat_file!$F:$F,"U")+SUMIFS(Flat_file!$G:$G,Flat_file!$B:$B,Summary_Unemployed!$B$2,Flat_file!$C:$C,"Men",Flat_file!$D:$D,"70-74",Flat_file!$E:$E,"840",Flat_file!$F:$F,"U")</f>
        <v>0</v>
      </c>
      <c r="AA17" s="225">
        <f>SUMIFS(Flat_file!$G:$G,Flat_file!$B:$B,Summary_Unemployed!$B$2,Flat_file!$C:$C,"Men",Flat_file!$D:$D,"70-74",Flat_file!$E:$E,"650",Flat_file!$F:$F,"U")+SUMIFS(Flat_file!$G:$G,Flat_file!$B:$B,Summary_Unemployed!$B$2,Flat_file!$C:$C,"Men",Flat_file!$D:$D,"70-74",Flat_file!$E:$E,"750",Flat_file!$F:$F,"U")+SUMIFS(Flat_file!$G:$G,Flat_file!$B:$B,Summary_Unemployed!$B$2,Flat_file!$C:$C,"Men",Flat_file!$D:$D,"70-74",Flat_file!$E:$E,"850",Flat_file!$F:$F,"U")</f>
        <v>0</v>
      </c>
      <c r="AB17" s="225">
        <f>SUMIFS(Flat_file!$G:$G,Flat_file!$B:$B,Summary_Unemployed!$B$2,Flat_file!$C:$C,"Men",Flat_file!$D:$D,"70-74",Flat_file!$E:$E,"660",Flat_file!$F:$F,"U")+SUMIFS(Flat_file!$G:$G,Flat_file!$B:$B,Summary_Unemployed!$B$2,Flat_file!$C:$C,"Men",Flat_file!$D:$D,"70-74",Flat_file!$E:$E,"760",Flat_file!$F:$F,"U")+SUMIFS(Flat_file!$G:$G,Flat_file!$B:$B,Summary_Unemployed!$B$2,Flat_file!$C:$C,"Men",Flat_file!$D:$D,"70-74",Flat_file!$E:$E,"860",Flat_file!$F:$F,"U")</f>
        <v>0</v>
      </c>
      <c r="AC17" s="3"/>
      <c r="AD17" s="3"/>
      <c r="AE17" s="3"/>
      <c r="AF17" s="3"/>
      <c r="AG17" s="3"/>
      <c r="AH17" s="3"/>
      <c r="AI17" s="3"/>
      <c r="AJ17" s="3"/>
      <c r="AK17" s="3"/>
      <c r="AL17" s="3"/>
      <c r="AM17" s="3"/>
      <c r="AN17" s="3"/>
      <c r="AO17" s="3"/>
      <c r="AP17" s="3"/>
      <c r="AQ17" s="3"/>
      <c r="AR17" s="3"/>
      <c r="AS17" s="3"/>
    </row>
    <row r="18" spans="1:45" customFormat="1" ht="13.5" thickBot="1" x14ac:dyDescent="0.25">
      <c r="A18" s="352"/>
      <c r="B18" s="79" t="s">
        <v>261</v>
      </c>
      <c r="C18" s="225">
        <f>SUMIFS(Flat_file!$G:$G,Flat_file!$B:$B,Summary_Unemployed!$B$2,Flat_file!$C:$C,"Men",Flat_file!$D:$D,"75+",Flat_file!$E:$E,"010",Flat_file!$F:$F,"U")+SUMIFS(Flat_file!$G:$G,Flat_file!$B:$B,Summary_Unemployed!$B$2,Flat_file!$C:$C,"Men",Flat_file!$D:$D,"75+",Flat_file!$E:$E,"020",Flat_file!$F:$F,"U")+SUMIFS(Flat_file!$G:$G,Flat_file!$B:$B,Summary_Unemployed!$B$2,Flat_file!$C:$C,"Men",Flat_file!$D:$D,"75+",Flat_file!$E:$E,"030",Flat_file!$F:$F,"U")</f>
        <v>0</v>
      </c>
      <c r="D18" s="225">
        <f>SUMIFS(Flat_file!$G:$G,Flat_file!$B:$B,Summary_Unemployed!$B$2,Flat_file!$C:$C,"Men",Flat_file!$D:$D,"75+",Flat_file!$E:$E,"100",Flat_file!$F:$F,"U")</f>
        <v>0</v>
      </c>
      <c r="E18" s="225">
        <f>SUMIFS(Flat_file!$G:$G,Flat_file!$B:$B,Summary_Unemployed!$B$2,Flat_file!$C:$C,"Men",Flat_file!$D:$D,"75+",Flat_file!$E:$E,"242",Flat_file!$F:$F,"U")+SUMIFS(Flat_file!$G:$G,Flat_file!$B:$B,Summary_Unemployed!$B$2,Flat_file!$C:$C,"Men",Flat_file!$D:$D,"75+",Flat_file!$E:$E,"252",Flat_file!$F:$F,"U")</f>
        <v>0</v>
      </c>
      <c r="F18" s="225">
        <f>SUMIFS(Flat_file!$G:$G,Flat_file!$B:$B,Summary_Unemployed!$B$2,Flat_file!$C:$C,"Men",Flat_file!$D:$D,"75+",Flat_file!$E:$E,"243",Flat_file!$F:$F,"U")+SUMIFS(Flat_file!$G:$G,Flat_file!$B:$B,Summary_Unemployed!$B$2,Flat_file!$C:$C,"Men",Flat_file!$D:$D,"75+",Flat_file!$E:$E,"244",Flat_file!$F:$F,"U")+SUMIFS(Flat_file!$G:$G,Flat_file!$B:$B,Summary_Unemployed!$B$2,Flat_file!$C:$C,"Men",Flat_file!$D:$D,"75+",Flat_file!$E:$E,"253",Flat_file!$F:$F,"U")+SUMIFS(Flat_file!$G:$G,Flat_file!$B:$B,Summary_Unemployed!$B$2,Flat_file!$C:$C,"Men",Flat_file!$D:$D,"75+",Flat_file!$E:$E,"254",Flat_file!$F:$F,"U")</f>
        <v>0</v>
      </c>
      <c r="G18" s="225">
        <f>SUMIFS(Flat_file!$G:$G,Flat_file!$B:$B,Summary_Unemployed!$B$2,Flat_file!$C:$C,"Men",Flat_file!$D:$D,"75+",Flat_file!$E:$E,"342",Flat_file!$F:$F,"U")+SUMIFS(Flat_file!$G:$G,Flat_file!$B:$B,Summary_Unemployed!$B$2,Flat_file!$C:$C,"Men",Flat_file!$D:$D,"75+",Flat_file!$E:$E,"352",Flat_file!$F:$F,"U")</f>
        <v>0</v>
      </c>
      <c r="H18" s="225">
        <f>SUMIFS(Flat_file!$G:$G,Flat_file!$B:$B,Summary_Unemployed!$B$2,Flat_file!$C:$C,"Men",Flat_file!$D:$D,"75+",Flat_file!$E:$E,"343",Flat_file!$F:$F,"U")+SUMIFS(Flat_file!$G:$G,Flat_file!$B:$B,Summary_Unemployed!$B$2,Flat_file!$C:$C,"Men",Flat_file!$D:$D,"75+",Flat_file!$E:$E,"344",Flat_file!$F:$F,"U")+SUMIFS(Flat_file!$G:$G,Flat_file!$B:$B,Summary_Unemployed!$B$2,Flat_file!$C:$C,"Men",Flat_file!$D:$D,"75+",Flat_file!$E:$E,"353",Flat_file!$F:$F,"U")+SUMIFS(Flat_file!$G:$G,Flat_file!$B:$B,Summary_Unemployed!$B$2,Flat_file!$C:$C,"Men",Flat_file!$D:$D,"75+",Flat_file!$E:$E,"354",Flat_file!$F:$F,"U")</f>
        <v>0</v>
      </c>
      <c r="I18" s="225">
        <v>0</v>
      </c>
      <c r="J18" s="225">
        <f>SUMIFS(Flat_file!$G:$G,Flat_file!$B:$B,Summary_Unemployed!$B$2,Flat_file!$C:$C,"Men",Flat_file!$D:$D,"75+",Flat_file!$E:$E,"540",Flat_file!$F:$F,"U")+SUMIFS(Flat_file!$G:$G,Flat_file!$B:$B,Summary_Unemployed!$B$2,Flat_file!$C:$C,"Men",Flat_file!$D:$D,"75+",Flat_file!$E:$E,"550",Flat_file!$F:$F,"U")+SUMIFS(Flat_file!$G:$G,Flat_file!$B:$B,Summary_Unemployed!$B$2,Flat_file!$C:$C,"Men",Flat_file!$D:$D,"75+",Flat_file!$E:$E,"560",Flat_file!$F:$F,"U")</f>
        <v>0</v>
      </c>
      <c r="K18" s="225">
        <f>SUMIFS(Flat_file!$G:$G,Flat_file!$B:$B,Summary_Unemployed!$B$2,Flat_file!$C:$C,"Men",Flat_file!$D:$D,"75+",Flat_file!$E:$E,"640",Flat_file!$F:$F,"U")+SUMIFS(Flat_file!$G:$G,Flat_file!$B:$B,Summary_Unemployed!$B$2,Flat_file!$C:$C,"Men",Flat_file!$D:$D,"75+",Flat_file!$E:$E,"650",Flat_file!$F:$F,"U")+SUMIFS(Flat_file!$G:$G,Flat_file!$B:$B,Summary_Unemployed!$B$2,Flat_file!$C:$C,"Men",Flat_file!$D:$D,"75+",Flat_file!$E:$E,"660",Flat_file!$F:$F,"U")</f>
        <v>0</v>
      </c>
      <c r="L18" s="225">
        <f>SUMIFS(Flat_file!$G:$G,Flat_file!$B:$B,Summary_Unemployed!$B$2,Flat_file!$C:$C,"Men",Flat_file!$D:$D,"75+",Flat_file!$E:$E,"740",Flat_file!$F:$F,"U")+SUMIFS(Flat_file!$G:$G,Flat_file!$B:$B,Summary_Unemployed!$B$2,Flat_file!$C:$C,"Men",Flat_file!$D:$D,"75+",Flat_file!$E:$E,"750",Flat_file!$F:$F,"U")+SUMIFS(Flat_file!$G:$G,Flat_file!$B:$B,Summary_Unemployed!$B$2,Flat_file!$C:$C,"Men",Flat_file!$D:$D,"75+",Flat_file!$E:$E,"760",Flat_file!$F:$F,"U")</f>
        <v>0</v>
      </c>
      <c r="M18" s="225">
        <f>SUMIFS(Flat_file!$G:$G,Flat_file!$B:$B,Summary_Unemployed!$B$2,Flat_file!$C:$C,"Men",Flat_file!$D:$D,"75+",Flat_file!$E:$E,"840",Flat_file!$F:$F,"U")+SUMIFS(Flat_file!$G:$G,Flat_file!$B:$B,Summary_Unemployed!$B$2,Flat_file!$C:$C,"Men",Flat_file!$D:$D,"75+",Flat_file!$E:$E,"850",Flat_file!$F:$F,"U")+SUMIFS(Flat_file!$G:$G,Flat_file!$B:$B,Summary_Unemployed!$B$2,Flat_file!$C:$C,"Men",Flat_file!$D:$D,"75+",Flat_file!$E:$E,"860",Flat_file!$F:$F,"U")</f>
        <v>0</v>
      </c>
      <c r="N18" s="225">
        <f>SUMIFS(Flat_file!$G:$G,Flat_file!$B:$B,Summary_Unemployed!$B$2,Flat_file!$C:$C,"Men",Flat_file!$D:$D,"75+",Flat_file!$E:$E,"999",Flat_file!$F:$F,"U")</f>
        <v>0</v>
      </c>
      <c r="O18" s="225">
        <f t="shared" si="0"/>
        <v>0</v>
      </c>
      <c r="P18" s="90"/>
      <c r="Q18" s="225">
        <f t="shared" si="1"/>
        <v>0</v>
      </c>
      <c r="R18" s="91"/>
      <c r="S18" s="225">
        <f t="shared" si="2"/>
        <v>0</v>
      </c>
      <c r="T18" s="225">
        <f t="shared" si="3"/>
        <v>0</v>
      </c>
      <c r="U18" s="225">
        <f t="shared" si="4"/>
        <v>0</v>
      </c>
      <c r="V18" s="90"/>
      <c r="W18" s="225">
        <f>SUMIFS(Flat_file!$G:$G,Flat_file!$B:$B,Summary_Unemployed!$B$2,Flat_file!$C:$C,"Men",Flat_file!$D:$D,"75+",Flat_file!$E:$E,"343",Flat_file!$F:$F,"U")+SUMIFS(Flat_file!$G:$G,Flat_file!$B:$B,Summary_Unemployed!$B$2,Flat_file!$C:$C,"Men",Flat_file!$D:$D,"75+",Flat_file!$E:$E,"344",Flat_file!$F:$F,"U")+SUMIFS(Flat_file!$G:$G,Flat_file!$B:$B,Summary_Unemployed!$B$2,Flat_file!$C:$C,"Men",Flat_file!$D:$D,"75+",Flat_file!$E:$E,"443",Flat_file!$F:$F,"U")+SUMIFS(Flat_file!$G:$G,Flat_file!$B:$B,Summary_Unemployed!$B$2,Flat_file!$C:$C,"Men",Flat_file!$D:$D,"75+",Flat_file!$E:$E,"444",Flat_file!$F:$F,"U")</f>
        <v>0</v>
      </c>
      <c r="X18" s="225">
        <f>SUMIFS(Flat_file!$G:$G,Flat_file!$B:$B,Summary_Unemployed!$B$2,Flat_file!$C:$C,"Men",Flat_file!$D:$D,"75+",Flat_file!$E:$E,"353",Flat_file!$F:$F,"U")+SUMIFS(Flat_file!$G:$G,Flat_file!$B:$B,Summary_Unemployed!$B$2,Flat_file!$C:$C,"Men",Flat_file!$D:$D,"75+",Flat_file!$E:$E,"354",Flat_file!$F:$F,"U")+SUMIFS(Flat_file!$G:$G,Flat_file!$B:$B,Summary_Unemployed!$B$2,Flat_file!$C:$C,"Men",Flat_file!$D:$D,"75+",Flat_file!$E:$E,"453",Flat_file!$F:$F,"U")+SUMIFS(Flat_file!$G:$G,Flat_file!$B:$B,Summary_Unemployed!$B$2,Flat_file!$C:$C,"Men",Flat_file!$D:$D,"75+",Flat_file!$E:$E,"454",Flat_file!$F:$F,"U")</f>
        <v>0</v>
      </c>
      <c r="Y18" s="90"/>
      <c r="Z18" s="225">
        <f>SUMIFS(Flat_file!$G:$G,Flat_file!$B:$B,Summary_Unemployed!$B$2,Flat_file!$C:$C,"Men",Flat_file!$D:$D,"75+",Flat_file!$E:$E,"640",Flat_file!$F:$F,"U")+SUMIFS(Flat_file!$G:$G,Flat_file!$B:$B,Summary_Unemployed!$B$2,Flat_file!$C:$C,"Men",Flat_file!$D:$D,"75+",Flat_file!$E:$E,"740",Flat_file!$F:$F,"U")+SUMIFS(Flat_file!$G:$G,Flat_file!$B:$B,Summary_Unemployed!$B$2,Flat_file!$C:$C,"Men",Flat_file!$D:$D,"75+",Flat_file!$E:$E,"840",Flat_file!$F:$F,"U")</f>
        <v>0</v>
      </c>
      <c r="AA18" s="225">
        <f>SUMIFS(Flat_file!$G:$G,Flat_file!$B:$B,Summary_Unemployed!$B$2,Flat_file!$C:$C,"Men",Flat_file!$D:$D,"75+",Flat_file!$E:$E,"650",Flat_file!$F:$F,"U")+SUMIFS(Flat_file!$G:$G,Flat_file!$B:$B,Summary_Unemployed!$B$2,Flat_file!$C:$C,"Men",Flat_file!$D:$D,"75+",Flat_file!$E:$E,"750",Flat_file!$F:$F,"U")+SUMIFS(Flat_file!$G:$G,Flat_file!$B:$B,Summary_Unemployed!$B$2,Flat_file!$C:$C,"Men",Flat_file!$D:$D,"75+",Flat_file!$E:$E,"850",Flat_file!$F:$F,"U")</f>
        <v>0</v>
      </c>
      <c r="AB18" s="225">
        <f>SUMIFS(Flat_file!$G:$G,Flat_file!$B:$B,Summary_Unemployed!$B$2,Flat_file!$C:$C,"Men",Flat_file!$D:$D,"75+",Flat_file!$E:$E,"660",Flat_file!$F:$F,"U")+SUMIFS(Flat_file!$G:$G,Flat_file!$B:$B,Summary_Unemployed!$B$2,Flat_file!$C:$C,"Men",Flat_file!$D:$D,"75+",Flat_file!$E:$E,"760",Flat_file!$F:$F,"U")+SUMIFS(Flat_file!$G:$G,Flat_file!$B:$B,Summary_Unemployed!$B$2,Flat_file!$C:$C,"Men",Flat_file!$D:$D,"75+",Flat_file!$E:$E,"860",Flat_file!$F:$F,"U")</f>
        <v>0</v>
      </c>
      <c r="AC18" s="3"/>
      <c r="AD18" s="3"/>
      <c r="AE18" s="3"/>
      <c r="AF18" s="3"/>
      <c r="AG18" s="3"/>
      <c r="AH18" s="3"/>
      <c r="AI18" s="3"/>
      <c r="AJ18" s="3"/>
      <c r="AK18" s="3"/>
      <c r="AL18" s="3"/>
      <c r="AM18" s="3"/>
      <c r="AN18" s="3"/>
      <c r="AO18" s="3"/>
      <c r="AP18" s="3"/>
      <c r="AQ18" s="3"/>
      <c r="AR18" s="3"/>
      <c r="AS18" s="3"/>
    </row>
    <row r="19" spans="1:45" customFormat="1" ht="12.75" customHeight="1" x14ac:dyDescent="0.2">
      <c r="A19" s="351" t="s">
        <v>6</v>
      </c>
      <c r="B19" s="78" t="s">
        <v>87</v>
      </c>
      <c r="C19" s="86">
        <f>SUMIFS(Flat_file!$G:$G,Flat_file!$B:$B,Summary_Unemployed!$B$2,Flat_file!$C:$C,"Women",Flat_file!$D:$D,"15-19",Flat_file!$E:$E,"010",Flat_file!$F:$F,"U")+SUMIFS(Flat_file!$G:$G,Flat_file!$B:$B,Summary_Unemployed!$B$2,Flat_file!$C:$C,"Women",Flat_file!$D:$D,"15-19",Flat_file!$E:$E,"020",Flat_file!$F:$F,"U")+SUMIFS(Flat_file!$G:$G,Flat_file!$B:$B,Summary_Unemployed!$B$2,Flat_file!$C:$C,"Women",Flat_file!$D:$D,"15-19",Flat_file!$E:$E,"030",Flat_file!$F:$F,"U")</f>
        <v>0</v>
      </c>
      <c r="D19" s="86">
        <f>SUMIFS(Flat_file!$G:$G,Flat_file!$B:$B,Summary_Unemployed!$B$2,Flat_file!$C:$C,"Women",Flat_file!$D:$D,"15-19",Flat_file!$E:$E,"100",Flat_file!$F:$F,"U")</f>
        <v>0</v>
      </c>
      <c r="E19" s="86">
        <f>SUMIFS(Flat_file!$G:$G,Flat_file!$B:$B,Summary_Unemployed!$B$2,Flat_file!$C:$C,"Women",Flat_file!$D:$D,"15-19",Flat_file!$E:$E,"242",Flat_file!$F:$F,"U")+SUMIFS(Flat_file!$G:$G,Flat_file!$B:$B,Summary_Unemployed!$B$2,Flat_file!$C:$C,"Women",Flat_file!$D:$D,"15-19",Flat_file!$E:$E,"252",Flat_file!$F:$F,"U")</f>
        <v>0</v>
      </c>
      <c r="F19" s="86">
        <f>SUMIFS(Flat_file!$G:$G,Flat_file!$B:$B,Summary_Unemployed!$B$2,Flat_file!$C:$C,"Women",Flat_file!$D:$D,"15-19",Flat_file!$E:$E,"243",Flat_file!$F:$F,"U")+SUMIFS(Flat_file!$G:$G,Flat_file!$B:$B,Summary_Unemployed!$B$2,Flat_file!$C:$C,"Women",Flat_file!$D:$D,"15-19",Flat_file!$E:$E,"244",Flat_file!$F:$F,"U")+SUMIFS(Flat_file!$G:$G,Flat_file!$B:$B,Summary_Unemployed!$B$2,Flat_file!$C:$C,"Women",Flat_file!$D:$D,"15-19",Flat_file!$E:$E,"253",Flat_file!$F:$F,"U")+SUMIFS(Flat_file!$G:$G,Flat_file!$B:$B,Summary_Unemployed!$B$2,Flat_file!$C:$C,"Women",Flat_file!$D:$D,"15-19",Flat_file!$E:$E,"254",Flat_file!$F:$F,"U")</f>
        <v>0</v>
      </c>
      <c r="G19" s="86">
        <f>SUMIFS(Flat_file!$G:$G,Flat_file!$B:$B,Summary_Unemployed!$B$2,Flat_file!$C:$C,"Women",Flat_file!$D:$D,"15-19",Flat_file!$E:$E,"342",Flat_file!$F:$F,"U")+SUMIFS(Flat_file!$G:$G,Flat_file!$B:$B,Summary_Unemployed!$B$2,Flat_file!$C:$C,"Women",Flat_file!$D:$D,"15-19",Flat_file!$E:$E,"352",Flat_file!$F:$F,"U")</f>
        <v>0</v>
      </c>
      <c r="H19" s="86">
        <f>SUMIFS(Flat_file!$G:$G,Flat_file!$B:$B,Summary_Unemployed!$B$2,Flat_file!$C:$C,"Women",Flat_file!$D:$D,"15-19",Flat_file!$E:$E,"343",Flat_file!$F:$F,"U")+SUMIFS(Flat_file!$G:$G,Flat_file!$B:$B,Summary_Unemployed!$B$2,Flat_file!$C:$C,"Women",Flat_file!$D:$D,"15-19",Flat_file!$E:$E,"344",Flat_file!$F:$F,"U")+SUMIFS(Flat_file!$G:$G,Flat_file!$B:$B,Summary_Unemployed!$B$2,Flat_file!$C:$C,"Women",Flat_file!$D:$D,"15-19",Flat_file!$E:$E,"353",Flat_file!$F:$F,"U")+SUMIFS(Flat_file!$G:$G,Flat_file!$B:$B,Summary_Unemployed!$B$2,Flat_file!$C:$C,"Women",Flat_file!$D:$D,"15-19",Flat_file!$E:$E,"354",Flat_file!$F:$F,"U")</f>
        <v>0</v>
      </c>
      <c r="I19" s="86">
        <f>SUMIFS(Flat_file!$G:$G,Flat_file!$B:$B,Summary_Unemployed!$B$2,Flat_file!$C:$C,"Women",Flat_file!$D:$D,"15-19",Flat_file!$E:$E,"443",Flat_file!$F:$F,"U")+SUMIFS(Flat_file!$G:$G,Flat_file!$B:$B,Summary_Unemployed!$B$2,Flat_file!$C:$C,"Women",Flat_file!$D:$D,"15-19",Flat_file!$E:$E,"444",Flat_file!$F:$F,"U")+SUMIFS(Flat_file!$G:$G,Flat_file!$B:$B,Summary_Unemployed!$B$2,Flat_file!$C:$C,"Women",Flat_file!$D:$D,"15-19",Flat_file!$E:$E,"453",Flat_file!$F:$F,"U")+SUMIFS(Flat_file!$G:$G,Flat_file!$B:$B,Summary_Unemployed!$B$2,Flat_file!$C:$C,"Women",Flat_file!$D:$D,"15-19",Flat_file!$E:$E,"454",Flat_file!$F:$F,"U")</f>
        <v>0</v>
      </c>
      <c r="J19" s="86">
        <f>SUMIFS(Flat_file!$G:$G,Flat_file!$B:$B,Summary_Unemployed!$B$2,Flat_file!$C:$C,"Women",Flat_file!$D:$D,"15-19",Flat_file!$E:$E,"540",Flat_file!$F:$F,"U")+SUMIFS(Flat_file!$G:$G,Flat_file!$B:$B,Summary_Unemployed!$B$2,Flat_file!$C:$C,"Women",Flat_file!$D:$D,"15-19",Flat_file!$E:$E,"550",Flat_file!$F:$F,"U")+SUMIFS(Flat_file!$G:$G,Flat_file!$B:$B,Summary_Unemployed!$B$2,Flat_file!$C:$C,"Women",Flat_file!$D:$D,"15-19",Flat_file!$E:$E,"560",Flat_file!$F:$F,"U")</f>
        <v>0</v>
      </c>
      <c r="K19" s="86">
        <f>SUMIFS(Flat_file!$G:$G,Flat_file!$B:$B,Summary_Unemployed!$B$2,Flat_file!$C:$C,"Women",Flat_file!$D:$D,"15-19",Flat_file!$E:$E,"640",Flat_file!$F:$F,"U")+SUMIFS(Flat_file!$G:$G,Flat_file!$B:$B,Summary_Unemployed!$B$2,Flat_file!$C:$C,"Women",Flat_file!$D:$D,"15-19",Flat_file!$E:$E,"650",Flat_file!$F:$F,"U")+SUMIFS(Flat_file!$G:$G,Flat_file!$B:$B,Summary_Unemployed!$B$2,Flat_file!$C:$C,"Women",Flat_file!$D:$D,"15-19",Flat_file!$E:$E,"660",Flat_file!$F:$F,"U")</f>
        <v>0</v>
      </c>
      <c r="L19" s="86">
        <f>SUMIFS(Flat_file!$G:$G,Flat_file!$B:$B,Summary_Unemployed!$B$2,Flat_file!$C:$C,"Women",Flat_file!$D:$D,"15-19",Flat_file!$E:$E,"740",Flat_file!$F:$F,"U")+SUMIFS(Flat_file!$G:$G,Flat_file!$B:$B,Summary_Unemployed!$B$2,Flat_file!$C:$C,"Women",Flat_file!$D:$D,"15-19",Flat_file!$E:$E,"750",Flat_file!$F:$F,"U")+SUMIFS(Flat_file!$G:$G,Flat_file!$B:$B,Summary_Unemployed!$B$2,Flat_file!$C:$C,"Women",Flat_file!$D:$D,"15-19",Flat_file!$E:$E,"760",Flat_file!$F:$F,"U")</f>
        <v>0</v>
      </c>
      <c r="M19" s="86">
        <f>SUMIFS(Flat_file!$G:$G,Flat_file!$B:$B,Summary_Unemployed!$B$2,Flat_file!$C:$C,"Women",Flat_file!$D:$D,"15-19",Flat_file!$E:$E,"840",Flat_file!$F:$F,"U")+SUMIFS(Flat_file!$G:$G,Flat_file!$B:$B,Summary_Unemployed!$B$2,Flat_file!$C:$C,"Women",Flat_file!$D:$D,"15-19",Flat_file!$E:$E,"850",Flat_file!$F:$F,"U")+SUMIFS(Flat_file!$G:$G,Flat_file!$B:$B,Summary_Unemployed!$B$2,Flat_file!$C:$C,"Women",Flat_file!$D:$D,"15-19",Flat_file!$E:$E,"860",Flat_file!$F:$F,"U")</f>
        <v>0</v>
      </c>
      <c r="N19" s="86">
        <f>SUMIFS(Flat_file!$G:$G,Flat_file!$B:$B,Summary_Unemployed!$B$2,Flat_file!$C:$C,"Women",Flat_file!$D:$D,"15-19",Flat_file!$E:$E,"999",Flat_file!$F:$F,"U")</f>
        <v>0</v>
      </c>
      <c r="O19" s="86">
        <f>SUM(C19:M19)</f>
        <v>0</v>
      </c>
      <c r="P19" s="87"/>
      <c r="Q19" s="86">
        <f>SUM(H19:M19)</f>
        <v>0</v>
      </c>
      <c r="R19" s="88"/>
      <c r="S19" s="86">
        <f>SUM(C19:G19)</f>
        <v>0</v>
      </c>
      <c r="T19" s="86">
        <f>SUM(H19:I19)</f>
        <v>0</v>
      </c>
      <c r="U19" s="86">
        <f>SUM(J19:M19)</f>
        <v>0</v>
      </c>
      <c r="V19" s="87"/>
      <c r="W19" s="86">
        <f>SUMIFS(Flat_file!$G:$G,Flat_file!$B:$B,Summary_Unemployed!$B$2,Flat_file!$C:$C,"Women",Flat_file!$D:$D,"15-19",Flat_file!$E:$E,"343",Flat_file!$F:$F,"U")+SUMIFS(Flat_file!$G:$G,Flat_file!$B:$B,Summary_Unemployed!$B$2,Flat_file!$C:$C,"Women",Flat_file!$D:$D,"15-19",Flat_file!$E:$E,"344",Flat_file!$F:$F,"U")+SUMIFS(Flat_file!$G:$G,Flat_file!$B:$B,Summary_Unemployed!$B$2,Flat_file!$C:$C,"Women",Flat_file!$D:$D,"15-19",Flat_file!$E:$E,"443",Flat_file!$F:$F,"U")+SUMIFS(Flat_file!$G:$G,Flat_file!$B:$B,Summary_Unemployed!$B$2,Flat_file!$C:$C,"Women",Flat_file!$D:$D,"15-19",Flat_file!$E:$E,"444",Flat_file!$F:$F,"U")</f>
        <v>0</v>
      </c>
      <c r="X19" s="86">
        <f>SUMIFS(Flat_file!$G:$G,Flat_file!$B:$B,Summary_Unemployed!$B$2,Flat_file!$C:$C,"Women",Flat_file!$D:$D,"15-19",Flat_file!$E:$E,"353",Flat_file!$F:$F,"U")+SUMIFS(Flat_file!$G:$G,Flat_file!$B:$B,Summary_Unemployed!$B$2,Flat_file!$C:$C,"Women",Flat_file!$D:$D,"15-19",Flat_file!$E:$E,"354",Flat_file!$F:$F,"U")+SUMIFS(Flat_file!$G:$G,Flat_file!$B:$B,Summary_Unemployed!$B$2,Flat_file!$C:$C,"Women",Flat_file!$D:$D,"15-19",Flat_file!$E:$E,"453",Flat_file!$F:$F,"U")+SUMIFS(Flat_file!$G:$G,Flat_file!$B:$B,Summary_Unemployed!$B$2,Flat_file!$C:$C,"Women",Flat_file!$D:$D,"15-19",Flat_file!$E:$E,"454",Flat_file!$F:$F,"U")</f>
        <v>0</v>
      </c>
      <c r="Y19" s="87"/>
      <c r="Z19" s="86">
        <f>SUMIFS(Flat_file!$G:$G,Flat_file!$B:$B,Summary_Unemployed!$B$2,Flat_file!$C:$C,"Women",Flat_file!$D:$D,"15-19",Flat_file!$E:$E,"640",Flat_file!$F:$F,"U")+SUMIFS(Flat_file!$G:$G,Flat_file!$B:$B,Summary_Unemployed!$B$2,Flat_file!$C:$C,"Women",Flat_file!$D:$D,"15-19",Flat_file!$E:$E,"740",Flat_file!$F:$F,"U")+SUMIFS(Flat_file!$G:$G,Flat_file!$B:$B,Summary_Unemployed!$B$2,Flat_file!$C:$C,"Women",Flat_file!$D:$D,"15-19",Flat_file!$E:$E,"840",Flat_file!$F:$F,"U")</f>
        <v>0</v>
      </c>
      <c r="AA19" s="86">
        <f>SUMIFS(Flat_file!$G:$G,Flat_file!$B:$B,Summary_Unemployed!$B$2,Flat_file!$C:$C,"Women",Flat_file!$D:$D,"15-19",Flat_file!$E:$E,"650",Flat_file!$F:$F,"U")+SUMIFS(Flat_file!$G:$G,Flat_file!$B:$B,Summary_Unemployed!$B$2,Flat_file!$C:$C,"Women",Flat_file!$D:$D,"15-19",Flat_file!$E:$E,"750",Flat_file!$F:$F,"U")+SUMIFS(Flat_file!$G:$G,Flat_file!$B:$B,Summary_Unemployed!$B$2,Flat_file!$C:$C,"Women",Flat_file!$D:$D,"15-19",Flat_file!$E:$E,"850",Flat_file!$F:$F,"U")</f>
        <v>0</v>
      </c>
      <c r="AB19" s="86">
        <f>SUMIFS(Flat_file!$G:$G,Flat_file!$B:$B,Summary_Unemployed!$B$2,Flat_file!$C:$C,"Women",Flat_file!$D:$D,"15-19",Flat_file!$E:$E,"660",Flat_file!$F:$F,"U")+SUMIFS(Flat_file!$G:$G,Flat_file!$B:$B,Summary_Unemployed!$B$2,Flat_file!$C:$C,"Women",Flat_file!$D:$D,"15-19",Flat_file!$E:$E,"760",Flat_file!$F:$F,"U")+SUMIFS(Flat_file!$G:$G,Flat_file!$B:$B,Summary_Unemployed!$B$2,Flat_file!$C:$C,"Women",Flat_file!$D:$D,"15-19",Flat_file!$E:$E,"860",Flat_file!$F:$F,"U")</f>
        <v>0</v>
      </c>
      <c r="AC19" s="3"/>
      <c r="AD19" s="3"/>
      <c r="AE19" s="3"/>
      <c r="AF19" s="3"/>
      <c r="AG19" s="3"/>
      <c r="AH19" s="3"/>
      <c r="AI19" s="3"/>
      <c r="AJ19" s="3"/>
      <c r="AK19" s="3"/>
      <c r="AL19" s="3"/>
      <c r="AM19" s="3"/>
      <c r="AN19" s="3"/>
      <c r="AO19" s="3"/>
      <c r="AP19" s="3"/>
      <c r="AQ19" s="3"/>
      <c r="AR19" s="3"/>
      <c r="AS19" s="3"/>
    </row>
    <row r="20" spans="1:45" customFormat="1" x14ac:dyDescent="0.2">
      <c r="A20" s="352"/>
      <c r="B20" s="79" t="s">
        <v>88</v>
      </c>
      <c r="C20" s="89">
        <f>SUMIFS(Flat_file!$G:$G,Flat_file!$B:$B,Summary_Unemployed!$B$2,Flat_file!$C:$C,"Women",Flat_file!$D:$D,"20-24",Flat_file!$E:$E,"010",Flat_file!$F:$F,"U")+SUMIFS(Flat_file!$G:$G,Flat_file!$B:$B,Summary_Unemployed!$B$2,Flat_file!$C:$C,"Women",Flat_file!$D:$D,"20-24",Flat_file!$E:$E,"020",Flat_file!$F:$F,"U")+SUMIFS(Flat_file!$G:$G,Flat_file!$B:$B,Summary_Unemployed!$B$2,Flat_file!$C:$C,"Women",Flat_file!$D:$D,"20-24",Flat_file!$E:$E,"030",Flat_file!$F:$F,"U")</f>
        <v>0</v>
      </c>
      <c r="D20" s="89">
        <f>SUMIFS(Flat_file!$G:$G,Flat_file!$B:$B,Summary_Unemployed!$B$2,Flat_file!$C:$C,"Women",Flat_file!$D:$D,"20-24",Flat_file!$E:$E,"100",Flat_file!$F:$F,"U")</f>
        <v>0</v>
      </c>
      <c r="E20" s="89">
        <f>SUMIFS(Flat_file!$G:$G,Flat_file!$B:$B,Summary_Unemployed!$B$2,Flat_file!$C:$C,"Women",Flat_file!$D:$D,"20-24",Flat_file!$E:$E,"242",Flat_file!$F:$F,"U")+SUMIFS(Flat_file!$G:$G,Flat_file!$B:$B,Summary_Unemployed!$B$2,Flat_file!$C:$C,"Women",Flat_file!$D:$D,"20-24",Flat_file!$E:$E,"252",Flat_file!$F:$F,"U")</f>
        <v>0</v>
      </c>
      <c r="F20" s="89">
        <f>SUMIFS(Flat_file!$G:$G,Flat_file!$B:$B,Summary_Unemployed!$B$2,Flat_file!$C:$C,"Women",Flat_file!$D:$D,"20-24",Flat_file!$E:$E,"243",Flat_file!$F:$F,"U")+SUMIFS(Flat_file!$G:$G,Flat_file!$B:$B,Summary_Unemployed!$B$2,Flat_file!$C:$C,"Women",Flat_file!$D:$D,"20-24",Flat_file!$E:$E,"244",Flat_file!$F:$F,"U")+SUMIFS(Flat_file!$G:$G,Flat_file!$B:$B,Summary_Unemployed!$B$2,Flat_file!$C:$C,"Women",Flat_file!$D:$D,"20-24",Flat_file!$E:$E,"253",Flat_file!$F:$F,"U")+SUMIFS(Flat_file!$G:$G,Flat_file!$B:$B,Summary_Unemployed!$B$2,Flat_file!$C:$C,"Women",Flat_file!$D:$D,"20-24",Flat_file!$E:$E,"254",Flat_file!$F:$F,"U")</f>
        <v>0</v>
      </c>
      <c r="G20" s="89">
        <f>SUMIFS(Flat_file!$G:$G,Flat_file!$B:$B,Summary_Unemployed!$B$2,Flat_file!$C:$C,"Women",Flat_file!$D:$D,"20-24",Flat_file!$E:$E,"342",Flat_file!$F:$F,"U")+SUMIFS(Flat_file!$G:$G,Flat_file!$B:$B,Summary_Unemployed!$B$2,Flat_file!$C:$C,"Women",Flat_file!$D:$D,"20-24",Flat_file!$E:$E,"352",Flat_file!$F:$F,"U")</f>
        <v>0</v>
      </c>
      <c r="H20" s="89">
        <f>SUMIFS(Flat_file!$G:$G,Flat_file!$B:$B,Summary_Unemployed!$B$2,Flat_file!$C:$C,"Women",Flat_file!$D:$D,"20-24",Flat_file!$E:$E,"343",Flat_file!$F:$F,"U")+SUMIFS(Flat_file!$G:$G,Flat_file!$B:$B,Summary_Unemployed!$B$2,Flat_file!$C:$C,"Women",Flat_file!$D:$D,"20-24",Flat_file!$E:$E,"344",Flat_file!$F:$F,"U")+SUMIFS(Flat_file!$G:$G,Flat_file!$B:$B,Summary_Unemployed!$B$2,Flat_file!$C:$C,"Women",Flat_file!$D:$D,"20-24",Flat_file!$E:$E,"353",Flat_file!$F:$F,"U")+SUMIFS(Flat_file!$G:$G,Flat_file!$B:$B,Summary_Unemployed!$B$2,Flat_file!$C:$C,"Women",Flat_file!$D:$D,"20-24",Flat_file!$E:$E,"354",Flat_file!$F:$F,"U")</f>
        <v>0</v>
      </c>
      <c r="I20" s="89">
        <f>SUMIFS(Flat_file!$G:$G,Flat_file!$B:$B,Summary_Unemployed!$B$2,Flat_file!$C:$C,"Women",Flat_file!$D:$D,"20-24",Flat_file!$E:$E,"443",Flat_file!$F:$F,"U")+SUMIFS(Flat_file!$G:$G,Flat_file!$B:$B,Summary_Unemployed!$B$2,Flat_file!$C:$C,"Women",Flat_file!$D:$D,"20-24",Flat_file!$E:$E,"444",Flat_file!$F:$F,"U")+SUMIFS(Flat_file!$G:$G,Flat_file!$B:$B,Summary_Unemployed!$B$2,Flat_file!$C:$C,"Women",Flat_file!$D:$D,"20-24",Flat_file!$E:$E,"453",Flat_file!$F:$F,"U")+SUMIFS(Flat_file!$G:$G,Flat_file!$B:$B,Summary_Unemployed!$B$2,Flat_file!$C:$C,"Women",Flat_file!$D:$D,"20-24",Flat_file!$E:$E,"454",Flat_file!$F:$F,"U")</f>
        <v>0</v>
      </c>
      <c r="J20" s="89">
        <f>SUMIFS(Flat_file!$G:$G,Flat_file!$B:$B,Summary_Unemployed!$B$2,Flat_file!$C:$C,"Women",Flat_file!$D:$D,"20-24",Flat_file!$E:$E,"540",Flat_file!$F:$F,"U")+SUMIFS(Flat_file!$G:$G,Flat_file!$B:$B,Summary_Unemployed!$B$2,Flat_file!$C:$C,"Women",Flat_file!$D:$D,"20-24",Flat_file!$E:$E,"550",Flat_file!$F:$F,"U")+SUMIFS(Flat_file!$G:$G,Flat_file!$B:$B,Summary_Unemployed!$B$2,Flat_file!$C:$C,"Women",Flat_file!$D:$D,"20-24",Flat_file!$E:$E,"560",Flat_file!$F:$F,"U")</f>
        <v>0</v>
      </c>
      <c r="K20" s="89">
        <f>SUMIFS(Flat_file!$G:$G,Flat_file!$B:$B,Summary_Unemployed!$B$2,Flat_file!$C:$C,"Women",Flat_file!$D:$D,"20-24",Flat_file!$E:$E,"640",Flat_file!$F:$F,"U")+SUMIFS(Flat_file!$G:$G,Flat_file!$B:$B,Summary_Unemployed!$B$2,Flat_file!$C:$C,"Women",Flat_file!$D:$D,"20-24",Flat_file!$E:$E,"650",Flat_file!$F:$F,"U")+SUMIFS(Flat_file!$G:$G,Flat_file!$B:$B,Summary_Unemployed!$B$2,Flat_file!$C:$C,"Women",Flat_file!$D:$D,"20-24",Flat_file!$E:$E,"660",Flat_file!$F:$F,"U")</f>
        <v>0</v>
      </c>
      <c r="L20" s="89">
        <f>SUMIFS(Flat_file!$G:$G,Flat_file!$B:$B,Summary_Unemployed!$B$2,Flat_file!$C:$C,"Women",Flat_file!$D:$D,"20-24",Flat_file!$E:$E,"740",Flat_file!$F:$F,"U")+SUMIFS(Flat_file!$G:$G,Flat_file!$B:$B,Summary_Unemployed!$B$2,Flat_file!$C:$C,"Women",Flat_file!$D:$D,"20-24",Flat_file!$E:$E,"750",Flat_file!$F:$F,"U")+SUMIFS(Flat_file!$G:$G,Flat_file!$B:$B,Summary_Unemployed!$B$2,Flat_file!$C:$C,"Women",Flat_file!$D:$D,"20-24",Flat_file!$E:$E,"760",Flat_file!$F:$F,"U")</f>
        <v>0</v>
      </c>
      <c r="M20" s="89">
        <f>SUMIFS(Flat_file!$G:$G,Flat_file!$B:$B,Summary_Unemployed!$B$2,Flat_file!$C:$C,"Women",Flat_file!$D:$D,"20-24",Flat_file!$E:$E,"840",Flat_file!$F:$F,"U")+SUMIFS(Flat_file!$G:$G,Flat_file!$B:$B,Summary_Unemployed!$B$2,Flat_file!$C:$C,"Women",Flat_file!$D:$D,"20-24",Flat_file!$E:$E,"850",Flat_file!$F:$F,"U")+SUMIFS(Flat_file!$G:$G,Flat_file!$B:$B,Summary_Unemployed!$B$2,Flat_file!$C:$C,"Women",Flat_file!$D:$D,"20-24",Flat_file!$E:$E,"860",Flat_file!$F:$F,"U")</f>
        <v>0</v>
      </c>
      <c r="N20" s="89">
        <f>SUMIFS(Flat_file!$G:$G,Flat_file!$B:$B,Summary_Unemployed!$B$2,Flat_file!$C:$C,"Women",Flat_file!$D:$D,"20-24",Flat_file!$E:$E,"999",Flat_file!$F:$F,"U")</f>
        <v>0</v>
      </c>
      <c r="O20" s="89">
        <f t="shared" ref="O20:O31" si="5">SUM(C20:M20)</f>
        <v>0</v>
      </c>
      <c r="P20" s="90"/>
      <c r="Q20" s="89">
        <f t="shared" ref="Q20:Q31" si="6">SUM(H20:M20)</f>
        <v>0</v>
      </c>
      <c r="R20" s="91"/>
      <c r="S20" s="89">
        <f t="shared" ref="S20:S31" si="7">SUM(C20:G20)</f>
        <v>0</v>
      </c>
      <c r="T20" s="89">
        <f t="shared" ref="T20:T31" si="8">SUM(H20:I20)</f>
        <v>0</v>
      </c>
      <c r="U20" s="89">
        <f t="shared" ref="U20:U31" si="9">SUM(J20:M20)</f>
        <v>0</v>
      </c>
      <c r="V20" s="90"/>
      <c r="W20" s="89">
        <f>SUMIFS(Flat_file!$G:$G,Flat_file!$B:$B,Summary_Unemployed!$B$2,Flat_file!$C:$C,"Women",Flat_file!$D:$D,"20-24",Flat_file!$E:$E,"343",Flat_file!$F:$F,"U")+SUMIFS(Flat_file!$G:$G,Flat_file!$B:$B,Summary_Unemployed!$B$2,Flat_file!$C:$C,"Women",Flat_file!$D:$D,"20-24",Flat_file!$E:$E,"344",Flat_file!$F:$F,"U")+SUMIFS(Flat_file!$G:$G,Flat_file!$B:$B,Summary_Unemployed!$B$2,Flat_file!$C:$C,"Women",Flat_file!$D:$D,"20-24",Flat_file!$E:$E,"443",Flat_file!$F:$F,"U")+SUMIFS(Flat_file!$G:$G,Flat_file!$B:$B,Summary_Unemployed!$B$2,Flat_file!$C:$C,"Women",Flat_file!$D:$D,"20-24",Flat_file!$E:$E,"444",Flat_file!$F:$F,"U")</f>
        <v>0</v>
      </c>
      <c r="X20" s="89">
        <f>SUMIFS(Flat_file!$G:$G,Flat_file!$B:$B,Summary_Unemployed!$B$2,Flat_file!$C:$C,"Women",Flat_file!$D:$D,"20-24",Flat_file!$E:$E,"353",Flat_file!$F:$F,"U")+SUMIFS(Flat_file!$G:$G,Flat_file!$B:$B,Summary_Unemployed!$B$2,Flat_file!$C:$C,"Women",Flat_file!$D:$D,"20-24",Flat_file!$E:$E,"354",Flat_file!$F:$F,"U")+SUMIFS(Flat_file!$G:$G,Flat_file!$B:$B,Summary_Unemployed!$B$2,Flat_file!$C:$C,"Women",Flat_file!$D:$D,"20-24",Flat_file!$E:$E,"453",Flat_file!$F:$F,"U")+SUMIFS(Flat_file!$G:$G,Flat_file!$B:$B,Summary_Unemployed!$B$2,Flat_file!$C:$C,"Women",Flat_file!$D:$D,"20-24",Flat_file!$E:$E,"454",Flat_file!$F:$F,"U")</f>
        <v>0</v>
      </c>
      <c r="Y20" s="90"/>
      <c r="Z20" s="89">
        <f>SUMIFS(Flat_file!$G:$G,Flat_file!$B:$B,Summary_Unemployed!$B$2,Flat_file!$C:$C,"Women",Flat_file!$D:$D,"20-24",Flat_file!$E:$E,"640",Flat_file!$F:$F,"U")+SUMIFS(Flat_file!$G:$G,Flat_file!$B:$B,Summary_Unemployed!$B$2,Flat_file!$C:$C,"Women",Flat_file!$D:$D,"20-24",Flat_file!$E:$E,"740",Flat_file!$F:$F,"U")+SUMIFS(Flat_file!$G:$G,Flat_file!$B:$B,Summary_Unemployed!$B$2,Flat_file!$C:$C,"Women",Flat_file!$D:$D,"20-24",Flat_file!$E:$E,"840",Flat_file!$F:$F,"U")</f>
        <v>0</v>
      </c>
      <c r="AA20" s="89">
        <f>SUMIFS(Flat_file!$G:$G,Flat_file!$B:$B,Summary_Unemployed!$B$2,Flat_file!$C:$C,"Women",Flat_file!$D:$D,"20-24",Flat_file!$E:$E,"650",Flat_file!$F:$F,"U")+SUMIFS(Flat_file!$G:$G,Flat_file!$B:$B,Summary_Unemployed!$B$2,Flat_file!$C:$C,"Women",Flat_file!$D:$D,"20-24",Flat_file!$E:$E,"750",Flat_file!$F:$F,"U")+SUMIFS(Flat_file!$G:$G,Flat_file!$B:$B,Summary_Unemployed!$B$2,Flat_file!$C:$C,"Women",Flat_file!$D:$D,"20-24",Flat_file!$E:$E,"850",Flat_file!$F:$F,"U")</f>
        <v>0</v>
      </c>
      <c r="AB20" s="89">
        <f>SUMIFS(Flat_file!$G:$G,Flat_file!$B:$B,Summary_Unemployed!$B$2,Flat_file!$C:$C,"Women",Flat_file!$D:$D,"20-24",Flat_file!$E:$E,"660",Flat_file!$F:$F,"U")+SUMIFS(Flat_file!$G:$G,Flat_file!$B:$B,Summary_Unemployed!$B$2,Flat_file!$C:$C,"Women",Flat_file!$D:$D,"20-24",Flat_file!$E:$E,"760",Flat_file!$F:$F,"U")+SUMIFS(Flat_file!$G:$G,Flat_file!$B:$B,Summary_Unemployed!$B$2,Flat_file!$C:$C,"Women",Flat_file!$D:$D,"20-24",Flat_file!$E:$E,"860",Flat_file!$F:$F,"U")</f>
        <v>0</v>
      </c>
      <c r="AC20" s="3"/>
      <c r="AD20" s="3"/>
      <c r="AE20" s="3"/>
      <c r="AF20" s="3"/>
      <c r="AG20" s="3"/>
      <c r="AH20" s="3"/>
      <c r="AI20" s="3"/>
      <c r="AJ20" s="3"/>
      <c r="AK20" s="3"/>
      <c r="AL20" s="3"/>
      <c r="AM20" s="3"/>
      <c r="AN20" s="3"/>
      <c r="AO20" s="3"/>
      <c r="AP20" s="3"/>
      <c r="AQ20" s="3"/>
      <c r="AR20" s="3"/>
      <c r="AS20" s="3"/>
    </row>
    <row r="21" spans="1:45" customFormat="1" x14ac:dyDescent="0.2">
      <c r="A21" s="352"/>
      <c r="B21" s="79" t="s">
        <v>89</v>
      </c>
      <c r="C21" s="89">
        <f>SUMIFS(Flat_file!$G:$G,Flat_file!$B:$B,Summary_Unemployed!$B$2,Flat_file!$C:$C,"Women",Flat_file!$D:$D,"25-29",Flat_file!$E:$E,"010",Flat_file!$F:$F,"U")+SUMIFS(Flat_file!$G:$G,Flat_file!$B:$B,Summary_Unemployed!$B$2,Flat_file!$C:$C,"Women",Flat_file!$D:$D,"25-29",Flat_file!$E:$E,"020",Flat_file!$F:$F,"U")+SUMIFS(Flat_file!$G:$G,Flat_file!$B:$B,Summary_Unemployed!$B$2,Flat_file!$C:$C,"Women",Flat_file!$D:$D,"25-29",Flat_file!$E:$E,"030",Flat_file!$F:$F,"U")</f>
        <v>0</v>
      </c>
      <c r="D21" s="89">
        <f>SUMIFS(Flat_file!$G:$G,Flat_file!$B:$B,Summary_Unemployed!$B$2,Flat_file!$C:$C,"Women",Flat_file!$D:$D,"25-29",Flat_file!$E:$E,"100",Flat_file!$F:$F,"U")</f>
        <v>0</v>
      </c>
      <c r="E21" s="89">
        <f>SUMIFS(Flat_file!$G:$G,Flat_file!$B:$B,Summary_Unemployed!$B$2,Flat_file!$C:$C,"Women",Flat_file!$D:$D,"25-29",Flat_file!$E:$E,"242",Flat_file!$F:$F,"U")+SUMIFS(Flat_file!$G:$G,Flat_file!$B:$B,Summary_Unemployed!$B$2,Flat_file!$C:$C,"Women",Flat_file!$D:$D,"25-29",Flat_file!$E:$E,"252",Flat_file!$F:$F,"U")</f>
        <v>0</v>
      </c>
      <c r="F21" s="89">
        <f>SUMIFS(Flat_file!$G:$G,Flat_file!$B:$B,Summary_Unemployed!$B$2,Flat_file!$C:$C,"Women",Flat_file!$D:$D,"25-29",Flat_file!$E:$E,"243",Flat_file!$F:$F,"U")+SUMIFS(Flat_file!$G:$G,Flat_file!$B:$B,Summary_Unemployed!$B$2,Flat_file!$C:$C,"Women",Flat_file!$D:$D,"25-29",Flat_file!$E:$E,"244",Flat_file!$F:$F,"U")+SUMIFS(Flat_file!$G:$G,Flat_file!$B:$B,Summary_Unemployed!$B$2,Flat_file!$C:$C,"Women",Flat_file!$D:$D,"25-29",Flat_file!$E:$E,"253",Flat_file!$F:$F,"U")+SUMIFS(Flat_file!$G:$G,Flat_file!$B:$B,Summary_Unemployed!$B$2,Flat_file!$C:$C,"Women",Flat_file!$D:$D,"25-29",Flat_file!$E:$E,"254",Flat_file!$F:$F,"U")</f>
        <v>0</v>
      </c>
      <c r="G21" s="89">
        <f>SUMIFS(Flat_file!$G:$G,Flat_file!$B:$B,Summary_Unemployed!$B$2,Flat_file!$C:$C,"Women",Flat_file!$D:$D,"25-29",Flat_file!$E:$E,"342",Flat_file!$F:$F,"U")+SUMIFS(Flat_file!$G:$G,Flat_file!$B:$B,Summary_Unemployed!$B$2,Flat_file!$C:$C,"Women",Flat_file!$D:$D,"25-29",Flat_file!$E:$E,"352",Flat_file!$F:$F,"U")</f>
        <v>0</v>
      </c>
      <c r="H21" s="89">
        <f>SUMIFS(Flat_file!$G:$G,Flat_file!$B:$B,Summary_Unemployed!$B$2,Flat_file!$C:$C,"Women",Flat_file!$D:$D,"25-29",Flat_file!$E:$E,"343",Flat_file!$F:$F,"U")+SUMIFS(Flat_file!$G:$G,Flat_file!$B:$B,Summary_Unemployed!$B$2,Flat_file!$C:$C,"Women",Flat_file!$D:$D,"25-29",Flat_file!$E:$E,"344",Flat_file!$F:$F,"U")+SUMIFS(Flat_file!$G:$G,Flat_file!$B:$B,Summary_Unemployed!$B$2,Flat_file!$C:$C,"Women",Flat_file!$D:$D,"25-29",Flat_file!$E:$E,"353",Flat_file!$F:$F,"U")+SUMIFS(Flat_file!$G:$G,Flat_file!$B:$B,Summary_Unemployed!$B$2,Flat_file!$C:$C,"Women",Flat_file!$D:$D,"25-29",Flat_file!$E:$E,"354",Flat_file!$F:$F,"U")</f>
        <v>0</v>
      </c>
      <c r="I21" s="89">
        <f>SUMIFS(Flat_file!$G:$G,Flat_file!$B:$B,Summary_Unemployed!$B$2,Flat_file!$C:$C,"Women",Flat_file!$D:$D,"25-29",Flat_file!$E:$E,"443",Flat_file!$F:$F,"U")+SUMIFS(Flat_file!$G:$G,Flat_file!$B:$B,Summary_Unemployed!$B$2,Flat_file!$C:$C,"Women",Flat_file!$D:$D,"25-29",Flat_file!$E:$E,"444",Flat_file!$F:$F,"U")+SUMIFS(Flat_file!$G:$G,Flat_file!$B:$B,Summary_Unemployed!$B$2,Flat_file!$C:$C,"Women",Flat_file!$D:$D,"25-29",Flat_file!$E:$E,"453",Flat_file!$F:$F,"U")+SUMIFS(Flat_file!$G:$G,Flat_file!$B:$B,Summary_Unemployed!$B$2,Flat_file!$C:$C,"Women",Flat_file!$D:$D,"25-29",Flat_file!$E:$E,"454",Flat_file!$F:$F,"U")</f>
        <v>0</v>
      </c>
      <c r="J21" s="89">
        <f>SUMIFS(Flat_file!$G:$G,Flat_file!$B:$B,Summary_Unemployed!$B$2,Flat_file!$C:$C,"Women",Flat_file!$D:$D,"25-29",Flat_file!$E:$E,"540",Flat_file!$F:$F,"U")+SUMIFS(Flat_file!$G:$G,Flat_file!$B:$B,Summary_Unemployed!$B$2,Flat_file!$C:$C,"Women",Flat_file!$D:$D,"25-29",Flat_file!$E:$E,"550",Flat_file!$F:$F,"U")+SUMIFS(Flat_file!$G:$G,Flat_file!$B:$B,Summary_Unemployed!$B$2,Flat_file!$C:$C,"Women",Flat_file!$D:$D,"25-29",Flat_file!$E:$E,"560",Flat_file!$F:$F,"U")</f>
        <v>0</v>
      </c>
      <c r="K21" s="89">
        <f>SUMIFS(Flat_file!$G:$G,Flat_file!$B:$B,Summary_Unemployed!$B$2,Flat_file!$C:$C,"Women",Flat_file!$D:$D,"25-29",Flat_file!$E:$E,"640",Flat_file!$F:$F,"U")+SUMIFS(Flat_file!$G:$G,Flat_file!$B:$B,Summary_Unemployed!$B$2,Flat_file!$C:$C,"Women",Flat_file!$D:$D,"25-29",Flat_file!$E:$E,"650",Flat_file!$F:$F,"U")+SUMIFS(Flat_file!$G:$G,Flat_file!$B:$B,Summary_Unemployed!$B$2,Flat_file!$C:$C,"Women",Flat_file!$D:$D,"25-29",Flat_file!$E:$E,"660",Flat_file!$F:$F,"U")</f>
        <v>0</v>
      </c>
      <c r="L21" s="89">
        <f>SUMIFS(Flat_file!$G:$G,Flat_file!$B:$B,Summary_Unemployed!$B$2,Flat_file!$C:$C,"Women",Flat_file!$D:$D,"25-29",Flat_file!$E:$E,"740",Flat_file!$F:$F,"U")+SUMIFS(Flat_file!$G:$G,Flat_file!$B:$B,Summary_Unemployed!$B$2,Flat_file!$C:$C,"Women",Flat_file!$D:$D,"25-29",Flat_file!$E:$E,"750",Flat_file!$F:$F,"U")+SUMIFS(Flat_file!$G:$G,Flat_file!$B:$B,Summary_Unemployed!$B$2,Flat_file!$C:$C,"Women",Flat_file!$D:$D,"25-29",Flat_file!$E:$E,"760",Flat_file!$F:$F,"U")</f>
        <v>0</v>
      </c>
      <c r="M21" s="89">
        <f>SUMIFS(Flat_file!$G:$G,Flat_file!$B:$B,Summary_Unemployed!$B$2,Flat_file!$C:$C,"Women",Flat_file!$D:$D,"25-29",Flat_file!$E:$E,"840",Flat_file!$F:$F,"U")+SUMIFS(Flat_file!$G:$G,Flat_file!$B:$B,Summary_Unemployed!$B$2,Flat_file!$C:$C,"Women",Flat_file!$D:$D,"25-29",Flat_file!$E:$E,"850",Flat_file!$F:$F,"U")+SUMIFS(Flat_file!$G:$G,Flat_file!$B:$B,Summary_Unemployed!$B$2,Flat_file!$C:$C,"Women",Flat_file!$D:$D,"25-29",Flat_file!$E:$E,"860",Flat_file!$F:$F,"U")</f>
        <v>0</v>
      </c>
      <c r="N21" s="89">
        <f>SUMIFS(Flat_file!$G:$G,Flat_file!$B:$B,Summary_Unemployed!$B$2,Flat_file!$C:$C,"Women",Flat_file!$D:$D,"25-29",Flat_file!$E:$E,"999",Flat_file!$F:$F,"U")</f>
        <v>0</v>
      </c>
      <c r="O21" s="89">
        <f t="shared" si="5"/>
        <v>0</v>
      </c>
      <c r="P21" s="90"/>
      <c r="Q21" s="89">
        <f t="shared" si="6"/>
        <v>0</v>
      </c>
      <c r="R21" s="91"/>
      <c r="S21" s="89">
        <f t="shared" si="7"/>
        <v>0</v>
      </c>
      <c r="T21" s="89">
        <f t="shared" si="8"/>
        <v>0</v>
      </c>
      <c r="U21" s="89">
        <f t="shared" si="9"/>
        <v>0</v>
      </c>
      <c r="V21" s="90"/>
      <c r="W21" s="89">
        <f>SUMIFS(Flat_file!$G:$G,Flat_file!$B:$B,Summary_Unemployed!$B$2,Flat_file!$C:$C,"Women",Flat_file!$D:$D,"25-29",Flat_file!$E:$E,"343",Flat_file!$F:$F,"U")+SUMIFS(Flat_file!$G:$G,Flat_file!$B:$B,Summary_Unemployed!$B$2,Flat_file!$C:$C,"Women",Flat_file!$D:$D,"25-29",Flat_file!$E:$E,"344",Flat_file!$F:$F,"U")+SUMIFS(Flat_file!$G:$G,Flat_file!$B:$B,Summary_Unemployed!$B$2,Flat_file!$C:$C,"Women",Flat_file!$D:$D,"25-29",Flat_file!$E:$E,"443",Flat_file!$F:$F,"U")+SUMIFS(Flat_file!$G:$G,Flat_file!$B:$B,Summary_Unemployed!$B$2,Flat_file!$C:$C,"Women",Flat_file!$D:$D,"25-29",Flat_file!$E:$E,"444",Flat_file!$F:$F,"U")</f>
        <v>0</v>
      </c>
      <c r="X21" s="89">
        <f>SUMIFS(Flat_file!$G:$G,Flat_file!$B:$B,Summary_Unemployed!$B$2,Flat_file!$C:$C,"Women",Flat_file!$D:$D,"25-29",Flat_file!$E:$E,"353",Flat_file!$F:$F,"U")+SUMIFS(Flat_file!$G:$G,Flat_file!$B:$B,Summary_Unemployed!$B$2,Flat_file!$C:$C,"Women",Flat_file!$D:$D,"25-29",Flat_file!$E:$E,"354",Flat_file!$F:$F,"U")+SUMIFS(Flat_file!$G:$G,Flat_file!$B:$B,Summary_Unemployed!$B$2,Flat_file!$C:$C,"Women",Flat_file!$D:$D,"25-29",Flat_file!$E:$E,"453",Flat_file!$F:$F,"U")+SUMIFS(Flat_file!$G:$G,Flat_file!$B:$B,Summary_Unemployed!$B$2,Flat_file!$C:$C,"Women",Flat_file!$D:$D,"25-29",Flat_file!$E:$E,"454",Flat_file!$F:$F,"U")</f>
        <v>0</v>
      </c>
      <c r="Y21" s="90"/>
      <c r="Z21" s="89">
        <f>SUMIFS(Flat_file!$G:$G,Flat_file!$B:$B,Summary_Unemployed!$B$2,Flat_file!$C:$C,"Women",Flat_file!$D:$D,"25-29",Flat_file!$E:$E,"640",Flat_file!$F:$F,"U")+SUMIFS(Flat_file!$G:$G,Flat_file!$B:$B,Summary_Unemployed!$B$2,Flat_file!$C:$C,"Women",Flat_file!$D:$D,"25-29",Flat_file!$E:$E,"740",Flat_file!$F:$F,"U")+SUMIFS(Flat_file!$G:$G,Flat_file!$B:$B,Summary_Unemployed!$B$2,Flat_file!$C:$C,"Women",Flat_file!$D:$D,"25-29",Flat_file!$E:$E,"840",Flat_file!$F:$F,"U")</f>
        <v>0</v>
      </c>
      <c r="AA21" s="89">
        <f>SUMIFS(Flat_file!$G:$G,Flat_file!$B:$B,Summary_Unemployed!$B$2,Flat_file!$C:$C,"Women",Flat_file!$D:$D,"25-29",Flat_file!$E:$E,"650",Flat_file!$F:$F,"U")+SUMIFS(Flat_file!$G:$G,Flat_file!$B:$B,Summary_Unemployed!$B$2,Flat_file!$C:$C,"Women",Flat_file!$D:$D,"25-29",Flat_file!$E:$E,"750",Flat_file!$F:$F,"U")+SUMIFS(Flat_file!$G:$G,Flat_file!$B:$B,Summary_Unemployed!$B$2,Flat_file!$C:$C,"Women",Flat_file!$D:$D,"25-29",Flat_file!$E:$E,"850",Flat_file!$F:$F,"U")</f>
        <v>0</v>
      </c>
      <c r="AB21" s="89">
        <f>SUMIFS(Flat_file!$G:$G,Flat_file!$B:$B,Summary_Unemployed!$B$2,Flat_file!$C:$C,"Women",Flat_file!$D:$D,"25-29",Flat_file!$E:$E,"660",Flat_file!$F:$F,"U")+SUMIFS(Flat_file!$G:$G,Flat_file!$B:$B,Summary_Unemployed!$B$2,Flat_file!$C:$C,"Women",Flat_file!$D:$D,"25-29",Flat_file!$E:$E,"760",Flat_file!$F:$F,"U")+SUMIFS(Flat_file!$G:$G,Flat_file!$B:$B,Summary_Unemployed!$B$2,Flat_file!$C:$C,"Women",Flat_file!$D:$D,"25-29",Flat_file!$E:$E,"860",Flat_file!$F:$F,"U")</f>
        <v>0</v>
      </c>
      <c r="AC21" s="3"/>
      <c r="AD21" s="3"/>
      <c r="AE21" s="3"/>
      <c r="AF21" s="3"/>
      <c r="AG21" s="3"/>
      <c r="AH21" s="3"/>
      <c r="AI21" s="3"/>
      <c r="AJ21" s="3"/>
      <c r="AK21" s="3"/>
      <c r="AL21" s="3"/>
      <c r="AM21" s="3"/>
      <c r="AN21" s="3"/>
      <c r="AO21" s="3"/>
      <c r="AP21" s="3"/>
      <c r="AQ21" s="3"/>
      <c r="AR21" s="3"/>
      <c r="AS21" s="3"/>
    </row>
    <row r="22" spans="1:45" customFormat="1" x14ac:dyDescent="0.2">
      <c r="A22" s="352"/>
      <c r="B22" s="79" t="s">
        <v>90</v>
      </c>
      <c r="C22" s="89">
        <f>SUMIFS(Flat_file!$G:$G,Flat_file!$B:$B,Summary_Unemployed!$B$2,Flat_file!$C:$C,"Women",Flat_file!$D:$D,"30-34",Flat_file!$E:$E,"010",Flat_file!$F:$F,"U")+SUMIFS(Flat_file!$G:$G,Flat_file!$B:$B,Summary_Unemployed!$B$2,Flat_file!$C:$C,"Women",Flat_file!$D:$D,"30-34",Flat_file!$E:$E,"020",Flat_file!$F:$F,"U")+SUMIFS(Flat_file!$G:$G,Flat_file!$B:$B,Summary_Unemployed!$B$2,Flat_file!$C:$C,"Women",Flat_file!$D:$D,"30-34",Flat_file!$E:$E,"030",Flat_file!$F:$F,"U")</f>
        <v>0</v>
      </c>
      <c r="D22" s="89">
        <f>SUMIFS(Flat_file!$G:$G,Flat_file!$B:$B,Summary_Unemployed!$B$2,Flat_file!$C:$C,"Women",Flat_file!$D:$D,"30-34",Flat_file!$E:$E,"100",Flat_file!$F:$F,"U")</f>
        <v>0</v>
      </c>
      <c r="E22" s="89">
        <f>SUMIFS(Flat_file!$G:$G,Flat_file!$B:$B,Summary_Unemployed!$B$2,Flat_file!$C:$C,"Women",Flat_file!$D:$D,"30-34",Flat_file!$E:$E,"242",Flat_file!$F:$F,"U")+SUMIFS(Flat_file!$G:$G,Flat_file!$B:$B,Summary_Unemployed!$B$2,Flat_file!$C:$C,"Women",Flat_file!$D:$D,"30-34",Flat_file!$E:$E,"252",Flat_file!$F:$F,"U")</f>
        <v>0</v>
      </c>
      <c r="F22" s="89">
        <f>SUMIFS(Flat_file!$G:$G,Flat_file!$B:$B,Summary_Unemployed!$B$2,Flat_file!$C:$C,"Women",Flat_file!$D:$D,"30-34",Flat_file!$E:$E,"243",Flat_file!$F:$F,"U")+SUMIFS(Flat_file!$G:$G,Flat_file!$B:$B,Summary_Unemployed!$B$2,Flat_file!$C:$C,"Women",Flat_file!$D:$D,"30-34",Flat_file!$E:$E,"244",Flat_file!$F:$F,"U")+SUMIFS(Flat_file!$G:$G,Flat_file!$B:$B,Summary_Unemployed!$B$2,Flat_file!$C:$C,"Women",Flat_file!$D:$D,"30-34",Flat_file!$E:$E,"253",Flat_file!$F:$F,"U")+SUMIFS(Flat_file!$G:$G,Flat_file!$B:$B,Summary_Unemployed!$B$2,Flat_file!$C:$C,"Women",Flat_file!$D:$D,"30-34",Flat_file!$E:$E,"254",Flat_file!$F:$F,"U")</f>
        <v>0</v>
      </c>
      <c r="G22" s="89">
        <f>SUMIFS(Flat_file!$G:$G,Flat_file!$B:$B,Summary_Unemployed!$B$2,Flat_file!$C:$C,"Women",Flat_file!$D:$D,"30-34",Flat_file!$E:$E,"342",Flat_file!$F:$F,"U")+SUMIFS(Flat_file!$G:$G,Flat_file!$B:$B,Summary_Unemployed!$B$2,Flat_file!$C:$C,"Women",Flat_file!$D:$D,"30-34",Flat_file!$E:$E,"352",Flat_file!$F:$F,"U")</f>
        <v>0</v>
      </c>
      <c r="H22" s="89">
        <f>SUMIFS(Flat_file!$G:$G,Flat_file!$B:$B,Summary_Unemployed!$B$2,Flat_file!$C:$C,"Women",Flat_file!$D:$D,"30-34",Flat_file!$E:$E,"343",Flat_file!$F:$F,"U")+SUMIFS(Flat_file!$G:$G,Flat_file!$B:$B,Summary_Unemployed!$B$2,Flat_file!$C:$C,"Women",Flat_file!$D:$D,"30-34",Flat_file!$E:$E,"344",Flat_file!$F:$F,"U")+SUMIFS(Flat_file!$G:$G,Flat_file!$B:$B,Summary_Unemployed!$B$2,Flat_file!$C:$C,"Women",Flat_file!$D:$D,"30-34",Flat_file!$E:$E,"353",Flat_file!$F:$F,"U")+SUMIFS(Flat_file!$G:$G,Flat_file!$B:$B,Summary_Unemployed!$B$2,Flat_file!$C:$C,"Women",Flat_file!$D:$D,"30-34",Flat_file!$E:$E,"354",Flat_file!$F:$F,"U")</f>
        <v>0</v>
      </c>
      <c r="I22" s="89">
        <f>SUMIFS(Flat_file!$G:$G,Flat_file!$B:$B,Summary_Unemployed!$B$2,Flat_file!$C:$C,"Women",Flat_file!$D:$D,"30-34",Flat_file!$E:$E,"443",Flat_file!$F:$F,"U")+SUMIFS(Flat_file!$G:$G,Flat_file!$B:$B,Summary_Unemployed!$B$2,Flat_file!$C:$C,"Women",Flat_file!$D:$D,"30-34",Flat_file!$E:$E,"444",Flat_file!$F:$F,"U")+SUMIFS(Flat_file!$G:$G,Flat_file!$B:$B,Summary_Unemployed!$B$2,Flat_file!$C:$C,"Women",Flat_file!$D:$D,"30-34",Flat_file!$E:$E,"453",Flat_file!$F:$F,"U")+SUMIFS(Flat_file!$G:$G,Flat_file!$B:$B,Summary_Unemployed!$B$2,Flat_file!$C:$C,"Women",Flat_file!$D:$D,"30-34",Flat_file!$E:$E,"454",Flat_file!$F:$F,"U")</f>
        <v>0</v>
      </c>
      <c r="J22" s="89">
        <f>SUMIFS(Flat_file!$G:$G,Flat_file!$B:$B,Summary_Unemployed!$B$2,Flat_file!$C:$C,"Women",Flat_file!$D:$D,"30-34",Flat_file!$E:$E,"540",Flat_file!$F:$F,"U")+SUMIFS(Flat_file!$G:$G,Flat_file!$B:$B,Summary_Unemployed!$B$2,Flat_file!$C:$C,"Women",Flat_file!$D:$D,"30-34",Flat_file!$E:$E,"550",Flat_file!$F:$F,"U")+SUMIFS(Flat_file!$G:$G,Flat_file!$B:$B,Summary_Unemployed!$B$2,Flat_file!$C:$C,"Women",Flat_file!$D:$D,"30-34",Flat_file!$E:$E,"560",Flat_file!$F:$F,"U")</f>
        <v>0</v>
      </c>
      <c r="K22" s="89">
        <f>SUMIFS(Flat_file!$G:$G,Flat_file!$B:$B,Summary_Unemployed!$B$2,Flat_file!$C:$C,"Women",Flat_file!$D:$D,"30-34",Flat_file!$E:$E,"640",Flat_file!$F:$F,"U")+SUMIFS(Flat_file!$G:$G,Flat_file!$B:$B,Summary_Unemployed!$B$2,Flat_file!$C:$C,"Women",Flat_file!$D:$D,"30-34",Flat_file!$E:$E,"650",Flat_file!$F:$F,"U")+SUMIFS(Flat_file!$G:$G,Flat_file!$B:$B,Summary_Unemployed!$B$2,Flat_file!$C:$C,"Women",Flat_file!$D:$D,"30-34",Flat_file!$E:$E,"660",Flat_file!$F:$F,"U")</f>
        <v>0</v>
      </c>
      <c r="L22" s="89">
        <f>SUMIFS(Flat_file!$G:$G,Flat_file!$B:$B,Summary_Unemployed!$B$2,Flat_file!$C:$C,"Women",Flat_file!$D:$D,"30-34",Flat_file!$E:$E,"740",Flat_file!$F:$F,"U")+SUMIFS(Flat_file!$G:$G,Flat_file!$B:$B,Summary_Unemployed!$B$2,Flat_file!$C:$C,"Women",Flat_file!$D:$D,"30-34",Flat_file!$E:$E,"750",Flat_file!$F:$F,"U")+SUMIFS(Flat_file!$G:$G,Flat_file!$B:$B,Summary_Unemployed!$B$2,Flat_file!$C:$C,"Women",Flat_file!$D:$D,"30-34",Flat_file!$E:$E,"760",Flat_file!$F:$F,"U")</f>
        <v>0</v>
      </c>
      <c r="M22" s="89">
        <f>SUMIFS(Flat_file!$G:$G,Flat_file!$B:$B,Summary_Unemployed!$B$2,Flat_file!$C:$C,"Women",Flat_file!$D:$D,"30-34",Flat_file!$E:$E,"840",Flat_file!$F:$F,"U")+SUMIFS(Flat_file!$G:$G,Flat_file!$B:$B,Summary_Unemployed!$B$2,Flat_file!$C:$C,"Women",Flat_file!$D:$D,"30-34",Flat_file!$E:$E,"850",Flat_file!$F:$F,"U")+SUMIFS(Flat_file!$G:$G,Flat_file!$B:$B,Summary_Unemployed!$B$2,Flat_file!$C:$C,"Women",Flat_file!$D:$D,"30-34",Flat_file!$E:$E,"860",Flat_file!$F:$F,"U")</f>
        <v>0</v>
      </c>
      <c r="N22" s="89">
        <f>SUMIFS(Flat_file!$G:$G,Flat_file!$B:$B,Summary_Unemployed!$B$2,Flat_file!$C:$C,"Women",Flat_file!$D:$D,"30-34",Flat_file!$E:$E,"999",Flat_file!$F:$F,"U")</f>
        <v>0</v>
      </c>
      <c r="O22" s="89">
        <f t="shared" si="5"/>
        <v>0</v>
      </c>
      <c r="P22" s="90"/>
      <c r="Q22" s="89">
        <f t="shared" si="6"/>
        <v>0</v>
      </c>
      <c r="R22" s="91"/>
      <c r="S22" s="89">
        <f t="shared" si="7"/>
        <v>0</v>
      </c>
      <c r="T22" s="89">
        <f t="shared" si="8"/>
        <v>0</v>
      </c>
      <c r="U22" s="89">
        <f t="shared" si="9"/>
        <v>0</v>
      </c>
      <c r="V22" s="90"/>
      <c r="W22" s="89">
        <f>SUMIFS(Flat_file!$G:$G,Flat_file!$B:$B,Summary_Unemployed!$B$2,Flat_file!$C:$C,"Women",Flat_file!$D:$D,"30-34",Flat_file!$E:$E,"343",Flat_file!$F:$F,"U")+SUMIFS(Flat_file!$G:$G,Flat_file!$B:$B,Summary_Unemployed!$B$2,Flat_file!$C:$C,"Women",Flat_file!$D:$D,"30-34",Flat_file!$E:$E,"344",Flat_file!$F:$F,"U")+SUMIFS(Flat_file!$G:$G,Flat_file!$B:$B,Summary_Unemployed!$B$2,Flat_file!$C:$C,"Women",Flat_file!$D:$D,"30-34",Flat_file!$E:$E,"443",Flat_file!$F:$F,"U")+SUMIFS(Flat_file!$G:$G,Flat_file!$B:$B,Summary_Unemployed!$B$2,Flat_file!$C:$C,"Women",Flat_file!$D:$D,"30-34",Flat_file!$E:$E,"444",Flat_file!$F:$F,"U")</f>
        <v>0</v>
      </c>
      <c r="X22" s="89">
        <f>SUMIFS(Flat_file!$G:$G,Flat_file!$B:$B,Summary_Unemployed!$B$2,Flat_file!$C:$C,"Women",Flat_file!$D:$D,"30-34",Flat_file!$E:$E,"353",Flat_file!$F:$F,"U")+SUMIFS(Flat_file!$G:$G,Flat_file!$B:$B,Summary_Unemployed!$B$2,Flat_file!$C:$C,"Women",Flat_file!$D:$D,"30-34",Flat_file!$E:$E,"354",Flat_file!$F:$F,"U")+SUMIFS(Flat_file!$G:$G,Flat_file!$B:$B,Summary_Unemployed!$B$2,Flat_file!$C:$C,"Women",Flat_file!$D:$D,"30-34",Flat_file!$E:$E,"453",Flat_file!$F:$F,"U")+SUMIFS(Flat_file!$G:$G,Flat_file!$B:$B,Summary_Unemployed!$B$2,Flat_file!$C:$C,"Women",Flat_file!$D:$D,"30-34",Flat_file!$E:$E,"454",Flat_file!$F:$F,"U")</f>
        <v>0</v>
      </c>
      <c r="Y22" s="90"/>
      <c r="Z22" s="89">
        <f>SUMIFS(Flat_file!$G:$G,Flat_file!$B:$B,Summary_Unemployed!$B$2,Flat_file!$C:$C,"Women",Flat_file!$D:$D,"30-34",Flat_file!$E:$E,"640",Flat_file!$F:$F,"U")+SUMIFS(Flat_file!$G:$G,Flat_file!$B:$B,Summary_Unemployed!$B$2,Flat_file!$C:$C,"Women",Flat_file!$D:$D,"30-34",Flat_file!$E:$E,"740",Flat_file!$F:$F,"U")+SUMIFS(Flat_file!$G:$G,Flat_file!$B:$B,Summary_Unemployed!$B$2,Flat_file!$C:$C,"Women",Flat_file!$D:$D,"30-34",Flat_file!$E:$E,"840",Flat_file!$F:$F,"U")</f>
        <v>0</v>
      </c>
      <c r="AA22" s="89">
        <f>SUMIFS(Flat_file!$G:$G,Flat_file!$B:$B,Summary_Unemployed!$B$2,Flat_file!$C:$C,"Women",Flat_file!$D:$D,"30-34",Flat_file!$E:$E,"650",Flat_file!$F:$F,"U")+SUMIFS(Flat_file!$G:$G,Flat_file!$B:$B,Summary_Unemployed!$B$2,Flat_file!$C:$C,"Women",Flat_file!$D:$D,"30-34",Flat_file!$E:$E,"750",Flat_file!$F:$F,"U")+SUMIFS(Flat_file!$G:$G,Flat_file!$B:$B,Summary_Unemployed!$B$2,Flat_file!$C:$C,"Women",Flat_file!$D:$D,"30-34",Flat_file!$E:$E,"850",Flat_file!$F:$F,"U")</f>
        <v>0</v>
      </c>
      <c r="AB22" s="89">
        <f>SUMIFS(Flat_file!$G:$G,Flat_file!$B:$B,Summary_Unemployed!$B$2,Flat_file!$C:$C,"Women",Flat_file!$D:$D,"30-34",Flat_file!$E:$E,"660",Flat_file!$F:$F,"U")+SUMIFS(Flat_file!$G:$G,Flat_file!$B:$B,Summary_Unemployed!$B$2,Flat_file!$C:$C,"Women",Flat_file!$D:$D,"30-34",Flat_file!$E:$E,"760",Flat_file!$F:$F,"U")+SUMIFS(Flat_file!$G:$G,Flat_file!$B:$B,Summary_Unemployed!$B$2,Flat_file!$C:$C,"Women",Flat_file!$D:$D,"30-34",Flat_file!$E:$E,"860",Flat_file!$F:$F,"U")</f>
        <v>0</v>
      </c>
      <c r="AC22" s="3"/>
      <c r="AD22" s="3"/>
      <c r="AE22" s="3"/>
      <c r="AF22" s="3"/>
      <c r="AG22" s="3"/>
      <c r="AH22" s="3"/>
      <c r="AI22" s="3"/>
      <c r="AJ22" s="3"/>
      <c r="AK22" s="3"/>
      <c r="AL22" s="3"/>
      <c r="AM22" s="3"/>
      <c r="AN22" s="3"/>
      <c r="AO22" s="3"/>
      <c r="AP22" s="3"/>
      <c r="AQ22" s="3"/>
      <c r="AR22" s="3"/>
      <c r="AS22" s="3"/>
    </row>
    <row r="23" spans="1:45" customFormat="1" x14ac:dyDescent="0.2">
      <c r="A23" s="352"/>
      <c r="B23" s="79" t="s">
        <v>91</v>
      </c>
      <c r="C23" s="89">
        <f>SUMIFS(Flat_file!$G:$G,Flat_file!$B:$B,Summary_Unemployed!$B$2,Flat_file!$C:$C,"Women",Flat_file!$D:$D,"35-39",Flat_file!$E:$E,"010",Flat_file!$F:$F,"U")+SUMIFS(Flat_file!$G:$G,Flat_file!$B:$B,Summary_Unemployed!$B$2,Flat_file!$C:$C,"Women",Flat_file!$D:$D,"35-39",Flat_file!$E:$E,"020",Flat_file!$F:$F,"U")+SUMIFS(Flat_file!$G:$G,Flat_file!$B:$B,Summary_Unemployed!$B$2,Flat_file!$C:$C,"Women",Flat_file!$D:$D,"35-39",Flat_file!$E:$E,"030",Flat_file!$F:$F,"U")</f>
        <v>0</v>
      </c>
      <c r="D23" s="89">
        <f>SUMIFS(Flat_file!$G:$G,Flat_file!$B:$B,Summary_Unemployed!$B$2,Flat_file!$C:$C,"Women",Flat_file!$D:$D,"35-39",Flat_file!$E:$E,"100",Flat_file!$F:$F,"U")</f>
        <v>0</v>
      </c>
      <c r="E23" s="89">
        <f>SUMIFS(Flat_file!$G:$G,Flat_file!$B:$B,Summary_Unemployed!$B$2,Flat_file!$C:$C,"Women",Flat_file!$D:$D,"35-39",Flat_file!$E:$E,"242",Flat_file!$F:$F,"U")+SUMIFS(Flat_file!$G:$G,Flat_file!$B:$B,Summary_Unemployed!$B$2,Flat_file!$C:$C,"Women",Flat_file!$D:$D,"35-39",Flat_file!$E:$E,"252",Flat_file!$F:$F,"U")</f>
        <v>0</v>
      </c>
      <c r="F23" s="89">
        <f>SUMIFS(Flat_file!$G:$G,Flat_file!$B:$B,Summary_Unemployed!$B$2,Flat_file!$C:$C,"Women",Flat_file!$D:$D,"35-39",Flat_file!$E:$E,"243",Flat_file!$F:$F,"U")+SUMIFS(Flat_file!$G:$G,Flat_file!$B:$B,Summary_Unemployed!$B$2,Flat_file!$C:$C,"Women",Flat_file!$D:$D,"35-39",Flat_file!$E:$E,"244",Flat_file!$F:$F,"U")+SUMIFS(Flat_file!$G:$G,Flat_file!$B:$B,Summary_Unemployed!$B$2,Flat_file!$C:$C,"Women",Flat_file!$D:$D,"35-39",Flat_file!$E:$E,"253",Flat_file!$F:$F,"U")+SUMIFS(Flat_file!$G:$G,Flat_file!$B:$B,Summary_Unemployed!$B$2,Flat_file!$C:$C,"Women",Flat_file!$D:$D,"35-39",Flat_file!$E:$E,"254",Flat_file!$F:$F,"U")</f>
        <v>0</v>
      </c>
      <c r="G23" s="89">
        <f>SUMIFS(Flat_file!$G:$G,Flat_file!$B:$B,Summary_Unemployed!$B$2,Flat_file!$C:$C,"Women",Flat_file!$D:$D,"35-39",Flat_file!$E:$E,"342",Flat_file!$F:$F,"U")+SUMIFS(Flat_file!$G:$G,Flat_file!$B:$B,Summary_Unemployed!$B$2,Flat_file!$C:$C,"Women",Flat_file!$D:$D,"35-39",Flat_file!$E:$E,"352",Flat_file!$F:$F,"U")</f>
        <v>0</v>
      </c>
      <c r="H23" s="89">
        <f>SUMIFS(Flat_file!$G:$G,Flat_file!$B:$B,Summary_Unemployed!$B$2,Flat_file!$C:$C,"Women",Flat_file!$D:$D,"35-39",Flat_file!$E:$E,"343",Flat_file!$F:$F,"U")+SUMIFS(Flat_file!$G:$G,Flat_file!$B:$B,Summary_Unemployed!$B$2,Flat_file!$C:$C,"Women",Flat_file!$D:$D,"35-39",Flat_file!$E:$E,"344",Flat_file!$F:$F,"U")+SUMIFS(Flat_file!$G:$G,Flat_file!$B:$B,Summary_Unemployed!$B$2,Flat_file!$C:$C,"Women",Flat_file!$D:$D,"35-39",Flat_file!$E:$E,"353",Flat_file!$F:$F,"U")+SUMIFS(Flat_file!$G:$G,Flat_file!$B:$B,Summary_Unemployed!$B$2,Flat_file!$C:$C,"Women",Flat_file!$D:$D,"35-39",Flat_file!$E:$E,"354",Flat_file!$F:$F,"U")</f>
        <v>0</v>
      </c>
      <c r="I23" s="89">
        <f>SUMIFS(Flat_file!$G:$G,Flat_file!$B:$B,Summary_Unemployed!$B$2,Flat_file!$C:$C,"Women",Flat_file!$D:$D,"35-39",Flat_file!$E:$E,"443",Flat_file!$F:$F,"U")+SUMIFS(Flat_file!$G:$G,Flat_file!$B:$B,Summary_Unemployed!$B$2,Flat_file!$C:$C,"Women",Flat_file!$D:$D,"35-39",Flat_file!$E:$E,"444",Flat_file!$F:$F,"U")+SUMIFS(Flat_file!$G:$G,Flat_file!$B:$B,Summary_Unemployed!$B$2,Flat_file!$C:$C,"Women",Flat_file!$D:$D,"35-39",Flat_file!$E:$E,"453",Flat_file!$F:$F,"U")+SUMIFS(Flat_file!$G:$G,Flat_file!$B:$B,Summary_Unemployed!$B$2,Flat_file!$C:$C,"Women",Flat_file!$D:$D,"35-39",Flat_file!$E:$E,"454",Flat_file!$F:$F,"U")</f>
        <v>0</v>
      </c>
      <c r="J23" s="89">
        <f>SUMIFS(Flat_file!$G:$G,Flat_file!$B:$B,Summary_Unemployed!$B$2,Flat_file!$C:$C,"Women",Flat_file!$D:$D,"35-39",Flat_file!$E:$E,"540",Flat_file!$F:$F,"U")+SUMIFS(Flat_file!$G:$G,Flat_file!$B:$B,Summary_Unemployed!$B$2,Flat_file!$C:$C,"Women",Flat_file!$D:$D,"35-39",Flat_file!$E:$E,"550",Flat_file!$F:$F,"U")+SUMIFS(Flat_file!$G:$G,Flat_file!$B:$B,Summary_Unemployed!$B$2,Flat_file!$C:$C,"Women",Flat_file!$D:$D,"35-39",Flat_file!$E:$E,"560",Flat_file!$F:$F,"U")</f>
        <v>0</v>
      </c>
      <c r="K23" s="89">
        <f>SUMIFS(Flat_file!$G:$G,Flat_file!$B:$B,Summary_Unemployed!$B$2,Flat_file!$C:$C,"Women",Flat_file!$D:$D,"35-39",Flat_file!$E:$E,"640",Flat_file!$F:$F,"U")+SUMIFS(Flat_file!$G:$G,Flat_file!$B:$B,Summary_Unemployed!$B$2,Flat_file!$C:$C,"Women",Flat_file!$D:$D,"35-39",Flat_file!$E:$E,"650",Flat_file!$F:$F,"U")+SUMIFS(Flat_file!$G:$G,Flat_file!$B:$B,Summary_Unemployed!$B$2,Flat_file!$C:$C,"Women",Flat_file!$D:$D,"35-39",Flat_file!$E:$E,"660",Flat_file!$F:$F,"U")</f>
        <v>0</v>
      </c>
      <c r="L23" s="89">
        <f>SUMIFS(Flat_file!$G:$G,Flat_file!$B:$B,Summary_Unemployed!$B$2,Flat_file!$C:$C,"Women",Flat_file!$D:$D,"35-39",Flat_file!$E:$E,"740",Flat_file!$F:$F,"U")+SUMIFS(Flat_file!$G:$G,Flat_file!$B:$B,Summary_Unemployed!$B$2,Flat_file!$C:$C,"Women",Flat_file!$D:$D,"35-39",Flat_file!$E:$E,"750",Flat_file!$F:$F,"U")+SUMIFS(Flat_file!$G:$G,Flat_file!$B:$B,Summary_Unemployed!$B$2,Flat_file!$C:$C,"Women",Flat_file!$D:$D,"35-39",Flat_file!$E:$E,"760",Flat_file!$F:$F,"U")</f>
        <v>0</v>
      </c>
      <c r="M23" s="89">
        <f>SUMIFS(Flat_file!$G:$G,Flat_file!$B:$B,Summary_Unemployed!$B$2,Flat_file!$C:$C,"Women",Flat_file!$D:$D,"35-39",Flat_file!$E:$E,"840",Flat_file!$F:$F,"U")+SUMIFS(Flat_file!$G:$G,Flat_file!$B:$B,Summary_Unemployed!$B$2,Flat_file!$C:$C,"Women",Flat_file!$D:$D,"35-39",Flat_file!$E:$E,"850",Flat_file!$F:$F,"U")+SUMIFS(Flat_file!$G:$G,Flat_file!$B:$B,Summary_Unemployed!$B$2,Flat_file!$C:$C,"Women",Flat_file!$D:$D,"35-39",Flat_file!$E:$E,"860",Flat_file!$F:$F,"U")</f>
        <v>0</v>
      </c>
      <c r="N23" s="89">
        <f>SUMIFS(Flat_file!$G:$G,Flat_file!$B:$B,Summary_Unemployed!$B$2,Flat_file!$C:$C,"Women",Flat_file!$D:$D,"35-39",Flat_file!$E:$E,"999",Flat_file!$F:$F,"U")</f>
        <v>0</v>
      </c>
      <c r="O23" s="89">
        <f t="shared" si="5"/>
        <v>0</v>
      </c>
      <c r="P23" s="90"/>
      <c r="Q23" s="89">
        <f t="shared" si="6"/>
        <v>0</v>
      </c>
      <c r="R23" s="91"/>
      <c r="S23" s="89">
        <f t="shared" si="7"/>
        <v>0</v>
      </c>
      <c r="T23" s="89">
        <f t="shared" si="8"/>
        <v>0</v>
      </c>
      <c r="U23" s="89">
        <f t="shared" si="9"/>
        <v>0</v>
      </c>
      <c r="V23" s="90"/>
      <c r="W23" s="89">
        <f>SUMIFS(Flat_file!$G:$G,Flat_file!$B:$B,Summary_Unemployed!$B$2,Flat_file!$C:$C,"Women",Flat_file!$D:$D,"35-39",Flat_file!$E:$E,"343",Flat_file!$F:$F,"U")+SUMIFS(Flat_file!$G:$G,Flat_file!$B:$B,Summary_Unemployed!$B$2,Flat_file!$C:$C,"Women",Flat_file!$D:$D,"35-39",Flat_file!$E:$E,"344",Flat_file!$F:$F,"U")+SUMIFS(Flat_file!$G:$G,Flat_file!$B:$B,Summary_Unemployed!$B$2,Flat_file!$C:$C,"Women",Flat_file!$D:$D,"35-39",Flat_file!$E:$E,"443",Flat_file!$F:$F,"U")+SUMIFS(Flat_file!$G:$G,Flat_file!$B:$B,Summary_Unemployed!$B$2,Flat_file!$C:$C,"Women",Flat_file!$D:$D,"35-39",Flat_file!$E:$E,"444",Flat_file!$F:$F,"U")</f>
        <v>0</v>
      </c>
      <c r="X23" s="89">
        <f>SUMIFS(Flat_file!$G:$G,Flat_file!$B:$B,Summary_Unemployed!$B$2,Flat_file!$C:$C,"Women",Flat_file!$D:$D,"35-39",Flat_file!$E:$E,"353",Flat_file!$F:$F,"U")+SUMIFS(Flat_file!$G:$G,Flat_file!$B:$B,Summary_Unemployed!$B$2,Flat_file!$C:$C,"Women",Flat_file!$D:$D,"35-39",Flat_file!$E:$E,"354",Flat_file!$F:$F,"U")+SUMIFS(Flat_file!$G:$G,Flat_file!$B:$B,Summary_Unemployed!$B$2,Flat_file!$C:$C,"Women",Flat_file!$D:$D,"35-39",Flat_file!$E:$E,"453",Flat_file!$F:$F,"U")+SUMIFS(Flat_file!$G:$G,Flat_file!$B:$B,Summary_Unemployed!$B$2,Flat_file!$C:$C,"Women",Flat_file!$D:$D,"35-39",Flat_file!$E:$E,"454",Flat_file!$F:$F,"U")</f>
        <v>0</v>
      </c>
      <c r="Y23" s="90"/>
      <c r="Z23" s="89">
        <f>SUMIFS(Flat_file!$G:$G,Flat_file!$B:$B,Summary_Unemployed!$B$2,Flat_file!$C:$C,"Women",Flat_file!$D:$D,"35-39",Flat_file!$E:$E,"640",Flat_file!$F:$F,"U")+SUMIFS(Flat_file!$G:$G,Flat_file!$B:$B,Summary_Unemployed!$B$2,Flat_file!$C:$C,"Women",Flat_file!$D:$D,"35-39",Flat_file!$E:$E,"740",Flat_file!$F:$F,"U")+SUMIFS(Flat_file!$G:$G,Flat_file!$B:$B,Summary_Unemployed!$B$2,Flat_file!$C:$C,"Women",Flat_file!$D:$D,"35-39",Flat_file!$E:$E,"840",Flat_file!$F:$F,"U")</f>
        <v>0</v>
      </c>
      <c r="AA23" s="89">
        <f>SUMIFS(Flat_file!$G:$G,Flat_file!$B:$B,Summary_Unemployed!$B$2,Flat_file!$C:$C,"Women",Flat_file!$D:$D,"35-39",Flat_file!$E:$E,"650",Flat_file!$F:$F,"U")+SUMIFS(Flat_file!$G:$G,Flat_file!$B:$B,Summary_Unemployed!$B$2,Flat_file!$C:$C,"Women",Flat_file!$D:$D,"35-39",Flat_file!$E:$E,"750",Flat_file!$F:$F,"U")+SUMIFS(Flat_file!$G:$G,Flat_file!$B:$B,Summary_Unemployed!$B$2,Flat_file!$C:$C,"Women",Flat_file!$D:$D,"35-39",Flat_file!$E:$E,"850",Flat_file!$F:$F,"U")</f>
        <v>0</v>
      </c>
      <c r="AB23" s="89">
        <f>SUMIFS(Flat_file!$G:$G,Flat_file!$B:$B,Summary_Unemployed!$B$2,Flat_file!$C:$C,"Women",Flat_file!$D:$D,"35-39",Flat_file!$E:$E,"660",Flat_file!$F:$F,"U")+SUMIFS(Flat_file!$G:$G,Flat_file!$B:$B,Summary_Unemployed!$B$2,Flat_file!$C:$C,"Women",Flat_file!$D:$D,"35-39",Flat_file!$E:$E,"760",Flat_file!$F:$F,"U")+SUMIFS(Flat_file!$G:$G,Flat_file!$B:$B,Summary_Unemployed!$B$2,Flat_file!$C:$C,"Women",Flat_file!$D:$D,"35-39",Flat_file!$E:$E,"860",Flat_file!$F:$F,"U")</f>
        <v>0</v>
      </c>
      <c r="AC23" s="3"/>
      <c r="AD23" s="3"/>
      <c r="AE23" s="3"/>
      <c r="AF23" s="3"/>
      <c r="AG23" s="3"/>
      <c r="AH23" s="3"/>
      <c r="AI23" s="3"/>
      <c r="AJ23" s="3"/>
      <c r="AK23" s="3"/>
      <c r="AL23" s="3"/>
      <c r="AM23" s="3"/>
      <c r="AN23" s="3"/>
      <c r="AO23" s="3"/>
      <c r="AP23" s="3"/>
      <c r="AQ23" s="3"/>
      <c r="AR23" s="3"/>
      <c r="AS23" s="3"/>
    </row>
    <row r="24" spans="1:45" customFormat="1" x14ac:dyDescent="0.2">
      <c r="A24" s="352"/>
      <c r="B24" s="79" t="s">
        <v>92</v>
      </c>
      <c r="C24" s="89">
        <f>SUMIFS(Flat_file!$G:$G,Flat_file!$B:$B,Summary_Unemployed!$B$2,Flat_file!$C:$C,"Women",Flat_file!$D:$D,"40-44",Flat_file!$E:$E,"010",Flat_file!$F:$F,"U")+SUMIFS(Flat_file!$G:$G,Flat_file!$B:$B,Summary_Unemployed!$B$2,Flat_file!$C:$C,"Women",Flat_file!$D:$D,"40-44",Flat_file!$E:$E,"020",Flat_file!$F:$F,"U")+SUMIFS(Flat_file!$G:$G,Flat_file!$B:$B,Summary_Unemployed!$B$2,Flat_file!$C:$C,"Women",Flat_file!$D:$D,"40-44",Flat_file!$E:$E,"030",Flat_file!$F:$F,"U")</f>
        <v>0</v>
      </c>
      <c r="D24" s="89">
        <f>SUMIFS(Flat_file!$G:$G,Flat_file!$B:$B,Summary_Unemployed!$B$2,Flat_file!$C:$C,"Women",Flat_file!$D:$D,"40-44",Flat_file!$E:$E,"100",Flat_file!$F:$F,"U")</f>
        <v>0</v>
      </c>
      <c r="E24" s="89">
        <f>SUMIFS(Flat_file!$G:$G,Flat_file!$B:$B,Summary_Unemployed!$B$2,Flat_file!$C:$C,"Women",Flat_file!$D:$D,"40-44",Flat_file!$E:$E,"242",Flat_file!$F:$F,"U")+SUMIFS(Flat_file!$G:$G,Flat_file!$B:$B,Summary_Unemployed!$B$2,Flat_file!$C:$C,"Women",Flat_file!$D:$D,"40-44",Flat_file!$E:$E,"252",Flat_file!$F:$F,"U")</f>
        <v>0</v>
      </c>
      <c r="F24" s="89">
        <f>SUMIFS(Flat_file!$G:$G,Flat_file!$B:$B,Summary_Unemployed!$B$2,Flat_file!$C:$C,"Women",Flat_file!$D:$D,"40-44",Flat_file!$E:$E,"243",Flat_file!$F:$F,"U")+SUMIFS(Flat_file!$G:$G,Flat_file!$B:$B,Summary_Unemployed!$B$2,Flat_file!$C:$C,"Women",Flat_file!$D:$D,"40-44",Flat_file!$E:$E,"244",Flat_file!$F:$F,"U")+SUMIFS(Flat_file!$G:$G,Flat_file!$B:$B,Summary_Unemployed!$B$2,Flat_file!$C:$C,"Women",Flat_file!$D:$D,"40-44",Flat_file!$E:$E,"253",Flat_file!$F:$F,"U")+SUMIFS(Flat_file!$G:$G,Flat_file!$B:$B,Summary_Unemployed!$B$2,Flat_file!$C:$C,"Women",Flat_file!$D:$D,"40-44",Flat_file!$E:$E,"254",Flat_file!$F:$F,"U")</f>
        <v>0</v>
      </c>
      <c r="G24" s="89">
        <f>SUMIFS(Flat_file!$G:$G,Flat_file!$B:$B,Summary_Unemployed!$B$2,Flat_file!$C:$C,"Women",Flat_file!$D:$D,"40-44",Flat_file!$E:$E,"342",Flat_file!$F:$F,"U")+SUMIFS(Flat_file!$G:$G,Flat_file!$B:$B,Summary_Unemployed!$B$2,Flat_file!$C:$C,"Women",Flat_file!$D:$D,"40-44",Flat_file!$E:$E,"352",Flat_file!$F:$F,"U")</f>
        <v>0</v>
      </c>
      <c r="H24" s="89">
        <f>SUMIFS(Flat_file!$G:$G,Flat_file!$B:$B,Summary_Unemployed!$B$2,Flat_file!$C:$C,"Women",Flat_file!$D:$D,"40-44",Flat_file!$E:$E,"343",Flat_file!$F:$F,"U")+SUMIFS(Flat_file!$G:$G,Flat_file!$B:$B,Summary_Unemployed!$B$2,Flat_file!$C:$C,"Women",Flat_file!$D:$D,"40-44",Flat_file!$E:$E,"344",Flat_file!$F:$F,"U")+SUMIFS(Flat_file!$G:$G,Flat_file!$B:$B,Summary_Unemployed!$B$2,Flat_file!$C:$C,"Women",Flat_file!$D:$D,"40-44",Flat_file!$E:$E,"353",Flat_file!$F:$F,"U")+SUMIFS(Flat_file!$G:$G,Flat_file!$B:$B,Summary_Unemployed!$B$2,Flat_file!$C:$C,"Women",Flat_file!$D:$D,"40-44",Flat_file!$E:$E,"354",Flat_file!$F:$F,"U")</f>
        <v>0</v>
      </c>
      <c r="I24" s="89">
        <f>SUMIFS(Flat_file!$G:$G,Flat_file!$B:$B,Summary_Unemployed!$B$2,Flat_file!$C:$C,"Women",Flat_file!$D:$D,"40-44",Flat_file!$E:$E,"443",Flat_file!$F:$F,"U")+SUMIFS(Flat_file!$G:$G,Flat_file!$B:$B,Summary_Unemployed!$B$2,Flat_file!$C:$C,"Women",Flat_file!$D:$D,"40-44",Flat_file!$E:$E,"444",Flat_file!$F:$F,"U")+SUMIFS(Flat_file!$G:$G,Flat_file!$B:$B,Summary_Unemployed!$B$2,Flat_file!$C:$C,"Women",Flat_file!$D:$D,"40-44",Flat_file!$E:$E,"453",Flat_file!$F:$F,"U")+SUMIFS(Flat_file!$G:$G,Flat_file!$B:$B,Summary_Unemployed!$B$2,Flat_file!$C:$C,"Women",Flat_file!$D:$D,"40-44",Flat_file!$E:$E,"454",Flat_file!$F:$F,"U")</f>
        <v>0</v>
      </c>
      <c r="J24" s="89">
        <f>SUMIFS(Flat_file!$G:$G,Flat_file!$B:$B,Summary_Unemployed!$B$2,Flat_file!$C:$C,"Women",Flat_file!$D:$D,"40-44",Flat_file!$E:$E,"540",Flat_file!$F:$F,"U")+SUMIFS(Flat_file!$G:$G,Flat_file!$B:$B,Summary_Unemployed!$B$2,Flat_file!$C:$C,"Women",Flat_file!$D:$D,"40-44",Flat_file!$E:$E,"550",Flat_file!$F:$F,"U")+SUMIFS(Flat_file!$G:$G,Flat_file!$B:$B,Summary_Unemployed!$B$2,Flat_file!$C:$C,"Women",Flat_file!$D:$D,"40-44",Flat_file!$E:$E,"560",Flat_file!$F:$F,"U")</f>
        <v>0</v>
      </c>
      <c r="K24" s="89">
        <f>SUMIFS(Flat_file!$G:$G,Flat_file!$B:$B,Summary_Unemployed!$B$2,Flat_file!$C:$C,"Women",Flat_file!$D:$D,"40-44",Flat_file!$E:$E,"640",Flat_file!$F:$F,"U")+SUMIFS(Flat_file!$G:$G,Flat_file!$B:$B,Summary_Unemployed!$B$2,Flat_file!$C:$C,"Women",Flat_file!$D:$D,"40-44",Flat_file!$E:$E,"650",Flat_file!$F:$F,"U")+SUMIFS(Flat_file!$G:$G,Flat_file!$B:$B,Summary_Unemployed!$B$2,Flat_file!$C:$C,"Women",Flat_file!$D:$D,"40-44",Flat_file!$E:$E,"660",Flat_file!$F:$F,"U")</f>
        <v>0</v>
      </c>
      <c r="L24" s="89">
        <f>SUMIFS(Flat_file!$G:$G,Flat_file!$B:$B,Summary_Unemployed!$B$2,Flat_file!$C:$C,"Women",Flat_file!$D:$D,"40-44",Flat_file!$E:$E,"740",Flat_file!$F:$F,"U")+SUMIFS(Flat_file!$G:$G,Flat_file!$B:$B,Summary_Unemployed!$B$2,Flat_file!$C:$C,"Women",Flat_file!$D:$D,"40-44",Flat_file!$E:$E,"750",Flat_file!$F:$F,"U")+SUMIFS(Flat_file!$G:$G,Flat_file!$B:$B,Summary_Unemployed!$B$2,Flat_file!$C:$C,"Women",Flat_file!$D:$D,"40-44",Flat_file!$E:$E,"760",Flat_file!$F:$F,"U")</f>
        <v>0</v>
      </c>
      <c r="M24" s="89">
        <f>SUMIFS(Flat_file!$G:$G,Flat_file!$B:$B,Summary_Unemployed!$B$2,Flat_file!$C:$C,"Women",Flat_file!$D:$D,"40-44",Flat_file!$E:$E,"840",Flat_file!$F:$F,"U")+SUMIFS(Flat_file!$G:$G,Flat_file!$B:$B,Summary_Unemployed!$B$2,Flat_file!$C:$C,"Women",Flat_file!$D:$D,"40-44",Flat_file!$E:$E,"850",Flat_file!$F:$F,"U")+SUMIFS(Flat_file!$G:$G,Flat_file!$B:$B,Summary_Unemployed!$B$2,Flat_file!$C:$C,"Women",Flat_file!$D:$D,"40-44",Flat_file!$E:$E,"860",Flat_file!$F:$F,"U")</f>
        <v>0</v>
      </c>
      <c r="N24" s="89">
        <f>SUMIFS(Flat_file!$G:$G,Flat_file!$B:$B,Summary_Unemployed!$B$2,Flat_file!$C:$C,"Women",Flat_file!$D:$D,"40-44",Flat_file!$E:$E,"999",Flat_file!$F:$F,"U")</f>
        <v>0</v>
      </c>
      <c r="O24" s="89">
        <f t="shared" si="5"/>
        <v>0</v>
      </c>
      <c r="P24" s="90"/>
      <c r="Q24" s="89">
        <f t="shared" si="6"/>
        <v>0</v>
      </c>
      <c r="R24" s="91"/>
      <c r="S24" s="89">
        <f t="shared" si="7"/>
        <v>0</v>
      </c>
      <c r="T24" s="89">
        <f t="shared" si="8"/>
        <v>0</v>
      </c>
      <c r="U24" s="89">
        <f t="shared" si="9"/>
        <v>0</v>
      </c>
      <c r="V24" s="90"/>
      <c r="W24" s="89">
        <f>SUMIFS(Flat_file!$G:$G,Flat_file!$B:$B,Summary_Unemployed!$B$2,Flat_file!$C:$C,"Women",Flat_file!$D:$D,"40-44",Flat_file!$E:$E,"343",Flat_file!$F:$F,"U")+SUMIFS(Flat_file!$G:$G,Flat_file!$B:$B,Summary_Unemployed!$B$2,Flat_file!$C:$C,"Women",Flat_file!$D:$D,"40-44",Flat_file!$E:$E,"344",Flat_file!$F:$F,"U")+SUMIFS(Flat_file!$G:$G,Flat_file!$B:$B,Summary_Unemployed!$B$2,Flat_file!$C:$C,"Women",Flat_file!$D:$D,"40-44",Flat_file!$E:$E,"443",Flat_file!$F:$F,"U")+SUMIFS(Flat_file!$G:$G,Flat_file!$B:$B,Summary_Unemployed!$B$2,Flat_file!$C:$C,"Women",Flat_file!$D:$D,"40-44",Flat_file!$E:$E,"444",Flat_file!$F:$F,"U")</f>
        <v>0</v>
      </c>
      <c r="X24" s="89">
        <f>SUMIFS(Flat_file!$G:$G,Flat_file!$B:$B,Summary_Unemployed!$B$2,Flat_file!$C:$C,"Women",Flat_file!$D:$D,"40-44",Flat_file!$E:$E,"353",Flat_file!$F:$F,"U")+SUMIFS(Flat_file!$G:$G,Flat_file!$B:$B,Summary_Unemployed!$B$2,Flat_file!$C:$C,"Women",Flat_file!$D:$D,"40-44",Flat_file!$E:$E,"354",Flat_file!$F:$F,"U")+SUMIFS(Flat_file!$G:$G,Flat_file!$B:$B,Summary_Unemployed!$B$2,Flat_file!$C:$C,"Women",Flat_file!$D:$D,"40-44",Flat_file!$E:$E,"453",Flat_file!$F:$F,"U")+SUMIFS(Flat_file!$G:$G,Flat_file!$B:$B,Summary_Unemployed!$B$2,Flat_file!$C:$C,"Women",Flat_file!$D:$D,"40-44",Flat_file!$E:$E,"454",Flat_file!$F:$F,"U")</f>
        <v>0</v>
      </c>
      <c r="Y24" s="90"/>
      <c r="Z24" s="89">
        <f>SUMIFS(Flat_file!$G:$G,Flat_file!$B:$B,Summary_Unemployed!$B$2,Flat_file!$C:$C,"Women",Flat_file!$D:$D,"40-44",Flat_file!$E:$E,"640",Flat_file!$F:$F,"U")+SUMIFS(Flat_file!$G:$G,Flat_file!$B:$B,Summary_Unemployed!$B$2,Flat_file!$C:$C,"Women",Flat_file!$D:$D,"40-44",Flat_file!$E:$E,"740",Flat_file!$F:$F,"U")+SUMIFS(Flat_file!$G:$G,Flat_file!$B:$B,Summary_Unemployed!$B$2,Flat_file!$C:$C,"Women",Flat_file!$D:$D,"40-44",Flat_file!$E:$E,"840",Flat_file!$F:$F,"U")</f>
        <v>0</v>
      </c>
      <c r="AA24" s="89">
        <f>SUMIFS(Flat_file!$G:$G,Flat_file!$B:$B,Summary_Unemployed!$B$2,Flat_file!$C:$C,"Women",Flat_file!$D:$D,"40-44",Flat_file!$E:$E,"650",Flat_file!$F:$F,"U")+SUMIFS(Flat_file!$G:$G,Flat_file!$B:$B,Summary_Unemployed!$B$2,Flat_file!$C:$C,"Women",Flat_file!$D:$D,"40-44",Flat_file!$E:$E,"750",Flat_file!$F:$F,"U")+SUMIFS(Flat_file!$G:$G,Flat_file!$B:$B,Summary_Unemployed!$B$2,Flat_file!$C:$C,"Women",Flat_file!$D:$D,"40-44",Flat_file!$E:$E,"850",Flat_file!$F:$F,"U")</f>
        <v>0</v>
      </c>
      <c r="AB24" s="89">
        <f>SUMIFS(Flat_file!$G:$G,Flat_file!$B:$B,Summary_Unemployed!$B$2,Flat_file!$C:$C,"Women",Flat_file!$D:$D,"40-44",Flat_file!$E:$E,"660",Flat_file!$F:$F,"U")+SUMIFS(Flat_file!$G:$G,Flat_file!$B:$B,Summary_Unemployed!$B$2,Flat_file!$C:$C,"Women",Flat_file!$D:$D,"40-44",Flat_file!$E:$E,"760",Flat_file!$F:$F,"U")+SUMIFS(Flat_file!$G:$G,Flat_file!$B:$B,Summary_Unemployed!$B$2,Flat_file!$C:$C,"Women",Flat_file!$D:$D,"40-44",Flat_file!$E:$E,"860",Flat_file!$F:$F,"U")</f>
        <v>0</v>
      </c>
      <c r="AC24" s="3"/>
      <c r="AD24" s="3"/>
      <c r="AE24" s="3"/>
      <c r="AF24" s="3"/>
      <c r="AG24" s="3"/>
      <c r="AH24" s="3"/>
      <c r="AI24" s="3"/>
      <c r="AJ24" s="3"/>
      <c r="AK24" s="3"/>
      <c r="AL24" s="3"/>
      <c r="AM24" s="3"/>
      <c r="AN24" s="3"/>
      <c r="AO24" s="3"/>
      <c r="AP24" s="3"/>
      <c r="AQ24" s="3"/>
      <c r="AR24" s="3"/>
      <c r="AS24" s="3"/>
    </row>
    <row r="25" spans="1:45" customFormat="1" x14ac:dyDescent="0.2">
      <c r="A25" s="352"/>
      <c r="B25" s="79" t="s">
        <v>93</v>
      </c>
      <c r="C25" s="89">
        <f>SUMIFS(Flat_file!$G:$G,Flat_file!$B:$B,Summary_Unemployed!$B$2,Flat_file!$C:$C,"Women",Flat_file!$D:$D,"45-49",Flat_file!$E:$E,"010",Flat_file!$F:$F,"U")+SUMIFS(Flat_file!$G:$G,Flat_file!$B:$B,Summary_Unemployed!$B$2,Flat_file!$C:$C,"Women",Flat_file!$D:$D,"45-49",Flat_file!$E:$E,"020",Flat_file!$F:$F,"U")+SUMIFS(Flat_file!$G:$G,Flat_file!$B:$B,Summary_Unemployed!$B$2,Flat_file!$C:$C,"Women",Flat_file!$D:$D,"45-49",Flat_file!$E:$E,"030",Flat_file!$F:$F,"U")</f>
        <v>0</v>
      </c>
      <c r="D25" s="89">
        <f>SUMIFS(Flat_file!$G:$G,Flat_file!$B:$B,Summary_Unemployed!$B$2,Flat_file!$C:$C,"Women",Flat_file!$D:$D,"45-49",Flat_file!$E:$E,"100",Flat_file!$F:$F,"U")</f>
        <v>0</v>
      </c>
      <c r="E25" s="89">
        <f>SUMIFS(Flat_file!$G:$G,Flat_file!$B:$B,Summary_Unemployed!$B$2,Flat_file!$C:$C,"Women",Flat_file!$D:$D,"45-49",Flat_file!$E:$E,"242",Flat_file!$F:$F,"U")+SUMIFS(Flat_file!$G:$G,Flat_file!$B:$B,Summary_Unemployed!$B$2,Flat_file!$C:$C,"Women",Flat_file!$D:$D,"45-49",Flat_file!$E:$E,"252",Flat_file!$F:$F,"U")</f>
        <v>0</v>
      </c>
      <c r="F25" s="89">
        <f>SUMIFS(Flat_file!$G:$G,Flat_file!$B:$B,Summary_Unemployed!$B$2,Flat_file!$C:$C,"Women",Flat_file!$D:$D,"45-49",Flat_file!$E:$E,"243",Flat_file!$F:$F,"U")+SUMIFS(Flat_file!$G:$G,Flat_file!$B:$B,Summary_Unemployed!$B$2,Flat_file!$C:$C,"Women",Flat_file!$D:$D,"45-49",Flat_file!$E:$E,"244",Flat_file!$F:$F,"U")+SUMIFS(Flat_file!$G:$G,Flat_file!$B:$B,Summary_Unemployed!$B$2,Flat_file!$C:$C,"Women",Flat_file!$D:$D,"45-49",Flat_file!$E:$E,"253",Flat_file!$F:$F,"U")+SUMIFS(Flat_file!$G:$G,Flat_file!$B:$B,Summary_Unemployed!$B$2,Flat_file!$C:$C,"Women",Flat_file!$D:$D,"45-49",Flat_file!$E:$E,"254",Flat_file!$F:$F,"U")</f>
        <v>0</v>
      </c>
      <c r="G25" s="89">
        <f>SUMIFS(Flat_file!$G:$G,Flat_file!$B:$B,Summary_Unemployed!$B$2,Flat_file!$C:$C,"Women",Flat_file!$D:$D,"45-49",Flat_file!$E:$E,"342",Flat_file!$F:$F,"U")+SUMIFS(Flat_file!$G:$G,Flat_file!$B:$B,Summary_Unemployed!$B$2,Flat_file!$C:$C,"Women",Flat_file!$D:$D,"45-49",Flat_file!$E:$E,"352",Flat_file!$F:$F,"U")</f>
        <v>0</v>
      </c>
      <c r="H25" s="89">
        <f>SUMIFS(Flat_file!$G:$G,Flat_file!$B:$B,Summary_Unemployed!$B$2,Flat_file!$C:$C,"Women",Flat_file!$D:$D,"45-49",Flat_file!$E:$E,"343",Flat_file!$F:$F,"U")+SUMIFS(Flat_file!$G:$G,Flat_file!$B:$B,Summary_Unemployed!$B$2,Flat_file!$C:$C,"Women",Flat_file!$D:$D,"45-49",Flat_file!$E:$E,"344",Flat_file!$F:$F,"U")+SUMIFS(Flat_file!$G:$G,Flat_file!$B:$B,Summary_Unemployed!$B$2,Flat_file!$C:$C,"Women",Flat_file!$D:$D,"45-49",Flat_file!$E:$E,"353",Flat_file!$F:$F,"U")+SUMIFS(Flat_file!$G:$G,Flat_file!$B:$B,Summary_Unemployed!$B$2,Flat_file!$C:$C,"Women",Flat_file!$D:$D,"45-49",Flat_file!$E:$E,"354",Flat_file!$F:$F,"U")</f>
        <v>0</v>
      </c>
      <c r="I25" s="89">
        <f>SUMIFS(Flat_file!$G:$G,Flat_file!$B:$B,Summary_Unemployed!$B$2,Flat_file!$C:$C,"Women",Flat_file!$D:$D,"45-49",Flat_file!$E:$E,"443",Flat_file!$F:$F,"U")+SUMIFS(Flat_file!$G:$G,Flat_file!$B:$B,Summary_Unemployed!$B$2,Flat_file!$C:$C,"Women",Flat_file!$D:$D,"45-49",Flat_file!$E:$E,"444",Flat_file!$F:$F,"U")+SUMIFS(Flat_file!$G:$G,Flat_file!$B:$B,Summary_Unemployed!$B$2,Flat_file!$C:$C,"Women",Flat_file!$D:$D,"45-49",Flat_file!$E:$E,"453",Flat_file!$F:$F,"U")+SUMIFS(Flat_file!$G:$G,Flat_file!$B:$B,Summary_Unemployed!$B$2,Flat_file!$C:$C,"Women",Flat_file!$D:$D,"45-49",Flat_file!$E:$E,"454",Flat_file!$F:$F,"U")</f>
        <v>0</v>
      </c>
      <c r="J25" s="89">
        <f>SUMIFS(Flat_file!$G:$G,Flat_file!$B:$B,Summary_Unemployed!$B$2,Flat_file!$C:$C,"Women",Flat_file!$D:$D,"45-49",Flat_file!$E:$E,"540",Flat_file!$F:$F,"U")+SUMIFS(Flat_file!$G:$G,Flat_file!$B:$B,Summary_Unemployed!$B$2,Flat_file!$C:$C,"Women",Flat_file!$D:$D,"45-49",Flat_file!$E:$E,"550",Flat_file!$F:$F,"U")+SUMIFS(Flat_file!$G:$G,Flat_file!$B:$B,Summary_Unemployed!$B$2,Flat_file!$C:$C,"Women",Flat_file!$D:$D,"45-49",Flat_file!$E:$E,"560",Flat_file!$F:$F,"U")</f>
        <v>0</v>
      </c>
      <c r="K25" s="89">
        <f>SUMIFS(Flat_file!$G:$G,Flat_file!$B:$B,Summary_Unemployed!$B$2,Flat_file!$C:$C,"Women",Flat_file!$D:$D,"45-49",Flat_file!$E:$E,"640",Flat_file!$F:$F,"U")+SUMIFS(Flat_file!$G:$G,Flat_file!$B:$B,Summary_Unemployed!$B$2,Flat_file!$C:$C,"Women",Flat_file!$D:$D,"45-49",Flat_file!$E:$E,"650",Flat_file!$F:$F,"U")+SUMIFS(Flat_file!$G:$G,Flat_file!$B:$B,Summary_Unemployed!$B$2,Flat_file!$C:$C,"Women",Flat_file!$D:$D,"45-49",Flat_file!$E:$E,"660",Flat_file!$F:$F,"U")</f>
        <v>0</v>
      </c>
      <c r="L25" s="89">
        <f>SUMIFS(Flat_file!$G:$G,Flat_file!$B:$B,Summary_Unemployed!$B$2,Flat_file!$C:$C,"Women",Flat_file!$D:$D,"45-49",Flat_file!$E:$E,"740",Flat_file!$F:$F,"U")+SUMIFS(Flat_file!$G:$G,Flat_file!$B:$B,Summary_Unemployed!$B$2,Flat_file!$C:$C,"Women",Flat_file!$D:$D,"45-49",Flat_file!$E:$E,"750",Flat_file!$F:$F,"U")+SUMIFS(Flat_file!$G:$G,Flat_file!$B:$B,Summary_Unemployed!$B$2,Flat_file!$C:$C,"Women",Flat_file!$D:$D,"45-49",Flat_file!$E:$E,"760",Flat_file!$F:$F,"U")</f>
        <v>0</v>
      </c>
      <c r="M25" s="89">
        <f>SUMIFS(Flat_file!$G:$G,Flat_file!$B:$B,Summary_Unemployed!$B$2,Flat_file!$C:$C,"Women",Flat_file!$D:$D,"45-49",Flat_file!$E:$E,"840",Flat_file!$F:$F,"U")+SUMIFS(Flat_file!$G:$G,Flat_file!$B:$B,Summary_Unemployed!$B$2,Flat_file!$C:$C,"Women",Flat_file!$D:$D,"45-49",Flat_file!$E:$E,"850",Flat_file!$F:$F,"U")+SUMIFS(Flat_file!$G:$G,Flat_file!$B:$B,Summary_Unemployed!$B$2,Flat_file!$C:$C,"Women",Flat_file!$D:$D,"45-49",Flat_file!$E:$E,"860",Flat_file!$F:$F,"U")</f>
        <v>0</v>
      </c>
      <c r="N25" s="89">
        <f>SUMIFS(Flat_file!$G:$G,Flat_file!$B:$B,Summary_Unemployed!$B$2,Flat_file!$C:$C,"Women",Flat_file!$D:$D,"45-49",Flat_file!$E:$E,"999",Flat_file!$F:$F,"U")</f>
        <v>0</v>
      </c>
      <c r="O25" s="89">
        <f t="shared" si="5"/>
        <v>0</v>
      </c>
      <c r="P25" s="90"/>
      <c r="Q25" s="89">
        <f t="shared" si="6"/>
        <v>0</v>
      </c>
      <c r="R25" s="91"/>
      <c r="S25" s="89">
        <f t="shared" si="7"/>
        <v>0</v>
      </c>
      <c r="T25" s="89">
        <f t="shared" si="8"/>
        <v>0</v>
      </c>
      <c r="U25" s="89">
        <f t="shared" si="9"/>
        <v>0</v>
      </c>
      <c r="V25" s="90"/>
      <c r="W25" s="89">
        <f>SUMIFS(Flat_file!$G:$G,Flat_file!$B:$B,Summary_Unemployed!$B$2,Flat_file!$C:$C,"Women",Flat_file!$D:$D,"45-49",Flat_file!$E:$E,"343",Flat_file!$F:$F,"U")+SUMIFS(Flat_file!$G:$G,Flat_file!$B:$B,Summary_Unemployed!$B$2,Flat_file!$C:$C,"Women",Flat_file!$D:$D,"45-49",Flat_file!$E:$E,"344",Flat_file!$F:$F,"U")+SUMIFS(Flat_file!$G:$G,Flat_file!$B:$B,Summary_Unemployed!$B$2,Flat_file!$C:$C,"Women",Flat_file!$D:$D,"45-49",Flat_file!$E:$E,"443",Flat_file!$F:$F,"U")+SUMIFS(Flat_file!$G:$G,Flat_file!$B:$B,Summary_Unemployed!$B$2,Flat_file!$C:$C,"Women",Flat_file!$D:$D,"45-49",Flat_file!$E:$E,"444",Flat_file!$F:$F,"U")</f>
        <v>0</v>
      </c>
      <c r="X25" s="89">
        <f>SUMIFS(Flat_file!$G:$G,Flat_file!$B:$B,Summary_Unemployed!$B$2,Flat_file!$C:$C,"Women",Flat_file!$D:$D,"45-49",Flat_file!$E:$E,"353",Flat_file!$F:$F,"U")+SUMIFS(Flat_file!$G:$G,Flat_file!$B:$B,Summary_Unemployed!$B$2,Flat_file!$C:$C,"Women",Flat_file!$D:$D,"45-49",Flat_file!$E:$E,"354",Flat_file!$F:$F,"U")+SUMIFS(Flat_file!$G:$G,Flat_file!$B:$B,Summary_Unemployed!$B$2,Flat_file!$C:$C,"Women",Flat_file!$D:$D,"45-49",Flat_file!$E:$E,"453",Flat_file!$F:$F,"U")+SUMIFS(Flat_file!$G:$G,Flat_file!$B:$B,Summary_Unemployed!$B$2,Flat_file!$C:$C,"Women",Flat_file!$D:$D,"45-49",Flat_file!$E:$E,"454",Flat_file!$F:$F,"U")</f>
        <v>0</v>
      </c>
      <c r="Y25" s="90"/>
      <c r="Z25" s="89">
        <f>SUMIFS(Flat_file!$G:$G,Flat_file!$B:$B,Summary_Unemployed!$B$2,Flat_file!$C:$C,"Women",Flat_file!$D:$D,"45-49",Flat_file!$E:$E,"640",Flat_file!$F:$F,"U")+SUMIFS(Flat_file!$G:$G,Flat_file!$B:$B,Summary_Unemployed!$B$2,Flat_file!$C:$C,"Women",Flat_file!$D:$D,"45-49",Flat_file!$E:$E,"740",Flat_file!$F:$F,"U")+SUMIFS(Flat_file!$G:$G,Flat_file!$B:$B,Summary_Unemployed!$B$2,Flat_file!$C:$C,"Women",Flat_file!$D:$D,"45-49",Flat_file!$E:$E,"840",Flat_file!$F:$F,"U")</f>
        <v>0</v>
      </c>
      <c r="AA25" s="89">
        <f>SUMIFS(Flat_file!$G:$G,Flat_file!$B:$B,Summary_Unemployed!$B$2,Flat_file!$C:$C,"Women",Flat_file!$D:$D,"45-49",Flat_file!$E:$E,"650",Flat_file!$F:$F,"U")+SUMIFS(Flat_file!$G:$G,Flat_file!$B:$B,Summary_Unemployed!$B$2,Flat_file!$C:$C,"Women",Flat_file!$D:$D,"45-49",Flat_file!$E:$E,"750",Flat_file!$F:$F,"U")+SUMIFS(Flat_file!$G:$G,Flat_file!$B:$B,Summary_Unemployed!$B$2,Flat_file!$C:$C,"Women",Flat_file!$D:$D,"45-49",Flat_file!$E:$E,"850",Flat_file!$F:$F,"U")</f>
        <v>0</v>
      </c>
      <c r="AB25" s="89">
        <f>SUMIFS(Flat_file!$G:$G,Flat_file!$B:$B,Summary_Unemployed!$B$2,Flat_file!$C:$C,"Women",Flat_file!$D:$D,"45-49",Flat_file!$E:$E,"660",Flat_file!$F:$F,"U")+SUMIFS(Flat_file!$G:$G,Flat_file!$B:$B,Summary_Unemployed!$B$2,Flat_file!$C:$C,"Women",Flat_file!$D:$D,"45-49",Flat_file!$E:$E,"760",Flat_file!$F:$F,"U")+SUMIFS(Flat_file!$G:$G,Flat_file!$B:$B,Summary_Unemployed!$B$2,Flat_file!$C:$C,"Women",Flat_file!$D:$D,"45-49",Flat_file!$E:$E,"860",Flat_file!$F:$F,"U")</f>
        <v>0</v>
      </c>
      <c r="AC25" s="3"/>
      <c r="AD25" s="3"/>
      <c r="AE25" s="3"/>
      <c r="AF25" s="3"/>
      <c r="AG25" s="3"/>
      <c r="AH25" s="3"/>
      <c r="AI25" s="3"/>
      <c r="AJ25" s="3"/>
      <c r="AK25" s="3"/>
      <c r="AL25" s="3"/>
      <c r="AM25" s="3"/>
      <c r="AN25" s="3"/>
      <c r="AO25" s="3"/>
      <c r="AP25" s="3"/>
      <c r="AQ25" s="3"/>
      <c r="AR25" s="3"/>
      <c r="AS25" s="3"/>
    </row>
    <row r="26" spans="1:45" customFormat="1" x14ac:dyDescent="0.2">
      <c r="A26" s="352"/>
      <c r="B26" s="79" t="s">
        <v>94</v>
      </c>
      <c r="C26" s="89">
        <f>SUMIFS(Flat_file!$G:$G,Flat_file!$B:$B,Summary_Unemployed!$B$2,Flat_file!$C:$C,"Women",Flat_file!$D:$D,"50-54",Flat_file!$E:$E,"010",Flat_file!$F:$F,"U")+SUMIFS(Flat_file!$G:$G,Flat_file!$B:$B,Summary_Unemployed!$B$2,Flat_file!$C:$C,"Women",Flat_file!$D:$D,"50-54",Flat_file!$E:$E,"020",Flat_file!$F:$F,"U")+SUMIFS(Flat_file!$G:$G,Flat_file!$B:$B,Summary_Unemployed!$B$2,Flat_file!$C:$C,"Women",Flat_file!$D:$D,"50-54",Flat_file!$E:$E,"030",Flat_file!$F:$F,"U")</f>
        <v>0</v>
      </c>
      <c r="D26" s="89">
        <f>SUMIFS(Flat_file!$G:$G,Flat_file!$B:$B,Summary_Unemployed!$B$2,Flat_file!$C:$C,"Women",Flat_file!$D:$D,"50-54",Flat_file!$E:$E,"100",Flat_file!$F:$F,"U")</f>
        <v>0</v>
      </c>
      <c r="E26" s="89">
        <f>SUMIFS(Flat_file!$G:$G,Flat_file!$B:$B,Summary_Unemployed!$B$2,Flat_file!$C:$C,"Women",Flat_file!$D:$D,"50-54",Flat_file!$E:$E,"242",Flat_file!$F:$F,"U")+SUMIFS(Flat_file!$G:$G,Flat_file!$B:$B,Summary_Unemployed!$B$2,Flat_file!$C:$C,"Women",Flat_file!$D:$D,"50-54",Flat_file!$E:$E,"252",Flat_file!$F:$F,"U")</f>
        <v>0</v>
      </c>
      <c r="F26" s="89">
        <f>SUMIFS(Flat_file!$G:$G,Flat_file!$B:$B,Summary_Unemployed!$B$2,Flat_file!$C:$C,"Women",Flat_file!$D:$D,"50-54",Flat_file!$E:$E,"243",Flat_file!$F:$F,"U")+SUMIFS(Flat_file!$G:$G,Flat_file!$B:$B,Summary_Unemployed!$B$2,Flat_file!$C:$C,"Women",Flat_file!$D:$D,"50-54",Flat_file!$E:$E,"244",Flat_file!$F:$F,"U")+SUMIFS(Flat_file!$G:$G,Flat_file!$B:$B,Summary_Unemployed!$B$2,Flat_file!$C:$C,"Women",Flat_file!$D:$D,"50-54",Flat_file!$E:$E,"253",Flat_file!$F:$F,"U")+SUMIFS(Flat_file!$G:$G,Flat_file!$B:$B,Summary_Unemployed!$B$2,Flat_file!$C:$C,"Women",Flat_file!$D:$D,"50-54",Flat_file!$E:$E,"254",Flat_file!$F:$F,"U")</f>
        <v>0</v>
      </c>
      <c r="G26" s="89">
        <f>SUMIFS(Flat_file!$G:$G,Flat_file!$B:$B,Summary_Unemployed!$B$2,Flat_file!$C:$C,"Women",Flat_file!$D:$D,"50-54",Flat_file!$E:$E,"342",Flat_file!$F:$F,"U")+SUMIFS(Flat_file!$G:$G,Flat_file!$B:$B,Summary_Unemployed!$B$2,Flat_file!$C:$C,"Women",Flat_file!$D:$D,"50-54",Flat_file!$E:$E,"352",Flat_file!$F:$F,"U")</f>
        <v>0</v>
      </c>
      <c r="H26" s="89">
        <f>SUMIFS(Flat_file!$G:$G,Flat_file!$B:$B,Summary_Unemployed!$B$2,Flat_file!$C:$C,"Women",Flat_file!$D:$D,"50-54",Flat_file!$E:$E,"343",Flat_file!$F:$F,"U")+SUMIFS(Flat_file!$G:$G,Flat_file!$B:$B,Summary_Unemployed!$B$2,Flat_file!$C:$C,"Women",Flat_file!$D:$D,"50-54",Flat_file!$E:$E,"344",Flat_file!$F:$F,"U")+SUMIFS(Flat_file!$G:$G,Flat_file!$B:$B,Summary_Unemployed!$B$2,Flat_file!$C:$C,"Women",Flat_file!$D:$D,"50-54",Flat_file!$E:$E,"353",Flat_file!$F:$F,"U")+SUMIFS(Flat_file!$G:$G,Flat_file!$B:$B,Summary_Unemployed!$B$2,Flat_file!$C:$C,"Women",Flat_file!$D:$D,"50-54",Flat_file!$E:$E,"354",Flat_file!$F:$F,"U")</f>
        <v>0</v>
      </c>
      <c r="I26" s="89">
        <f>SUMIFS(Flat_file!$G:$G,Flat_file!$B:$B,Summary_Unemployed!$B$2,Flat_file!$C:$C,"Women",Flat_file!$D:$D,"50-54",Flat_file!$E:$E,"443",Flat_file!$F:$F,"U")+SUMIFS(Flat_file!$G:$G,Flat_file!$B:$B,Summary_Unemployed!$B$2,Flat_file!$C:$C,"Women",Flat_file!$D:$D,"50-54",Flat_file!$E:$E,"444",Flat_file!$F:$F,"U")+SUMIFS(Flat_file!$G:$G,Flat_file!$B:$B,Summary_Unemployed!$B$2,Flat_file!$C:$C,"Women",Flat_file!$D:$D,"50-54",Flat_file!$E:$E,"453",Flat_file!$F:$F,"U")+SUMIFS(Flat_file!$G:$G,Flat_file!$B:$B,Summary_Unemployed!$B$2,Flat_file!$C:$C,"Women",Flat_file!$D:$D,"50-54",Flat_file!$E:$E,"454",Flat_file!$F:$F,"U")</f>
        <v>0</v>
      </c>
      <c r="J26" s="89">
        <f>SUMIFS(Flat_file!$G:$G,Flat_file!$B:$B,Summary_Unemployed!$B$2,Flat_file!$C:$C,"Women",Flat_file!$D:$D,"50-54",Flat_file!$E:$E,"540",Flat_file!$F:$F,"U")+SUMIFS(Flat_file!$G:$G,Flat_file!$B:$B,Summary_Unemployed!$B$2,Flat_file!$C:$C,"Women",Flat_file!$D:$D,"50-54",Flat_file!$E:$E,"550",Flat_file!$F:$F,"U")+SUMIFS(Flat_file!$G:$G,Flat_file!$B:$B,Summary_Unemployed!$B$2,Flat_file!$C:$C,"Women",Flat_file!$D:$D,"50-54",Flat_file!$E:$E,"560",Flat_file!$F:$F,"U")</f>
        <v>0</v>
      </c>
      <c r="K26" s="89">
        <f>SUMIFS(Flat_file!$G:$G,Flat_file!$B:$B,Summary_Unemployed!$B$2,Flat_file!$C:$C,"Women",Flat_file!$D:$D,"50-54",Flat_file!$E:$E,"640",Flat_file!$F:$F,"U")+SUMIFS(Flat_file!$G:$G,Flat_file!$B:$B,Summary_Unemployed!$B$2,Flat_file!$C:$C,"Women",Flat_file!$D:$D,"50-54",Flat_file!$E:$E,"650",Flat_file!$F:$F,"U")+SUMIFS(Flat_file!$G:$G,Flat_file!$B:$B,Summary_Unemployed!$B$2,Flat_file!$C:$C,"Women",Flat_file!$D:$D,"50-54",Flat_file!$E:$E,"660",Flat_file!$F:$F,"U")</f>
        <v>0</v>
      </c>
      <c r="L26" s="89">
        <f>SUMIFS(Flat_file!$G:$G,Flat_file!$B:$B,Summary_Unemployed!$B$2,Flat_file!$C:$C,"Women",Flat_file!$D:$D,"50-54",Flat_file!$E:$E,"740",Flat_file!$F:$F,"U")+SUMIFS(Flat_file!$G:$G,Flat_file!$B:$B,Summary_Unemployed!$B$2,Flat_file!$C:$C,"Women",Flat_file!$D:$D,"50-54",Flat_file!$E:$E,"750",Flat_file!$F:$F,"U")+SUMIFS(Flat_file!$G:$G,Flat_file!$B:$B,Summary_Unemployed!$B$2,Flat_file!$C:$C,"Women",Flat_file!$D:$D,"50-54",Flat_file!$E:$E,"760",Flat_file!$F:$F,"U")</f>
        <v>0</v>
      </c>
      <c r="M26" s="89">
        <f>SUMIFS(Flat_file!$G:$G,Flat_file!$B:$B,Summary_Unemployed!$B$2,Flat_file!$C:$C,"Women",Flat_file!$D:$D,"50-54",Flat_file!$E:$E,"840",Flat_file!$F:$F,"U")+SUMIFS(Flat_file!$G:$G,Flat_file!$B:$B,Summary_Unemployed!$B$2,Flat_file!$C:$C,"Women",Flat_file!$D:$D,"50-54",Flat_file!$E:$E,"850",Flat_file!$F:$F,"U")+SUMIFS(Flat_file!$G:$G,Flat_file!$B:$B,Summary_Unemployed!$B$2,Flat_file!$C:$C,"Women",Flat_file!$D:$D,"50-54",Flat_file!$E:$E,"860",Flat_file!$F:$F,"U")</f>
        <v>0</v>
      </c>
      <c r="N26" s="89">
        <f>SUMIFS(Flat_file!$G:$G,Flat_file!$B:$B,Summary_Unemployed!$B$2,Flat_file!$C:$C,"Women",Flat_file!$D:$D,"50-54",Flat_file!$E:$E,"999",Flat_file!$F:$F,"U")</f>
        <v>0</v>
      </c>
      <c r="O26" s="89">
        <f t="shared" si="5"/>
        <v>0</v>
      </c>
      <c r="P26" s="90"/>
      <c r="Q26" s="89">
        <f t="shared" si="6"/>
        <v>0</v>
      </c>
      <c r="R26" s="91"/>
      <c r="S26" s="89">
        <f t="shared" si="7"/>
        <v>0</v>
      </c>
      <c r="T26" s="89">
        <f t="shared" si="8"/>
        <v>0</v>
      </c>
      <c r="U26" s="89">
        <f t="shared" si="9"/>
        <v>0</v>
      </c>
      <c r="V26" s="90"/>
      <c r="W26" s="89">
        <f>SUMIFS(Flat_file!$G:$G,Flat_file!$B:$B,Summary_Unemployed!$B$2,Flat_file!$C:$C,"Women",Flat_file!$D:$D,"50-54",Flat_file!$E:$E,"343",Flat_file!$F:$F,"U")+SUMIFS(Flat_file!$G:$G,Flat_file!$B:$B,Summary_Unemployed!$B$2,Flat_file!$C:$C,"Women",Flat_file!$D:$D,"50-54",Flat_file!$E:$E,"344",Flat_file!$F:$F,"U")+SUMIFS(Flat_file!$G:$G,Flat_file!$B:$B,Summary_Unemployed!$B$2,Flat_file!$C:$C,"Women",Flat_file!$D:$D,"50-54",Flat_file!$E:$E,"443",Flat_file!$F:$F,"U")+SUMIFS(Flat_file!$G:$G,Flat_file!$B:$B,Summary_Unemployed!$B$2,Flat_file!$C:$C,"Women",Flat_file!$D:$D,"50-54",Flat_file!$E:$E,"444",Flat_file!$F:$F,"U")</f>
        <v>0</v>
      </c>
      <c r="X26" s="89">
        <f>SUMIFS(Flat_file!$G:$G,Flat_file!$B:$B,Summary_Unemployed!$B$2,Flat_file!$C:$C,"Women",Flat_file!$D:$D,"50-54",Flat_file!$E:$E,"353",Flat_file!$F:$F,"U")+SUMIFS(Flat_file!$G:$G,Flat_file!$B:$B,Summary_Unemployed!$B$2,Flat_file!$C:$C,"Women",Flat_file!$D:$D,"50-54",Flat_file!$E:$E,"354",Flat_file!$F:$F,"U")+SUMIFS(Flat_file!$G:$G,Flat_file!$B:$B,Summary_Unemployed!$B$2,Flat_file!$C:$C,"Women",Flat_file!$D:$D,"50-54",Flat_file!$E:$E,"453",Flat_file!$F:$F,"U")+SUMIFS(Flat_file!$G:$G,Flat_file!$B:$B,Summary_Unemployed!$B$2,Flat_file!$C:$C,"Women",Flat_file!$D:$D,"50-54",Flat_file!$E:$E,"454",Flat_file!$F:$F,"U")</f>
        <v>0</v>
      </c>
      <c r="Y26" s="90"/>
      <c r="Z26" s="89">
        <f>SUMIFS(Flat_file!$G:$G,Flat_file!$B:$B,Summary_Unemployed!$B$2,Flat_file!$C:$C,"Women",Flat_file!$D:$D,"50-54",Flat_file!$E:$E,"640",Flat_file!$F:$F,"U")+SUMIFS(Flat_file!$G:$G,Flat_file!$B:$B,Summary_Unemployed!$B$2,Flat_file!$C:$C,"Women",Flat_file!$D:$D,"50-54",Flat_file!$E:$E,"740",Flat_file!$F:$F,"U")+SUMIFS(Flat_file!$G:$G,Flat_file!$B:$B,Summary_Unemployed!$B$2,Flat_file!$C:$C,"Women",Flat_file!$D:$D,"50-54",Flat_file!$E:$E,"840",Flat_file!$F:$F,"U")</f>
        <v>0</v>
      </c>
      <c r="AA26" s="89">
        <f>SUMIFS(Flat_file!$G:$G,Flat_file!$B:$B,Summary_Unemployed!$B$2,Flat_file!$C:$C,"Women",Flat_file!$D:$D,"50-54",Flat_file!$E:$E,"650",Flat_file!$F:$F,"U")+SUMIFS(Flat_file!$G:$G,Flat_file!$B:$B,Summary_Unemployed!$B$2,Flat_file!$C:$C,"Women",Flat_file!$D:$D,"50-54",Flat_file!$E:$E,"750",Flat_file!$F:$F,"U")+SUMIFS(Flat_file!$G:$G,Flat_file!$B:$B,Summary_Unemployed!$B$2,Flat_file!$C:$C,"Women",Flat_file!$D:$D,"50-54",Flat_file!$E:$E,"850",Flat_file!$F:$F,"U")</f>
        <v>0</v>
      </c>
      <c r="AB26" s="89">
        <f>SUMIFS(Flat_file!$G:$G,Flat_file!$B:$B,Summary_Unemployed!$B$2,Flat_file!$C:$C,"Women",Flat_file!$D:$D,"50-54",Flat_file!$E:$E,"660",Flat_file!$F:$F,"U")+SUMIFS(Flat_file!$G:$G,Flat_file!$B:$B,Summary_Unemployed!$B$2,Flat_file!$C:$C,"Women",Flat_file!$D:$D,"50-54",Flat_file!$E:$E,"760",Flat_file!$F:$F,"U")+SUMIFS(Flat_file!$G:$G,Flat_file!$B:$B,Summary_Unemployed!$B$2,Flat_file!$C:$C,"Women",Flat_file!$D:$D,"50-54",Flat_file!$E:$E,"860",Flat_file!$F:$F,"U")</f>
        <v>0</v>
      </c>
      <c r="AC26" s="3"/>
      <c r="AD26" s="3"/>
      <c r="AE26" s="3"/>
      <c r="AF26" s="3"/>
      <c r="AG26" s="3"/>
      <c r="AH26" s="3"/>
      <c r="AI26" s="3"/>
      <c r="AJ26" s="3"/>
      <c r="AK26" s="3"/>
      <c r="AL26" s="3"/>
      <c r="AM26" s="3"/>
      <c r="AN26" s="3"/>
      <c r="AO26" s="3"/>
      <c r="AP26" s="3"/>
      <c r="AQ26" s="3"/>
      <c r="AR26" s="3"/>
      <c r="AS26" s="3"/>
    </row>
    <row r="27" spans="1:45" customFormat="1" x14ac:dyDescent="0.2">
      <c r="A27" s="352"/>
      <c r="B27" s="79" t="s">
        <v>95</v>
      </c>
      <c r="C27" s="89">
        <f>SUMIFS(Flat_file!$G:$G,Flat_file!$B:$B,Summary_Unemployed!$B$2,Flat_file!$C:$C,"Women",Flat_file!$D:$D,"55-59",Flat_file!$E:$E,"010",Flat_file!$F:$F,"U")+SUMIFS(Flat_file!$G:$G,Flat_file!$B:$B,Summary_Unemployed!$B$2,Flat_file!$C:$C,"Women",Flat_file!$D:$D,"55-59",Flat_file!$E:$E,"020",Flat_file!$F:$F,"U")+SUMIFS(Flat_file!$G:$G,Flat_file!$B:$B,Summary_Unemployed!$B$2,Flat_file!$C:$C,"Women",Flat_file!$D:$D,"55-59",Flat_file!$E:$E,"030",Flat_file!$F:$F,"U")</f>
        <v>0</v>
      </c>
      <c r="D27" s="89">
        <f>SUMIFS(Flat_file!$G:$G,Flat_file!$B:$B,Summary_Unemployed!$B$2,Flat_file!$C:$C,"Women",Flat_file!$D:$D,"55-59",Flat_file!$E:$E,"100",Flat_file!$F:$F,"U")</f>
        <v>0</v>
      </c>
      <c r="E27" s="89">
        <f>SUMIFS(Flat_file!$G:$G,Flat_file!$B:$B,Summary_Unemployed!$B$2,Flat_file!$C:$C,"Women",Flat_file!$D:$D,"55-59",Flat_file!$E:$E,"242",Flat_file!$F:$F,"U")+SUMIFS(Flat_file!$G:$G,Flat_file!$B:$B,Summary_Unemployed!$B$2,Flat_file!$C:$C,"Women",Flat_file!$D:$D,"55-59",Flat_file!$E:$E,"252",Flat_file!$F:$F,"U")</f>
        <v>0</v>
      </c>
      <c r="F27" s="89">
        <f>SUMIFS(Flat_file!$G:$G,Flat_file!$B:$B,Summary_Unemployed!$B$2,Flat_file!$C:$C,"Women",Flat_file!$D:$D,"55-59",Flat_file!$E:$E,"243",Flat_file!$F:$F,"U")+SUMIFS(Flat_file!$G:$G,Flat_file!$B:$B,Summary_Unemployed!$B$2,Flat_file!$C:$C,"Women",Flat_file!$D:$D,"55-59",Flat_file!$E:$E,"244",Flat_file!$F:$F,"U")+SUMIFS(Flat_file!$G:$G,Flat_file!$B:$B,Summary_Unemployed!$B$2,Flat_file!$C:$C,"Women",Flat_file!$D:$D,"55-59",Flat_file!$E:$E,"253",Flat_file!$F:$F,"U")+SUMIFS(Flat_file!$G:$G,Flat_file!$B:$B,Summary_Unemployed!$B$2,Flat_file!$C:$C,"Women",Flat_file!$D:$D,"55-59",Flat_file!$E:$E,"254",Flat_file!$F:$F,"U")</f>
        <v>0</v>
      </c>
      <c r="G27" s="89">
        <f>SUMIFS(Flat_file!$G:$G,Flat_file!$B:$B,Summary_Unemployed!$B$2,Flat_file!$C:$C,"Women",Flat_file!$D:$D,"55-59",Flat_file!$E:$E,"342",Flat_file!$F:$F,"U")+SUMIFS(Flat_file!$G:$G,Flat_file!$B:$B,Summary_Unemployed!$B$2,Flat_file!$C:$C,"Women",Flat_file!$D:$D,"55-59",Flat_file!$E:$E,"352",Flat_file!$F:$F,"U")</f>
        <v>0</v>
      </c>
      <c r="H27" s="89">
        <f>SUMIFS(Flat_file!$G:$G,Flat_file!$B:$B,Summary_Unemployed!$B$2,Flat_file!$C:$C,"Women",Flat_file!$D:$D,"55-59",Flat_file!$E:$E,"343",Flat_file!$F:$F,"U")+SUMIFS(Flat_file!$G:$G,Flat_file!$B:$B,Summary_Unemployed!$B$2,Flat_file!$C:$C,"Women",Flat_file!$D:$D,"55-59",Flat_file!$E:$E,"344",Flat_file!$F:$F,"U")+SUMIFS(Flat_file!$G:$G,Flat_file!$B:$B,Summary_Unemployed!$B$2,Flat_file!$C:$C,"Women",Flat_file!$D:$D,"55-59",Flat_file!$E:$E,"353",Flat_file!$F:$F,"U")+SUMIFS(Flat_file!$G:$G,Flat_file!$B:$B,Summary_Unemployed!$B$2,Flat_file!$C:$C,"Women",Flat_file!$D:$D,"55-59",Flat_file!$E:$E,"354",Flat_file!$F:$F,"U")</f>
        <v>0</v>
      </c>
      <c r="I27" s="89">
        <f>SUMIFS(Flat_file!$G:$G,Flat_file!$B:$B,Summary_Unemployed!$B$2,Flat_file!$C:$C,"Women",Flat_file!$D:$D,"55-59",Flat_file!$E:$E,"443",Flat_file!$F:$F,"U")+SUMIFS(Flat_file!$G:$G,Flat_file!$B:$B,Summary_Unemployed!$B$2,Flat_file!$C:$C,"Women",Flat_file!$D:$D,"55-59",Flat_file!$E:$E,"444",Flat_file!$F:$F,"U")+SUMIFS(Flat_file!$G:$G,Flat_file!$B:$B,Summary_Unemployed!$B$2,Flat_file!$C:$C,"Women",Flat_file!$D:$D,"55-59",Flat_file!$E:$E,"453",Flat_file!$F:$F,"U")+SUMIFS(Flat_file!$G:$G,Flat_file!$B:$B,Summary_Unemployed!$B$2,Flat_file!$C:$C,"Women",Flat_file!$D:$D,"55-59",Flat_file!$E:$E,"454",Flat_file!$F:$F,"U")</f>
        <v>0</v>
      </c>
      <c r="J27" s="89">
        <f>SUMIFS(Flat_file!$G:$G,Flat_file!$B:$B,Summary_Unemployed!$B$2,Flat_file!$C:$C,"Women",Flat_file!$D:$D,"55-59",Flat_file!$E:$E,"540",Flat_file!$F:$F,"U")+SUMIFS(Flat_file!$G:$G,Flat_file!$B:$B,Summary_Unemployed!$B$2,Flat_file!$C:$C,"Women",Flat_file!$D:$D,"55-59",Flat_file!$E:$E,"550",Flat_file!$F:$F,"U")+SUMIFS(Flat_file!$G:$G,Flat_file!$B:$B,Summary_Unemployed!$B$2,Flat_file!$C:$C,"Women",Flat_file!$D:$D,"55-59",Flat_file!$E:$E,"560",Flat_file!$F:$F,"U")</f>
        <v>0</v>
      </c>
      <c r="K27" s="89">
        <f>SUMIFS(Flat_file!$G:$G,Flat_file!$B:$B,Summary_Unemployed!$B$2,Flat_file!$C:$C,"Women",Flat_file!$D:$D,"55-59",Flat_file!$E:$E,"640",Flat_file!$F:$F,"U")+SUMIFS(Flat_file!$G:$G,Flat_file!$B:$B,Summary_Unemployed!$B$2,Flat_file!$C:$C,"Women",Flat_file!$D:$D,"55-59",Flat_file!$E:$E,"650",Flat_file!$F:$F,"U")+SUMIFS(Flat_file!$G:$G,Flat_file!$B:$B,Summary_Unemployed!$B$2,Flat_file!$C:$C,"Women",Flat_file!$D:$D,"55-59",Flat_file!$E:$E,"660",Flat_file!$F:$F,"U")</f>
        <v>0</v>
      </c>
      <c r="L27" s="89">
        <f>SUMIFS(Flat_file!$G:$G,Flat_file!$B:$B,Summary_Unemployed!$B$2,Flat_file!$C:$C,"Women",Flat_file!$D:$D,"55-59",Flat_file!$E:$E,"740",Flat_file!$F:$F,"U")+SUMIFS(Flat_file!$G:$G,Flat_file!$B:$B,Summary_Unemployed!$B$2,Flat_file!$C:$C,"Women",Flat_file!$D:$D,"55-59",Flat_file!$E:$E,"750",Flat_file!$F:$F,"U")+SUMIFS(Flat_file!$G:$G,Flat_file!$B:$B,Summary_Unemployed!$B$2,Flat_file!$C:$C,"Women",Flat_file!$D:$D,"55-59",Flat_file!$E:$E,"760",Flat_file!$F:$F,"U")</f>
        <v>0</v>
      </c>
      <c r="M27" s="89">
        <f>SUMIFS(Flat_file!$G:$G,Flat_file!$B:$B,Summary_Unemployed!$B$2,Flat_file!$C:$C,"Women",Flat_file!$D:$D,"55-59",Flat_file!$E:$E,"840",Flat_file!$F:$F,"U")+SUMIFS(Flat_file!$G:$G,Flat_file!$B:$B,Summary_Unemployed!$B$2,Flat_file!$C:$C,"Women",Flat_file!$D:$D,"55-59",Flat_file!$E:$E,"850",Flat_file!$F:$F,"U")+SUMIFS(Flat_file!$G:$G,Flat_file!$B:$B,Summary_Unemployed!$B$2,Flat_file!$C:$C,"Women",Flat_file!$D:$D,"55-59",Flat_file!$E:$E,"860",Flat_file!$F:$F,"U")</f>
        <v>0</v>
      </c>
      <c r="N27" s="89">
        <f>SUMIFS(Flat_file!$G:$G,Flat_file!$B:$B,Summary_Unemployed!$B$2,Flat_file!$C:$C,"Women",Flat_file!$D:$D,"55-59",Flat_file!$E:$E,"999",Flat_file!$F:$F,"U")</f>
        <v>0</v>
      </c>
      <c r="O27" s="89">
        <f t="shared" si="5"/>
        <v>0</v>
      </c>
      <c r="P27" s="90"/>
      <c r="Q27" s="89">
        <f t="shared" si="6"/>
        <v>0</v>
      </c>
      <c r="R27" s="91"/>
      <c r="S27" s="89">
        <f t="shared" si="7"/>
        <v>0</v>
      </c>
      <c r="T27" s="89">
        <f t="shared" si="8"/>
        <v>0</v>
      </c>
      <c r="U27" s="89">
        <f t="shared" si="9"/>
        <v>0</v>
      </c>
      <c r="V27" s="90"/>
      <c r="W27" s="89">
        <f>SUMIFS(Flat_file!$G:$G,Flat_file!$B:$B,Summary_Unemployed!$B$2,Flat_file!$C:$C,"Women",Flat_file!$D:$D,"55-59",Flat_file!$E:$E,"343",Flat_file!$F:$F,"U")+SUMIFS(Flat_file!$G:$G,Flat_file!$B:$B,Summary_Unemployed!$B$2,Flat_file!$C:$C,"Women",Flat_file!$D:$D,"55-59",Flat_file!$E:$E,"344",Flat_file!$F:$F,"U")+SUMIFS(Flat_file!$G:$G,Flat_file!$B:$B,Summary_Unemployed!$B$2,Flat_file!$C:$C,"Women",Flat_file!$D:$D,"55-59",Flat_file!$E:$E,"443",Flat_file!$F:$F,"U")+SUMIFS(Flat_file!$G:$G,Flat_file!$B:$B,Summary_Unemployed!$B$2,Flat_file!$C:$C,"Women",Flat_file!$D:$D,"55-59",Flat_file!$E:$E,"444",Flat_file!$F:$F,"U")</f>
        <v>0</v>
      </c>
      <c r="X27" s="89">
        <f>SUMIFS(Flat_file!$G:$G,Flat_file!$B:$B,Summary_Unemployed!$B$2,Flat_file!$C:$C,"Women",Flat_file!$D:$D,"55-59",Flat_file!$E:$E,"353",Flat_file!$F:$F,"U")+SUMIFS(Flat_file!$G:$G,Flat_file!$B:$B,Summary_Unemployed!$B$2,Flat_file!$C:$C,"Women",Flat_file!$D:$D,"55-59",Flat_file!$E:$E,"354",Flat_file!$F:$F,"U")+SUMIFS(Flat_file!$G:$G,Flat_file!$B:$B,Summary_Unemployed!$B$2,Flat_file!$C:$C,"Women",Flat_file!$D:$D,"55-59",Flat_file!$E:$E,"453",Flat_file!$F:$F,"U")+SUMIFS(Flat_file!$G:$G,Flat_file!$B:$B,Summary_Unemployed!$B$2,Flat_file!$C:$C,"Women",Flat_file!$D:$D,"55-59",Flat_file!$E:$E,"454",Flat_file!$F:$F,"U")</f>
        <v>0</v>
      </c>
      <c r="Y27" s="90"/>
      <c r="Z27" s="89">
        <f>SUMIFS(Flat_file!$G:$G,Flat_file!$B:$B,Summary_Unemployed!$B$2,Flat_file!$C:$C,"Women",Flat_file!$D:$D,"55-59",Flat_file!$E:$E,"640",Flat_file!$F:$F,"U")+SUMIFS(Flat_file!$G:$G,Flat_file!$B:$B,Summary_Unemployed!$B$2,Flat_file!$C:$C,"Women",Flat_file!$D:$D,"55-59",Flat_file!$E:$E,"740",Flat_file!$F:$F,"U")+SUMIFS(Flat_file!$G:$G,Flat_file!$B:$B,Summary_Unemployed!$B$2,Flat_file!$C:$C,"Women",Flat_file!$D:$D,"55-59",Flat_file!$E:$E,"840",Flat_file!$F:$F,"U")</f>
        <v>0</v>
      </c>
      <c r="AA27" s="89">
        <f>SUMIFS(Flat_file!$G:$G,Flat_file!$B:$B,Summary_Unemployed!$B$2,Flat_file!$C:$C,"Women",Flat_file!$D:$D,"55-59",Flat_file!$E:$E,"650",Flat_file!$F:$F,"U")+SUMIFS(Flat_file!$G:$G,Flat_file!$B:$B,Summary_Unemployed!$B$2,Flat_file!$C:$C,"Women",Flat_file!$D:$D,"55-59",Flat_file!$E:$E,"750",Flat_file!$F:$F,"U")+SUMIFS(Flat_file!$G:$G,Flat_file!$B:$B,Summary_Unemployed!$B$2,Flat_file!$C:$C,"Women",Flat_file!$D:$D,"55-59",Flat_file!$E:$E,"850",Flat_file!$F:$F,"U")</f>
        <v>0</v>
      </c>
      <c r="AB27" s="89">
        <f>SUMIFS(Flat_file!$G:$G,Flat_file!$B:$B,Summary_Unemployed!$B$2,Flat_file!$C:$C,"Women",Flat_file!$D:$D,"55-59",Flat_file!$E:$E,"660",Flat_file!$F:$F,"U")+SUMIFS(Flat_file!$G:$G,Flat_file!$B:$B,Summary_Unemployed!$B$2,Flat_file!$C:$C,"Women",Flat_file!$D:$D,"55-59",Flat_file!$E:$E,"760",Flat_file!$F:$F,"U")+SUMIFS(Flat_file!$G:$G,Flat_file!$B:$B,Summary_Unemployed!$B$2,Flat_file!$C:$C,"Women",Flat_file!$D:$D,"55-59",Flat_file!$E:$E,"860",Flat_file!$F:$F,"U")</f>
        <v>0</v>
      </c>
      <c r="AC27" s="3"/>
      <c r="AD27" s="3"/>
      <c r="AE27" s="3"/>
      <c r="AF27" s="3"/>
      <c r="AG27" s="3"/>
      <c r="AH27" s="3"/>
      <c r="AI27" s="3"/>
      <c r="AJ27" s="3"/>
      <c r="AK27" s="3"/>
      <c r="AL27" s="3"/>
      <c r="AM27" s="3"/>
      <c r="AN27" s="3"/>
      <c r="AO27" s="3"/>
      <c r="AP27" s="3"/>
      <c r="AQ27" s="3"/>
      <c r="AR27" s="3"/>
      <c r="AS27" s="3"/>
    </row>
    <row r="28" spans="1:45" customFormat="1" x14ac:dyDescent="0.2">
      <c r="A28" s="352"/>
      <c r="B28" s="79" t="s">
        <v>96</v>
      </c>
      <c r="C28" s="89">
        <f>SUMIFS(Flat_file!$G:$G,Flat_file!$B:$B,Summary_Unemployed!$B$2,Flat_file!$C:$C,"Women",Flat_file!$D:$D,"60-64",Flat_file!$E:$E,"010",Flat_file!$F:$F,"U")+SUMIFS(Flat_file!$G:$G,Flat_file!$B:$B,Summary_Unemployed!$B$2,Flat_file!$C:$C,"Women",Flat_file!$D:$D,"60-64",Flat_file!$E:$E,"020",Flat_file!$F:$F,"U")+SUMIFS(Flat_file!$G:$G,Flat_file!$B:$B,Summary_Unemployed!$B$2,Flat_file!$C:$C,"Women",Flat_file!$D:$D,"60-64",Flat_file!$E:$E,"030",Flat_file!$F:$F,"U")</f>
        <v>0</v>
      </c>
      <c r="D28" s="89">
        <f>SUMIFS(Flat_file!$G:$G,Flat_file!$B:$B,Summary_Unemployed!$B$2,Flat_file!$C:$C,"Women",Flat_file!$D:$D,"60-64",Flat_file!$E:$E,"100",Flat_file!$F:$F,"U")</f>
        <v>0</v>
      </c>
      <c r="E28" s="89">
        <f>SUMIFS(Flat_file!$G:$G,Flat_file!$B:$B,Summary_Unemployed!$B$2,Flat_file!$C:$C,"Women",Flat_file!$D:$D,"60-64",Flat_file!$E:$E,"242",Flat_file!$F:$F,"U")+SUMIFS(Flat_file!$G:$G,Flat_file!$B:$B,Summary_Unemployed!$B$2,Flat_file!$C:$C,"Women",Flat_file!$D:$D,"60-64",Flat_file!$E:$E,"252",Flat_file!$F:$F,"U")</f>
        <v>0</v>
      </c>
      <c r="F28" s="89">
        <f>SUMIFS(Flat_file!$G:$G,Flat_file!$B:$B,Summary_Unemployed!$B$2,Flat_file!$C:$C,"Women",Flat_file!$D:$D,"60-64",Flat_file!$E:$E,"243",Flat_file!$F:$F,"U")+SUMIFS(Flat_file!$G:$G,Flat_file!$B:$B,Summary_Unemployed!$B$2,Flat_file!$C:$C,"Women",Flat_file!$D:$D,"60-64",Flat_file!$E:$E,"244",Flat_file!$F:$F,"U")+SUMIFS(Flat_file!$G:$G,Flat_file!$B:$B,Summary_Unemployed!$B$2,Flat_file!$C:$C,"Women",Flat_file!$D:$D,"60-64",Flat_file!$E:$E,"253",Flat_file!$F:$F,"U")+SUMIFS(Flat_file!$G:$G,Flat_file!$B:$B,Summary_Unemployed!$B$2,Flat_file!$C:$C,"Women",Flat_file!$D:$D,"60-64",Flat_file!$E:$E,"254",Flat_file!$F:$F,"U")</f>
        <v>0</v>
      </c>
      <c r="G28" s="89">
        <f>SUMIFS(Flat_file!$G:$G,Flat_file!$B:$B,Summary_Unemployed!$B$2,Flat_file!$C:$C,"Women",Flat_file!$D:$D,"60-64",Flat_file!$E:$E,"342",Flat_file!$F:$F,"U")+SUMIFS(Flat_file!$G:$G,Flat_file!$B:$B,Summary_Unemployed!$B$2,Flat_file!$C:$C,"Women",Flat_file!$D:$D,"60-64",Flat_file!$E:$E,"352",Flat_file!$F:$F,"U")</f>
        <v>0</v>
      </c>
      <c r="H28" s="89">
        <f>SUMIFS(Flat_file!$G:$G,Flat_file!$B:$B,Summary_Unemployed!$B$2,Flat_file!$C:$C,"Women",Flat_file!$D:$D,"60-64",Flat_file!$E:$E,"343",Flat_file!$F:$F,"U")+SUMIFS(Flat_file!$G:$G,Flat_file!$B:$B,Summary_Unemployed!$B$2,Flat_file!$C:$C,"Women",Flat_file!$D:$D,"60-64",Flat_file!$E:$E,"344",Flat_file!$F:$F,"U")+SUMIFS(Flat_file!$G:$G,Flat_file!$B:$B,Summary_Unemployed!$B$2,Flat_file!$C:$C,"Women",Flat_file!$D:$D,"60-64",Flat_file!$E:$E,"353",Flat_file!$F:$F,"U")+SUMIFS(Flat_file!$G:$G,Flat_file!$B:$B,Summary_Unemployed!$B$2,Flat_file!$C:$C,"Women",Flat_file!$D:$D,"60-64",Flat_file!$E:$E,"354",Flat_file!$F:$F,"U")</f>
        <v>0</v>
      </c>
      <c r="I28" s="89">
        <f>SUMIFS(Flat_file!$G:$G,Flat_file!$B:$B,Summary_Unemployed!$B$2,Flat_file!$C:$C,"Women",Flat_file!$D:$D,"60-64",Flat_file!$E:$E,"443",Flat_file!$F:$F,"U")+SUMIFS(Flat_file!$G:$G,Flat_file!$B:$B,Summary_Unemployed!$B$2,Flat_file!$C:$C,"Women",Flat_file!$D:$D,"60-64",Flat_file!$E:$E,"444",Flat_file!$F:$F,"U")+SUMIFS(Flat_file!$G:$G,Flat_file!$B:$B,Summary_Unemployed!$B$2,Flat_file!$C:$C,"Women",Flat_file!$D:$D,"60-64",Flat_file!$E:$E,"453",Flat_file!$F:$F,"U")+SUMIFS(Flat_file!$G:$G,Flat_file!$B:$B,Summary_Unemployed!$B$2,Flat_file!$C:$C,"Women",Flat_file!$D:$D,"60-64",Flat_file!$E:$E,"454",Flat_file!$F:$F,"U")</f>
        <v>0</v>
      </c>
      <c r="J28" s="89">
        <f>SUMIFS(Flat_file!$G:$G,Flat_file!$B:$B,Summary_Unemployed!$B$2,Flat_file!$C:$C,"Women",Flat_file!$D:$D,"60-64",Flat_file!$E:$E,"540",Flat_file!$F:$F,"U")+SUMIFS(Flat_file!$G:$G,Flat_file!$B:$B,Summary_Unemployed!$B$2,Flat_file!$C:$C,"Women",Flat_file!$D:$D,"60-64",Flat_file!$E:$E,"550",Flat_file!$F:$F,"U")+SUMIFS(Flat_file!$G:$G,Flat_file!$B:$B,Summary_Unemployed!$B$2,Flat_file!$C:$C,"Women",Flat_file!$D:$D,"60-64",Flat_file!$E:$E,"560",Flat_file!$F:$F,"U")</f>
        <v>0</v>
      </c>
      <c r="K28" s="89">
        <f>SUMIFS(Flat_file!$G:$G,Flat_file!$B:$B,Summary_Unemployed!$B$2,Flat_file!$C:$C,"Women",Flat_file!$D:$D,"60-64",Flat_file!$E:$E,"640",Flat_file!$F:$F,"U")+SUMIFS(Flat_file!$G:$G,Flat_file!$B:$B,Summary_Unemployed!$B$2,Flat_file!$C:$C,"Women",Flat_file!$D:$D,"60-64",Flat_file!$E:$E,"650",Flat_file!$F:$F,"U")+SUMIFS(Flat_file!$G:$G,Flat_file!$B:$B,Summary_Unemployed!$B$2,Flat_file!$C:$C,"Women",Flat_file!$D:$D,"60-64",Flat_file!$E:$E,"660",Flat_file!$F:$F,"U")</f>
        <v>0</v>
      </c>
      <c r="L28" s="89">
        <f>SUMIFS(Flat_file!$G:$G,Flat_file!$B:$B,Summary_Unemployed!$B$2,Flat_file!$C:$C,"Women",Flat_file!$D:$D,"60-64",Flat_file!$E:$E,"740",Flat_file!$F:$F,"U")+SUMIFS(Flat_file!$G:$G,Flat_file!$B:$B,Summary_Unemployed!$B$2,Flat_file!$C:$C,"Women",Flat_file!$D:$D,"60-64",Flat_file!$E:$E,"750",Flat_file!$F:$F,"U")+SUMIFS(Flat_file!$G:$G,Flat_file!$B:$B,Summary_Unemployed!$B$2,Flat_file!$C:$C,"Women",Flat_file!$D:$D,"60-64",Flat_file!$E:$E,"760",Flat_file!$F:$F,"U")</f>
        <v>0</v>
      </c>
      <c r="M28" s="89">
        <f>SUMIFS(Flat_file!$G:$G,Flat_file!$B:$B,Summary_Unemployed!$B$2,Flat_file!$C:$C,"Women",Flat_file!$D:$D,"60-64",Flat_file!$E:$E,"840",Flat_file!$F:$F,"U")+SUMIFS(Flat_file!$G:$G,Flat_file!$B:$B,Summary_Unemployed!$B$2,Flat_file!$C:$C,"Women",Flat_file!$D:$D,"60-64",Flat_file!$E:$E,"850",Flat_file!$F:$F,"U")+SUMIFS(Flat_file!$G:$G,Flat_file!$B:$B,Summary_Unemployed!$B$2,Flat_file!$C:$C,"Women",Flat_file!$D:$D,"60-64",Flat_file!$E:$E,"860",Flat_file!$F:$F,"U")</f>
        <v>0</v>
      </c>
      <c r="N28" s="89">
        <f>SUMIFS(Flat_file!$G:$G,Flat_file!$B:$B,Summary_Unemployed!$B$2,Flat_file!$C:$C,"Women",Flat_file!$D:$D,"60-64",Flat_file!$E:$E,"999",Flat_file!$F:$F,"U")</f>
        <v>0</v>
      </c>
      <c r="O28" s="89">
        <f t="shared" si="5"/>
        <v>0</v>
      </c>
      <c r="P28" s="90"/>
      <c r="Q28" s="89">
        <f t="shared" si="6"/>
        <v>0</v>
      </c>
      <c r="R28" s="91"/>
      <c r="S28" s="89">
        <f t="shared" si="7"/>
        <v>0</v>
      </c>
      <c r="T28" s="89">
        <f t="shared" si="8"/>
        <v>0</v>
      </c>
      <c r="U28" s="89">
        <f t="shared" si="9"/>
        <v>0</v>
      </c>
      <c r="V28" s="90"/>
      <c r="W28" s="89">
        <f>SUMIFS(Flat_file!$G:$G,Flat_file!$B:$B,Summary_Unemployed!$B$2,Flat_file!$C:$C,"Women",Flat_file!$D:$D,"60-64",Flat_file!$E:$E,"343",Flat_file!$F:$F,"U")+SUMIFS(Flat_file!$G:$G,Flat_file!$B:$B,Summary_Unemployed!$B$2,Flat_file!$C:$C,"Women",Flat_file!$D:$D,"60-64",Flat_file!$E:$E,"344",Flat_file!$F:$F,"U")+SUMIFS(Flat_file!$G:$G,Flat_file!$B:$B,Summary_Unemployed!$B$2,Flat_file!$C:$C,"Women",Flat_file!$D:$D,"60-64",Flat_file!$E:$E,"443",Flat_file!$F:$F,"U")+SUMIFS(Flat_file!$G:$G,Flat_file!$B:$B,Summary_Unemployed!$B$2,Flat_file!$C:$C,"Women",Flat_file!$D:$D,"60-64",Flat_file!$E:$E,"444",Flat_file!$F:$F,"U")</f>
        <v>0</v>
      </c>
      <c r="X28" s="89">
        <f>SUMIFS(Flat_file!$G:$G,Flat_file!$B:$B,Summary_Unemployed!$B$2,Flat_file!$C:$C,"Women",Flat_file!$D:$D,"60-64",Flat_file!$E:$E,"353",Flat_file!$F:$F,"U")+SUMIFS(Flat_file!$G:$G,Flat_file!$B:$B,Summary_Unemployed!$B$2,Flat_file!$C:$C,"Women",Flat_file!$D:$D,"60-64",Flat_file!$E:$E,"354",Flat_file!$F:$F,"U")+SUMIFS(Flat_file!$G:$G,Flat_file!$B:$B,Summary_Unemployed!$B$2,Flat_file!$C:$C,"Women",Flat_file!$D:$D,"60-64",Flat_file!$E:$E,"453",Flat_file!$F:$F,"U")+SUMIFS(Flat_file!$G:$G,Flat_file!$B:$B,Summary_Unemployed!$B$2,Flat_file!$C:$C,"Women",Flat_file!$D:$D,"60-64",Flat_file!$E:$E,"454",Flat_file!$F:$F,"U")</f>
        <v>0</v>
      </c>
      <c r="Y28" s="90"/>
      <c r="Z28" s="89">
        <f>SUMIFS(Flat_file!$G:$G,Flat_file!$B:$B,Summary_Unemployed!$B$2,Flat_file!$C:$C,"Women",Flat_file!$D:$D,"60-64",Flat_file!$E:$E,"640",Flat_file!$F:$F,"U")+SUMIFS(Flat_file!$G:$G,Flat_file!$B:$B,Summary_Unemployed!$B$2,Flat_file!$C:$C,"Women",Flat_file!$D:$D,"60-64",Flat_file!$E:$E,"740",Flat_file!$F:$F,"U")+SUMIFS(Flat_file!$G:$G,Flat_file!$B:$B,Summary_Unemployed!$B$2,Flat_file!$C:$C,"Women",Flat_file!$D:$D,"60-64",Flat_file!$E:$E,"840",Flat_file!$F:$F,"U")</f>
        <v>0</v>
      </c>
      <c r="AA28" s="89">
        <f>SUMIFS(Flat_file!$G:$G,Flat_file!$B:$B,Summary_Unemployed!$B$2,Flat_file!$C:$C,"Women",Flat_file!$D:$D,"60-64",Flat_file!$E:$E,"650",Flat_file!$F:$F,"U")+SUMIFS(Flat_file!$G:$G,Flat_file!$B:$B,Summary_Unemployed!$B$2,Flat_file!$C:$C,"Women",Flat_file!$D:$D,"60-64",Flat_file!$E:$E,"750",Flat_file!$F:$F,"U")+SUMIFS(Flat_file!$G:$G,Flat_file!$B:$B,Summary_Unemployed!$B$2,Flat_file!$C:$C,"Women",Flat_file!$D:$D,"60-64",Flat_file!$E:$E,"850",Flat_file!$F:$F,"U")</f>
        <v>0</v>
      </c>
      <c r="AB28" s="89">
        <f>SUMIFS(Flat_file!$G:$G,Flat_file!$B:$B,Summary_Unemployed!$B$2,Flat_file!$C:$C,"Women",Flat_file!$D:$D,"60-64",Flat_file!$E:$E,"660",Flat_file!$F:$F,"U")+SUMIFS(Flat_file!$G:$G,Flat_file!$B:$B,Summary_Unemployed!$B$2,Flat_file!$C:$C,"Women",Flat_file!$D:$D,"60-64",Flat_file!$E:$E,"760",Flat_file!$F:$F,"U")+SUMIFS(Flat_file!$G:$G,Flat_file!$B:$B,Summary_Unemployed!$B$2,Flat_file!$C:$C,"Women",Flat_file!$D:$D,"60-64",Flat_file!$E:$E,"860",Flat_file!$F:$F,"U")</f>
        <v>0</v>
      </c>
      <c r="AC28" s="3"/>
      <c r="AD28" s="3"/>
      <c r="AE28" s="3"/>
      <c r="AF28" s="3"/>
      <c r="AG28" s="3"/>
      <c r="AH28" s="3"/>
      <c r="AI28" s="3"/>
      <c r="AJ28" s="3"/>
      <c r="AK28" s="3"/>
      <c r="AL28" s="3"/>
      <c r="AM28" s="3"/>
      <c r="AN28" s="3"/>
      <c r="AO28" s="3"/>
      <c r="AP28" s="3"/>
      <c r="AQ28" s="3"/>
      <c r="AR28" s="3"/>
      <c r="AS28" s="3"/>
    </row>
    <row r="29" spans="1:45" customFormat="1" x14ac:dyDescent="0.2">
      <c r="A29" s="352"/>
      <c r="B29" s="79" t="s">
        <v>258</v>
      </c>
      <c r="C29" s="225">
        <f>SUMIFS(Flat_file!$G:$G,Flat_file!$B:$B,Summary_Unemployed!$B$2,Flat_file!$C:$C,"Women",Flat_file!$D:$D,"65-69",Flat_file!$E:$E,"010",Flat_file!$F:$F,"U")+SUMIFS(Flat_file!$G:$G,Flat_file!$B:$B,Summary_Unemployed!$B$2,Flat_file!$C:$C,"Women",Flat_file!$D:$D,"65-69",Flat_file!$E:$E,"020",Flat_file!$F:$F,"U")+SUMIFS(Flat_file!$G:$G,Flat_file!$B:$B,Summary_Unemployed!$B$2,Flat_file!$C:$C,"Women",Flat_file!$D:$D,"65-69",Flat_file!$E:$E,"030",Flat_file!$F:$F,"U")</f>
        <v>0</v>
      </c>
      <c r="D29" s="225">
        <f>SUMIFS(Flat_file!$G:$G,Flat_file!$B:$B,Summary_Unemployed!$B$2,Flat_file!$C:$C,"Women",Flat_file!$D:$D,"65-69",Flat_file!$E:$E,"100",Flat_file!$F:$F,"U")</f>
        <v>0</v>
      </c>
      <c r="E29" s="225">
        <f>SUMIFS(Flat_file!$G:$G,Flat_file!$B:$B,Summary_Unemployed!$B$2,Flat_file!$C:$C,"Women",Flat_file!$D:$D,"65-69",Flat_file!$E:$E,"242",Flat_file!$F:$F,"U")+SUMIFS(Flat_file!$G:$G,Flat_file!$B:$B,Summary_Unemployed!$B$2,Flat_file!$C:$C,"Women",Flat_file!$D:$D,"65-69",Flat_file!$E:$E,"252",Flat_file!$F:$F,"U")</f>
        <v>0</v>
      </c>
      <c r="F29" s="225">
        <f>SUMIFS(Flat_file!$G:$G,Flat_file!$B:$B,Summary_Unemployed!$B$2,Flat_file!$C:$C,"Women",Flat_file!$D:$D,"65-69",Flat_file!$E:$E,"243",Flat_file!$F:$F,"U")+SUMIFS(Flat_file!$G:$G,Flat_file!$B:$B,Summary_Unemployed!$B$2,Flat_file!$C:$C,"Women",Flat_file!$D:$D,"65-69",Flat_file!$E:$E,"244",Flat_file!$F:$F,"U")+SUMIFS(Flat_file!$G:$G,Flat_file!$B:$B,Summary_Unemployed!$B$2,Flat_file!$C:$C,"Women",Flat_file!$D:$D,"65-69",Flat_file!$E:$E,"253",Flat_file!$F:$F,"U")+SUMIFS(Flat_file!$G:$G,Flat_file!$B:$B,Summary_Unemployed!$B$2,Flat_file!$C:$C,"Women",Flat_file!$D:$D,"65-69",Flat_file!$E:$E,"254",Flat_file!$F:$F,"U")</f>
        <v>0</v>
      </c>
      <c r="G29" s="225">
        <f>SUMIFS(Flat_file!$G:$G,Flat_file!$B:$B,Summary_Unemployed!$B$2,Flat_file!$C:$C,"Women",Flat_file!$D:$D,"65-69",Flat_file!$E:$E,"342",Flat_file!$F:$F,"U")+SUMIFS(Flat_file!$G:$G,Flat_file!$B:$B,Summary_Unemployed!$B$2,Flat_file!$C:$C,"Women",Flat_file!$D:$D,"65-69",Flat_file!$E:$E,"352",Flat_file!$F:$F,"U")</f>
        <v>0</v>
      </c>
      <c r="H29" s="225">
        <f>SUMIFS(Flat_file!$G:$G,Flat_file!$B:$B,Summary_Unemployed!$B$2,Flat_file!$C:$C,"Women",Flat_file!$D:$D,"65-69",Flat_file!$E:$E,"343",Flat_file!$F:$F,"U")+SUMIFS(Flat_file!$G:$G,Flat_file!$B:$B,Summary_Unemployed!$B$2,Flat_file!$C:$C,"Women",Flat_file!$D:$D,"65-69",Flat_file!$E:$E,"344",Flat_file!$F:$F,"U")+SUMIFS(Flat_file!$G:$G,Flat_file!$B:$B,Summary_Unemployed!$B$2,Flat_file!$C:$C,"Women",Flat_file!$D:$D,"65-69",Flat_file!$E:$E,"353",Flat_file!$F:$F,"U")+SUMIFS(Flat_file!$G:$G,Flat_file!$B:$B,Summary_Unemployed!$B$2,Flat_file!$C:$C,"Women",Flat_file!$D:$D,"65-69",Flat_file!$E:$E,"354",Flat_file!$F:$F,"U")</f>
        <v>0</v>
      </c>
      <c r="I29" s="225">
        <f>SUMIFS(Flat_file!$G:$G,Flat_file!$B:$B,Summary_Unemployed!$B$2,Flat_file!$C:$C,"Women",Flat_file!$D:$D,"65-69",Flat_file!$E:$E,"443",Flat_file!$F:$F,"U")+SUMIFS(Flat_file!$G:$G,Flat_file!$B:$B,Summary_Unemployed!$B$2,Flat_file!$C:$C,"Women",Flat_file!$D:$D,"65-69",Flat_file!$E:$E,"444",Flat_file!$F:$F,"U")+SUMIFS(Flat_file!$G:$G,Flat_file!$B:$B,Summary_Unemployed!$B$2,Flat_file!$C:$C,"Women",Flat_file!$D:$D,"65-69",Flat_file!$E:$E,"453",Flat_file!$F:$F,"U")+SUMIFS(Flat_file!$G:$G,Flat_file!$B:$B,Summary_Unemployed!$B$2,Flat_file!$C:$C,"Women",Flat_file!$D:$D,"65-69",Flat_file!$E:$E,"454",Flat_file!$F:$F,"U")</f>
        <v>0</v>
      </c>
      <c r="J29" s="225">
        <f>SUMIFS(Flat_file!$G:$G,Flat_file!$B:$B,Summary_Unemployed!$B$2,Flat_file!$C:$C,"Women",Flat_file!$D:$D,"65-69",Flat_file!$E:$E,"540",Flat_file!$F:$F,"U")+SUMIFS(Flat_file!$G:$G,Flat_file!$B:$B,Summary_Unemployed!$B$2,Flat_file!$C:$C,"Women",Flat_file!$D:$D,"65-69",Flat_file!$E:$E,"550",Flat_file!$F:$F,"U")+SUMIFS(Flat_file!$G:$G,Flat_file!$B:$B,Summary_Unemployed!$B$2,Flat_file!$C:$C,"Women",Flat_file!$D:$D,"65-69",Flat_file!$E:$E,"560",Flat_file!$F:$F,"U")</f>
        <v>0</v>
      </c>
      <c r="K29" s="225">
        <f>SUMIFS(Flat_file!$G:$G,Flat_file!$B:$B,Summary_Unemployed!$B$2,Flat_file!$C:$C,"Women",Flat_file!$D:$D,"65-69",Flat_file!$E:$E,"640",Flat_file!$F:$F,"U")+SUMIFS(Flat_file!$G:$G,Flat_file!$B:$B,Summary_Unemployed!$B$2,Flat_file!$C:$C,"Women",Flat_file!$D:$D,"65-69",Flat_file!$E:$E,"650",Flat_file!$F:$F,"U")+SUMIFS(Flat_file!$G:$G,Flat_file!$B:$B,Summary_Unemployed!$B$2,Flat_file!$C:$C,"Women",Flat_file!$D:$D,"65-69",Flat_file!$E:$E,"660",Flat_file!$F:$F,"U")</f>
        <v>0</v>
      </c>
      <c r="L29" s="225">
        <f>SUMIFS(Flat_file!$G:$G,Flat_file!$B:$B,Summary_Unemployed!$B$2,Flat_file!$C:$C,"Women",Flat_file!$D:$D,"65-69",Flat_file!$E:$E,"740",Flat_file!$F:$F,"U")+SUMIFS(Flat_file!$G:$G,Flat_file!$B:$B,Summary_Unemployed!$B$2,Flat_file!$C:$C,"Women",Flat_file!$D:$D,"65-69",Flat_file!$E:$E,"750",Flat_file!$F:$F,"U")+SUMIFS(Flat_file!$G:$G,Flat_file!$B:$B,Summary_Unemployed!$B$2,Flat_file!$C:$C,"Women",Flat_file!$D:$D,"65-69",Flat_file!$E:$E,"760",Flat_file!$F:$F,"U")</f>
        <v>0</v>
      </c>
      <c r="M29" s="225">
        <f>SUMIFS(Flat_file!$G:$G,Flat_file!$B:$B,Summary_Unemployed!$B$2,Flat_file!$C:$C,"Women",Flat_file!$D:$D,"65-69",Flat_file!$E:$E,"840",Flat_file!$F:$F,"U")+SUMIFS(Flat_file!$G:$G,Flat_file!$B:$B,Summary_Unemployed!$B$2,Flat_file!$C:$C,"Women",Flat_file!$D:$D,"65-69",Flat_file!$E:$E,"850",Flat_file!$F:$F,"U")+SUMIFS(Flat_file!$G:$G,Flat_file!$B:$B,Summary_Unemployed!$B$2,Flat_file!$C:$C,"Women",Flat_file!$D:$D,"65-69",Flat_file!$E:$E,"860",Flat_file!$F:$F,"U")</f>
        <v>0</v>
      </c>
      <c r="N29" s="225">
        <f>SUMIFS(Flat_file!$G:$G,Flat_file!$B:$B,Summary_Unemployed!$B$2,Flat_file!$C:$C,"Women",Flat_file!$D:$D,"65-69",Flat_file!$E:$E,"999",Flat_file!$F:$F,"U")</f>
        <v>0</v>
      </c>
      <c r="O29" s="225">
        <f t="shared" si="5"/>
        <v>0</v>
      </c>
      <c r="P29" s="90"/>
      <c r="Q29" s="225">
        <f t="shared" si="6"/>
        <v>0</v>
      </c>
      <c r="R29" s="91"/>
      <c r="S29" s="225">
        <f t="shared" si="7"/>
        <v>0</v>
      </c>
      <c r="T29" s="225">
        <f t="shared" si="8"/>
        <v>0</v>
      </c>
      <c r="U29" s="225">
        <f t="shared" si="9"/>
        <v>0</v>
      </c>
      <c r="V29" s="90"/>
      <c r="W29" s="225">
        <f>SUMIFS(Flat_file!$G:$G,Flat_file!$B:$B,Summary_Unemployed!$B$2,Flat_file!$C:$C,"Women",Flat_file!$D:$D,"65-69",Flat_file!$E:$E,"343",Flat_file!$F:$F,"U")+SUMIFS(Flat_file!$G:$G,Flat_file!$B:$B,Summary_Unemployed!$B$2,Flat_file!$C:$C,"Women",Flat_file!$D:$D,"65-69",Flat_file!$E:$E,"344",Flat_file!$F:$F,"U")+SUMIFS(Flat_file!$G:$G,Flat_file!$B:$B,Summary_Unemployed!$B$2,Flat_file!$C:$C,"Women",Flat_file!$D:$D,"65-69",Flat_file!$E:$E,"443",Flat_file!$F:$F,"U")+SUMIFS(Flat_file!$G:$G,Flat_file!$B:$B,Summary_Unemployed!$B$2,Flat_file!$C:$C,"Women",Flat_file!$D:$D,"65-69",Flat_file!$E:$E,"444",Flat_file!$F:$F,"U")</f>
        <v>0</v>
      </c>
      <c r="X29" s="225">
        <f>SUMIFS(Flat_file!$G:$G,Flat_file!$B:$B,Summary_Unemployed!$B$2,Flat_file!$C:$C,"Women",Flat_file!$D:$D,"65-69",Flat_file!$E:$E,"353",Flat_file!$F:$F,"U")+SUMIFS(Flat_file!$G:$G,Flat_file!$B:$B,Summary_Unemployed!$B$2,Flat_file!$C:$C,"Women",Flat_file!$D:$D,"65-69",Flat_file!$E:$E,"354",Flat_file!$F:$F,"U")+SUMIFS(Flat_file!$G:$G,Flat_file!$B:$B,Summary_Unemployed!$B$2,Flat_file!$C:$C,"Women",Flat_file!$D:$D,"65-69",Flat_file!$E:$E,"453",Flat_file!$F:$F,"U")+SUMIFS(Flat_file!$G:$G,Flat_file!$B:$B,Summary_Unemployed!$B$2,Flat_file!$C:$C,"Women",Flat_file!$D:$D,"65-69",Flat_file!$E:$E,"454",Flat_file!$F:$F,"U")</f>
        <v>0</v>
      </c>
      <c r="Y29" s="90"/>
      <c r="Z29" s="225">
        <f>SUMIFS(Flat_file!$G:$G,Flat_file!$B:$B,Summary_Unemployed!$B$2,Flat_file!$C:$C,"Women",Flat_file!$D:$D,"65-69",Flat_file!$E:$E,"640",Flat_file!$F:$F,"U")+SUMIFS(Flat_file!$G:$G,Flat_file!$B:$B,Summary_Unemployed!$B$2,Flat_file!$C:$C,"Women",Flat_file!$D:$D,"65-69",Flat_file!$E:$E,"740",Flat_file!$F:$F,"U")+SUMIFS(Flat_file!$G:$G,Flat_file!$B:$B,Summary_Unemployed!$B$2,Flat_file!$C:$C,"Women",Flat_file!$D:$D,"65-69",Flat_file!$E:$E,"840",Flat_file!$F:$F,"U")</f>
        <v>0</v>
      </c>
      <c r="AA29" s="225">
        <f>SUMIFS(Flat_file!$G:$G,Flat_file!$B:$B,Summary_Unemployed!$B$2,Flat_file!$C:$C,"Women",Flat_file!$D:$D,"65-69",Flat_file!$E:$E,"650",Flat_file!$F:$F,"U")+SUMIFS(Flat_file!$G:$G,Flat_file!$B:$B,Summary_Unemployed!$B$2,Flat_file!$C:$C,"Women",Flat_file!$D:$D,"65-69",Flat_file!$E:$E,"750",Flat_file!$F:$F,"U")+SUMIFS(Flat_file!$G:$G,Flat_file!$B:$B,Summary_Unemployed!$B$2,Flat_file!$C:$C,"Women",Flat_file!$D:$D,"65-69",Flat_file!$E:$E,"850",Flat_file!$F:$F,"U")</f>
        <v>0</v>
      </c>
      <c r="AB29" s="225">
        <f>SUMIFS(Flat_file!$G:$G,Flat_file!$B:$B,Summary_Unemployed!$B$2,Flat_file!$C:$C,"Women",Flat_file!$D:$D,"65-69",Flat_file!$E:$E,"660",Flat_file!$F:$F,"U")+SUMIFS(Flat_file!$G:$G,Flat_file!$B:$B,Summary_Unemployed!$B$2,Flat_file!$C:$C,"Women",Flat_file!$D:$D,"65-69",Flat_file!$E:$E,"760",Flat_file!$F:$F,"U")+SUMIFS(Flat_file!$G:$G,Flat_file!$B:$B,Summary_Unemployed!$B$2,Flat_file!$C:$C,"Women",Flat_file!$D:$D,"65-69",Flat_file!$E:$E,"860",Flat_file!$F:$F,"U")</f>
        <v>0</v>
      </c>
      <c r="AC29" s="3"/>
      <c r="AD29" s="3"/>
      <c r="AE29" s="3"/>
      <c r="AF29" s="3"/>
      <c r="AG29" s="3"/>
      <c r="AH29" s="3"/>
      <c r="AI29" s="3"/>
      <c r="AJ29" s="3"/>
      <c r="AK29" s="3"/>
      <c r="AL29" s="3"/>
      <c r="AM29" s="3"/>
      <c r="AN29" s="3"/>
      <c r="AO29" s="3"/>
      <c r="AP29" s="3"/>
      <c r="AQ29" s="3"/>
      <c r="AR29" s="3"/>
      <c r="AS29" s="3"/>
    </row>
    <row r="30" spans="1:45" customFormat="1" x14ac:dyDescent="0.2">
      <c r="A30" s="352"/>
      <c r="B30" s="79" t="s">
        <v>260</v>
      </c>
      <c r="C30" s="225">
        <f>SUMIFS(Flat_file!$G:$G,Flat_file!$B:$B,Summary_Unemployed!$B$2,Flat_file!$C:$C,"Women",Flat_file!$D:$D,"70-74",Flat_file!$E:$E,"010",Flat_file!$F:$F,"U")+SUMIFS(Flat_file!$G:$G,Flat_file!$B:$B,Summary_Unemployed!$B$2,Flat_file!$C:$C,"Women",Flat_file!$D:$D,"70-74",Flat_file!$E:$E,"020",Flat_file!$F:$F,"U")+SUMIFS(Flat_file!$G:$G,Flat_file!$B:$B,Summary_Unemployed!$B$2,Flat_file!$C:$C,"Women",Flat_file!$D:$D,"70-74",Flat_file!$E:$E,"030",Flat_file!$F:$F,"U")</f>
        <v>0</v>
      </c>
      <c r="D30" s="225">
        <f>SUMIFS(Flat_file!$G:$G,Flat_file!$B:$B,Summary_Unemployed!$B$2,Flat_file!$C:$C,"Women",Flat_file!$D:$D,"70-74",Flat_file!$E:$E,"100",Flat_file!$F:$F,"U")</f>
        <v>0</v>
      </c>
      <c r="E30" s="225">
        <f>SUMIFS(Flat_file!$G:$G,Flat_file!$B:$B,Summary_Unemployed!$B$2,Flat_file!$C:$C,"Women",Flat_file!$D:$D,"70-74",Flat_file!$E:$E,"242",Flat_file!$F:$F,"U")+SUMIFS(Flat_file!$G:$G,Flat_file!$B:$B,Summary_Unemployed!$B$2,Flat_file!$C:$C,"Women",Flat_file!$D:$D,"70-74",Flat_file!$E:$E,"252",Flat_file!$F:$F,"U")</f>
        <v>0</v>
      </c>
      <c r="F30" s="225">
        <f>SUMIFS(Flat_file!$G:$G,Flat_file!$B:$B,Summary_Unemployed!$B$2,Flat_file!$C:$C,"Women",Flat_file!$D:$D,"70-74",Flat_file!$E:$E,"243",Flat_file!$F:$F,"U")+SUMIFS(Flat_file!$G:$G,Flat_file!$B:$B,Summary_Unemployed!$B$2,Flat_file!$C:$C,"Women",Flat_file!$D:$D,"70-74",Flat_file!$E:$E,"244",Flat_file!$F:$F,"U")+SUMIFS(Flat_file!$G:$G,Flat_file!$B:$B,Summary_Unemployed!$B$2,Flat_file!$C:$C,"Women",Flat_file!$D:$D,"70-74",Flat_file!$E:$E,"253",Flat_file!$F:$F,"U")+SUMIFS(Flat_file!$G:$G,Flat_file!$B:$B,Summary_Unemployed!$B$2,Flat_file!$C:$C,"Women",Flat_file!$D:$D,"70-74",Flat_file!$E:$E,"254",Flat_file!$F:$F,"U")</f>
        <v>0</v>
      </c>
      <c r="G30" s="225">
        <f>SUMIFS(Flat_file!$G:$G,Flat_file!$B:$B,Summary_Unemployed!$B$2,Flat_file!$C:$C,"Women",Flat_file!$D:$D,"70-74",Flat_file!$E:$E,"342",Flat_file!$F:$F,"U")+SUMIFS(Flat_file!$G:$G,Flat_file!$B:$B,Summary_Unemployed!$B$2,Flat_file!$C:$C,"Women",Flat_file!$D:$D,"70-74",Flat_file!$E:$E,"352",Flat_file!$F:$F,"U")</f>
        <v>0</v>
      </c>
      <c r="H30" s="225">
        <f>SUMIFS(Flat_file!$G:$G,Flat_file!$B:$B,Summary_Unemployed!$B$2,Flat_file!$C:$C,"Women",Flat_file!$D:$D,"70-74",Flat_file!$E:$E,"343",Flat_file!$F:$F,"U")+SUMIFS(Flat_file!$G:$G,Flat_file!$B:$B,Summary_Unemployed!$B$2,Flat_file!$C:$C,"Women",Flat_file!$D:$D,"70-74",Flat_file!$E:$E,"344",Flat_file!$F:$F,"U")+SUMIFS(Flat_file!$G:$G,Flat_file!$B:$B,Summary_Unemployed!$B$2,Flat_file!$C:$C,"Women",Flat_file!$D:$D,"70-74",Flat_file!$E:$E,"353",Flat_file!$F:$F,"U")+SUMIFS(Flat_file!$G:$G,Flat_file!$B:$B,Summary_Unemployed!$B$2,Flat_file!$C:$C,"Women",Flat_file!$D:$D,"70-74",Flat_file!$E:$E,"354",Flat_file!$F:$F,"U")</f>
        <v>0</v>
      </c>
      <c r="I30" s="225">
        <f>SUMIFS(Flat_file!$G:$G,Flat_file!$B:$B,Summary_Unemployed!$B$2,Flat_file!$C:$C,"Women",Flat_file!$D:$D,"70-74",Flat_file!$E:$E,"443",Flat_file!$F:$F,"U")+SUMIFS(Flat_file!$G:$G,Flat_file!$B:$B,Summary_Unemployed!$B$2,Flat_file!$C:$C,"Women",Flat_file!$D:$D,"70-74",Flat_file!$E:$E,"444",Flat_file!$F:$F,"U")+SUMIFS(Flat_file!$G:$G,Flat_file!$B:$B,Summary_Unemployed!$B$2,Flat_file!$C:$C,"Women",Flat_file!$D:$D,"70-74",Flat_file!$E:$E,"453",Flat_file!$F:$F,"U")+SUMIFS(Flat_file!$G:$G,Flat_file!$B:$B,Summary_Unemployed!$B$2,Flat_file!$C:$C,"Women",Flat_file!$D:$D,"70-74",Flat_file!$E:$E,"454",Flat_file!$F:$F,"U")</f>
        <v>0</v>
      </c>
      <c r="J30" s="225">
        <f>SUMIFS(Flat_file!$G:$G,Flat_file!$B:$B,Summary_Unemployed!$B$2,Flat_file!$C:$C,"Women",Flat_file!$D:$D,"70-74",Flat_file!$E:$E,"540",Flat_file!$F:$F,"U")+SUMIFS(Flat_file!$G:$G,Flat_file!$B:$B,Summary_Unemployed!$B$2,Flat_file!$C:$C,"Women",Flat_file!$D:$D,"70-74",Flat_file!$E:$E,"550",Flat_file!$F:$F,"U")+SUMIFS(Flat_file!$G:$G,Flat_file!$B:$B,Summary_Unemployed!$B$2,Flat_file!$C:$C,"Women",Flat_file!$D:$D,"70-74",Flat_file!$E:$E,"560",Flat_file!$F:$F,"U")</f>
        <v>0</v>
      </c>
      <c r="K30" s="225">
        <f>SUMIFS(Flat_file!$G:$G,Flat_file!$B:$B,Summary_Unemployed!$B$2,Flat_file!$C:$C,"Women",Flat_file!$D:$D,"70-74",Flat_file!$E:$E,"640",Flat_file!$F:$F,"U")+SUMIFS(Flat_file!$G:$G,Flat_file!$B:$B,Summary_Unemployed!$B$2,Flat_file!$C:$C,"Women",Flat_file!$D:$D,"70-74",Flat_file!$E:$E,"650",Flat_file!$F:$F,"U")+SUMIFS(Flat_file!$G:$G,Flat_file!$B:$B,Summary_Unemployed!$B$2,Flat_file!$C:$C,"Women",Flat_file!$D:$D,"70-74",Flat_file!$E:$E,"660",Flat_file!$F:$F,"U")</f>
        <v>0</v>
      </c>
      <c r="L30" s="225">
        <f>SUMIFS(Flat_file!$G:$G,Flat_file!$B:$B,Summary_Unemployed!$B$2,Flat_file!$C:$C,"Women",Flat_file!$D:$D,"70-74",Flat_file!$E:$E,"740",Flat_file!$F:$F,"U")+SUMIFS(Flat_file!$G:$G,Flat_file!$B:$B,Summary_Unemployed!$B$2,Flat_file!$C:$C,"Women",Flat_file!$D:$D,"70-74",Flat_file!$E:$E,"750",Flat_file!$F:$F,"U")+SUMIFS(Flat_file!$G:$G,Flat_file!$B:$B,Summary_Unemployed!$B$2,Flat_file!$C:$C,"Women",Flat_file!$D:$D,"70-74",Flat_file!$E:$E,"760",Flat_file!$F:$F,"U")</f>
        <v>0</v>
      </c>
      <c r="M30" s="225">
        <f>SUMIFS(Flat_file!$G:$G,Flat_file!$B:$B,Summary_Unemployed!$B$2,Flat_file!$C:$C,"Women",Flat_file!$D:$D,"70-74",Flat_file!$E:$E,"840",Flat_file!$F:$F,"U")+SUMIFS(Flat_file!$G:$G,Flat_file!$B:$B,Summary_Unemployed!$B$2,Flat_file!$C:$C,"Women",Flat_file!$D:$D,"70-74",Flat_file!$E:$E,"850",Flat_file!$F:$F,"U")+SUMIFS(Flat_file!$G:$G,Flat_file!$B:$B,Summary_Unemployed!$B$2,Flat_file!$C:$C,"Women",Flat_file!$D:$D,"70-74",Flat_file!$E:$E,"860",Flat_file!$F:$F,"U")</f>
        <v>0</v>
      </c>
      <c r="N30" s="225">
        <f>SUMIFS(Flat_file!$G:$G,Flat_file!$B:$B,Summary_Unemployed!$B$2,Flat_file!$C:$C,"Women",Flat_file!$D:$D,"70-74",Flat_file!$E:$E,"999",Flat_file!$F:$F,"U")</f>
        <v>0</v>
      </c>
      <c r="O30" s="225">
        <f t="shared" si="5"/>
        <v>0</v>
      </c>
      <c r="P30" s="90"/>
      <c r="Q30" s="225">
        <f t="shared" si="6"/>
        <v>0</v>
      </c>
      <c r="R30" s="91"/>
      <c r="S30" s="225">
        <f t="shared" si="7"/>
        <v>0</v>
      </c>
      <c r="T30" s="225">
        <f t="shared" si="8"/>
        <v>0</v>
      </c>
      <c r="U30" s="225">
        <f t="shared" si="9"/>
        <v>0</v>
      </c>
      <c r="V30" s="90"/>
      <c r="W30" s="225">
        <f>SUMIFS(Flat_file!$G:$G,Flat_file!$B:$B,Summary_Unemployed!$B$2,Flat_file!$C:$C,"Women",Flat_file!$D:$D,"70-74",Flat_file!$E:$E,"343",Flat_file!$F:$F,"U")+SUMIFS(Flat_file!$G:$G,Flat_file!$B:$B,Summary_Unemployed!$B$2,Flat_file!$C:$C,"Women",Flat_file!$D:$D,"70-74",Flat_file!$E:$E,"344",Flat_file!$F:$F,"U")+SUMIFS(Flat_file!$G:$G,Flat_file!$B:$B,Summary_Unemployed!$B$2,Flat_file!$C:$C,"Women",Flat_file!$D:$D,"70-74",Flat_file!$E:$E,"443",Flat_file!$F:$F,"U")+SUMIFS(Flat_file!$G:$G,Flat_file!$B:$B,Summary_Unemployed!$B$2,Flat_file!$C:$C,"Women",Flat_file!$D:$D,"70-74",Flat_file!$E:$E,"444",Flat_file!$F:$F,"U")</f>
        <v>0</v>
      </c>
      <c r="X30" s="225">
        <f>SUMIFS(Flat_file!$G:$G,Flat_file!$B:$B,Summary_Unemployed!$B$2,Flat_file!$C:$C,"Women",Flat_file!$D:$D,"70-74",Flat_file!$E:$E,"353",Flat_file!$F:$F,"U")+SUMIFS(Flat_file!$G:$G,Flat_file!$B:$B,Summary_Unemployed!$B$2,Flat_file!$C:$C,"Women",Flat_file!$D:$D,"70-74",Flat_file!$E:$E,"354",Flat_file!$F:$F,"U")+SUMIFS(Flat_file!$G:$G,Flat_file!$B:$B,Summary_Unemployed!$B$2,Flat_file!$C:$C,"Women",Flat_file!$D:$D,"70-74",Flat_file!$E:$E,"453",Flat_file!$F:$F,"U")+SUMIFS(Flat_file!$G:$G,Flat_file!$B:$B,Summary_Unemployed!$B$2,Flat_file!$C:$C,"Women",Flat_file!$D:$D,"70-74",Flat_file!$E:$E,"454",Flat_file!$F:$F,"U")</f>
        <v>0</v>
      </c>
      <c r="Y30" s="90"/>
      <c r="Z30" s="225">
        <f>SUMIFS(Flat_file!$G:$G,Flat_file!$B:$B,Summary_Unemployed!$B$2,Flat_file!$C:$C,"Women",Flat_file!$D:$D,"70-74",Flat_file!$E:$E,"640",Flat_file!$F:$F,"U")+SUMIFS(Flat_file!$G:$G,Flat_file!$B:$B,Summary_Unemployed!$B$2,Flat_file!$C:$C,"Women",Flat_file!$D:$D,"70-74",Flat_file!$E:$E,"740",Flat_file!$F:$F,"U")+SUMIFS(Flat_file!$G:$G,Flat_file!$B:$B,Summary_Unemployed!$B$2,Flat_file!$C:$C,"Women",Flat_file!$D:$D,"70-74",Flat_file!$E:$E,"840",Flat_file!$F:$F,"U")</f>
        <v>0</v>
      </c>
      <c r="AA30" s="225">
        <f>SUMIFS(Flat_file!$G:$G,Flat_file!$B:$B,Summary_Unemployed!$B$2,Flat_file!$C:$C,"Women",Flat_file!$D:$D,"70-74",Flat_file!$E:$E,"650",Flat_file!$F:$F,"U")+SUMIFS(Flat_file!$G:$G,Flat_file!$B:$B,Summary_Unemployed!$B$2,Flat_file!$C:$C,"Women",Flat_file!$D:$D,"70-74",Flat_file!$E:$E,"750",Flat_file!$F:$F,"U")+SUMIFS(Flat_file!$G:$G,Flat_file!$B:$B,Summary_Unemployed!$B$2,Flat_file!$C:$C,"Women",Flat_file!$D:$D,"70-74",Flat_file!$E:$E,"850",Flat_file!$F:$F,"U")</f>
        <v>0</v>
      </c>
      <c r="AB30" s="225">
        <f>SUMIFS(Flat_file!$G:$G,Flat_file!$B:$B,Summary_Unemployed!$B$2,Flat_file!$C:$C,"Women",Flat_file!$D:$D,"70-74",Flat_file!$E:$E,"660",Flat_file!$F:$F,"U")+SUMIFS(Flat_file!$G:$G,Flat_file!$B:$B,Summary_Unemployed!$B$2,Flat_file!$C:$C,"Women",Flat_file!$D:$D,"70-74",Flat_file!$E:$E,"760",Flat_file!$F:$F,"U")+SUMIFS(Flat_file!$G:$G,Flat_file!$B:$B,Summary_Unemployed!$B$2,Flat_file!$C:$C,"Women",Flat_file!$D:$D,"70-74",Flat_file!$E:$E,"860",Flat_file!$F:$F,"U")</f>
        <v>0</v>
      </c>
      <c r="AC30" s="3"/>
      <c r="AD30" s="3"/>
      <c r="AE30" s="3"/>
      <c r="AF30" s="3"/>
      <c r="AG30" s="3"/>
      <c r="AH30" s="3"/>
      <c r="AI30" s="3"/>
      <c r="AJ30" s="3"/>
      <c r="AK30" s="3"/>
      <c r="AL30" s="3"/>
      <c r="AM30" s="3"/>
      <c r="AN30" s="3"/>
      <c r="AO30" s="3"/>
      <c r="AP30" s="3"/>
      <c r="AQ30" s="3"/>
      <c r="AR30" s="3"/>
      <c r="AS30" s="3"/>
    </row>
    <row r="31" spans="1:45" customFormat="1" ht="13.5" thickBot="1" x14ac:dyDescent="0.25">
      <c r="A31" s="352"/>
      <c r="B31" s="79" t="s">
        <v>261</v>
      </c>
      <c r="C31" s="225">
        <f>SUMIFS(Flat_file!$G:$G,Flat_file!$B:$B,Summary_Unemployed!$B$2,Flat_file!$C:$C,"Women",Flat_file!$D:$D,"75+",Flat_file!$E:$E,"010",Flat_file!$F:$F,"U")+SUMIFS(Flat_file!$G:$G,Flat_file!$B:$B,Summary_Unemployed!$B$2,Flat_file!$C:$C,"Women",Flat_file!$D:$D,"75+",Flat_file!$E:$E,"020",Flat_file!$F:$F,"U")+SUMIFS(Flat_file!$G:$G,Flat_file!$B:$B,Summary_Unemployed!$B$2,Flat_file!$C:$C,"Women",Flat_file!$D:$D,"75+",Flat_file!$E:$E,"030",Flat_file!$F:$F,"U")</f>
        <v>0</v>
      </c>
      <c r="D31" s="225">
        <f>SUMIFS(Flat_file!$G:$G,Flat_file!$B:$B,Summary_Unemployed!$B$2,Flat_file!$C:$C,"Women",Flat_file!$D:$D,"75+",Flat_file!$E:$E,"100",Flat_file!$F:$F,"U")</f>
        <v>0</v>
      </c>
      <c r="E31" s="225">
        <f>SUMIFS(Flat_file!$G:$G,Flat_file!$B:$B,Summary_Unemployed!$B$2,Flat_file!$C:$C,"Women",Flat_file!$D:$D,"75+",Flat_file!$E:$E,"242",Flat_file!$F:$F,"U")+SUMIFS(Flat_file!$G:$G,Flat_file!$B:$B,Summary_Unemployed!$B$2,Flat_file!$C:$C,"Women",Flat_file!$D:$D,"75+",Flat_file!$E:$E,"252",Flat_file!$F:$F,"U")</f>
        <v>0</v>
      </c>
      <c r="F31" s="225">
        <f>SUMIFS(Flat_file!$G:$G,Flat_file!$B:$B,Summary_Unemployed!$B$2,Flat_file!$C:$C,"Women",Flat_file!$D:$D,"75+",Flat_file!$E:$E,"243",Flat_file!$F:$F,"U")+SUMIFS(Flat_file!$G:$G,Flat_file!$B:$B,Summary_Unemployed!$B$2,Flat_file!$C:$C,"Women",Flat_file!$D:$D,"75+",Flat_file!$E:$E,"244",Flat_file!$F:$F,"U")+SUMIFS(Flat_file!$G:$G,Flat_file!$B:$B,Summary_Unemployed!$B$2,Flat_file!$C:$C,"Women",Flat_file!$D:$D,"75+",Flat_file!$E:$E,"253",Flat_file!$F:$F,"U")+SUMIFS(Flat_file!$G:$G,Flat_file!$B:$B,Summary_Unemployed!$B$2,Flat_file!$C:$C,"Women",Flat_file!$D:$D,"75+",Flat_file!$E:$E,"254",Flat_file!$F:$F,"U")</f>
        <v>0</v>
      </c>
      <c r="G31" s="225">
        <f>SUMIFS(Flat_file!$G:$G,Flat_file!$B:$B,Summary_Unemployed!$B$2,Flat_file!$C:$C,"Women",Flat_file!$D:$D,"75+",Flat_file!$E:$E,"342",Flat_file!$F:$F,"U")+SUMIFS(Flat_file!$G:$G,Flat_file!$B:$B,Summary_Unemployed!$B$2,Flat_file!$C:$C,"Women",Flat_file!$D:$D,"75+",Flat_file!$E:$E,"352",Flat_file!$F:$F,"U")</f>
        <v>0</v>
      </c>
      <c r="H31" s="225">
        <f>SUMIFS(Flat_file!$G:$G,Flat_file!$B:$B,Summary_Unemployed!$B$2,Flat_file!$C:$C,"Women",Flat_file!$D:$D,"75+",Flat_file!$E:$E,"343",Flat_file!$F:$F,"U")+SUMIFS(Flat_file!$G:$G,Flat_file!$B:$B,Summary_Unemployed!$B$2,Flat_file!$C:$C,"Women",Flat_file!$D:$D,"75+",Flat_file!$E:$E,"344",Flat_file!$F:$F,"U")+SUMIFS(Flat_file!$G:$G,Flat_file!$B:$B,Summary_Unemployed!$B$2,Flat_file!$C:$C,"Women",Flat_file!$D:$D,"75+",Flat_file!$E:$E,"353",Flat_file!$F:$F,"U")+SUMIFS(Flat_file!$G:$G,Flat_file!$B:$B,Summary_Unemployed!$B$2,Flat_file!$C:$C,"Women",Flat_file!$D:$D,"75+",Flat_file!$E:$E,"354",Flat_file!$F:$F,"U")</f>
        <v>0</v>
      </c>
      <c r="I31" s="225">
        <f>SUMIFS(Flat_file!$G:$G,Flat_file!$B:$B,Summary_Unemployed!$B$2,Flat_file!$C:$C,"Women",Flat_file!$D:$D,"75+",Flat_file!$E:$E,"443",Flat_file!$F:$F,"U")+SUMIFS(Flat_file!$G:$G,Flat_file!$B:$B,Summary_Unemployed!$B$2,Flat_file!$C:$C,"Women",Flat_file!$D:$D,"75+",Flat_file!$E:$E,"444",Flat_file!$F:$F,"U")+SUMIFS(Flat_file!$G:$G,Flat_file!$B:$B,Summary_Unemployed!$B$2,Flat_file!$C:$C,"Women",Flat_file!$D:$D,"75+",Flat_file!$E:$E,"453",Flat_file!$F:$F,"U")+SUMIFS(Flat_file!$G:$G,Flat_file!$B:$B,Summary_Unemployed!$B$2,Flat_file!$C:$C,"Women",Flat_file!$D:$D,"75+",Flat_file!$E:$E,"454",Flat_file!$F:$F,"U")</f>
        <v>0</v>
      </c>
      <c r="J31" s="225">
        <f>SUMIFS(Flat_file!$G:$G,Flat_file!$B:$B,Summary_Unemployed!$B$2,Flat_file!$C:$C,"Women",Flat_file!$D:$D,"75+",Flat_file!$E:$E,"540",Flat_file!$F:$F,"U")+SUMIFS(Flat_file!$G:$G,Flat_file!$B:$B,Summary_Unemployed!$B$2,Flat_file!$C:$C,"Women",Flat_file!$D:$D,"75+",Flat_file!$E:$E,"550",Flat_file!$F:$F,"U")+SUMIFS(Flat_file!$G:$G,Flat_file!$B:$B,Summary_Unemployed!$B$2,Flat_file!$C:$C,"Women",Flat_file!$D:$D,"75+",Flat_file!$E:$E,"560",Flat_file!$F:$F,"U")</f>
        <v>0</v>
      </c>
      <c r="K31" s="225">
        <f>SUMIFS(Flat_file!$G:$G,Flat_file!$B:$B,Summary_Unemployed!$B$2,Flat_file!$C:$C,"Women",Flat_file!$D:$D,"75+",Flat_file!$E:$E,"640",Flat_file!$F:$F,"U")+SUMIFS(Flat_file!$G:$G,Flat_file!$B:$B,Summary_Unemployed!$B$2,Flat_file!$C:$C,"Women",Flat_file!$D:$D,"75+",Flat_file!$E:$E,"650",Flat_file!$F:$F,"U")+SUMIFS(Flat_file!$G:$G,Flat_file!$B:$B,Summary_Unemployed!$B$2,Flat_file!$C:$C,"Women",Flat_file!$D:$D,"75+",Flat_file!$E:$E,"660",Flat_file!$F:$F,"U")</f>
        <v>0</v>
      </c>
      <c r="L31" s="225">
        <f>SUMIFS(Flat_file!$G:$G,Flat_file!$B:$B,Summary_Unemployed!$B$2,Flat_file!$C:$C,"Women",Flat_file!$D:$D,"75+",Flat_file!$E:$E,"740",Flat_file!$F:$F,"U")+SUMIFS(Flat_file!$G:$G,Flat_file!$B:$B,Summary_Unemployed!$B$2,Flat_file!$C:$C,"Women",Flat_file!$D:$D,"75+",Flat_file!$E:$E,"750",Flat_file!$F:$F,"U")+SUMIFS(Flat_file!$G:$G,Flat_file!$B:$B,Summary_Unemployed!$B$2,Flat_file!$C:$C,"Women",Flat_file!$D:$D,"75+",Flat_file!$E:$E,"760",Flat_file!$F:$F,"U")</f>
        <v>0</v>
      </c>
      <c r="M31" s="225">
        <f>SUMIFS(Flat_file!$G:$G,Flat_file!$B:$B,Summary_Unemployed!$B$2,Flat_file!$C:$C,"Women",Flat_file!$D:$D,"75+",Flat_file!$E:$E,"840",Flat_file!$F:$F,"U")+SUMIFS(Flat_file!$G:$G,Flat_file!$B:$B,Summary_Unemployed!$B$2,Flat_file!$C:$C,"Women",Flat_file!$D:$D,"75+",Flat_file!$E:$E,"850",Flat_file!$F:$F,"U")+SUMIFS(Flat_file!$G:$G,Flat_file!$B:$B,Summary_Unemployed!$B$2,Flat_file!$C:$C,"Women",Flat_file!$D:$D,"75+",Flat_file!$E:$E,"860",Flat_file!$F:$F,"U")</f>
        <v>0</v>
      </c>
      <c r="N31" s="225">
        <f>SUMIFS(Flat_file!$G:$G,Flat_file!$B:$B,Summary_Unemployed!$B$2,Flat_file!$C:$C,"Women",Flat_file!$D:$D,"75+",Flat_file!$E:$E,"999",Flat_file!$F:$F,"U")</f>
        <v>0</v>
      </c>
      <c r="O31" s="225">
        <f t="shared" si="5"/>
        <v>0</v>
      </c>
      <c r="P31" s="90"/>
      <c r="Q31" s="225">
        <f t="shared" si="6"/>
        <v>0</v>
      </c>
      <c r="R31" s="91"/>
      <c r="S31" s="225">
        <f t="shared" si="7"/>
        <v>0</v>
      </c>
      <c r="T31" s="225">
        <f t="shared" si="8"/>
        <v>0</v>
      </c>
      <c r="U31" s="225">
        <f t="shared" si="9"/>
        <v>0</v>
      </c>
      <c r="V31" s="90"/>
      <c r="W31" s="225">
        <f>SUMIFS(Flat_file!$G:$G,Flat_file!$B:$B,Summary_Unemployed!$B$2,Flat_file!$C:$C,"Women",Flat_file!$D:$D,"75+",Flat_file!$E:$E,"343",Flat_file!$F:$F,"U")+SUMIFS(Flat_file!$G:$G,Flat_file!$B:$B,Summary_Unemployed!$B$2,Flat_file!$C:$C,"Women",Flat_file!$D:$D,"75+",Flat_file!$E:$E,"344",Flat_file!$F:$F,"U")+SUMIFS(Flat_file!$G:$G,Flat_file!$B:$B,Summary_Unemployed!$B$2,Flat_file!$C:$C,"Women",Flat_file!$D:$D,"75+",Flat_file!$E:$E,"443",Flat_file!$F:$F,"U")+SUMIFS(Flat_file!$G:$G,Flat_file!$B:$B,Summary_Unemployed!$B$2,Flat_file!$C:$C,"Women",Flat_file!$D:$D,"75+",Flat_file!$E:$E,"444",Flat_file!$F:$F,"U")</f>
        <v>0</v>
      </c>
      <c r="X31" s="225">
        <f>SUMIFS(Flat_file!$G:$G,Flat_file!$B:$B,Summary_Unemployed!$B$2,Flat_file!$C:$C,"Women",Flat_file!$D:$D,"75+",Flat_file!$E:$E,"353",Flat_file!$F:$F,"U")+SUMIFS(Flat_file!$G:$G,Flat_file!$B:$B,Summary_Unemployed!$B$2,Flat_file!$C:$C,"Women",Flat_file!$D:$D,"75+",Flat_file!$E:$E,"354",Flat_file!$F:$F,"U")+SUMIFS(Flat_file!$G:$G,Flat_file!$B:$B,Summary_Unemployed!$B$2,Flat_file!$C:$C,"Women",Flat_file!$D:$D,"75+",Flat_file!$E:$E,"453",Flat_file!$F:$F,"U")+SUMIFS(Flat_file!$G:$G,Flat_file!$B:$B,Summary_Unemployed!$B$2,Flat_file!$C:$C,"Women",Flat_file!$D:$D,"75+",Flat_file!$E:$E,"454",Flat_file!$F:$F,"U")</f>
        <v>0</v>
      </c>
      <c r="Y31" s="90"/>
      <c r="Z31" s="225">
        <f>SUMIFS(Flat_file!$G:$G,Flat_file!$B:$B,Summary_Unemployed!$B$2,Flat_file!$C:$C,"Women",Flat_file!$D:$D,"75+",Flat_file!$E:$E,"640",Flat_file!$F:$F,"U")+SUMIFS(Flat_file!$G:$G,Flat_file!$B:$B,Summary_Unemployed!$B$2,Flat_file!$C:$C,"Women",Flat_file!$D:$D,"75+",Flat_file!$E:$E,"740",Flat_file!$F:$F,"U")+SUMIFS(Flat_file!$G:$G,Flat_file!$B:$B,Summary_Unemployed!$B$2,Flat_file!$C:$C,"Women",Flat_file!$D:$D,"75+",Flat_file!$E:$E,"840",Flat_file!$F:$F,"U")</f>
        <v>0</v>
      </c>
      <c r="AA31" s="225">
        <f>SUMIFS(Flat_file!$G:$G,Flat_file!$B:$B,Summary_Unemployed!$B$2,Flat_file!$C:$C,"Women",Flat_file!$D:$D,"75+",Flat_file!$E:$E,"650",Flat_file!$F:$F,"U")+SUMIFS(Flat_file!$G:$G,Flat_file!$B:$B,Summary_Unemployed!$B$2,Flat_file!$C:$C,"Women",Flat_file!$D:$D,"75+",Flat_file!$E:$E,"750",Flat_file!$F:$F,"U")+SUMIFS(Flat_file!$G:$G,Flat_file!$B:$B,Summary_Unemployed!$B$2,Flat_file!$C:$C,"Women",Flat_file!$D:$D,"75+",Flat_file!$E:$E,"850",Flat_file!$F:$F,"U")</f>
        <v>0</v>
      </c>
      <c r="AB31" s="225">
        <f>SUMIFS(Flat_file!$G:$G,Flat_file!$B:$B,Summary_Unemployed!$B$2,Flat_file!$C:$C,"Women",Flat_file!$D:$D,"75+",Flat_file!$E:$E,"660",Flat_file!$F:$F,"U")+SUMIFS(Flat_file!$G:$G,Flat_file!$B:$B,Summary_Unemployed!$B$2,Flat_file!$C:$C,"Women",Flat_file!$D:$D,"75+",Flat_file!$E:$E,"760",Flat_file!$F:$F,"U")+SUMIFS(Flat_file!$G:$G,Flat_file!$B:$B,Summary_Unemployed!$B$2,Flat_file!$C:$C,"Women",Flat_file!$D:$D,"75+",Flat_file!$E:$E,"860",Flat_file!$F:$F,"U")</f>
        <v>0</v>
      </c>
      <c r="AC31" s="3"/>
      <c r="AD31" s="3"/>
      <c r="AE31" s="3"/>
      <c r="AF31" s="3"/>
      <c r="AG31" s="3"/>
      <c r="AH31" s="3"/>
      <c r="AI31" s="3"/>
      <c r="AJ31" s="3"/>
      <c r="AK31" s="3"/>
      <c r="AL31" s="3"/>
      <c r="AM31" s="3"/>
      <c r="AN31" s="3"/>
      <c r="AO31" s="3"/>
      <c r="AP31" s="3"/>
      <c r="AQ31" s="3"/>
      <c r="AR31" s="3"/>
      <c r="AS31" s="3"/>
    </row>
    <row r="32" spans="1:45" customFormat="1" x14ac:dyDescent="0.2">
      <c r="A32" s="351" t="s">
        <v>133</v>
      </c>
      <c r="B32" s="78" t="s">
        <v>87</v>
      </c>
      <c r="C32" s="86">
        <f t="shared" ref="C32:O32" si="10">C6+C19</f>
        <v>0</v>
      </c>
      <c r="D32" s="86">
        <f t="shared" si="10"/>
        <v>0</v>
      </c>
      <c r="E32" s="86">
        <f t="shared" si="10"/>
        <v>0</v>
      </c>
      <c r="F32" s="86">
        <f t="shared" si="10"/>
        <v>0</v>
      </c>
      <c r="G32" s="86">
        <f t="shared" si="10"/>
        <v>0</v>
      </c>
      <c r="H32" s="86">
        <f t="shared" si="10"/>
        <v>0</v>
      </c>
      <c r="I32" s="86">
        <f t="shared" si="10"/>
        <v>0</v>
      </c>
      <c r="J32" s="86">
        <f t="shared" si="10"/>
        <v>0</v>
      </c>
      <c r="K32" s="86">
        <f t="shared" si="10"/>
        <v>0</v>
      </c>
      <c r="L32" s="86">
        <f t="shared" si="10"/>
        <v>0</v>
      </c>
      <c r="M32" s="86">
        <f t="shared" si="10"/>
        <v>0</v>
      </c>
      <c r="N32" s="86">
        <f t="shared" si="10"/>
        <v>0</v>
      </c>
      <c r="O32" s="86">
        <f t="shared" si="10"/>
        <v>0</v>
      </c>
      <c r="P32" s="87"/>
      <c r="Q32" s="86">
        <f t="shared" ref="Q32:Q41" si="11">Q6+Q19</f>
        <v>0</v>
      </c>
      <c r="R32" s="88"/>
      <c r="S32" s="86">
        <f t="shared" ref="S32:U41" si="12">S6+S19</f>
        <v>0</v>
      </c>
      <c r="T32" s="86">
        <f t="shared" si="12"/>
        <v>0</v>
      </c>
      <c r="U32" s="86">
        <f t="shared" si="12"/>
        <v>0</v>
      </c>
      <c r="V32" s="87"/>
      <c r="W32" s="86">
        <f t="shared" ref="W32:X41" si="13">W6+W19</f>
        <v>0</v>
      </c>
      <c r="X32" s="86">
        <f t="shared" si="13"/>
        <v>0</v>
      </c>
      <c r="Y32" s="87"/>
      <c r="Z32" s="86">
        <f t="shared" ref="Z32:AB41" si="14">Z6+Z19</f>
        <v>0</v>
      </c>
      <c r="AA32" s="86">
        <f t="shared" si="14"/>
        <v>0</v>
      </c>
      <c r="AB32" s="86">
        <f t="shared" si="14"/>
        <v>0</v>
      </c>
      <c r="AC32" s="3"/>
      <c r="AD32" s="3"/>
      <c r="AE32" s="3"/>
      <c r="AF32" s="3"/>
      <c r="AG32" s="3"/>
      <c r="AH32" s="3"/>
      <c r="AI32" s="3"/>
      <c r="AJ32" s="3"/>
      <c r="AK32" s="3"/>
      <c r="AL32" s="3"/>
      <c r="AM32" s="3"/>
      <c r="AN32" s="3"/>
      <c r="AO32" s="3"/>
      <c r="AP32" s="3"/>
      <c r="AQ32" s="3"/>
      <c r="AR32" s="3"/>
      <c r="AS32" s="3"/>
    </row>
    <row r="33" spans="1:45" customFormat="1" x14ac:dyDescent="0.2">
      <c r="A33" s="352"/>
      <c r="B33" s="79" t="s">
        <v>88</v>
      </c>
      <c r="C33" s="89">
        <f t="shared" ref="C33:O33" si="15">C7+C20</f>
        <v>0</v>
      </c>
      <c r="D33" s="89">
        <f t="shared" si="15"/>
        <v>0</v>
      </c>
      <c r="E33" s="89">
        <f t="shared" si="15"/>
        <v>0</v>
      </c>
      <c r="F33" s="89">
        <f t="shared" si="15"/>
        <v>0</v>
      </c>
      <c r="G33" s="89">
        <f t="shared" si="15"/>
        <v>0</v>
      </c>
      <c r="H33" s="89">
        <f t="shared" si="15"/>
        <v>0</v>
      </c>
      <c r="I33" s="89">
        <f t="shared" si="15"/>
        <v>0</v>
      </c>
      <c r="J33" s="89">
        <f t="shared" si="15"/>
        <v>0</v>
      </c>
      <c r="K33" s="89">
        <f t="shared" si="15"/>
        <v>0</v>
      </c>
      <c r="L33" s="89">
        <f t="shared" si="15"/>
        <v>0</v>
      </c>
      <c r="M33" s="89">
        <f t="shared" si="15"/>
        <v>0</v>
      </c>
      <c r="N33" s="89">
        <f t="shared" si="15"/>
        <v>0</v>
      </c>
      <c r="O33" s="89">
        <f t="shared" si="15"/>
        <v>0</v>
      </c>
      <c r="P33" s="90"/>
      <c r="Q33" s="89">
        <f t="shared" si="11"/>
        <v>0</v>
      </c>
      <c r="R33" s="91"/>
      <c r="S33" s="89">
        <f t="shared" si="12"/>
        <v>0</v>
      </c>
      <c r="T33" s="89">
        <f t="shared" si="12"/>
        <v>0</v>
      </c>
      <c r="U33" s="89">
        <f t="shared" si="12"/>
        <v>0</v>
      </c>
      <c r="V33" s="90"/>
      <c r="W33" s="89">
        <f t="shared" si="13"/>
        <v>0</v>
      </c>
      <c r="X33" s="89">
        <f t="shared" si="13"/>
        <v>0</v>
      </c>
      <c r="Y33" s="90"/>
      <c r="Z33" s="89">
        <f t="shared" si="14"/>
        <v>0</v>
      </c>
      <c r="AA33" s="89">
        <f t="shared" si="14"/>
        <v>0</v>
      </c>
      <c r="AB33" s="89">
        <f t="shared" si="14"/>
        <v>0</v>
      </c>
      <c r="AC33" s="3"/>
      <c r="AD33" s="3"/>
      <c r="AE33" s="3"/>
      <c r="AF33" s="3"/>
      <c r="AG33" s="3"/>
      <c r="AH33" s="3"/>
      <c r="AI33" s="3"/>
      <c r="AJ33" s="3"/>
      <c r="AK33" s="3"/>
      <c r="AL33" s="3"/>
      <c r="AM33" s="3"/>
      <c r="AN33" s="3"/>
      <c r="AO33" s="3"/>
      <c r="AP33" s="3"/>
      <c r="AQ33" s="3"/>
      <c r="AR33" s="3"/>
      <c r="AS33" s="3"/>
    </row>
    <row r="34" spans="1:45" customFormat="1" x14ac:dyDescent="0.2">
      <c r="A34" s="352"/>
      <c r="B34" s="79" t="s">
        <v>89</v>
      </c>
      <c r="C34" s="89">
        <f t="shared" ref="C34:O34" si="16">C8+C21</f>
        <v>0</v>
      </c>
      <c r="D34" s="89">
        <f t="shared" si="16"/>
        <v>0</v>
      </c>
      <c r="E34" s="89">
        <f t="shared" si="16"/>
        <v>0</v>
      </c>
      <c r="F34" s="89">
        <f t="shared" si="16"/>
        <v>0</v>
      </c>
      <c r="G34" s="89">
        <f t="shared" si="16"/>
        <v>0</v>
      </c>
      <c r="H34" s="89">
        <f t="shared" si="16"/>
        <v>0</v>
      </c>
      <c r="I34" s="89">
        <f t="shared" si="16"/>
        <v>0</v>
      </c>
      <c r="J34" s="89">
        <f t="shared" si="16"/>
        <v>0</v>
      </c>
      <c r="K34" s="89">
        <f t="shared" si="16"/>
        <v>0</v>
      </c>
      <c r="L34" s="89">
        <f t="shared" si="16"/>
        <v>0</v>
      </c>
      <c r="M34" s="89">
        <f t="shared" si="16"/>
        <v>0</v>
      </c>
      <c r="N34" s="89">
        <f t="shared" si="16"/>
        <v>0</v>
      </c>
      <c r="O34" s="89">
        <f t="shared" si="16"/>
        <v>0</v>
      </c>
      <c r="P34" s="90"/>
      <c r="Q34" s="89">
        <f t="shared" si="11"/>
        <v>0</v>
      </c>
      <c r="R34" s="91"/>
      <c r="S34" s="89">
        <f t="shared" si="12"/>
        <v>0</v>
      </c>
      <c r="T34" s="89">
        <f t="shared" si="12"/>
        <v>0</v>
      </c>
      <c r="U34" s="89">
        <f t="shared" si="12"/>
        <v>0</v>
      </c>
      <c r="V34" s="90"/>
      <c r="W34" s="89">
        <f t="shared" si="13"/>
        <v>0</v>
      </c>
      <c r="X34" s="89">
        <f t="shared" si="13"/>
        <v>0</v>
      </c>
      <c r="Y34" s="90"/>
      <c r="Z34" s="89">
        <f t="shared" si="14"/>
        <v>0</v>
      </c>
      <c r="AA34" s="89">
        <f t="shared" si="14"/>
        <v>0</v>
      </c>
      <c r="AB34" s="89">
        <f t="shared" si="14"/>
        <v>0</v>
      </c>
      <c r="AC34" s="3"/>
      <c r="AD34" s="3"/>
      <c r="AE34" s="3"/>
      <c r="AF34" s="3"/>
      <c r="AG34" s="3"/>
      <c r="AH34" s="3"/>
      <c r="AI34" s="3"/>
      <c r="AJ34" s="3"/>
      <c r="AK34" s="3"/>
      <c r="AL34" s="3"/>
      <c r="AM34" s="3"/>
      <c r="AN34" s="3"/>
      <c r="AO34" s="3"/>
      <c r="AP34" s="3"/>
      <c r="AQ34" s="3"/>
      <c r="AR34" s="3"/>
      <c r="AS34" s="3"/>
    </row>
    <row r="35" spans="1:45" customFormat="1" x14ac:dyDescent="0.2">
      <c r="A35" s="352"/>
      <c r="B35" s="79" t="s">
        <v>90</v>
      </c>
      <c r="C35" s="89">
        <f t="shared" ref="C35:O35" si="17">C9+C22</f>
        <v>0</v>
      </c>
      <c r="D35" s="89">
        <f t="shared" si="17"/>
        <v>0</v>
      </c>
      <c r="E35" s="89">
        <f t="shared" si="17"/>
        <v>0</v>
      </c>
      <c r="F35" s="89">
        <f t="shared" si="17"/>
        <v>0</v>
      </c>
      <c r="G35" s="89">
        <f t="shared" si="17"/>
        <v>0</v>
      </c>
      <c r="H35" s="89">
        <f t="shared" si="17"/>
        <v>0</v>
      </c>
      <c r="I35" s="89">
        <f t="shared" si="17"/>
        <v>0</v>
      </c>
      <c r="J35" s="89">
        <f t="shared" si="17"/>
        <v>0</v>
      </c>
      <c r="K35" s="89">
        <f t="shared" si="17"/>
        <v>0</v>
      </c>
      <c r="L35" s="89">
        <f t="shared" si="17"/>
        <v>0</v>
      </c>
      <c r="M35" s="89">
        <f t="shared" si="17"/>
        <v>0</v>
      </c>
      <c r="N35" s="89">
        <f t="shared" si="17"/>
        <v>0</v>
      </c>
      <c r="O35" s="89">
        <f t="shared" si="17"/>
        <v>0</v>
      </c>
      <c r="P35" s="90"/>
      <c r="Q35" s="89">
        <f t="shared" si="11"/>
        <v>0</v>
      </c>
      <c r="R35" s="91"/>
      <c r="S35" s="89">
        <f t="shared" si="12"/>
        <v>0</v>
      </c>
      <c r="T35" s="89">
        <f t="shared" si="12"/>
        <v>0</v>
      </c>
      <c r="U35" s="89">
        <f t="shared" si="12"/>
        <v>0</v>
      </c>
      <c r="V35" s="90"/>
      <c r="W35" s="89">
        <f t="shared" si="13"/>
        <v>0</v>
      </c>
      <c r="X35" s="89">
        <f t="shared" si="13"/>
        <v>0</v>
      </c>
      <c r="Y35" s="90"/>
      <c r="Z35" s="89">
        <f t="shared" si="14"/>
        <v>0</v>
      </c>
      <c r="AA35" s="89">
        <f t="shared" si="14"/>
        <v>0</v>
      </c>
      <c r="AB35" s="89">
        <f t="shared" si="14"/>
        <v>0</v>
      </c>
      <c r="AC35" s="3"/>
      <c r="AD35" s="3"/>
      <c r="AE35" s="3"/>
      <c r="AF35" s="3"/>
      <c r="AG35" s="3"/>
      <c r="AH35" s="3"/>
      <c r="AI35" s="3"/>
      <c r="AJ35" s="3"/>
      <c r="AK35" s="3"/>
      <c r="AL35" s="3"/>
      <c r="AM35" s="3"/>
      <c r="AN35" s="3"/>
      <c r="AO35" s="3"/>
      <c r="AP35" s="3"/>
      <c r="AQ35" s="3"/>
      <c r="AR35" s="3"/>
      <c r="AS35" s="3"/>
    </row>
    <row r="36" spans="1:45" customFormat="1" x14ac:dyDescent="0.2">
      <c r="A36" s="352"/>
      <c r="B36" s="79" t="s">
        <v>91</v>
      </c>
      <c r="C36" s="89">
        <f t="shared" ref="C36:O36" si="18">C10+C23</f>
        <v>0</v>
      </c>
      <c r="D36" s="89">
        <f t="shared" si="18"/>
        <v>0</v>
      </c>
      <c r="E36" s="89">
        <f t="shared" si="18"/>
        <v>0</v>
      </c>
      <c r="F36" s="89">
        <f t="shared" si="18"/>
        <v>0</v>
      </c>
      <c r="G36" s="89">
        <f t="shared" si="18"/>
        <v>0</v>
      </c>
      <c r="H36" s="89">
        <f t="shared" si="18"/>
        <v>0</v>
      </c>
      <c r="I36" s="89">
        <f t="shared" si="18"/>
        <v>0</v>
      </c>
      <c r="J36" s="89">
        <f t="shared" si="18"/>
        <v>0</v>
      </c>
      <c r="K36" s="89">
        <f t="shared" si="18"/>
        <v>0</v>
      </c>
      <c r="L36" s="89">
        <f t="shared" si="18"/>
        <v>0</v>
      </c>
      <c r="M36" s="89">
        <f t="shared" si="18"/>
        <v>0</v>
      </c>
      <c r="N36" s="89">
        <f t="shared" si="18"/>
        <v>0</v>
      </c>
      <c r="O36" s="89">
        <f t="shared" si="18"/>
        <v>0</v>
      </c>
      <c r="P36" s="90"/>
      <c r="Q36" s="89">
        <f t="shared" si="11"/>
        <v>0</v>
      </c>
      <c r="R36" s="91"/>
      <c r="S36" s="89">
        <f t="shared" si="12"/>
        <v>0</v>
      </c>
      <c r="T36" s="89">
        <f t="shared" si="12"/>
        <v>0</v>
      </c>
      <c r="U36" s="89">
        <f t="shared" si="12"/>
        <v>0</v>
      </c>
      <c r="V36" s="90"/>
      <c r="W36" s="89">
        <f t="shared" si="13"/>
        <v>0</v>
      </c>
      <c r="X36" s="89">
        <f t="shared" si="13"/>
        <v>0</v>
      </c>
      <c r="Y36" s="90"/>
      <c r="Z36" s="89">
        <f t="shared" si="14"/>
        <v>0</v>
      </c>
      <c r="AA36" s="89">
        <f t="shared" si="14"/>
        <v>0</v>
      </c>
      <c r="AB36" s="89">
        <f t="shared" si="14"/>
        <v>0</v>
      </c>
      <c r="AC36" s="3"/>
      <c r="AD36" s="3"/>
      <c r="AE36" s="3"/>
      <c r="AF36" s="3"/>
      <c r="AG36" s="3"/>
      <c r="AH36" s="3"/>
      <c r="AI36" s="3"/>
      <c r="AJ36" s="3"/>
      <c r="AK36" s="3"/>
      <c r="AL36" s="3"/>
      <c r="AM36" s="3"/>
      <c r="AN36" s="3"/>
      <c r="AO36" s="3"/>
      <c r="AP36" s="3"/>
      <c r="AQ36" s="3"/>
      <c r="AR36" s="3"/>
      <c r="AS36" s="3"/>
    </row>
    <row r="37" spans="1:45" customFormat="1" x14ac:dyDescent="0.2">
      <c r="A37" s="352"/>
      <c r="B37" s="79" t="s">
        <v>92</v>
      </c>
      <c r="C37" s="89">
        <f t="shared" ref="C37:O37" si="19">C11+C24</f>
        <v>0</v>
      </c>
      <c r="D37" s="89">
        <f t="shared" si="19"/>
        <v>0</v>
      </c>
      <c r="E37" s="89">
        <f t="shared" si="19"/>
        <v>0</v>
      </c>
      <c r="F37" s="89">
        <f t="shared" si="19"/>
        <v>0</v>
      </c>
      <c r="G37" s="89">
        <f t="shared" si="19"/>
        <v>0</v>
      </c>
      <c r="H37" s="89">
        <f t="shared" si="19"/>
        <v>0</v>
      </c>
      <c r="I37" s="89">
        <f t="shared" si="19"/>
        <v>0</v>
      </c>
      <c r="J37" s="89">
        <f t="shared" si="19"/>
        <v>0</v>
      </c>
      <c r="K37" s="89">
        <f t="shared" si="19"/>
        <v>0</v>
      </c>
      <c r="L37" s="89">
        <f t="shared" si="19"/>
        <v>0</v>
      </c>
      <c r="M37" s="89">
        <f t="shared" si="19"/>
        <v>0</v>
      </c>
      <c r="N37" s="89">
        <f t="shared" si="19"/>
        <v>0</v>
      </c>
      <c r="O37" s="89">
        <f t="shared" si="19"/>
        <v>0</v>
      </c>
      <c r="P37" s="90"/>
      <c r="Q37" s="89">
        <f t="shared" si="11"/>
        <v>0</v>
      </c>
      <c r="R37" s="91"/>
      <c r="S37" s="89">
        <f t="shared" si="12"/>
        <v>0</v>
      </c>
      <c r="T37" s="89">
        <f t="shared" si="12"/>
        <v>0</v>
      </c>
      <c r="U37" s="89">
        <f t="shared" si="12"/>
        <v>0</v>
      </c>
      <c r="V37" s="90"/>
      <c r="W37" s="89">
        <f t="shared" si="13"/>
        <v>0</v>
      </c>
      <c r="X37" s="89">
        <f t="shared" si="13"/>
        <v>0</v>
      </c>
      <c r="Y37" s="90"/>
      <c r="Z37" s="89">
        <f t="shared" si="14"/>
        <v>0</v>
      </c>
      <c r="AA37" s="89">
        <f t="shared" si="14"/>
        <v>0</v>
      </c>
      <c r="AB37" s="89">
        <f t="shared" si="14"/>
        <v>0</v>
      </c>
      <c r="AC37" s="3"/>
      <c r="AD37" s="3"/>
      <c r="AE37" s="3"/>
      <c r="AF37" s="3"/>
      <c r="AG37" s="3"/>
      <c r="AH37" s="3"/>
      <c r="AI37" s="3"/>
      <c r="AJ37" s="3"/>
      <c r="AK37" s="3"/>
      <c r="AL37" s="3"/>
      <c r="AM37" s="3"/>
      <c r="AN37" s="3"/>
      <c r="AO37" s="3"/>
      <c r="AP37" s="3"/>
      <c r="AQ37" s="3"/>
      <c r="AR37" s="3"/>
      <c r="AS37" s="3"/>
    </row>
    <row r="38" spans="1:45" customFormat="1" x14ac:dyDescent="0.2">
      <c r="A38" s="352"/>
      <c r="B38" s="79" t="s">
        <v>93</v>
      </c>
      <c r="C38" s="89">
        <f t="shared" ref="C38:O38" si="20">C12+C25</f>
        <v>0</v>
      </c>
      <c r="D38" s="89">
        <f t="shared" si="20"/>
        <v>0</v>
      </c>
      <c r="E38" s="89">
        <f t="shared" si="20"/>
        <v>0</v>
      </c>
      <c r="F38" s="89">
        <f t="shared" si="20"/>
        <v>0</v>
      </c>
      <c r="G38" s="89">
        <f t="shared" si="20"/>
        <v>0</v>
      </c>
      <c r="H38" s="89">
        <f t="shared" si="20"/>
        <v>0</v>
      </c>
      <c r="I38" s="89">
        <f t="shared" si="20"/>
        <v>0</v>
      </c>
      <c r="J38" s="89">
        <f t="shared" si="20"/>
        <v>0</v>
      </c>
      <c r="K38" s="89">
        <f t="shared" si="20"/>
        <v>0</v>
      </c>
      <c r="L38" s="89">
        <f t="shared" si="20"/>
        <v>0</v>
      </c>
      <c r="M38" s="89">
        <f t="shared" si="20"/>
        <v>0</v>
      </c>
      <c r="N38" s="89">
        <f t="shared" si="20"/>
        <v>0</v>
      </c>
      <c r="O38" s="89">
        <f t="shared" si="20"/>
        <v>0</v>
      </c>
      <c r="P38" s="90"/>
      <c r="Q38" s="89">
        <f t="shared" si="11"/>
        <v>0</v>
      </c>
      <c r="R38" s="91"/>
      <c r="S38" s="89">
        <f t="shared" si="12"/>
        <v>0</v>
      </c>
      <c r="T38" s="89">
        <f t="shared" si="12"/>
        <v>0</v>
      </c>
      <c r="U38" s="89">
        <f t="shared" si="12"/>
        <v>0</v>
      </c>
      <c r="V38" s="90"/>
      <c r="W38" s="89">
        <f t="shared" si="13"/>
        <v>0</v>
      </c>
      <c r="X38" s="89">
        <f t="shared" si="13"/>
        <v>0</v>
      </c>
      <c r="Y38" s="90"/>
      <c r="Z38" s="89">
        <f t="shared" si="14"/>
        <v>0</v>
      </c>
      <c r="AA38" s="89">
        <f t="shared" si="14"/>
        <v>0</v>
      </c>
      <c r="AB38" s="89">
        <f t="shared" si="14"/>
        <v>0</v>
      </c>
      <c r="AC38" s="3"/>
      <c r="AD38" s="3"/>
      <c r="AE38" s="3"/>
      <c r="AF38" s="3"/>
      <c r="AG38" s="3"/>
      <c r="AH38" s="3"/>
      <c r="AI38" s="3"/>
      <c r="AJ38" s="3"/>
      <c r="AK38" s="3"/>
      <c r="AL38" s="3"/>
      <c r="AM38" s="3"/>
      <c r="AN38" s="3"/>
      <c r="AO38" s="3"/>
      <c r="AP38" s="3"/>
      <c r="AQ38" s="3"/>
      <c r="AR38" s="3"/>
      <c r="AS38" s="3"/>
    </row>
    <row r="39" spans="1:45" customFormat="1" x14ac:dyDescent="0.2">
      <c r="A39" s="352"/>
      <c r="B39" s="79" t="s">
        <v>94</v>
      </c>
      <c r="C39" s="89">
        <f t="shared" ref="C39:O39" si="21">C13+C26</f>
        <v>0</v>
      </c>
      <c r="D39" s="89">
        <f t="shared" si="21"/>
        <v>0</v>
      </c>
      <c r="E39" s="89">
        <f t="shared" si="21"/>
        <v>0</v>
      </c>
      <c r="F39" s="89">
        <f t="shared" si="21"/>
        <v>0</v>
      </c>
      <c r="G39" s="89">
        <f t="shared" si="21"/>
        <v>0</v>
      </c>
      <c r="H39" s="89">
        <f t="shared" si="21"/>
        <v>0</v>
      </c>
      <c r="I39" s="89">
        <f t="shared" si="21"/>
        <v>0</v>
      </c>
      <c r="J39" s="89">
        <f t="shared" si="21"/>
        <v>0</v>
      </c>
      <c r="K39" s="89">
        <f t="shared" si="21"/>
        <v>0</v>
      </c>
      <c r="L39" s="89">
        <f t="shared" si="21"/>
        <v>0</v>
      </c>
      <c r="M39" s="89">
        <f t="shared" si="21"/>
        <v>0</v>
      </c>
      <c r="N39" s="89">
        <f t="shared" si="21"/>
        <v>0</v>
      </c>
      <c r="O39" s="89">
        <f t="shared" si="21"/>
        <v>0</v>
      </c>
      <c r="P39" s="90"/>
      <c r="Q39" s="89">
        <f t="shared" si="11"/>
        <v>0</v>
      </c>
      <c r="R39" s="91"/>
      <c r="S39" s="89">
        <f t="shared" si="12"/>
        <v>0</v>
      </c>
      <c r="T39" s="89">
        <f t="shared" si="12"/>
        <v>0</v>
      </c>
      <c r="U39" s="89">
        <f t="shared" si="12"/>
        <v>0</v>
      </c>
      <c r="V39" s="90"/>
      <c r="W39" s="89">
        <f t="shared" si="13"/>
        <v>0</v>
      </c>
      <c r="X39" s="89">
        <f t="shared" si="13"/>
        <v>0</v>
      </c>
      <c r="Y39" s="90"/>
      <c r="Z39" s="89">
        <f t="shared" si="14"/>
        <v>0</v>
      </c>
      <c r="AA39" s="89">
        <f t="shared" si="14"/>
        <v>0</v>
      </c>
      <c r="AB39" s="89">
        <f t="shared" si="14"/>
        <v>0</v>
      </c>
      <c r="AC39" s="3"/>
      <c r="AD39" s="3"/>
      <c r="AE39" s="3"/>
      <c r="AF39" s="3"/>
      <c r="AG39" s="3"/>
      <c r="AH39" s="3"/>
      <c r="AI39" s="3"/>
      <c r="AJ39" s="3"/>
      <c r="AK39" s="3"/>
      <c r="AL39" s="3"/>
      <c r="AM39" s="3"/>
      <c r="AN39" s="3"/>
      <c r="AO39" s="3"/>
      <c r="AP39" s="3"/>
      <c r="AQ39" s="3"/>
      <c r="AR39" s="3"/>
      <c r="AS39" s="3"/>
    </row>
    <row r="40" spans="1:45" customFormat="1" x14ac:dyDescent="0.2">
      <c r="A40" s="352"/>
      <c r="B40" s="79" t="s">
        <v>95</v>
      </c>
      <c r="C40" s="89">
        <f t="shared" ref="C40:O40" si="22">C14+C27</f>
        <v>0</v>
      </c>
      <c r="D40" s="89">
        <f t="shared" si="22"/>
        <v>0</v>
      </c>
      <c r="E40" s="89">
        <f t="shared" si="22"/>
        <v>0</v>
      </c>
      <c r="F40" s="89">
        <f t="shared" si="22"/>
        <v>0</v>
      </c>
      <c r="G40" s="89">
        <f t="shared" si="22"/>
        <v>0</v>
      </c>
      <c r="H40" s="89">
        <f t="shared" si="22"/>
        <v>0</v>
      </c>
      <c r="I40" s="89">
        <f t="shared" si="22"/>
        <v>0</v>
      </c>
      <c r="J40" s="89">
        <f t="shared" si="22"/>
        <v>0</v>
      </c>
      <c r="K40" s="89">
        <f t="shared" si="22"/>
        <v>0</v>
      </c>
      <c r="L40" s="89">
        <f t="shared" si="22"/>
        <v>0</v>
      </c>
      <c r="M40" s="89">
        <f t="shared" si="22"/>
        <v>0</v>
      </c>
      <c r="N40" s="89">
        <f t="shared" si="22"/>
        <v>0</v>
      </c>
      <c r="O40" s="89">
        <f t="shared" si="22"/>
        <v>0</v>
      </c>
      <c r="P40" s="90"/>
      <c r="Q40" s="89">
        <f t="shared" si="11"/>
        <v>0</v>
      </c>
      <c r="R40" s="91"/>
      <c r="S40" s="89">
        <f t="shared" si="12"/>
        <v>0</v>
      </c>
      <c r="T40" s="89">
        <f t="shared" si="12"/>
        <v>0</v>
      </c>
      <c r="U40" s="89">
        <f t="shared" si="12"/>
        <v>0</v>
      </c>
      <c r="V40" s="90"/>
      <c r="W40" s="89">
        <f t="shared" si="13"/>
        <v>0</v>
      </c>
      <c r="X40" s="89">
        <f t="shared" si="13"/>
        <v>0</v>
      </c>
      <c r="Y40" s="90"/>
      <c r="Z40" s="89">
        <f t="shared" si="14"/>
        <v>0</v>
      </c>
      <c r="AA40" s="89">
        <f t="shared" si="14"/>
        <v>0</v>
      </c>
      <c r="AB40" s="89">
        <f t="shared" si="14"/>
        <v>0</v>
      </c>
      <c r="AC40" s="3"/>
      <c r="AD40" s="3"/>
      <c r="AE40" s="3"/>
      <c r="AF40" s="3"/>
      <c r="AG40" s="3"/>
      <c r="AH40" s="3"/>
      <c r="AI40" s="3"/>
      <c r="AJ40" s="3"/>
      <c r="AK40" s="3"/>
      <c r="AL40" s="3"/>
      <c r="AM40" s="3"/>
      <c r="AN40" s="3"/>
      <c r="AO40" s="3"/>
      <c r="AP40" s="3"/>
      <c r="AQ40" s="3"/>
      <c r="AR40" s="3"/>
      <c r="AS40" s="3"/>
    </row>
    <row r="41" spans="1:45" customFormat="1" x14ac:dyDescent="0.2">
      <c r="A41" s="352"/>
      <c r="B41" s="79" t="s">
        <v>96</v>
      </c>
      <c r="C41" s="89">
        <f t="shared" ref="C41:O41" si="23">C15+C28</f>
        <v>0</v>
      </c>
      <c r="D41" s="89">
        <f t="shared" si="23"/>
        <v>0</v>
      </c>
      <c r="E41" s="89">
        <f t="shared" si="23"/>
        <v>0</v>
      </c>
      <c r="F41" s="89">
        <f t="shared" si="23"/>
        <v>0</v>
      </c>
      <c r="G41" s="89">
        <f t="shared" si="23"/>
        <v>0</v>
      </c>
      <c r="H41" s="89">
        <f t="shared" si="23"/>
        <v>0</v>
      </c>
      <c r="I41" s="89">
        <f t="shared" si="23"/>
        <v>0</v>
      </c>
      <c r="J41" s="89">
        <f t="shared" si="23"/>
        <v>0</v>
      </c>
      <c r="K41" s="89">
        <f t="shared" si="23"/>
        <v>0</v>
      </c>
      <c r="L41" s="89">
        <f t="shared" si="23"/>
        <v>0</v>
      </c>
      <c r="M41" s="89">
        <f t="shared" si="23"/>
        <v>0</v>
      </c>
      <c r="N41" s="89">
        <f t="shared" si="23"/>
        <v>0</v>
      </c>
      <c r="O41" s="89">
        <f t="shared" si="23"/>
        <v>0</v>
      </c>
      <c r="P41" s="90"/>
      <c r="Q41" s="89">
        <f t="shared" si="11"/>
        <v>0</v>
      </c>
      <c r="R41" s="91"/>
      <c r="S41" s="89">
        <f t="shared" si="12"/>
        <v>0</v>
      </c>
      <c r="T41" s="89">
        <f t="shared" si="12"/>
        <v>0</v>
      </c>
      <c r="U41" s="89">
        <f t="shared" si="12"/>
        <v>0</v>
      </c>
      <c r="V41" s="90"/>
      <c r="W41" s="89">
        <f t="shared" si="13"/>
        <v>0</v>
      </c>
      <c r="X41" s="89">
        <f t="shared" si="13"/>
        <v>0</v>
      </c>
      <c r="Y41" s="90"/>
      <c r="Z41" s="89">
        <f t="shared" si="14"/>
        <v>0</v>
      </c>
      <c r="AA41" s="89">
        <f t="shared" si="14"/>
        <v>0</v>
      </c>
      <c r="AB41" s="89">
        <f t="shared" si="14"/>
        <v>0</v>
      </c>
      <c r="AC41" s="3"/>
      <c r="AD41" s="3"/>
      <c r="AE41" s="3"/>
      <c r="AF41" s="3"/>
      <c r="AG41" s="3"/>
      <c r="AH41" s="3"/>
      <c r="AI41" s="3"/>
      <c r="AJ41" s="3"/>
      <c r="AK41" s="3"/>
      <c r="AL41" s="3"/>
      <c r="AM41" s="3"/>
      <c r="AN41" s="3"/>
      <c r="AO41" s="3"/>
      <c r="AP41" s="3"/>
      <c r="AQ41" s="3"/>
      <c r="AR41" s="3"/>
      <c r="AS41" s="3"/>
    </row>
    <row r="42" spans="1:45" customFormat="1" x14ac:dyDescent="0.2">
      <c r="A42" s="352"/>
      <c r="B42" s="79" t="s">
        <v>258</v>
      </c>
      <c r="C42" s="225">
        <f t="shared" ref="C42:AB42" si="24">C16+C29</f>
        <v>0</v>
      </c>
      <c r="D42" s="225">
        <f t="shared" si="24"/>
        <v>0</v>
      </c>
      <c r="E42" s="225">
        <f t="shared" si="24"/>
        <v>0</v>
      </c>
      <c r="F42" s="225">
        <f t="shared" si="24"/>
        <v>0</v>
      </c>
      <c r="G42" s="225">
        <f t="shared" si="24"/>
        <v>0</v>
      </c>
      <c r="H42" s="225">
        <f t="shared" si="24"/>
        <v>0</v>
      </c>
      <c r="I42" s="225">
        <f t="shared" si="24"/>
        <v>0</v>
      </c>
      <c r="J42" s="225">
        <f t="shared" si="24"/>
        <v>0</v>
      </c>
      <c r="K42" s="225">
        <f t="shared" si="24"/>
        <v>0</v>
      </c>
      <c r="L42" s="225">
        <f t="shared" si="24"/>
        <v>0</v>
      </c>
      <c r="M42" s="225">
        <f t="shared" si="24"/>
        <v>0</v>
      </c>
      <c r="N42" s="225">
        <f t="shared" si="24"/>
        <v>0</v>
      </c>
      <c r="O42" s="225">
        <f t="shared" si="24"/>
        <v>0</v>
      </c>
      <c r="P42" s="90">
        <f t="shared" si="24"/>
        <v>0</v>
      </c>
      <c r="Q42" s="225">
        <f t="shared" si="24"/>
        <v>0</v>
      </c>
      <c r="R42" s="91">
        <f t="shared" si="24"/>
        <v>0</v>
      </c>
      <c r="S42" s="225">
        <f t="shared" si="24"/>
        <v>0</v>
      </c>
      <c r="T42" s="225">
        <f t="shared" si="24"/>
        <v>0</v>
      </c>
      <c r="U42" s="225">
        <f t="shared" si="24"/>
        <v>0</v>
      </c>
      <c r="V42" s="90">
        <f t="shared" si="24"/>
        <v>0</v>
      </c>
      <c r="W42" s="225">
        <f t="shared" si="24"/>
        <v>0</v>
      </c>
      <c r="X42" s="225">
        <f t="shared" si="24"/>
        <v>0</v>
      </c>
      <c r="Y42" s="90">
        <f t="shared" si="24"/>
        <v>0</v>
      </c>
      <c r="Z42" s="225">
        <f t="shared" si="24"/>
        <v>0</v>
      </c>
      <c r="AA42" s="225">
        <f t="shared" si="24"/>
        <v>0</v>
      </c>
      <c r="AB42" s="225">
        <f t="shared" si="24"/>
        <v>0</v>
      </c>
      <c r="AC42" s="3"/>
      <c r="AD42" s="3"/>
      <c r="AE42" s="3"/>
      <c r="AF42" s="3"/>
      <c r="AG42" s="3"/>
      <c r="AH42" s="3"/>
      <c r="AI42" s="3"/>
      <c r="AJ42" s="3"/>
      <c r="AK42" s="3"/>
      <c r="AL42" s="3"/>
      <c r="AM42" s="3"/>
      <c r="AN42" s="3"/>
      <c r="AO42" s="3"/>
      <c r="AP42" s="3"/>
      <c r="AQ42" s="3"/>
      <c r="AR42" s="3"/>
      <c r="AS42" s="3"/>
    </row>
    <row r="43" spans="1:45" customFormat="1" x14ac:dyDescent="0.2">
      <c r="A43" s="352"/>
      <c r="B43" s="79" t="s">
        <v>260</v>
      </c>
      <c r="C43" s="225">
        <f t="shared" ref="C43:AB43" si="25">C17+C30</f>
        <v>0</v>
      </c>
      <c r="D43" s="225">
        <f t="shared" si="25"/>
        <v>0</v>
      </c>
      <c r="E43" s="225">
        <f t="shared" si="25"/>
        <v>0</v>
      </c>
      <c r="F43" s="225">
        <f t="shared" si="25"/>
        <v>0</v>
      </c>
      <c r="G43" s="225">
        <f t="shared" si="25"/>
        <v>0</v>
      </c>
      <c r="H43" s="225">
        <f t="shared" si="25"/>
        <v>0</v>
      </c>
      <c r="I43" s="225">
        <f t="shared" si="25"/>
        <v>0</v>
      </c>
      <c r="J43" s="225">
        <f t="shared" si="25"/>
        <v>0</v>
      </c>
      <c r="K43" s="225">
        <f t="shared" si="25"/>
        <v>0</v>
      </c>
      <c r="L43" s="225">
        <f t="shared" si="25"/>
        <v>0</v>
      </c>
      <c r="M43" s="225">
        <f t="shared" si="25"/>
        <v>0</v>
      </c>
      <c r="N43" s="225">
        <f t="shared" si="25"/>
        <v>0</v>
      </c>
      <c r="O43" s="225">
        <f t="shared" si="25"/>
        <v>0</v>
      </c>
      <c r="P43" s="90">
        <f t="shared" si="25"/>
        <v>0</v>
      </c>
      <c r="Q43" s="225">
        <f t="shared" si="25"/>
        <v>0</v>
      </c>
      <c r="R43" s="91">
        <f t="shared" si="25"/>
        <v>0</v>
      </c>
      <c r="S43" s="225">
        <f t="shared" si="25"/>
        <v>0</v>
      </c>
      <c r="T43" s="225">
        <f t="shared" si="25"/>
        <v>0</v>
      </c>
      <c r="U43" s="225">
        <f t="shared" si="25"/>
        <v>0</v>
      </c>
      <c r="V43" s="90">
        <f t="shared" si="25"/>
        <v>0</v>
      </c>
      <c r="W43" s="225">
        <f t="shared" si="25"/>
        <v>0</v>
      </c>
      <c r="X43" s="225">
        <f t="shared" si="25"/>
        <v>0</v>
      </c>
      <c r="Y43" s="90">
        <f t="shared" si="25"/>
        <v>0</v>
      </c>
      <c r="Z43" s="225">
        <f t="shared" si="25"/>
        <v>0</v>
      </c>
      <c r="AA43" s="225">
        <f t="shared" si="25"/>
        <v>0</v>
      </c>
      <c r="AB43" s="225">
        <f t="shared" si="25"/>
        <v>0</v>
      </c>
      <c r="AC43" s="3"/>
      <c r="AD43" s="3"/>
      <c r="AE43" s="3"/>
      <c r="AF43" s="3"/>
      <c r="AG43" s="3"/>
      <c r="AH43" s="3"/>
      <c r="AI43" s="3"/>
      <c r="AJ43" s="3"/>
      <c r="AK43" s="3"/>
      <c r="AL43" s="3"/>
      <c r="AM43" s="3"/>
      <c r="AN43" s="3"/>
      <c r="AO43" s="3"/>
      <c r="AP43" s="3"/>
      <c r="AQ43" s="3"/>
      <c r="AR43" s="3"/>
      <c r="AS43" s="3"/>
    </row>
    <row r="44" spans="1:45" customFormat="1" ht="13.5" thickBot="1" x14ac:dyDescent="0.25">
      <c r="A44" s="352"/>
      <c r="B44" s="79" t="s">
        <v>261</v>
      </c>
      <c r="C44" s="225">
        <f t="shared" ref="C44:AB44" si="26">C18+C31</f>
        <v>0</v>
      </c>
      <c r="D44" s="225">
        <f t="shared" si="26"/>
        <v>0</v>
      </c>
      <c r="E44" s="225">
        <f t="shared" si="26"/>
        <v>0</v>
      </c>
      <c r="F44" s="225">
        <f t="shared" si="26"/>
        <v>0</v>
      </c>
      <c r="G44" s="225">
        <f t="shared" si="26"/>
        <v>0</v>
      </c>
      <c r="H44" s="225">
        <f t="shared" si="26"/>
        <v>0</v>
      </c>
      <c r="I44" s="225">
        <f t="shared" si="26"/>
        <v>0</v>
      </c>
      <c r="J44" s="225">
        <f t="shared" si="26"/>
        <v>0</v>
      </c>
      <c r="K44" s="225">
        <f t="shared" si="26"/>
        <v>0</v>
      </c>
      <c r="L44" s="225">
        <f t="shared" si="26"/>
        <v>0</v>
      </c>
      <c r="M44" s="225">
        <f t="shared" si="26"/>
        <v>0</v>
      </c>
      <c r="N44" s="225">
        <f t="shared" si="26"/>
        <v>0</v>
      </c>
      <c r="O44" s="225">
        <f t="shared" si="26"/>
        <v>0</v>
      </c>
      <c r="P44" s="90">
        <f t="shared" si="26"/>
        <v>0</v>
      </c>
      <c r="Q44" s="225">
        <f t="shared" si="26"/>
        <v>0</v>
      </c>
      <c r="R44" s="91">
        <f t="shared" si="26"/>
        <v>0</v>
      </c>
      <c r="S44" s="225">
        <f t="shared" si="26"/>
        <v>0</v>
      </c>
      <c r="T44" s="225">
        <f t="shared" si="26"/>
        <v>0</v>
      </c>
      <c r="U44" s="225">
        <f t="shared" si="26"/>
        <v>0</v>
      </c>
      <c r="V44" s="90">
        <f t="shared" si="26"/>
        <v>0</v>
      </c>
      <c r="W44" s="225">
        <f t="shared" si="26"/>
        <v>0</v>
      </c>
      <c r="X44" s="225">
        <f t="shared" si="26"/>
        <v>0</v>
      </c>
      <c r="Y44" s="90">
        <f t="shared" si="26"/>
        <v>0</v>
      </c>
      <c r="Z44" s="225">
        <f t="shared" si="26"/>
        <v>0</v>
      </c>
      <c r="AA44" s="225">
        <f t="shared" si="26"/>
        <v>0</v>
      </c>
      <c r="AB44" s="225">
        <f t="shared" si="26"/>
        <v>0</v>
      </c>
      <c r="AC44" s="3"/>
      <c r="AD44" s="3"/>
      <c r="AE44" s="3"/>
      <c r="AF44" s="3"/>
      <c r="AG44" s="3"/>
      <c r="AH44" s="3"/>
      <c r="AI44" s="3"/>
      <c r="AJ44" s="3"/>
      <c r="AK44" s="3"/>
      <c r="AL44" s="3"/>
      <c r="AM44" s="3"/>
      <c r="AN44" s="3"/>
      <c r="AO44" s="3"/>
      <c r="AP44" s="3"/>
      <c r="AQ44" s="3"/>
      <c r="AR44" s="3"/>
      <c r="AS44" s="3"/>
    </row>
    <row r="45" spans="1:45" customFormat="1" x14ac:dyDescent="0.2">
      <c r="A45" s="391" t="s">
        <v>252</v>
      </c>
      <c r="B45" s="209" t="s">
        <v>250</v>
      </c>
      <c r="C45" s="210">
        <f t="shared" ref="C45:AB45" si="27">SUM(C34:C41)</f>
        <v>0</v>
      </c>
      <c r="D45" s="210">
        <f t="shared" si="27"/>
        <v>0</v>
      </c>
      <c r="E45" s="210">
        <f t="shared" si="27"/>
        <v>0</v>
      </c>
      <c r="F45" s="210">
        <f t="shared" si="27"/>
        <v>0</v>
      </c>
      <c r="G45" s="210">
        <f t="shared" si="27"/>
        <v>0</v>
      </c>
      <c r="H45" s="210">
        <f t="shared" si="27"/>
        <v>0</v>
      </c>
      <c r="I45" s="210">
        <f t="shared" si="27"/>
        <v>0</v>
      </c>
      <c r="J45" s="210">
        <f t="shared" si="27"/>
        <v>0</v>
      </c>
      <c r="K45" s="210">
        <f t="shared" si="27"/>
        <v>0</v>
      </c>
      <c r="L45" s="210">
        <f t="shared" si="27"/>
        <v>0</v>
      </c>
      <c r="M45" s="210">
        <f t="shared" si="27"/>
        <v>0</v>
      </c>
      <c r="N45" s="210">
        <f t="shared" si="27"/>
        <v>0</v>
      </c>
      <c r="O45" s="210">
        <f t="shared" si="27"/>
        <v>0</v>
      </c>
      <c r="P45" s="210">
        <f t="shared" si="27"/>
        <v>0</v>
      </c>
      <c r="Q45" s="210">
        <f t="shared" si="27"/>
        <v>0</v>
      </c>
      <c r="R45" s="210">
        <f t="shared" si="27"/>
        <v>0</v>
      </c>
      <c r="S45" s="210">
        <f t="shared" si="27"/>
        <v>0</v>
      </c>
      <c r="T45" s="210">
        <f t="shared" si="27"/>
        <v>0</v>
      </c>
      <c r="U45" s="210">
        <f t="shared" si="27"/>
        <v>0</v>
      </c>
      <c r="V45" s="210">
        <f t="shared" si="27"/>
        <v>0</v>
      </c>
      <c r="W45" s="210">
        <f t="shared" si="27"/>
        <v>0</v>
      </c>
      <c r="X45" s="210">
        <f t="shared" si="27"/>
        <v>0</v>
      </c>
      <c r="Y45" s="210">
        <f t="shared" si="27"/>
        <v>0</v>
      </c>
      <c r="Z45" s="210">
        <f t="shared" si="27"/>
        <v>0</v>
      </c>
      <c r="AA45" s="210">
        <f t="shared" si="27"/>
        <v>0</v>
      </c>
      <c r="AB45" s="210">
        <f t="shared" si="27"/>
        <v>0</v>
      </c>
      <c r="AC45" s="3"/>
      <c r="AD45" s="3"/>
      <c r="AE45" s="3"/>
      <c r="AF45" s="3"/>
      <c r="AG45" s="3"/>
      <c r="AH45" s="3"/>
      <c r="AI45" s="3"/>
      <c r="AJ45" s="3"/>
      <c r="AK45" s="3"/>
      <c r="AL45" s="3"/>
      <c r="AM45" s="3"/>
      <c r="AN45" s="3"/>
      <c r="AO45" s="3"/>
      <c r="AP45" s="3"/>
      <c r="AQ45" s="3"/>
      <c r="AR45" s="3"/>
      <c r="AS45" s="3"/>
    </row>
    <row r="46" spans="1:45" customFormat="1" x14ac:dyDescent="0.2">
      <c r="A46" s="392"/>
      <c r="B46" s="209" t="s">
        <v>251</v>
      </c>
      <c r="C46" s="210">
        <f t="shared" ref="C46:AB46" si="28">SUM(C34:C35)</f>
        <v>0</v>
      </c>
      <c r="D46" s="210">
        <f t="shared" si="28"/>
        <v>0</v>
      </c>
      <c r="E46" s="210">
        <f t="shared" si="28"/>
        <v>0</v>
      </c>
      <c r="F46" s="210">
        <f t="shared" si="28"/>
        <v>0</v>
      </c>
      <c r="G46" s="210">
        <f t="shared" si="28"/>
        <v>0</v>
      </c>
      <c r="H46" s="210">
        <f t="shared" si="28"/>
        <v>0</v>
      </c>
      <c r="I46" s="210">
        <f t="shared" si="28"/>
        <v>0</v>
      </c>
      <c r="J46" s="210">
        <f t="shared" si="28"/>
        <v>0</v>
      </c>
      <c r="K46" s="210">
        <f t="shared" si="28"/>
        <v>0</v>
      </c>
      <c r="L46" s="210">
        <f t="shared" si="28"/>
        <v>0</v>
      </c>
      <c r="M46" s="210">
        <f t="shared" si="28"/>
        <v>0</v>
      </c>
      <c r="N46" s="210">
        <f t="shared" si="28"/>
        <v>0</v>
      </c>
      <c r="O46" s="210">
        <f t="shared" si="28"/>
        <v>0</v>
      </c>
      <c r="P46" s="210">
        <f t="shared" si="28"/>
        <v>0</v>
      </c>
      <c r="Q46" s="210">
        <f t="shared" si="28"/>
        <v>0</v>
      </c>
      <c r="R46" s="210">
        <f t="shared" si="28"/>
        <v>0</v>
      </c>
      <c r="S46" s="210">
        <f t="shared" si="28"/>
        <v>0</v>
      </c>
      <c r="T46" s="210">
        <f t="shared" si="28"/>
        <v>0</v>
      </c>
      <c r="U46" s="210">
        <f t="shared" si="28"/>
        <v>0</v>
      </c>
      <c r="V46" s="210">
        <f t="shared" si="28"/>
        <v>0</v>
      </c>
      <c r="W46" s="210">
        <f t="shared" si="28"/>
        <v>0</v>
      </c>
      <c r="X46" s="210">
        <f t="shared" si="28"/>
        <v>0</v>
      </c>
      <c r="Y46" s="210">
        <f t="shared" si="28"/>
        <v>0</v>
      </c>
      <c r="Z46" s="210">
        <f t="shared" si="28"/>
        <v>0</v>
      </c>
      <c r="AA46" s="210">
        <f t="shared" si="28"/>
        <v>0</v>
      </c>
      <c r="AB46" s="210">
        <f t="shared" si="28"/>
        <v>0</v>
      </c>
      <c r="AC46" s="3"/>
      <c r="AD46" s="3"/>
      <c r="AE46" s="3"/>
      <c r="AF46" s="3"/>
      <c r="AG46" s="3"/>
      <c r="AH46" s="3"/>
      <c r="AI46" s="3"/>
      <c r="AJ46" s="3"/>
      <c r="AK46" s="3"/>
      <c r="AL46" s="3"/>
      <c r="AM46" s="3"/>
      <c r="AN46" s="3"/>
      <c r="AO46" s="3"/>
      <c r="AP46" s="3"/>
      <c r="AQ46" s="3"/>
      <c r="AR46" s="3"/>
      <c r="AS46" s="3"/>
    </row>
    <row r="47" spans="1:45" customFormat="1" x14ac:dyDescent="0.2">
      <c r="A47" s="392"/>
      <c r="B47" s="209" t="s">
        <v>254</v>
      </c>
      <c r="C47" s="210">
        <f t="shared" ref="C47:AB47" si="29">SUM(C36:C37)</f>
        <v>0</v>
      </c>
      <c r="D47" s="210">
        <f t="shared" si="29"/>
        <v>0</v>
      </c>
      <c r="E47" s="210">
        <f t="shared" si="29"/>
        <v>0</v>
      </c>
      <c r="F47" s="210">
        <f t="shared" si="29"/>
        <v>0</v>
      </c>
      <c r="G47" s="210">
        <f t="shared" si="29"/>
        <v>0</v>
      </c>
      <c r="H47" s="210">
        <f t="shared" si="29"/>
        <v>0</v>
      </c>
      <c r="I47" s="210">
        <f t="shared" si="29"/>
        <v>0</v>
      </c>
      <c r="J47" s="210">
        <f t="shared" si="29"/>
        <v>0</v>
      </c>
      <c r="K47" s="210">
        <f t="shared" si="29"/>
        <v>0</v>
      </c>
      <c r="L47" s="210">
        <f t="shared" si="29"/>
        <v>0</v>
      </c>
      <c r="M47" s="210">
        <f t="shared" si="29"/>
        <v>0</v>
      </c>
      <c r="N47" s="210">
        <f t="shared" si="29"/>
        <v>0</v>
      </c>
      <c r="O47" s="210">
        <f t="shared" si="29"/>
        <v>0</v>
      </c>
      <c r="P47" s="210">
        <f t="shared" si="29"/>
        <v>0</v>
      </c>
      <c r="Q47" s="210">
        <f t="shared" si="29"/>
        <v>0</v>
      </c>
      <c r="R47" s="210">
        <f t="shared" si="29"/>
        <v>0</v>
      </c>
      <c r="S47" s="210">
        <f t="shared" si="29"/>
        <v>0</v>
      </c>
      <c r="T47" s="210">
        <f t="shared" si="29"/>
        <v>0</v>
      </c>
      <c r="U47" s="210">
        <f t="shared" si="29"/>
        <v>0</v>
      </c>
      <c r="V47" s="210">
        <f t="shared" si="29"/>
        <v>0</v>
      </c>
      <c r="W47" s="210">
        <f t="shared" si="29"/>
        <v>0</v>
      </c>
      <c r="X47" s="210">
        <f t="shared" si="29"/>
        <v>0</v>
      </c>
      <c r="Y47" s="210">
        <f t="shared" si="29"/>
        <v>0</v>
      </c>
      <c r="Z47" s="210">
        <f t="shared" si="29"/>
        <v>0</v>
      </c>
      <c r="AA47" s="210">
        <f t="shared" si="29"/>
        <v>0</v>
      </c>
      <c r="AB47" s="210">
        <f t="shared" si="29"/>
        <v>0</v>
      </c>
      <c r="AC47" s="3"/>
      <c r="AD47" s="3"/>
      <c r="AE47" s="3"/>
      <c r="AF47" s="3"/>
      <c r="AG47" s="3"/>
      <c r="AH47" s="3"/>
      <c r="AI47" s="3"/>
      <c r="AJ47" s="3"/>
      <c r="AK47" s="3"/>
      <c r="AL47" s="3"/>
      <c r="AM47" s="3"/>
      <c r="AN47" s="3"/>
      <c r="AO47" s="3"/>
      <c r="AP47" s="3"/>
      <c r="AQ47" s="3"/>
      <c r="AR47" s="3"/>
      <c r="AS47" s="3"/>
    </row>
    <row r="48" spans="1:45" customFormat="1" x14ac:dyDescent="0.2">
      <c r="A48" s="392"/>
      <c r="B48" s="209" t="s">
        <v>255</v>
      </c>
      <c r="C48" s="210">
        <f t="shared" ref="C48:AB48" si="30">SUM(C38:C39)</f>
        <v>0</v>
      </c>
      <c r="D48" s="210">
        <f t="shared" si="30"/>
        <v>0</v>
      </c>
      <c r="E48" s="210">
        <f t="shared" si="30"/>
        <v>0</v>
      </c>
      <c r="F48" s="210">
        <f t="shared" si="30"/>
        <v>0</v>
      </c>
      <c r="G48" s="210">
        <f t="shared" si="30"/>
        <v>0</v>
      </c>
      <c r="H48" s="210">
        <f t="shared" si="30"/>
        <v>0</v>
      </c>
      <c r="I48" s="210">
        <f t="shared" si="30"/>
        <v>0</v>
      </c>
      <c r="J48" s="210">
        <f t="shared" si="30"/>
        <v>0</v>
      </c>
      <c r="K48" s="210">
        <f t="shared" si="30"/>
        <v>0</v>
      </c>
      <c r="L48" s="210">
        <f t="shared" si="30"/>
        <v>0</v>
      </c>
      <c r="M48" s="210">
        <f t="shared" si="30"/>
        <v>0</v>
      </c>
      <c r="N48" s="210">
        <f t="shared" si="30"/>
        <v>0</v>
      </c>
      <c r="O48" s="210">
        <f t="shared" si="30"/>
        <v>0</v>
      </c>
      <c r="P48" s="210">
        <f t="shared" si="30"/>
        <v>0</v>
      </c>
      <c r="Q48" s="210">
        <f t="shared" si="30"/>
        <v>0</v>
      </c>
      <c r="R48" s="210">
        <f t="shared" si="30"/>
        <v>0</v>
      </c>
      <c r="S48" s="210">
        <f t="shared" si="30"/>
        <v>0</v>
      </c>
      <c r="T48" s="210">
        <f t="shared" si="30"/>
        <v>0</v>
      </c>
      <c r="U48" s="210">
        <f t="shared" si="30"/>
        <v>0</v>
      </c>
      <c r="V48" s="210">
        <f t="shared" si="30"/>
        <v>0</v>
      </c>
      <c r="W48" s="210">
        <f t="shared" si="30"/>
        <v>0</v>
      </c>
      <c r="X48" s="210">
        <f t="shared" si="30"/>
        <v>0</v>
      </c>
      <c r="Y48" s="210">
        <f t="shared" si="30"/>
        <v>0</v>
      </c>
      <c r="Z48" s="210">
        <f t="shared" si="30"/>
        <v>0</v>
      </c>
      <c r="AA48" s="210">
        <f t="shared" si="30"/>
        <v>0</v>
      </c>
      <c r="AB48" s="210">
        <f t="shared" si="30"/>
        <v>0</v>
      </c>
      <c r="AC48" s="3"/>
      <c r="AD48" s="3"/>
      <c r="AE48" s="3"/>
      <c r="AF48" s="3"/>
      <c r="AG48" s="3"/>
      <c r="AH48" s="3"/>
      <c r="AI48" s="3"/>
      <c r="AJ48" s="3"/>
      <c r="AK48" s="3"/>
      <c r="AL48" s="3"/>
      <c r="AM48" s="3"/>
      <c r="AN48" s="3"/>
      <c r="AO48" s="3"/>
      <c r="AP48" s="3"/>
      <c r="AQ48" s="3"/>
      <c r="AR48" s="3"/>
      <c r="AS48" s="3"/>
    </row>
    <row r="49" spans="1:45" customFormat="1" x14ac:dyDescent="0.2">
      <c r="A49" s="392"/>
      <c r="B49" s="209" t="s">
        <v>256</v>
      </c>
      <c r="C49" s="210">
        <f>SUM(C40:C41)</f>
        <v>0</v>
      </c>
      <c r="D49" s="210">
        <f>SUM(D40:D41)</f>
        <v>0</v>
      </c>
      <c r="E49" s="210">
        <f t="shared" ref="E49:AB49" si="31">SUM(E40:E41)</f>
        <v>0</v>
      </c>
      <c r="F49" s="210">
        <f t="shared" si="31"/>
        <v>0</v>
      </c>
      <c r="G49" s="210">
        <f t="shared" si="31"/>
        <v>0</v>
      </c>
      <c r="H49" s="210">
        <f t="shared" si="31"/>
        <v>0</v>
      </c>
      <c r="I49" s="210">
        <f t="shared" si="31"/>
        <v>0</v>
      </c>
      <c r="J49" s="210">
        <f t="shared" si="31"/>
        <v>0</v>
      </c>
      <c r="K49" s="210">
        <f t="shared" si="31"/>
        <v>0</v>
      </c>
      <c r="L49" s="210">
        <f t="shared" si="31"/>
        <v>0</v>
      </c>
      <c r="M49" s="210">
        <f t="shared" si="31"/>
        <v>0</v>
      </c>
      <c r="N49" s="210">
        <f t="shared" si="31"/>
        <v>0</v>
      </c>
      <c r="O49" s="210">
        <f t="shared" si="31"/>
        <v>0</v>
      </c>
      <c r="P49" s="210">
        <f t="shared" si="31"/>
        <v>0</v>
      </c>
      <c r="Q49" s="210">
        <f t="shared" si="31"/>
        <v>0</v>
      </c>
      <c r="R49" s="210">
        <f t="shared" si="31"/>
        <v>0</v>
      </c>
      <c r="S49" s="210">
        <f t="shared" si="31"/>
        <v>0</v>
      </c>
      <c r="T49" s="210">
        <f t="shared" si="31"/>
        <v>0</v>
      </c>
      <c r="U49" s="210">
        <f t="shared" si="31"/>
        <v>0</v>
      </c>
      <c r="V49" s="210">
        <f t="shared" si="31"/>
        <v>0</v>
      </c>
      <c r="W49" s="210">
        <f t="shared" si="31"/>
        <v>0</v>
      </c>
      <c r="X49" s="210">
        <f t="shared" si="31"/>
        <v>0</v>
      </c>
      <c r="Y49" s="210">
        <f t="shared" si="31"/>
        <v>0</v>
      </c>
      <c r="Z49" s="210">
        <f t="shared" si="31"/>
        <v>0</v>
      </c>
      <c r="AA49" s="210">
        <f t="shared" si="31"/>
        <v>0</v>
      </c>
      <c r="AB49" s="210">
        <f t="shared" si="31"/>
        <v>0</v>
      </c>
      <c r="AC49" s="3"/>
      <c r="AD49" s="3"/>
      <c r="AE49" s="3"/>
      <c r="AF49" s="3"/>
      <c r="AG49" s="3"/>
      <c r="AH49" s="3"/>
      <c r="AI49" s="3"/>
      <c r="AJ49" s="3"/>
      <c r="AK49" s="3"/>
      <c r="AL49" s="3"/>
      <c r="AM49" s="3"/>
      <c r="AN49" s="3"/>
      <c r="AO49" s="3"/>
      <c r="AP49" s="3"/>
      <c r="AQ49" s="3"/>
      <c r="AR49" s="3"/>
      <c r="AS49" s="3"/>
    </row>
    <row r="50" spans="1:45" customFormat="1" x14ac:dyDescent="0.2">
      <c r="A50" s="392"/>
      <c r="B50" s="209" t="s">
        <v>262</v>
      </c>
      <c r="C50" s="210">
        <f>SUM(C42:C43)</f>
        <v>0</v>
      </c>
      <c r="D50" s="210">
        <f>SUM(D42:D43)</f>
        <v>0</v>
      </c>
      <c r="E50" s="210">
        <f t="shared" ref="E50:AB50" si="32">SUM(E42:E43)</f>
        <v>0</v>
      </c>
      <c r="F50" s="210">
        <f t="shared" si="32"/>
        <v>0</v>
      </c>
      <c r="G50" s="210">
        <f t="shared" si="32"/>
        <v>0</v>
      </c>
      <c r="H50" s="210">
        <f t="shared" si="32"/>
        <v>0</v>
      </c>
      <c r="I50" s="210">
        <f t="shared" si="32"/>
        <v>0</v>
      </c>
      <c r="J50" s="210">
        <f t="shared" si="32"/>
        <v>0</v>
      </c>
      <c r="K50" s="210">
        <f t="shared" si="32"/>
        <v>0</v>
      </c>
      <c r="L50" s="210">
        <f t="shared" si="32"/>
        <v>0</v>
      </c>
      <c r="M50" s="210">
        <f t="shared" si="32"/>
        <v>0</v>
      </c>
      <c r="N50" s="210">
        <f t="shared" si="32"/>
        <v>0</v>
      </c>
      <c r="O50" s="210">
        <f t="shared" si="32"/>
        <v>0</v>
      </c>
      <c r="P50" s="210">
        <f t="shared" si="32"/>
        <v>0</v>
      </c>
      <c r="Q50" s="210">
        <f t="shared" si="32"/>
        <v>0</v>
      </c>
      <c r="R50" s="210">
        <f t="shared" si="32"/>
        <v>0</v>
      </c>
      <c r="S50" s="210">
        <f t="shared" si="32"/>
        <v>0</v>
      </c>
      <c r="T50" s="210">
        <f t="shared" si="32"/>
        <v>0</v>
      </c>
      <c r="U50" s="210">
        <f t="shared" si="32"/>
        <v>0</v>
      </c>
      <c r="V50" s="210">
        <f t="shared" si="32"/>
        <v>0</v>
      </c>
      <c r="W50" s="210">
        <f t="shared" si="32"/>
        <v>0</v>
      </c>
      <c r="X50" s="210">
        <f t="shared" si="32"/>
        <v>0</v>
      </c>
      <c r="Y50" s="210">
        <f t="shared" si="32"/>
        <v>0</v>
      </c>
      <c r="Z50" s="210">
        <f t="shared" si="32"/>
        <v>0</v>
      </c>
      <c r="AA50" s="210">
        <f t="shared" si="32"/>
        <v>0</v>
      </c>
      <c r="AB50" s="210">
        <f t="shared" si="32"/>
        <v>0</v>
      </c>
      <c r="AC50" s="3"/>
      <c r="AD50" s="3"/>
      <c r="AE50" s="3"/>
      <c r="AF50" s="3"/>
      <c r="AG50" s="3"/>
      <c r="AH50" s="3"/>
      <c r="AI50" s="3"/>
      <c r="AJ50" s="3"/>
      <c r="AK50" s="3"/>
      <c r="AL50" s="3"/>
      <c r="AM50" s="3"/>
      <c r="AN50" s="3"/>
      <c r="AO50" s="3"/>
      <c r="AP50" s="3"/>
      <c r="AQ50" s="3"/>
      <c r="AR50" s="3"/>
      <c r="AS50" s="3"/>
    </row>
    <row r="51" spans="1:45" customFormat="1" x14ac:dyDescent="0.2">
      <c r="A51" s="393"/>
      <c r="B51" s="209" t="s">
        <v>261</v>
      </c>
      <c r="C51" s="210">
        <f>SUM(C44)</f>
        <v>0</v>
      </c>
      <c r="D51" s="210">
        <f>SUM(D44)</f>
        <v>0</v>
      </c>
      <c r="E51" s="210">
        <f t="shared" ref="E51:AB51" si="33">SUM(E44)</f>
        <v>0</v>
      </c>
      <c r="F51" s="210">
        <f t="shared" si="33"/>
        <v>0</v>
      </c>
      <c r="G51" s="210">
        <f t="shared" si="33"/>
        <v>0</v>
      </c>
      <c r="H51" s="210">
        <f t="shared" si="33"/>
        <v>0</v>
      </c>
      <c r="I51" s="210">
        <f t="shared" si="33"/>
        <v>0</v>
      </c>
      <c r="J51" s="210">
        <f t="shared" si="33"/>
        <v>0</v>
      </c>
      <c r="K51" s="210">
        <f t="shared" si="33"/>
        <v>0</v>
      </c>
      <c r="L51" s="210">
        <f t="shared" si="33"/>
        <v>0</v>
      </c>
      <c r="M51" s="210">
        <f t="shared" si="33"/>
        <v>0</v>
      </c>
      <c r="N51" s="210">
        <f t="shared" si="33"/>
        <v>0</v>
      </c>
      <c r="O51" s="210">
        <f t="shared" si="33"/>
        <v>0</v>
      </c>
      <c r="P51" s="210">
        <f t="shared" si="33"/>
        <v>0</v>
      </c>
      <c r="Q51" s="210">
        <f t="shared" si="33"/>
        <v>0</v>
      </c>
      <c r="R51" s="210">
        <f t="shared" si="33"/>
        <v>0</v>
      </c>
      <c r="S51" s="210">
        <f t="shared" si="33"/>
        <v>0</v>
      </c>
      <c r="T51" s="210">
        <f t="shared" si="33"/>
        <v>0</v>
      </c>
      <c r="U51" s="210">
        <f t="shared" si="33"/>
        <v>0</v>
      </c>
      <c r="V51" s="210">
        <f t="shared" si="33"/>
        <v>0</v>
      </c>
      <c r="W51" s="210">
        <f t="shared" si="33"/>
        <v>0</v>
      </c>
      <c r="X51" s="210">
        <f t="shared" si="33"/>
        <v>0</v>
      </c>
      <c r="Y51" s="210">
        <f t="shared" si="33"/>
        <v>0</v>
      </c>
      <c r="Z51" s="210">
        <f t="shared" si="33"/>
        <v>0</v>
      </c>
      <c r="AA51" s="210">
        <f t="shared" si="33"/>
        <v>0</v>
      </c>
      <c r="AB51" s="210">
        <f t="shared" si="33"/>
        <v>0</v>
      </c>
      <c r="AC51" s="3"/>
      <c r="AD51" s="3"/>
      <c r="AE51" s="3"/>
      <c r="AF51" s="3"/>
      <c r="AG51" s="3"/>
      <c r="AH51" s="3"/>
      <c r="AI51" s="3"/>
      <c r="AJ51" s="3"/>
      <c r="AK51" s="3"/>
      <c r="AL51" s="3"/>
      <c r="AM51" s="3"/>
      <c r="AN51" s="3"/>
      <c r="AO51" s="3"/>
      <c r="AP51" s="3"/>
      <c r="AQ51" s="3"/>
      <c r="AR51" s="3"/>
      <c r="AS51" s="3"/>
    </row>
    <row r="52" spans="1:45" customFormat="1" x14ac:dyDescent="0.2">
      <c r="A52" s="394" t="s">
        <v>5</v>
      </c>
      <c r="B52" s="209" t="s">
        <v>250</v>
      </c>
      <c r="C52" s="210">
        <f t="shared" ref="C52:AB52" si="34">SUM(C8:C15)</f>
        <v>0</v>
      </c>
      <c r="D52" s="210">
        <f t="shared" si="34"/>
        <v>0</v>
      </c>
      <c r="E52" s="210">
        <f t="shared" si="34"/>
        <v>0</v>
      </c>
      <c r="F52" s="210">
        <f t="shared" si="34"/>
        <v>0</v>
      </c>
      <c r="G52" s="210">
        <f t="shared" si="34"/>
        <v>0</v>
      </c>
      <c r="H52" s="210">
        <f t="shared" si="34"/>
        <v>0</v>
      </c>
      <c r="I52" s="210">
        <f t="shared" si="34"/>
        <v>0</v>
      </c>
      <c r="J52" s="210">
        <f t="shared" si="34"/>
        <v>0</v>
      </c>
      <c r="K52" s="210">
        <f t="shared" si="34"/>
        <v>0</v>
      </c>
      <c r="L52" s="210">
        <f t="shared" si="34"/>
        <v>0</v>
      </c>
      <c r="M52" s="210">
        <f t="shared" si="34"/>
        <v>0</v>
      </c>
      <c r="N52" s="210">
        <f t="shared" si="34"/>
        <v>0</v>
      </c>
      <c r="O52" s="210">
        <f t="shared" si="34"/>
        <v>0</v>
      </c>
      <c r="P52" s="210">
        <f t="shared" si="34"/>
        <v>0</v>
      </c>
      <c r="Q52" s="210">
        <f t="shared" si="34"/>
        <v>0</v>
      </c>
      <c r="R52" s="210">
        <f t="shared" si="34"/>
        <v>0</v>
      </c>
      <c r="S52" s="210">
        <f t="shared" si="34"/>
        <v>0</v>
      </c>
      <c r="T52" s="210">
        <f t="shared" si="34"/>
        <v>0</v>
      </c>
      <c r="U52" s="210">
        <f t="shared" si="34"/>
        <v>0</v>
      </c>
      <c r="V52" s="210">
        <f t="shared" si="34"/>
        <v>0</v>
      </c>
      <c r="W52" s="210">
        <f t="shared" si="34"/>
        <v>0</v>
      </c>
      <c r="X52" s="210">
        <f t="shared" si="34"/>
        <v>0</v>
      </c>
      <c r="Y52" s="210">
        <f t="shared" si="34"/>
        <v>0</v>
      </c>
      <c r="Z52" s="210">
        <f t="shared" si="34"/>
        <v>0</v>
      </c>
      <c r="AA52" s="210">
        <f t="shared" si="34"/>
        <v>0</v>
      </c>
      <c r="AB52" s="210">
        <f t="shared" si="34"/>
        <v>0</v>
      </c>
      <c r="AC52" s="3"/>
      <c r="AD52" s="3"/>
      <c r="AE52" s="3"/>
      <c r="AF52" s="3"/>
      <c r="AG52" s="3"/>
      <c r="AH52" s="3"/>
      <c r="AI52" s="3"/>
      <c r="AJ52" s="3"/>
      <c r="AK52" s="3"/>
      <c r="AL52" s="3"/>
      <c r="AM52" s="3"/>
      <c r="AN52" s="3"/>
      <c r="AO52" s="3"/>
      <c r="AP52" s="3"/>
      <c r="AQ52" s="3"/>
      <c r="AR52" s="3"/>
      <c r="AS52" s="3"/>
    </row>
    <row r="53" spans="1:45" customFormat="1" x14ac:dyDescent="0.2">
      <c r="A53" s="395"/>
      <c r="B53" s="209" t="s">
        <v>251</v>
      </c>
      <c r="C53" s="210">
        <f t="shared" ref="C53:AB53" si="35">SUM(C8:C9)</f>
        <v>0</v>
      </c>
      <c r="D53" s="210">
        <f t="shared" si="35"/>
        <v>0</v>
      </c>
      <c r="E53" s="210">
        <f t="shared" si="35"/>
        <v>0</v>
      </c>
      <c r="F53" s="210">
        <f t="shared" si="35"/>
        <v>0</v>
      </c>
      <c r="G53" s="210">
        <f t="shared" si="35"/>
        <v>0</v>
      </c>
      <c r="H53" s="210">
        <f t="shared" si="35"/>
        <v>0</v>
      </c>
      <c r="I53" s="210">
        <f t="shared" si="35"/>
        <v>0</v>
      </c>
      <c r="J53" s="210">
        <f t="shared" si="35"/>
        <v>0</v>
      </c>
      <c r="K53" s="210">
        <f t="shared" si="35"/>
        <v>0</v>
      </c>
      <c r="L53" s="210">
        <f t="shared" si="35"/>
        <v>0</v>
      </c>
      <c r="M53" s="210">
        <f t="shared" si="35"/>
        <v>0</v>
      </c>
      <c r="N53" s="210">
        <f t="shared" si="35"/>
        <v>0</v>
      </c>
      <c r="O53" s="210">
        <f t="shared" si="35"/>
        <v>0</v>
      </c>
      <c r="P53" s="210">
        <f t="shared" si="35"/>
        <v>0</v>
      </c>
      <c r="Q53" s="210">
        <f t="shared" si="35"/>
        <v>0</v>
      </c>
      <c r="R53" s="210">
        <f t="shared" si="35"/>
        <v>0</v>
      </c>
      <c r="S53" s="210">
        <f t="shared" si="35"/>
        <v>0</v>
      </c>
      <c r="T53" s="210">
        <f t="shared" si="35"/>
        <v>0</v>
      </c>
      <c r="U53" s="210">
        <f t="shared" si="35"/>
        <v>0</v>
      </c>
      <c r="V53" s="210">
        <f t="shared" si="35"/>
        <v>0</v>
      </c>
      <c r="W53" s="210">
        <f t="shared" si="35"/>
        <v>0</v>
      </c>
      <c r="X53" s="210">
        <f t="shared" si="35"/>
        <v>0</v>
      </c>
      <c r="Y53" s="210">
        <f t="shared" si="35"/>
        <v>0</v>
      </c>
      <c r="Z53" s="210">
        <f t="shared" si="35"/>
        <v>0</v>
      </c>
      <c r="AA53" s="210">
        <f t="shared" si="35"/>
        <v>0</v>
      </c>
      <c r="AB53" s="210">
        <f t="shared" si="35"/>
        <v>0</v>
      </c>
      <c r="AC53" s="3"/>
      <c r="AD53" s="3"/>
      <c r="AE53" s="3"/>
      <c r="AF53" s="3"/>
      <c r="AG53" s="3"/>
      <c r="AH53" s="3"/>
      <c r="AI53" s="3"/>
      <c r="AJ53" s="3"/>
      <c r="AK53" s="3"/>
      <c r="AL53" s="3"/>
      <c r="AM53" s="3"/>
      <c r="AN53" s="3"/>
      <c r="AO53" s="3"/>
      <c r="AP53" s="3"/>
      <c r="AQ53" s="3"/>
      <c r="AR53" s="3"/>
      <c r="AS53" s="3"/>
    </row>
    <row r="54" spans="1:45" customFormat="1" x14ac:dyDescent="0.2">
      <c r="A54" s="395"/>
      <c r="B54" s="209" t="s">
        <v>254</v>
      </c>
      <c r="C54" s="210">
        <f t="shared" ref="C54:AB54" si="36">SUM(C10:C11)</f>
        <v>0</v>
      </c>
      <c r="D54" s="210">
        <f t="shared" si="36"/>
        <v>0</v>
      </c>
      <c r="E54" s="210">
        <f t="shared" si="36"/>
        <v>0</v>
      </c>
      <c r="F54" s="210">
        <f t="shared" si="36"/>
        <v>0</v>
      </c>
      <c r="G54" s="210">
        <f t="shared" si="36"/>
        <v>0</v>
      </c>
      <c r="H54" s="210">
        <f t="shared" si="36"/>
        <v>0</v>
      </c>
      <c r="I54" s="210">
        <f t="shared" si="36"/>
        <v>0</v>
      </c>
      <c r="J54" s="210">
        <f t="shared" si="36"/>
        <v>0</v>
      </c>
      <c r="K54" s="210">
        <f t="shared" si="36"/>
        <v>0</v>
      </c>
      <c r="L54" s="210">
        <f t="shared" si="36"/>
        <v>0</v>
      </c>
      <c r="M54" s="210">
        <f t="shared" si="36"/>
        <v>0</v>
      </c>
      <c r="N54" s="210">
        <f t="shared" si="36"/>
        <v>0</v>
      </c>
      <c r="O54" s="210">
        <f t="shared" si="36"/>
        <v>0</v>
      </c>
      <c r="P54" s="210">
        <f t="shared" si="36"/>
        <v>0</v>
      </c>
      <c r="Q54" s="210">
        <f t="shared" si="36"/>
        <v>0</v>
      </c>
      <c r="R54" s="210">
        <f t="shared" si="36"/>
        <v>0</v>
      </c>
      <c r="S54" s="210">
        <f t="shared" si="36"/>
        <v>0</v>
      </c>
      <c r="T54" s="210">
        <f t="shared" si="36"/>
        <v>0</v>
      </c>
      <c r="U54" s="210">
        <f t="shared" si="36"/>
        <v>0</v>
      </c>
      <c r="V54" s="210">
        <f t="shared" si="36"/>
        <v>0</v>
      </c>
      <c r="W54" s="210">
        <f t="shared" si="36"/>
        <v>0</v>
      </c>
      <c r="X54" s="210">
        <f t="shared" si="36"/>
        <v>0</v>
      </c>
      <c r="Y54" s="210">
        <f t="shared" si="36"/>
        <v>0</v>
      </c>
      <c r="Z54" s="210">
        <f t="shared" si="36"/>
        <v>0</v>
      </c>
      <c r="AA54" s="210">
        <f t="shared" si="36"/>
        <v>0</v>
      </c>
      <c r="AB54" s="210">
        <f t="shared" si="36"/>
        <v>0</v>
      </c>
      <c r="AC54" s="3"/>
      <c r="AD54" s="3"/>
      <c r="AE54" s="3"/>
      <c r="AF54" s="3"/>
      <c r="AG54" s="3"/>
      <c r="AH54" s="3"/>
      <c r="AI54" s="3"/>
      <c r="AJ54" s="3"/>
      <c r="AK54" s="3"/>
      <c r="AL54" s="3"/>
      <c r="AM54" s="3"/>
      <c r="AN54" s="3"/>
      <c r="AO54" s="3"/>
      <c r="AP54" s="3"/>
      <c r="AQ54" s="3"/>
      <c r="AR54" s="3"/>
      <c r="AS54" s="3"/>
    </row>
    <row r="55" spans="1:45" customFormat="1" x14ac:dyDescent="0.2">
      <c r="A55" s="395"/>
      <c r="B55" s="209" t="s">
        <v>255</v>
      </c>
      <c r="C55" s="210">
        <f t="shared" ref="C55:AB55" si="37">SUM(C12:C13)</f>
        <v>0</v>
      </c>
      <c r="D55" s="210">
        <f t="shared" si="37"/>
        <v>0</v>
      </c>
      <c r="E55" s="210">
        <f t="shared" si="37"/>
        <v>0</v>
      </c>
      <c r="F55" s="210">
        <f t="shared" si="37"/>
        <v>0</v>
      </c>
      <c r="G55" s="210">
        <f t="shared" si="37"/>
        <v>0</v>
      </c>
      <c r="H55" s="210">
        <f t="shared" si="37"/>
        <v>0</v>
      </c>
      <c r="I55" s="210">
        <f t="shared" si="37"/>
        <v>0</v>
      </c>
      <c r="J55" s="210">
        <f t="shared" si="37"/>
        <v>0</v>
      </c>
      <c r="K55" s="210">
        <f t="shared" si="37"/>
        <v>0</v>
      </c>
      <c r="L55" s="210">
        <f t="shared" si="37"/>
        <v>0</v>
      </c>
      <c r="M55" s="210">
        <f t="shared" si="37"/>
        <v>0</v>
      </c>
      <c r="N55" s="210">
        <f t="shared" si="37"/>
        <v>0</v>
      </c>
      <c r="O55" s="210">
        <f t="shared" si="37"/>
        <v>0</v>
      </c>
      <c r="P55" s="210">
        <f t="shared" si="37"/>
        <v>0</v>
      </c>
      <c r="Q55" s="210">
        <f t="shared" si="37"/>
        <v>0</v>
      </c>
      <c r="R55" s="210">
        <f t="shared" si="37"/>
        <v>0</v>
      </c>
      <c r="S55" s="210">
        <f t="shared" si="37"/>
        <v>0</v>
      </c>
      <c r="T55" s="210">
        <f t="shared" si="37"/>
        <v>0</v>
      </c>
      <c r="U55" s="210">
        <f t="shared" si="37"/>
        <v>0</v>
      </c>
      <c r="V55" s="210">
        <f t="shared" si="37"/>
        <v>0</v>
      </c>
      <c r="W55" s="210">
        <f t="shared" si="37"/>
        <v>0</v>
      </c>
      <c r="X55" s="210">
        <f t="shared" si="37"/>
        <v>0</v>
      </c>
      <c r="Y55" s="210">
        <f t="shared" si="37"/>
        <v>0</v>
      </c>
      <c r="Z55" s="210">
        <f t="shared" si="37"/>
        <v>0</v>
      </c>
      <c r="AA55" s="210">
        <f t="shared" si="37"/>
        <v>0</v>
      </c>
      <c r="AB55" s="210">
        <f t="shared" si="37"/>
        <v>0</v>
      </c>
      <c r="AC55" s="3"/>
      <c r="AD55" s="3"/>
      <c r="AE55" s="3"/>
      <c r="AF55" s="3"/>
      <c r="AG55" s="3"/>
      <c r="AH55" s="3"/>
      <c r="AI55" s="3"/>
      <c r="AJ55" s="3"/>
      <c r="AK55" s="3"/>
      <c r="AL55" s="3"/>
      <c r="AM55" s="3"/>
      <c r="AN55" s="3"/>
      <c r="AO55" s="3"/>
      <c r="AP55" s="3"/>
      <c r="AQ55" s="3"/>
      <c r="AR55" s="3"/>
      <c r="AS55" s="3"/>
    </row>
    <row r="56" spans="1:45" customFormat="1" x14ac:dyDescent="0.2">
      <c r="A56" s="395"/>
      <c r="B56" s="209" t="s">
        <v>256</v>
      </c>
      <c r="C56" s="210">
        <f>SUM(C14:C15)</f>
        <v>0</v>
      </c>
      <c r="D56" s="210">
        <f t="shared" ref="D56:AB56" si="38">SUM(D14:D15)</f>
        <v>0</v>
      </c>
      <c r="E56" s="210">
        <f t="shared" si="38"/>
        <v>0</v>
      </c>
      <c r="F56" s="210">
        <f t="shared" si="38"/>
        <v>0</v>
      </c>
      <c r="G56" s="210">
        <f t="shared" si="38"/>
        <v>0</v>
      </c>
      <c r="H56" s="210">
        <f t="shared" si="38"/>
        <v>0</v>
      </c>
      <c r="I56" s="210">
        <f t="shared" si="38"/>
        <v>0</v>
      </c>
      <c r="J56" s="210">
        <f t="shared" si="38"/>
        <v>0</v>
      </c>
      <c r="K56" s="210">
        <f t="shared" si="38"/>
        <v>0</v>
      </c>
      <c r="L56" s="210">
        <f t="shared" si="38"/>
        <v>0</v>
      </c>
      <c r="M56" s="210">
        <f t="shared" si="38"/>
        <v>0</v>
      </c>
      <c r="N56" s="210">
        <f t="shared" si="38"/>
        <v>0</v>
      </c>
      <c r="O56" s="210">
        <f t="shared" si="38"/>
        <v>0</v>
      </c>
      <c r="P56" s="210">
        <f t="shared" si="38"/>
        <v>0</v>
      </c>
      <c r="Q56" s="210">
        <f t="shared" si="38"/>
        <v>0</v>
      </c>
      <c r="R56" s="210">
        <f t="shared" si="38"/>
        <v>0</v>
      </c>
      <c r="S56" s="210">
        <f t="shared" si="38"/>
        <v>0</v>
      </c>
      <c r="T56" s="210">
        <f t="shared" si="38"/>
        <v>0</v>
      </c>
      <c r="U56" s="210">
        <f t="shared" si="38"/>
        <v>0</v>
      </c>
      <c r="V56" s="210">
        <f t="shared" si="38"/>
        <v>0</v>
      </c>
      <c r="W56" s="210">
        <f t="shared" si="38"/>
        <v>0</v>
      </c>
      <c r="X56" s="210">
        <f t="shared" si="38"/>
        <v>0</v>
      </c>
      <c r="Y56" s="210">
        <f t="shared" si="38"/>
        <v>0</v>
      </c>
      <c r="Z56" s="210">
        <f t="shared" si="38"/>
        <v>0</v>
      </c>
      <c r="AA56" s="210">
        <f t="shared" si="38"/>
        <v>0</v>
      </c>
      <c r="AB56" s="210">
        <f t="shared" si="38"/>
        <v>0</v>
      </c>
      <c r="AC56" s="3"/>
      <c r="AD56" s="3"/>
      <c r="AE56" s="3"/>
      <c r="AF56" s="3"/>
      <c r="AG56" s="3"/>
      <c r="AH56" s="3"/>
      <c r="AI56" s="3"/>
      <c r="AJ56" s="3"/>
      <c r="AK56" s="3"/>
      <c r="AL56" s="3"/>
      <c r="AM56" s="3"/>
      <c r="AN56" s="3"/>
      <c r="AO56" s="3"/>
      <c r="AP56" s="3"/>
      <c r="AQ56" s="3"/>
      <c r="AR56" s="3"/>
      <c r="AS56" s="3"/>
    </row>
    <row r="57" spans="1:45" customFormat="1" x14ac:dyDescent="0.2">
      <c r="A57" s="395"/>
      <c r="B57" s="209" t="s">
        <v>262</v>
      </c>
      <c r="C57" s="210">
        <f>SUM(C16:C17)</f>
        <v>0</v>
      </c>
      <c r="D57" s="210">
        <f t="shared" ref="D57:AB57" si="39">SUM(D16:D17)</f>
        <v>0</v>
      </c>
      <c r="E57" s="210">
        <f t="shared" si="39"/>
        <v>0</v>
      </c>
      <c r="F57" s="210">
        <f t="shared" si="39"/>
        <v>0</v>
      </c>
      <c r="G57" s="210">
        <f t="shared" si="39"/>
        <v>0</v>
      </c>
      <c r="H57" s="210">
        <f t="shared" si="39"/>
        <v>0</v>
      </c>
      <c r="I57" s="210">
        <f t="shared" si="39"/>
        <v>0</v>
      </c>
      <c r="J57" s="210">
        <f t="shared" si="39"/>
        <v>0</v>
      </c>
      <c r="K57" s="210">
        <f t="shared" si="39"/>
        <v>0</v>
      </c>
      <c r="L57" s="210">
        <f t="shared" si="39"/>
        <v>0</v>
      </c>
      <c r="M57" s="210">
        <f t="shared" si="39"/>
        <v>0</v>
      </c>
      <c r="N57" s="210">
        <f t="shared" si="39"/>
        <v>0</v>
      </c>
      <c r="O57" s="210">
        <f t="shared" si="39"/>
        <v>0</v>
      </c>
      <c r="P57" s="210">
        <f t="shared" si="39"/>
        <v>0</v>
      </c>
      <c r="Q57" s="210">
        <f t="shared" si="39"/>
        <v>0</v>
      </c>
      <c r="R57" s="210">
        <f t="shared" si="39"/>
        <v>0</v>
      </c>
      <c r="S57" s="210">
        <f t="shared" si="39"/>
        <v>0</v>
      </c>
      <c r="T57" s="210">
        <f t="shared" si="39"/>
        <v>0</v>
      </c>
      <c r="U57" s="210">
        <f t="shared" si="39"/>
        <v>0</v>
      </c>
      <c r="V57" s="210">
        <f t="shared" si="39"/>
        <v>0</v>
      </c>
      <c r="W57" s="210">
        <f t="shared" si="39"/>
        <v>0</v>
      </c>
      <c r="X57" s="210">
        <f t="shared" si="39"/>
        <v>0</v>
      </c>
      <c r="Y57" s="210">
        <f t="shared" si="39"/>
        <v>0</v>
      </c>
      <c r="Z57" s="210">
        <f t="shared" si="39"/>
        <v>0</v>
      </c>
      <c r="AA57" s="210">
        <f t="shared" si="39"/>
        <v>0</v>
      </c>
      <c r="AB57" s="210">
        <f t="shared" si="39"/>
        <v>0</v>
      </c>
      <c r="AC57" s="3"/>
      <c r="AD57" s="3"/>
      <c r="AE57" s="3"/>
      <c r="AF57" s="3"/>
      <c r="AG57" s="3"/>
      <c r="AH57" s="3"/>
      <c r="AI57" s="3"/>
      <c r="AJ57" s="3"/>
      <c r="AK57" s="3"/>
      <c r="AL57" s="3"/>
      <c r="AM57" s="3"/>
      <c r="AN57" s="3"/>
      <c r="AO57" s="3"/>
      <c r="AP57" s="3"/>
      <c r="AQ57" s="3"/>
      <c r="AR57" s="3"/>
      <c r="AS57" s="3"/>
    </row>
    <row r="58" spans="1:45" customFormat="1" x14ac:dyDescent="0.2">
      <c r="A58" s="396"/>
      <c r="B58" s="209" t="s">
        <v>261</v>
      </c>
      <c r="C58" s="210">
        <f>SUM(C18)</f>
        <v>0</v>
      </c>
      <c r="D58" s="210">
        <f t="shared" ref="D58:AB58" si="40">SUM(D18)</f>
        <v>0</v>
      </c>
      <c r="E58" s="210">
        <f t="shared" si="40"/>
        <v>0</v>
      </c>
      <c r="F58" s="210">
        <f t="shared" si="40"/>
        <v>0</v>
      </c>
      <c r="G58" s="210">
        <f t="shared" si="40"/>
        <v>0</v>
      </c>
      <c r="H58" s="210">
        <f t="shared" si="40"/>
        <v>0</v>
      </c>
      <c r="I58" s="210">
        <f t="shared" si="40"/>
        <v>0</v>
      </c>
      <c r="J58" s="210">
        <f t="shared" si="40"/>
        <v>0</v>
      </c>
      <c r="K58" s="210">
        <f t="shared" si="40"/>
        <v>0</v>
      </c>
      <c r="L58" s="210">
        <f t="shared" si="40"/>
        <v>0</v>
      </c>
      <c r="M58" s="210">
        <f t="shared" si="40"/>
        <v>0</v>
      </c>
      <c r="N58" s="210">
        <f t="shared" si="40"/>
        <v>0</v>
      </c>
      <c r="O58" s="210">
        <f t="shared" si="40"/>
        <v>0</v>
      </c>
      <c r="P58" s="210">
        <f t="shared" si="40"/>
        <v>0</v>
      </c>
      <c r="Q58" s="210">
        <f t="shared" si="40"/>
        <v>0</v>
      </c>
      <c r="R58" s="210">
        <f t="shared" si="40"/>
        <v>0</v>
      </c>
      <c r="S58" s="210">
        <f t="shared" si="40"/>
        <v>0</v>
      </c>
      <c r="T58" s="210">
        <f t="shared" si="40"/>
        <v>0</v>
      </c>
      <c r="U58" s="210">
        <f t="shared" si="40"/>
        <v>0</v>
      </c>
      <c r="V58" s="210">
        <f t="shared" si="40"/>
        <v>0</v>
      </c>
      <c r="W58" s="210">
        <f t="shared" si="40"/>
        <v>0</v>
      </c>
      <c r="X58" s="210">
        <f t="shared" si="40"/>
        <v>0</v>
      </c>
      <c r="Y58" s="210">
        <f t="shared" si="40"/>
        <v>0</v>
      </c>
      <c r="Z58" s="210">
        <f t="shared" si="40"/>
        <v>0</v>
      </c>
      <c r="AA58" s="210">
        <f t="shared" si="40"/>
        <v>0</v>
      </c>
      <c r="AB58" s="210">
        <f t="shared" si="40"/>
        <v>0</v>
      </c>
      <c r="AC58" s="3"/>
      <c r="AD58" s="3"/>
      <c r="AE58" s="3"/>
      <c r="AF58" s="3"/>
      <c r="AG58" s="3"/>
      <c r="AH58" s="3"/>
      <c r="AI58" s="3"/>
      <c r="AJ58" s="3"/>
      <c r="AK58" s="3"/>
      <c r="AL58" s="3"/>
      <c r="AM58" s="3"/>
      <c r="AN58" s="3"/>
      <c r="AO58" s="3"/>
      <c r="AP58" s="3"/>
      <c r="AQ58" s="3"/>
      <c r="AR58" s="3"/>
      <c r="AS58" s="3"/>
    </row>
    <row r="59" spans="1:45" customFormat="1" x14ac:dyDescent="0.2">
      <c r="A59" s="397" t="s">
        <v>6</v>
      </c>
      <c r="B59" s="209" t="s">
        <v>250</v>
      </c>
      <c r="C59" s="210">
        <f t="shared" ref="C59:AB59" si="41">SUM(C21:C28)</f>
        <v>0</v>
      </c>
      <c r="D59" s="210">
        <f t="shared" si="41"/>
        <v>0</v>
      </c>
      <c r="E59" s="210">
        <f t="shared" si="41"/>
        <v>0</v>
      </c>
      <c r="F59" s="210">
        <f t="shared" si="41"/>
        <v>0</v>
      </c>
      <c r="G59" s="210">
        <f t="shared" si="41"/>
        <v>0</v>
      </c>
      <c r="H59" s="210">
        <f t="shared" si="41"/>
        <v>0</v>
      </c>
      <c r="I59" s="210">
        <f t="shared" si="41"/>
        <v>0</v>
      </c>
      <c r="J59" s="210">
        <f t="shared" si="41"/>
        <v>0</v>
      </c>
      <c r="K59" s="210">
        <f t="shared" si="41"/>
        <v>0</v>
      </c>
      <c r="L59" s="210">
        <f t="shared" si="41"/>
        <v>0</v>
      </c>
      <c r="M59" s="210">
        <f t="shared" si="41"/>
        <v>0</v>
      </c>
      <c r="N59" s="210">
        <f t="shared" si="41"/>
        <v>0</v>
      </c>
      <c r="O59" s="210">
        <f t="shared" si="41"/>
        <v>0</v>
      </c>
      <c r="P59" s="210">
        <f t="shared" si="41"/>
        <v>0</v>
      </c>
      <c r="Q59" s="210">
        <f t="shared" si="41"/>
        <v>0</v>
      </c>
      <c r="R59" s="210">
        <f t="shared" si="41"/>
        <v>0</v>
      </c>
      <c r="S59" s="210">
        <f t="shared" si="41"/>
        <v>0</v>
      </c>
      <c r="T59" s="210">
        <f t="shared" si="41"/>
        <v>0</v>
      </c>
      <c r="U59" s="210">
        <f t="shared" si="41"/>
        <v>0</v>
      </c>
      <c r="V59" s="210">
        <f t="shared" si="41"/>
        <v>0</v>
      </c>
      <c r="W59" s="210">
        <f t="shared" si="41"/>
        <v>0</v>
      </c>
      <c r="X59" s="210">
        <f t="shared" si="41"/>
        <v>0</v>
      </c>
      <c r="Y59" s="210">
        <f t="shared" si="41"/>
        <v>0</v>
      </c>
      <c r="Z59" s="210">
        <f t="shared" si="41"/>
        <v>0</v>
      </c>
      <c r="AA59" s="210">
        <f t="shared" si="41"/>
        <v>0</v>
      </c>
      <c r="AB59" s="210">
        <f t="shared" si="41"/>
        <v>0</v>
      </c>
      <c r="AC59" s="3"/>
      <c r="AD59" s="3"/>
      <c r="AE59" s="3"/>
      <c r="AF59" s="3"/>
      <c r="AG59" s="3"/>
      <c r="AH59" s="3"/>
      <c r="AI59" s="3"/>
      <c r="AJ59" s="3"/>
      <c r="AK59" s="3"/>
      <c r="AL59" s="3"/>
      <c r="AM59" s="3"/>
      <c r="AN59" s="3"/>
      <c r="AO59" s="3"/>
      <c r="AP59" s="3"/>
      <c r="AQ59" s="3"/>
      <c r="AR59" s="3"/>
      <c r="AS59" s="3"/>
    </row>
    <row r="60" spans="1:45" x14ac:dyDescent="0.2">
      <c r="A60" s="398"/>
      <c r="B60" s="209" t="s">
        <v>251</v>
      </c>
      <c r="C60" s="210">
        <f t="shared" ref="C60:AB60" si="42">SUM(C21:C22)</f>
        <v>0</v>
      </c>
      <c r="D60" s="210">
        <f t="shared" si="42"/>
        <v>0</v>
      </c>
      <c r="E60" s="210">
        <f t="shared" si="42"/>
        <v>0</v>
      </c>
      <c r="F60" s="210">
        <f t="shared" si="42"/>
        <v>0</v>
      </c>
      <c r="G60" s="210">
        <f t="shared" si="42"/>
        <v>0</v>
      </c>
      <c r="H60" s="210">
        <f t="shared" si="42"/>
        <v>0</v>
      </c>
      <c r="I60" s="210">
        <f t="shared" si="42"/>
        <v>0</v>
      </c>
      <c r="J60" s="210">
        <f t="shared" si="42"/>
        <v>0</v>
      </c>
      <c r="K60" s="210">
        <f t="shared" si="42"/>
        <v>0</v>
      </c>
      <c r="L60" s="210">
        <f t="shared" si="42"/>
        <v>0</v>
      </c>
      <c r="M60" s="210">
        <f t="shared" si="42"/>
        <v>0</v>
      </c>
      <c r="N60" s="210">
        <f t="shared" si="42"/>
        <v>0</v>
      </c>
      <c r="O60" s="210">
        <f t="shared" si="42"/>
        <v>0</v>
      </c>
      <c r="P60" s="210">
        <f t="shared" si="42"/>
        <v>0</v>
      </c>
      <c r="Q60" s="210">
        <f t="shared" si="42"/>
        <v>0</v>
      </c>
      <c r="R60" s="210">
        <f t="shared" si="42"/>
        <v>0</v>
      </c>
      <c r="S60" s="210">
        <f t="shared" si="42"/>
        <v>0</v>
      </c>
      <c r="T60" s="210">
        <f t="shared" si="42"/>
        <v>0</v>
      </c>
      <c r="U60" s="210">
        <f t="shared" si="42"/>
        <v>0</v>
      </c>
      <c r="V60" s="210">
        <f t="shared" si="42"/>
        <v>0</v>
      </c>
      <c r="W60" s="210">
        <f t="shared" si="42"/>
        <v>0</v>
      </c>
      <c r="X60" s="210">
        <f t="shared" si="42"/>
        <v>0</v>
      </c>
      <c r="Y60" s="210">
        <f t="shared" si="42"/>
        <v>0</v>
      </c>
      <c r="Z60" s="210">
        <f t="shared" si="42"/>
        <v>0</v>
      </c>
      <c r="AA60" s="210">
        <f t="shared" si="42"/>
        <v>0</v>
      </c>
      <c r="AB60" s="210">
        <f t="shared" si="42"/>
        <v>0</v>
      </c>
      <c r="AJ60" s="1"/>
      <c r="AK60" s="1"/>
      <c r="AM60" s="1"/>
      <c r="AQ60" s="1"/>
    </row>
    <row r="61" spans="1:45" x14ac:dyDescent="0.2">
      <c r="A61" s="398"/>
      <c r="B61" s="209" t="s">
        <v>254</v>
      </c>
      <c r="C61" s="210">
        <f t="shared" ref="C61:AB61" si="43">SUM(C23:C24)</f>
        <v>0</v>
      </c>
      <c r="D61" s="210">
        <f t="shared" si="43"/>
        <v>0</v>
      </c>
      <c r="E61" s="210">
        <f t="shared" si="43"/>
        <v>0</v>
      </c>
      <c r="F61" s="210">
        <f t="shared" si="43"/>
        <v>0</v>
      </c>
      <c r="G61" s="210">
        <f t="shared" si="43"/>
        <v>0</v>
      </c>
      <c r="H61" s="210">
        <f t="shared" si="43"/>
        <v>0</v>
      </c>
      <c r="I61" s="210">
        <f t="shared" si="43"/>
        <v>0</v>
      </c>
      <c r="J61" s="210">
        <f t="shared" si="43"/>
        <v>0</v>
      </c>
      <c r="K61" s="210">
        <f t="shared" si="43"/>
        <v>0</v>
      </c>
      <c r="L61" s="210">
        <f t="shared" si="43"/>
        <v>0</v>
      </c>
      <c r="M61" s="210">
        <f t="shared" si="43"/>
        <v>0</v>
      </c>
      <c r="N61" s="210">
        <f t="shared" si="43"/>
        <v>0</v>
      </c>
      <c r="O61" s="210">
        <f t="shared" si="43"/>
        <v>0</v>
      </c>
      <c r="P61" s="210">
        <f t="shared" si="43"/>
        <v>0</v>
      </c>
      <c r="Q61" s="210">
        <f t="shared" si="43"/>
        <v>0</v>
      </c>
      <c r="R61" s="210">
        <f t="shared" si="43"/>
        <v>0</v>
      </c>
      <c r="S61" s="210">
        <f t="shared" si="43"/>
        <v>0</v>
      </c>
      <c r="T61" s="210">
        <f t="shared" si="43"/>
        <v>0</v>
      </c>
      <c r="U61" s="210">
        <f t="shared" si="43"/>
        <v>0</v>
      </c>
      <c r="V61" s="210">
        <f t="shared" si="43"/>
        <v>0</v>
      </c>
      <c r="W61" s="210">
        <f t="shared" si="43"/>
        <v>0</v>
      </c>
      <c r="X61" s="210">
        <f t="shared" si="43"/>
        <v>0</v>
      </c>
      <c r="Y61" s="210">
        <f t="shared" si="43"/>
        <v>0</v>
      </c>
      <c r="Z61" s="210">
        <f t="shared" si="43"/>
        <v>0</v>
      </c>
      <c r="AA61" s="210">
        <f t="shared" si="43"/>
        <v>0</v>
      </c>
      <c r="AB61" s="210">
        <f t="shared" si="43"/>
        <v>0</v>
      </c>
      <c r="AJ61" s="1"/>
      <c r="AK61" s="1"/>
      <c r="AM61" s="1"/>
      <c r="AQ61" s="1"/>
    </row>
    <row r="62" spans="1:45" x14ac:dyDescent="0.2">
      <c r="A62" s="398"/>
      <c r="B62" s="209" t="s">
        <v>255</v>
      </c>
      <c r="C62" s="210">
        <f t="shared" ref="C62:AB62" si="44">SUM(C25:C26)</f>
        <v>0</v>
      </c>
      <c r="D62" s="210">
        <f t="shared" si="44"/>
        <v>0</v>
      </c>
      <c r="E62" s="210">
        <f t="shared" si="44"/>
        <v>0</v>
      </c>
      <c r="F62" s="210">
        <f t="shared" si="44"/>
        <v>0</v>
      </c>
      <c r="G62" s="210">
        <f t="shared" si="44"/>
        <v>0</v>
      </c>
      <c r="H62" s="210">
        <f t="shared" si="44"/>
        <v>0</v>
      </c>
      <c r="I62" s="210">
        <f t="shared" si="44"/>
        <v>0</v>
      </c>
      <c r="J62" s="210">
        <f t="shared" si="44"/>
        <v>0</v>
      </c>
      <c r="K62" s="210">
        <f t="shared" si="44"/>
        <v>0</v>
      </c>
      <c r="L62" s="210">
        <f t="shared" si="44"/>
        <v>0</v>
      </c>
      <c r="M62" s="210">
        <f t="shared" si="44"/>
        <v>0</v>
      </c>
      <c r="N62" s="210">
        <f t="shared" si="44"/>
        <v>0</v>
      </c>
      <c r="O62" s="210">
        <f t="shared" si="44"/>
        <v>0</v>
      </c>
      <c r="P62" s="210">
        <f t="shared" si="44"/>
        <v>0</v>
      </c>
      <c r="Q62" s="210">
        <f t="shared" si="44"/>
        <v>0</v>
      </c>
      <c r="R62" s="210">
        <f t="shared" si="44"/>
        <v>0</v>
      </c>
      <c r="S62" s="210">
        <f t="shared" si="44"/>
        <v>0</v>
      </c>
      <c r="T62" s="210">
        <f t="shared" si="44"/>
        <v>0</v>
      </c>
      <c r="U62" s="210">
        <f t="shared" si="44"/>
        <v>0</v>
      </c>
      <c r="V62" s="210">
        <f t="shared" si="44"/>
        <v>0</v>
      </c>
      <c r="W62" s="210">
        <f t="shared" si="44"/>
        <v>0</v>
      </c>
      <c r="X62" s="210">
        <f t="shared" si="44"/>
        <v>0</v>
      </c>
      <c r="Y62" s="210">
        <f t="shared" si="44"/>
        <v>0</v>
      </c>
      <c r="Z62" s="210">
        <f t="shared" si="44"/>
        <v>0</v>
      </c>
      <c r="AA62" s="210">
        <f t="shared" si="44"/>
        <v>0</v>
      </c>
      <c r="AB62" s="210">
        <f t="shared" si="44"/>
        <v>0</v>
      </c>
      <c r="AJ62" s="1"/>
      <c r="AK62" s="1"/>
      <c r="AM62" s="1"/>
      <c r="AQ62" s="1"/>
    </row>
    <row r="63" spans="1:45" x14ac:dyDescent="0.2">
      <c r="A63" s="398"/>
      <c r="B63" s="209" t="s">
        <v>256</v>
      </c>
      <c r="C63" s="210">
        <f>SUM(C27:C28)</f>
        <v>0</v>
      </c>
      <c r="D63" s="210">
        <f t="shared" ref="D63:AB63" si="45">SUM(D27:D28)</f>
        <v>0</v>
      </c>
      <c r="E63" s="210">
        <f t="shared" si="45"/>
        <v>0</v>
      </c>
      <c r="F63" s="210">
        <f t="shared" si="45"/>
        <v>0</v>
      </c>
      <c r="G63" s="210">
        <f t="shared" si="45"/>
        <v>0</v>
      </c>
      <c r="H63" s="210">
        <f t="shared" si="45"/>
        <v>0</v>
      </c>
      <c r="I63" s="210">
        <f t="shared" si="45"/>
        <v>0</v>
      </c>
      <c r="J63" s="210">
        <f t="shared" si="45"/>
        <v>0</v>
      </c>
      <c r="K63" s="210">
        <f t="shared" si="45"/>
        <v>0</v>
      </c>
      <c r="L63" s="210">
        <f t="shared" si="45"/>
        <v>0</v>
      </c>
      <c r="M63" s="210">
        <f t="shared" si="45"/>
        <v>0</v>
      </c>
      <c r="N63" s="210">
        <f t="shared" si="45"/>
        <v>0</v>
      </c>
      <c r="O63" s="210">
        <f t="shared" si="45"/>
        <v>0</v>
      </c>
      <c r="P63" s="210">
        <f t="shared" si="45"/>
        <v>0</v>
      </c>
      <c r="Q63" s="210">
        <f t="shared" si="45"/>
        <v>0</v>
      </c>
      <c r="R63" s="210">
        <f t="shared" si="45"/>
        <v>0</v>
      </c>
      <c r="S63" s="210">
        <f t="shared" si="45"/>
        <v>0</v>
      </c>
      <c r="T63" s="210">
        <f t="shared" si="45"/>
        <v>0</v>
      </c>
      <c r="U63" s="210">
        <f t="shared" si="45"/>
        <v>0</v>
      </c>
      <c r="V63" s="210">
        <f t="shared" si="45"/>
        <v>0</v>
      </c>
      <c r="W63" s="210">
        <f t="shared" si="45"/>
        <v>0</v>
      </c>
      <c r="X63" s="210">
        <f t="shared" si="45"/>
        <v>0</v>
      </c>
      <c r="Y63" s="210">
        <f t="shared" si="45"/>
        <v>0</v>
      </c>
      <c r="Z63" s="210">
        <f t="shared" si="45"/>
        <v>0</v>
      </c>
      <c r="AA63" s="210">
        <f t="shared" si="45"/>
        <v>0</v>
      </c>
      <c r="AB63" s="210">
        <f t="shared" si="45"/>
        <v>0</v>
      </c>
      <c r="AJ63" s="1"/>
      <c r="AK63" s="1"/>
      <c r="AM63" s="1"/>
      <c r="AQ63" s="1"/>
    </row>
    <row r="64" spans="1:45" x14ac:dyDescent="0.2">
      <c r="A64" s="398"/>
      <c r="B64" s="209" t="s">
        <v>262</v>
      </c>
      <c r="C64" s="210">
        <f>SUM(C29:C30)</f>
        <v>0</v>
      </c>
      <c r="D64" s="210">
        <f t="shared" ref="D64:AB64" si="46">SUM(D29:D30)</f>
        <v>0</v>
      </c>
      <c r="E64" s="210">
        <f t="shared" si="46"/>
        <v>0</v>
      </c>
      <c r="F64" s="210">
        <f t="shared" si="46"/>
        <v>0</v>
      </c>
      <c r="G64" s="210">
        <f t="shared" si="46"/>
        <v>0</v>
      </c>
      <c r="H64" s="210">
        <f t="shared" si="46"/>
        <v>0</v>
      </c>
      <c r="I64" s="210">
        <f t="shared" si="46"/>
        <v>0</v>
      </c>
      <c r="J64" s="210">
        <f t="shared" si="46"/>
        <v>0</v>
      </c>
      <c r="K64" s="210">
        <f t="shared" si="46"/>
        <v>0</v>
      </c>
      <c r="L64" s="210">
        <f t="shared" si="46"/>
        <v>0</v>
      </c>
      <c r="M64" s="210">
        <f t="shared" si="46"/>
        <v>0</v>
      </c>
      <c r="N64" s="210">
        <f t="shared" si="46"/>
        <v>0</v>
      </c>
      <c r="O64" s="210">
        <f t="shared" si="46"/>
        <v>0</v>
      </c>
      <c r="P64" s="210">
        <f t="shared" si="46"/>
        <v>0</v>
      </c>
      <c r="Q64" s="210">
        <f t="shared" si="46"/>
        <v>0</v>
      </c>
      <c r="R64" s="210">
        <f t="shared" si="46"/>
        <v>0</v>
      </c>
      <c r="S64" s="210">
        <f t="shared" si="46"/>
        <v>0</v>
      </c>
      <c r="T64" s="210">
        <f t="shared" si="46"/>
        <v>0</v>
      </c>
      <c r="U64" s="210">
        <f t="shared" si="46"/>
        <v>0</v>
      </c>
      <c r="V64" s="210">
        <f t="shared" si="46"/>
        <v>0</v>
      </c>
      <c r="W64" s="210">
        <f t="shared" si="46"/>
        <v>0</v>
      </c>
      <c r="X64" s="210">
        <f t="shared" si="46"/>
        <v>0</v>
      </c>
      <c r="Y64" s="210">
        <f t="shared" si="46"/>
        <v>0</v>
      </c>
      <c r="Z64" s="210">
        <f t="shared" si="46"/>
        <v>0</v>
      </c>
      <c r="AA64" s="210">
        <f t="shared" si="46"/>
        <v>0</v>
      </c>
      <c r="AB64" s="210">
        <f t="shared" si="46"/>
        <v>0</v>
      </c>
      <c r="AJ64" s="1"/>
      <c r="AK64" s="1"/>
      <c r="AM64" s="1"/>
      <c r="AQ64" s="1"/>
    </row>
    <row r="65" spans="1:45" ht="13.5" thickBot="1" x14ac:dyDescent="0.25">
      <c r="A65" s="398"/>
      <c r="B65" s="209" t="s">
        <v>261</v>
      </c>
      <c r="C65" s="226">
        <f>SUM(C31)</f>
        <v>0</v>
      </c>
      <c r="D65" s="226">
        <f t="shared" ref="D65:AB65" si="47">SUM(D31)</f>
        <v>0</v>
      </c>
      <c r="E65" s="226">
        <f t="shared" si="47"/>
        <v>0</v>
      </c>
      <c r="F65" s="226">
        <f t="shared" si="47"/>
        <v>0</v>
      </c>
      <c r="G65" s="226">
        <f t="shared" si="47"/>
        <v>0</v>
      </c>
      <c r="H65" s="226">
        <f t="shared" si="47"/>
        <v>0</v>
      </c>
      <c r="I65" s="226">
        <f t="shared" si="47"/>
        <v>0</v>
      </c>
      <c r="J65" s="226">
        <f t="shared" si="47"/>
        <v>0</v>
      </c>
      <c r="K65" s="226">
        <f t="shared" si="47"/>
        <v>0</v>
      </c>
      <c r="L65" s="226">
        <f t="shared" si="47"/>
        <v>0</v>
      </c>
      <c r="M65" s="226">
        <f t="shared" si="47"/>
        <v>0</v>
      </c>
      <c r="N65" s="226">
        <f t="shared" si="47"/>
        <v>0</v>
      </c>
      <c r="O65" s="226">
        <f t="shared" si="47"/>
        <v>0</v>
      </c>
      <c r="P65" s="226">
        <f t="shared" si="47"/>
        <v>0</v>
      </c>
      <c r="Q65" s="226">
        <f t="shared" si="47"/>
        <v>0</v>
      </c>
      <c r="R65" s="226">
        <f t="shared" si="47"/>
        <v>0</v>
      </c>
      <c r="S65" s="226">
        <f t="shared" si="47"/>
        <v>0</v>
      </c>
      <c r="T65" s="226">
        <f t="shared" si="47"/>
        <v>0</v>
      </c>
      <c r="U65" s="226">
        <f t="shared" si="47"/>
        <v>0</v>
      </c>
      <c r="V65" s="226">
        <f t="shared" si="47"/>
        <v>0</v>
      </c>
      <c r="W65" s="226">
        <f t="shared" si="47"/>
        <v>0</v>
      </c>
      <c r="X65" s="226">
        <f t="shared" si="47"/>
        <v>0</v>
      </c>
      <c r="Y65" s="226">
        <f t="shared" si="47"/>
        <v>0</v>
      </c>
      <c r="Z65" s="226">
        <f t="shared" si="47"/>
        <v>0</v>
      </c>
      <c r="AA65" s="226">
        <f t="shared" si="47"/>
        <v>0</v>
      </c>
      <c r="AB65" s="226">
        <f t="shared" si="47"/>
        <v>0</v>
      </c>
      <c r="AJ65" s="1"/>
      <c r="AK65" s="1"/>
      <c r="AM65" s="1"/>
      <c r="AQ65" s="1"/>
    </row>
    <row r="66" spans="1:45" x14ac:dyDescent="0.2">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row>
    <row r="67" spans="1:45" customFormat="1" ht="13.5" thickBot="1" x14ac:dyDescent="0.25">
      <c r="C67" s="379" t="s">
        <v>131</v>
      </c>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
      <c r="AD67" s="3"/>
      <c r="AE67" s="3"/>
      <c r="AF67" s="3"/>
      <c r="AG67" s="3"/>
      <c r="AH67" s="3"/>
      <c r="AI67" s="3"/>
      <c r="AJ67" s="3"/>
      <c r="AK67" s="3"/>
      <c r="AL67" s="3"/>
      <c r="AM67" s="3"/>
      <c r="AN67" s="3"/>
      <c r="AO67" s="3"/>
      <c r="AP67" s="3"/>
      <c r="AQ67" s="3"/>
      <c r="AR67" s="3"/>
      <c r="AS67" s="3"/>
    </row>
    <row r="68" spans="1:45" customFormat="1" ht="33.75" customHeight="1" x14ac:dyDescent="0.2">
      <c r="A68" s="354"/>
      <c r="B68" s="361" t="s">
        <v>11</v>
      </c>
      <c r="C68" s="380" t="s">
        <v>125</v>
      </c>
      <c r="D68" s="380" t="s">
        <v>126</v>
      </c>
      <c r="E68" s="399" t="s">
        <v>0</v>
      </c>
      <c r="F68" s="400"/>
      <c r="G68" s="385" t="s">
        <v>1</v>
      </c>
      <c r="H68" s="386"/>
      <c r="I68" s="380" t="s">
        <v>2</v>
      </c>
      <c r="J68" s="388" t="s">
        <v>3</v>
      </c>
      <c r="K68" s="388"/>
      <c r="L68" s="388"/>
      <c r="M68" s="388"/>
      <c r="N68" s="389" t="s">
        <v>120</v>
      </c>
      <c r="O68" s="380" t="s">
        <v>221</v>
      </c>
      <c r="P68" s="96"/>
      <c r="Q68" s="380" t="s">
        <v>7</v>
      </c>
      <c r="R68" s="96"/>
      <c r="S68" s="380" t="s">
        <v>116</v>
      </c>
      <c r="T68" s="380" t="s">
        <v>117</v>
      </c>
      <c r="U68" s="380" t="s">
        <v>3</v>
      </c>
      <c r="V68" s="96"/>
      <c r="W68" s="382" t="s">
        <v>117</v>
      </c>
      <c r="X68" s="382"/>
      <c r="Y68" s="96"/>
      <c r="Z68" s="383" t="s">
        <v>104</v>
      </c>
      <c r="AA68" s="383"/>
      <c r="AB68" s="384"/>
      <c r="AC68" s="3"/>
      <c r="AD68" s="3"/>
      <c r="AE68" s="3"/>
      <c r="AF68" s="3"/>
      <c r="AG68" s="3"/>
      <c r="AH68" s="3"/>
      <c r="AI68" s="3"/>
      <c r="AJ68" s="3"/>
      <c r="AK68" s="3"/>
      <c r="AL68" s="3"/>
      <c r="AM68" s="3"/>
      <c r="AN68" s="3"/>
      <c r="AO68" s="3"/>
      <c r="AP68" s="3"/>
      <c r="AQ68" s="3"/>
      <c r="AR68" s="3"/>
      <c r="AS68" s="3"/>
    </row>
    <row r="69" spans="1:45" customFormat="1" ht="66.75" customHeight="1" thickBot="1" x14ac:dyDescent="0.25">
      <c r="A69" s="355"/>
      <c r="B69" s="362"/>
      <c r="C69" s="381"/>
      <c r="D69" s="381"/>
      <c r="E69" s="97" t="s">
        <v>98</v>
      </c>
      <c r="F69" s="97" t="s">
        <v>100</v>
      </c>
      <c r="G69" s="97" t="s">
        <v>98</v>
      </c>
      <c r="H69" s="97" t="s">
        <v>100</v>
      </c>
      <c r="I69" s="387"/>
      <c r="J69" s="97" t="s">
        <v>127</v>
      </c>
      <c r="K69" s="97" t="s">
        <v>128</v>
      </c>
      <c r="L69" s="97" t="s">
        <v>129</v>
      </c>
      <c r="M69" s="97" t="s">
        <v>130</v>
      </c>
      <c r="N69" s="390"/>
      <c r="O69" s="387"/>
      <c r="P69" s="98"/>
      <c r="Q69" s="381"/>
      <c r="R69" s="98"/>
      <c r="S69" s="381"/>
      <c r="T69" s="381"/>
      <c r="U69" s="381"/>
      <c r="V69" s="98"/>
      <c r="W69" s="97" t="s">
        <v>9</v>
      </c>
      <c r="X69" s="97" t="s">
        <v>10</v>
      </c>
      <c r="Y69" s="98"/>
      <c r="Z69" s="99" t="s">
        <v>101</v>
      </c>
      <c r="AA69" s="99" t="s">
        <v>102</v>
      </c>
      <c r="AB69" s="100" t="s">
        <v>103</v>
      </c>
      <c r="AC69" s="3"/>
      <c r="AD69" s="3"/>
      <c r="AE69" s="3"/>
      <c r="AF69" s="3"/>
      <c r="AG69" s="3"/>
      <c r="AH69" s="3"/>
      <c r="AI69" s="3"/>
      <c r="AJ69" s="3"/>
      <c r="AK69" s="3"/>
      <c r="AL69" s="3"/>
      <c r="AM69" s="3"/>
      <c r="AN69" s="3"/>
      <c r="AO69" s="3"/>
      <c r="AP69" s="3"/>
      <c r="AQ69" s="3"/>
      <c r="AR69" s="3"/>
      <c r="AS69" s="3"/>
    </row>
    <row r="70" spans="1:45" customFormat="1" ht="87" hidden="1" customHeight="1" thickBot="1" x14ac:dyDescent="0.25">
      <c r="A70" s="81" t="s">
        <v>105</v>
      </c>
      <c r="B70" s="82"/>
      <c r="C70" s="101" t="s">
        <v>106</v>
      </c>
      <c r="D70" s="101" t="s">
        <v>97</v>
      </c>
      <c r="E70" s="101" t="s">
        <v>108</v>
      </c>
      <c r="F70" s="101" t="s">
        <v>107</v>
      </c>
      <c r="G70" s="101" t="s">
        <v>109</v>
      </c>
      <c r="H70" s="101" t="s">
        <v>110</v>
      </c>
      <c r="I70" s="102" t="s">
        <v>111</v>
      </c>
      <c r="J70" s="101" t="s">
        <v>112</v>
      </c>
      <c r="K70" s="101" t="s">
        <v>113</v>
      </c>
      <c r="L70" s="101" t="s">
        <v>114</v>
      </c>
      <c r="M70" s="101" t="s">
        <v>115</v>
      </c>
      <c r="N70" s="103" t="s">
        <v>121</v>
      </c>
      <c r="O70" s="104"/>
      <c r="P70" s="102"/>
      <c r="Q70" s="101" t="str">
        <f>CONCATENATE(H70&amp;", "&amp;I70&amp;", "&amp;J70&amp;", "&amp;K70&amp;", "&amp;L70&amp;", "&amp;M70)</f>
        <v>343, 344, 353, 354, 443, 444, 453, 454, 540, 550, 560, 640, 650, 660, 740, 750, 760, 840, 850, 860</v>
      </c>
      <c r="R70" s="102"/>
      <c r="S70" s="101" t="str">
        <f>CONCATENATE(C70&amp;", "&amp;D70&amp;", "&amp;E70&amp;", "&amp;F70&amp;", "&amp;G70)</f>
        <v>010, 020, 030, 100, 242, 252, 243, 244, 253, 254, 342, 352</v>
      </c>
      <c r="T70" s="101" t="str">
        <f>CONCATENATE(H70&amp;", "&amp;I70)</f>
        <v>343, 344, 353, 354, 443, 444, 453, 454</v>
      </c>
      <c r="U70" s="101" t="str">
        <f>CONCATENATE(J70&amp;", "&amp;K70&amp;", "&amp;L70&amp;", "&amp;M70)</f>
        <v>540, 550, 560, 640, 650, 660, 740, 750, 760, 840, 850, 860</v>
      </c>
      <c r="V70" s="102"/>
      <c r="W70" s="101" t="s">
        <v>118</v>
      </c>
      <c r="X70" s="101" t="s">
        <v>119</v>
      </c>
      <c r="Y70" s="102"/>
      <c r="Z70" s="105" t="s">
        <v>122</v>
      </c>
      <c r="AA70" s="105" t="s">
        <v>123</v>
      </c>
      <c r="AB70" s="106" t="s">
        <v>124</v>
      </c>
      <c r="AC70" s="3"/>
      <c r="AD70" s="3"/>
      <c r="AE70" s="3"/>
      <c r="AF70" s="3"/>
      <c r="AG70" s="3"/>
      <c r="AH70" s="3"/>
      <c r="AI70" s="3"/>
      <c r="AJ70" s="3"/>
      <c r="AK70" s="3"/>
      <c r="AL70" s="3"/>
      <c r="AM70" s="3"/>
      <c r="AN70" s="3"/>
      <c r="AO70" s="3"/>
      <c r="AP70" s="3"/>
      <c r="AQ70" s="3"/>
      <c r="AR70" s="3"/>
      <c r="AS70" s="3"/>
    </row>
    <row r="71" spans="1:45" customFormat="1" ht="12.75" customHeight="1" x14ac:dyDescent="0.2">
      <c r="A71" s="351" t="s">
        <v>5</v>
      </c>
      <c r="B71" s="78" t="s">
        <v>87</v>
      </c>
      <c r="C71" s="86">
        <f>SUMIFS(Flat_file!$H:$H,Flat_file!$B:$B,Summary_Unemployed!$B$2,Flat_file!$C:$C,"Men",Flat_file!$D:$D,"15-19",Flat_file!$E:$E,"010",Flat_file!$F:$F,"U")+SUMIFS(Flat_file!$H:$H,Flat_file!$B:$B,Summary_Unemployed!$B$2,Flat_file!$C:$C,"Men",Flat_file!$D:$D,"15-19",Flat_file!$E:$E,"020",Flat_file!$F:$F,"U")+SUMIFS(Flat_file!$H:$H,Flat_file!$B:$B,Summary_Unemployed!$B$2,Flat_file!$C:$C,"Men",Flat_file!$D:$D,"15-19",Flat_file!$E:$E,"030",Flat_file!$F:$F,"U")</f>
        <v>0</v>
      </c>
      <c r="D71" s="86">
        <f>SUMIFS(Flat_file!$H:$H,Flat_file!$B:$B,Summary_Unemployed!$B$2,Flat_file!$C:$C,"Men",Flat_file!$D:$D,"15-19",Flat_file!$E:$E,"100",Flat_file!$F:$F,"U")</f>
        <v>0</v>
      </c>
      <c r="E71" s="86">
        <f>SUMIFS(Flat_file!$H:$H,Flat_file!$B:$B,Summary_Unemployed!$B$2,Flat_file!$C:$C,"Men",Flat_file!$D:$D,"15-19",Flat_file!$E:$E,"242",Flat_file!$F:$F,"U")+SUMIFS(Flat_file!$H:$H,Flat_file!$B:$B,Summary_Unemployed!$B$2,Flat_file!$C:$C,"Men",Flat_file!$D:$D,"15-19",Flat_file!$E:$E,"252",Flat_file!$F:$F,"U")</f>
        <v>0</v>
      </c>
      <c r="F71" s="86">
        <f>SUMIFS(Flat_file!$H:$H,Flat_file!$B:$B,Summary_Unemployed!$B$2,Flat_file!$C:$C,"Men",Flat_file!$D:$D,"15-19",Flat_file!$E:$E,"243",Flat_file!$F:$F,"U")+SUMIFS(Flat_file!$H:$H,Flat_file!$B:$B,Summary_Unemployed!$B$2,Flat_file!$C:$C,"Men",Flat_file!$D:$D,"15-19",Flat_file!$E:$E,"244",Flat_file!$F:$F,"U")+SUMIFS(Flat_file!$H:$H,Flat_file!$B:$B,Summary_Unemployed!$B$2,Flat_file!$C:$C,"Men",Flat_file!$D:$D,"15-19",Flat_file!$E:$E,"253",Flat_file!$F:$F,"U")+SUMIFS(Flat_file!$H:$H,Flat_file!$B:$B,Summary_Unemployed!$B$2,Flat_file!$C:$C,"Men",Flat_file!$D:$D,"15-19",Flat_file!$E:$E,"254",Flat_file!$F:$F,"U")</f>
        <v>0</v>
      </c>
      <c r="G71" s="86">
        <f>SUMIFS(Flat_file!$H:$H,Flat_file!$B:$B,Summary_Unemployed!$B$2,Flat_file!$C:$C,"Men",Flat_file!$D:$D,"15-19",Flat_file!$E:$E,"342",Flat_file!$F:$F,"U")+SUMIFS(Flat_file!$H:$H,Flat_file!$B:$B,Summary_Unemployed!$B$2,Flat_file!$C:$C,"Men",Flat_file!$D:$D,"15-19",Flat_file!$E:$E,"352",Flat_file!$F:$F,"U")</f>
        <v>0</v>
      </c>
      <c r="H71" s="86">
        <f>SUMIFS(Flat_file!$H:$H,Flat_file!$B:$B,Summary_Unemployed!$B$2,Flat_file!$C:$C,"Men",Flat_file!$D:$D,"15-19",Flat_file!$E:$E,"343",Flat_file!$F:$F,"U")+SUMIFS(Flat_file!$H:$H,Flat_file!$B:$B,Summary_Unemployed!$B$2,Flat_file!$C:$C,"Men",Flat_file!$D:$D,"15-19",Flat_file!$E:$E,"344",Flat_file!$F:$F,"U")+SUMIFS(Flat_file!$H:$H,Flat_file!$B:$B,Summary_Unemployed!$B$2,Flat_file!$C:$C,"Men",Flat_file!$D:$D,"15-19",Flat_file!$E:$E,"353",Flat_file!$F:$F,"U")+SUMIFS(Flat_file!$H:$H,Flat_file!$B:$B,Summary_Unemployed!$B$2,Flat_file!$C:$C,"Men",Flat_file!$D:$D,"15-19",Flat_file!$E:$E,"354",Flat_file!$F:$F,"U")</f>
        <v>0</v>
      </c>
      <c r="I71" s="86">
        <f>SUMIFS(Flat_file!$H:$H,Flat_file!$B:$B,Summary_Unemployed!$B$2,Flat_file!$C:$C,"Men",Flat_file!$D:$D,"15-19",Flat_file!$E:$E,"443",Flat_file!$F:$F,"U")+SUMIFS(Flat_file!$H:$H,Flat_file!$B:$B,Summary_Unemployed!$B$2,Flat_file!$C:$C,"Men",Flat_file!$D:$D,"15-19",Flat_file!$E:$E,"444",Flat_file!$F:$F,"U")+SUMIFS(Flat_file!$H:$H,Flat_file!$B:$B,Summary_Unemployed!$B$2,Flat_file!$C:$C,"Men",Flat_file!$D:$D,"15-19",Flat_file!$E:$E,"453",Flat_file!$F:$F,"U")+SUMIFS(Flat_file!$H:$H,Flat_file!$B:$B,Summary_Unemployed!$B$2,Flat_file!$C:$C,"Men",Flat_file!$D:$D,"15-19",Flat_file!$E:$E,"454",Flat_file!$F:$F,"U")</f>
        <v>0</v>
      </c>
      <c r="J71" s="86">
        <f>SUMIFS(Flat_file!$H:$H,Flat_file!$B:$B,Summary_Unemployed!$B$2,Flat_file!$C:$C,"Men",Flat_file!$D:$D,"15-19",Flat_file!$E:$E,"540",Flat_file!$F:$F,"U")+SUMIFS(Flat_file!$H:$H,Flat_file!$B:$B,Summary_Unemployed!$B$2,Flat_file!$C:$C,"Men",Flat_file!$D:$D,"15-19",Flat_file!$E:$E,"550",Flat_file!$F:$F,"U")+SUMIFS(Flat_file!$H:$H,Flat_file!$B:$B,Summary_Unemployed!$B$2,Flat_file!$C:$C,"Men",Flat_file!$D:$D,"15-19",Flat_file!$E:$E,"560",Flat_file!$F:$F,"U")</f>
        <v>0</v>
      </c>
      <c r="K71" s="86">
        <f>SUMIFS(Flat_file!$H:$H,Flat_file!$B:$B,Summary_Unemployed!$B$2,Flat_file!$C:$C,"Men",Flat_file!$D:$D,"15-19",Flat_file!$E:$E,"640",Flat_file!$F:$F,"U")+SUMIFS(Flat_file!$H:$H,Flat_file!$B:$B,Summary_Unemployed!$B$2,Flat_file!$C:$C,"Men",Flat_file!$D:$D,"15-19",Flat_file!$E:$E,"650",Flat_file!$F:$F,"U")+SUMIFS(Flat_file!$H:$H,Flat_file!$B:$B,Summary_Unemployed!$B$2,Flat_file!$C:$C,"Men",Flat_file!$D:$D,"15-19",Flat_file!$E:$E,"660",Flat_file!$F:$F,"U")</f>
        <v>0</v>
      </c>
      <c r="L71" s="86">
        <f>SUMIFS(Flat_file!$H:$H,Flat_file!$B:$B,Summary_Unemployed!$B$2,Flat_file!$C:$C,"Men",Flat_file!$D:$D,"15-19",Flat_file!$E:$E,"740",Flat_file!$F:$F,"U")+SUMIFS(Flat_file!$H:$H,Flat_file!$B:$B,Summary_Unemployed!$B$2,Flat_file!$C:$C,"Men",Flat_file!$D:$D,"15-19",Flat_file!$E:$E,"750",Flat_file!$F:$F,"U")+SUMIFS(Flat_file!$H:$H,Flat_file!$B:$B,Summary_Unemployed!$B$2,Flat_file!$C:$C,"Men",Flat_file!$D:$D,"15-19",Flat_file!$E:$E,"760",Flat_file!$F:$F,"U")</f>
        <v>0</v>
      </c>
      <c r="M71" s="86">
        <f>SUMIFS(Flat_file!$H:$H,Flat_file!$B:$B,Summary_Unemployed!$B$2,Flat_file!$C:$C,"Men",Flat_file!$D:$D,"15-19",Flat_file!$E:$E,"840",Flat_file!$F:$F,"U")+SUMIFS(Flat_file!$H:$H,Flat_file!$B:$B,Summary_Unemployed!$B$2,Flat_file!$C:$C,"Men",Flat_file!$D:$D,"15-19",Flat_file!$E:$E,"850",Flat_file!$F:$F,"U")+SUMIFS(Flat_file!$H:$H,Flat_file!$B:$B,Summary_Unemployed!$B$2,Flat_file!$C:$C,"Men",Flat_file!$D:$D,"15-19",Flat_file!$E:$E,"860",Flat_file!$F:$F,"U")</f>
        <v>0</v>
      </c>
      <c r="N71" s="86">
        <f>SUMIFS(Flat_file!$H:$H,Flat_file!$B:$B,Summary_Unemployed!$B$2,Flat_file!$C:$C,"Men",Flat_file!$D:$D,"15-19",Flat_file!$E:$E,"999",Flat_file!$F:$F,"U")</f>
        <v>0</v>
      </c>
      <c r="O71" s="86">
        <f>SUM(C71:M71)</f>
        <v>0</v>
      </c>
      <c r="P71" s="87"/>
      <c r="Q71" s="86">
        <f>SUM(H71:M71)</f>
        <v>0</v>
      </c>
      <c r="R71" s="88"/>
      <c r="S71" s="86">
        <f>SUM(C71:G71)</f>
        <v>0</v>
      </c>
      <c r="T71" s="86">
        <f>SUM(H71:I71)</f>
        <v>0</v>
      </c>
      <c r="U71" s="86">
        <f>SUM(J71:M71)</f>
        <v>0</v>
      </c>
      <c r="V71" s="87"/>
      <c r="W71" s="86">
        <f>SUMIFS(Flat_file!$H:$H,Flat_file!$B:$B,Summary_Unemployed!$B$2,Flat_file!$C:$C,"Men",Flat_file!$D:$D,"15-19",Flat_file!$E:$E,"343",Flat_file!$F:$F,"U")+SUMIFS(Flat_file!$H:$H,Flat_file!$B:$B,Summary_Unemployed!$B$2,Flat_file!$C:$C,"Men",Flat_file!$D:$D,"15-19",Flat_file!$E:$E,"344",Flat_file!$F:$F,"U")+SUMIFS(Flat_file!$H:$H,Flat_file!$B:$B,Summary_Unemployed!$B$2,Flat_file!$C:$C,"Men",Flat_file!$D:$D,"15-19",Flat_file!$E:$E,"443",Flat_file!$F:$F,"U")+SUMIFS(Flat_file!$H:$H,Flat_file!$B:$B,Summary_Unemployed!$B$2,Flat_file!$C:$C,"Men",Flat_file!$D:$D,"15-19",Flat_file!$E:$E,"444",Flat_file!$F:$F,"U")</f>
        <v>0</v>
      </c>
      <c r="X71" s="86">
        <f>SUMIFS(Flat_file!$H:$H,Flat_file!$B:$B,Summary_Unemployed!$B$2,Flat_file!$C:$C,"Men",Flat_file!$D:$D,"15-19",Flat_file!$E:$E,"353",Flat_file!$F:$F,"U")+SUMIFS(Flat_file!$H:$H,Flat_file!$B:$B,Summary_Unemployed!$B$2,Flat_file!$C:$C,"Men",Flat_file!$D:$D,"15-19",Flat_file!$E:$E,"354",Flat_file!$F:$F,"U")+SUMIFS(Flat_file!$H:$H,Flat_file!$B:$B,Summary_Unemployed!$B$2,Flat_file!$C:$C,"Men",Flat_file!$D:$D,"15-19",Flat_file!$E:$E,"453",Flat_file!$F:$F,"U")+SUMIFS(Flat_file!$H:$H,Flat_file!$B:$B,Summary_Unemployed!$B$2,Flat_file!$C:$C,"Men",Flat_file!$D:$D,"15-19",Flat_file!$E:$E,"454",Flat_file!$F:$F,"U")</f>
        <v>0</v>
      </c>
      <c r="Y71" s="87"/>
      <c r="Z71" s="86">
        <f>SUMIFS(Flat_file!$H:$H,Flat_file!$B:$B,Summary_Unemployed!$B$2,Flat_file!$C:$C,"Men",Flat_file!$D:$D,"15-19",Flat_file!$E:$E,"640",Flat_file!$F:$F,"U")+SUMIFS(Flat_file!$H:$H,Flat_file!$B:$B,Summary_Unemployed!$B$2,Flat_file!$C:$C,"Men",Flat_file!$D:$D,"15-19",Flat_file!$E:$E,"740",Flat_file!$F:$F,"U")+SUMIFS(Flat_file!$H:$H,Flat_file!$B:$B,Summary_Unemployed!$B$2,Flat_file!$C:$C,"Men",Flat_file!$D:$D,"15-19",Flat_file!$E:$E,"840",Flat_file!$F:$F,"U")</f>
        <v>0</v>
      </c>
      <c r="AA71" s="86">
        <f>SUMIFS(Flat_file!$H:$H,Flat_file!$B:$B,Summary_Unemployed!$B$2,Flat_file!$C:$C,"Men",Flat_file!$D:$D,"15-19",Flat_file!$E:$E,"650",Flat_file!$F:$F,"U")+SUMIFS(Flat_file!$H:$H,Flat_file!$B:$B,Summary_Unemployed!$B$2,Flat_file!$C:$C,"Men",Flat_file!$D:$D,"15-19",Flat_file!$E:$E,"750",Flat_file!$F:$F,"U")+SUMIFS(Flat_file!$H:$H,Flat_file!$B:$B,Summary_Unemployed!$B$2,Flat_file!$C:$C,"Men",Flat_file!$D:$D,"15-19",Flat_file!$E:$E,"850",Flat_file!$F:$F,"U")</f>
        <v>0</v>
      </c>
      <c r="AB71" s="86">
        <f>SUMIFS(Flat_file!$H:$H,Flat_file!$B:$B,Summary_Unemployed!$B$2,Flat_file!$C:$C,"Men",Flat_file!$D:$D,"15-19",Flat_file!$E:$E,"660",Flat_file!$F:$F,"U")+SUMIFS(Flat_file!$H:$H,Flat_file!$B:$B,Summary_Unemployed!$B$2,Flat_file!$C:$C,"Men",Flat_file!$D:$D,"15-19",Flat_file!$E:$E,"760",Flat_file!$F:$F,"U")+SUMIFS(Flat_file!$H:$H,Flat_file!$B:$B,Summary_Unemployed!$B$2,Flat_file!$C:$C,"Men",Flat_file!$D:$D,"15-19",Flat_file!$E:$E,"860",Flat_file!$F:$F,"U")</f>
        <v>0</v>
      </c>
      <c r="AC71" s="3"/>
      <c r="AD71" s="3"/>
      <c r="AE71" s="3"/>
      <c r="AF71" s="3"/>
      <c r="AG71" s="3"/>
      <c r="AH71" s="3"/>
      <c r="AI71" s="3"/>
      <c r="AJ71" s="3"/>
      <c r="AK71" s="3"/>
      <c r="AL71" s="3"/>
      <c r="AM71" s="3"/>
      <c r="AN71" s="3"/>
      <c r="AO71" s="3"/>
      <c r="AP71" s="3"/>
      <c r="AQ71" s="3"/>
      <c r="AR71" s="3"/>
      <c r="AS71" s="3"/>
    </row>
    <row r="72" spans="1:45" customFormat="1" x14ac:dyDescent="0.2">
      <c r="A72" s="352"/>
      <c r="B72" s="79" t="s">
        <v>88</v>
      </c>
      <c r="C72" s="89">
        <f>SUMIFS(Flat_file!$H:$H,Flat_file!$B:$B,Summary_Unemployed!$B$2,Flat_file!$C:$C,"Men",Flat_file!$D:$D,"20-24",Flat_file!$E:$E,"010",Flat_file!$F:$F,"U")+SUMIFS(Flat_file!$H:$H,Flat_file!$B:$B,Summary_Unemployed!$B$2,Flat_file!$C:$C,"Men",Flat_file!$D:$D,"20-24",Flat_file!$E:$E,"020",Flat_file!$F:$F,"U")+SUMIFS(Flat_file!$H:$H,Flat_file!$B:$B,Summary_Unemployed!$B$2,Flat_file!$C:$C,"Men",Flat_file!$D:$D,"20-24",Flat_file!$E:$E,"030",Flat_file!$F:$F,"U")</f>
        <v>0</v>
      </c>
      <c r="D72" s="89">
        <f>SUMIFS(Flat_file!$H:$H,Flat_file!$B:$B,Summary_Unemployed!$B$2,Flat_file!$C:$C,"Men",Flat_file!$D:$D,"20-24",Flat_file!$E:$E,"100",Flat_file!$F:$F,"U")</f>
        <v>0</v>
      </c>
      <c r="E72" s="89">
        <f>SUMIFS(Flat_file!$H:$H,Flat_file!$B:$B,Summary_Unemployed!$B$2,Flat_file!$C:$C,"Men",Flat_file!$D:$D,"20-24",Flat_file!$E:$E,"242",Flat_file!$F:$F,"U")+SUMIFS(Flat_file!$H:$H,Flat_file!$B:$B,Summary_Unemployed!$B$2,Flat_file!$C:$C,"Men",Flat_file!$D:$D,"20-24",Flat_file!$E:$E,"252",Flat_file!$F:$F,"U")</f>
        <v>0</v>
      </c>
      <c r="F72" s="89">
        <f>SUMIFS(Flat_file!$H:$H,Flat_file!$B:$B,Summary_Unemployed!$B$2,Flat_file!$C:$C,"Men",Flat_file!$D:$D,"20-24",Flat_file!$E:$E,"243",Flat_file!$F:$F,"U")+SUMIFS(Flat_file!$H:$H,Flat_file!$B:$B,Summary_Unemployed!$B$2,Flat_file!$C:$C,"Men",Flat_file!$D:$D,"20-24",Flat_file!$E:$E,"244",Flat_file!$F:$F,"U")+SUMIFS(Flat_file!$H:$H,Flat_file!$B:$B,Summary_Unemployed!$B$2,Flat_file!$C:$C,"Men",Flat_file!$D:$D,"20-24",Flat_file!$E:$E,"253",Flat_file!$F:$F,"U")+SUMIFS(Flat_file!$H:$H,Flat_file!$B:$B,Summary_Unemployed!$B$2,Flat_file!$C:$C,"Men",Flat_file!$D:$D,"20-24",Flat_file!$E:$E,"254",Flat_file!$F:$F,"U")</f>
        <v>0</v>
      </c>
      <c r="G72" s="89">
        <f>SUMIFS(Flat_file!$H:$H,Flat_file!$B:$B,Summary_Unemployed!$B$2,Flat_file!$C:$C,"Men",Flat_file!$D:$D,"20-24",Flat_file!$E:$E,"342",Flat_file!$F:$F,"U")+SUMIFS(Flat_file!$H:$H,Flat_file!$B:$B,Summary_Unemployed!$B$2,Flat_file!$C:$C,"Men",Flat_file!$D:$D,"20-24",Flat_file!$E:$E,"352",Flat_file!$F:$F,"U")</f>
        <v>0</v>
      </c>
      <c r="H72" s="89">
        <f>SUMIFS(Flat_file!$H:$H,Flat_file!$B:$B,Summary_Unemployed!$B$2,Flat_file!$C:$C,"Men",Flat_file!$D:$D,"20-24",Flat_file!$E:$E,"343",Flat_file!$F:$F,"U")+SUMIFS(Flat_file!$H:$H,Flat_file!$B:$B,Summary_Unemployed!$B$2,Flat_file!$C:$C,"Men",Flat_file!$D:$D,"20-24",Flat_file!$E:$E,"344",Flat_file!$F:$F,"U")+SUMIFS(Flat_file!$H:$H,Flat_file!$B:$B,Summary_Unemployed!$B$2,Flat_file!$C:$C,"Men",Flat_file!$D:$D,"20-24",Flat_file!$E:$E,"353",Flat_file!$F:$F,"U")+SUMIFS(Flat_file!$H:$H,Flat_file!$B:$B,Summary_Unemployed!$B$2,Flat_file!$C:$C,"Men",Flat_file!$D:$D,"20-24",Flat_file!$E:$E,"354",Flat_file!$F:$F,"U")</f>
        <v>0</v>
      </c>
      <c r="I72" s="89">
        <f>SUMIFS(Flat_file!$H:$H,Flat_file!$B:$B,Summary_Unemployed!$B$2,Flat_file!$C:$C,"Men",Flat_file!$D:$D,"20-24",Flat_file!$E:$E,"443",Flat_file!$F:$F,"U")+SUMIFS(Flat_file!$H:$H,Flat_file!$B:$B,Summary_Unemployed!$B$2,Flat_file!$C:$C,"Men",Flat_file!$D:$D,"20-24",Flat_file!$E:$E,"444",Flat_file!$F:$F,"U")+SUMIFS(Flat_file!$H:$H,Flat_file!$B:$B,Summary_Unemployed!$B$2,Flat_file!$C:$C,"Men",Flat_file!$D:$D,"20-24",Flat_file!$E:$E,"453",Flat_file!$F:$F,"U")+SUMIFS(Flat_file!$H:$H,Flat_file!$B:$B,Summary_Unemployed!$B$2,Flat_file!$C:$C,"Men",Flat_file!$D:$D,"20-24",Flat_file!$E:$E,"454",Flat_file!$F:$F,"U")</f>
        <v>0</v>
      </c>
      <c r="J72" s="89">
        <f>SUMIFS(Flat_file!$H:$H,Flat_file!$B:$B,Summary_Unemployed!$B$2,Flat_file!$C:$C,"Men",Flat_file!$D:$D,"20-24",Flat_file!$E:$E,"540",Flat_file!$F:$F,"U")+SUMIFS(Flat_file!$H:$H,Flat_file!$B:$B,Summary_Unemployed!$B$2,Flat_file!$C:$C,"Men",Flat_file!$D:$D,"20-24",Flat_file!$E:$E,"550",Flat_file!$F:$F,"U")+SUMIFS(Flat_file!$H:$H,Flat_file!$B:$B,Summary_Unemployed!$B$2,Flat_file!$C:$C,"Men",Flat_file!$D:$D,"20-24",Flat_file!$E:$E,"560",Flat_file!$F:$F,"U")</f>
        <v>0</v>
      </c>
      <c r="K72" s="89">
        <f>SUMIFS(Flat_file!$H:$H,Flat_file!$B:$B,Summary_Unemployed!$B$2,Flat_file!$C:$C,"Men",Flat_file!$D:$D,"20-24",Flat_file!$E:$E,"640",Flat_file!$F:$F,"U")+SUMIFS(Flat_file!$H:$H,Flat_file!$B:$B,Summary_Unemployed!$B$2,Flat_file!$C:$C,"Men",Flat_file!$D:$D,"20-24",Flat_file!$E:$E,"650",Flat_file!$F:$F,"U")+SUMIFS(Flat_file!$H:$H,Flat_file!$B:$B,Summary_Unemployed!$B$2,Flat_file!$C:$C,"Men",Flat_file!$D:$D,"20-24",Flat_file!$E:$E,"660",Flat_file!$F:$F,"U")</f>
        <v>0</v>
      </c>
      <c r="L72" s="89">
        <f>SUMIFS(Flat_file!$H:$H,Flat_file!$B:$B,Summary_Unemployed!$B$2,Flat_file!$C:$C,"Men",Flat_file!$D:$D,"20-24",Flat_file!$E:$E,"740",Flat_file!$F:$F,"U")+SUMIFS(Flat_file!$H:$H,Flat_file!$B:$B,Summary_Unemployed!$B$2,Flat_file!$C:$C,"Men",Flat_file!$D:$D,"20-24",Flat_file!$E:$E,"750",Flat_file!$F:$F,"U")+SUMIFS(Flat_file!$H:$H,Flat_file!$B:$B,Summary_Unemployed!$B$2,Flat_file!$C:$C,"Men",Flat_file!$D:$D,"20-24",Flat_file!$E:$E,"760",Flat_file!$F:$F,"U")</f>
        <v>0</v>
      </c>
      <c r="M72" s="89">
        <f>SUMIFS(Flat_file!$H:$H,Flat_file!$B:$B,Summary_Unemployed!$B$2,Flat_file!$C:$C,"Men",Flat_file!$D:$D,"20-24",Flat_file!$E:$E,"840",Flat_file!$F:$F,"U")+SUMIFS(Flat_file!$H:$H,Flat_file!$B:$B,Summary_Unemployed!$B$2,Flat_file!$C:$C,"Men",Flat_file!$D:$D,"20-24",Flat_file!$E:$E,"850",Flat_file!$F:$F,"U")+SUMIFS(Flat_file!$H:$H,Flat_file!$B:$B,Summary_Unemployed!$B$2,Flat_file!$C:$C,"Men",Flat_file!$D:$D,"20-24",Flat_file!$E:$E,"860",Flat_file!$F:$F,"U")</f>
        <v>0</v>
      </c>
      <c r="N72" s="89">
        <f>SUMIFS(Flat_file!$H:$H,Flat_file!$B:$B,Summary_Unemployed!$B$2,Flat_file!$C:$C,"Men",Flat_file!$D:$D,"20-24",Flat_file!$E:$E,"999",Flat_file!$F:$F,"U")</f>
        <v>0</v>
      </c>
      <c r="O72" s="89">
        <f t="shared" ref="O72:O83" si="48">SUM(C72:M72)</f>
        <v>0</v>
      </c>
      <c r="P72" s="90"/>
      <c r="Q72" s="89">
        <f t="shared" ref="Q72:Q83" si="49">SUM(H72:M72)</f>
        <v>0</v>
      </c>
      <c r="R72" s="91"/>
      <c r="S72" s="89">
        <f t="shared" ref="S72:S83" si="50">SUM(C72:G72)</f>
        <v>0</v>
      </c>
      <c r="T72" s="89">
        <f t="shared" ref="T72:T83" si="51">SUM(H72:I72)</f>
        <v>0</v>
      </c>
      <c r="U72" s="89">
        <f t="shared" ref="U72:U83" si="52">SUM(J72:M72)</f>
        <v>0</v>
      </c>
      <c r="V72" s="90"/>
      <c r="W72" s="89">
        <f>SUMIFS(Flat_file!$H:$H,Flat_file!$B:$B,Summary_Unemployed!$B$2,Flat_file!$C:$C,"Men",Flat_file!$D:$D,"20-24",Flat_file!$E:$E,"343",Flat_file!$F:$F,"U")+SUMIFS(Flat_file!$H:$H,Flat_file!$B:$B,Summary_Unemployed!$B$2,Flat_file!$C:$C,"Men",Flat_file!$D:$D,"20-24",Flat_file!$E:$E,"344",Flat_file!$F:$F,"U")+SUMIFS(Flat_file!$H:$H,Flat_file!$B:$B,Summary_Unemployed!$B$2,Flat_file!$C:$C,"Men",Flat_file!$D:$D,"20-24",Flat_file!$E:$E,"443",Flat_file!$F:$F,"U")+SUMIFS(Flat_file!$H:$H,Flat_file!$B:$B,Summary_Unemployed!$B$2,Flat_file!$C:$C,"Men",Flat_file!$D:$D,"20-24",Flat_file!$E:$E,"444",Flat_file!$F:$F,"U")</f>
        <v>0</v>
      </c>
      <c r="X72" s="89">
        <f>SUMIFS(Flat_file!$H:$H,Flat_file!$B:$B,Summary_Unemployed!$B$2,Flat_file!$C:$C,"Men",Flat_file!$D:$D,"20-24",Flat_file!$E:$E,"353",Flat_file!$F:$F,"U")+SUMIFS(Flat_file!$H:$H,Flat_file!$B:$B,Summary_Unemployed!$B$2,Flat_file!$C:$C,"Men",Flat_file!$D:$D,"20-24",Flat_file!$E:$E,"354",Flat_file!$F:$F,"U")+SUMIFS(Flat_file!$H:$H,Flat_file!$B:$B,Summary_Unemployed!$B$2,Flat_file!$C:$C,"Men",Flat_file!$D:$D,"20-24",Flat_file!$E:$E,"453",Flat_file!$F:$F,"U")+SUMIFS(Flat_file!$H:$H,Flat_file!$B:$B,Summary_Unemployed!$B$2,Flat_file!$C:$C,"Men",Flat_file!$D:$D,"20-24",Flat_file!$E:$E,"454",Flat_file!$F:$F,"U")</f>
        <v>0</v>
      </c>
      <c r="Y72" s="90"/>
      <c r="Z72" s="89">
        <f>SUMIFS(Flat_file!$H:$H,Flat_file!$B:$B,Summary_Unemployed!$B$2,Flat_file!$C:$C,"Men",Flat_file!$D:$D,"20-24",Flat_file!$E:$E,"640",Flat_file!$F:$F,"U")+SUMIFS(Flat_file!$H:$H,Flat_file!$B:$B,Summary_Unemployed!$B$2,Flat_file!$C:$C,"Men",Flat_file!$D:$D,"20-24",Flat_file!$E:$E,"740",Flat_file!$F:$F,"U")+SUMIFS(Flat_file!$H:$H,Flat_file!$B:$B,Summary_Unemployed!$B$2,Flat_file!$C:$C,"Men",Flat_file!$D:$D,"20-24",Flat_file!$E:$E,"840",Flat_file!$F:$F,"U")</f>
        <v>0</v>
      </c>
      <c r="AA72" s="89">
        <f>SUMIFS(Flat_file!$H:$H,Flat_file!$B:$B,Summary_Unemployed!$B$2,Flat_file!$C:$C,"Men",Flat_file!$D:$D,"20-24",Flat_file!$E:$E,"650",Flat_file!$F:$F,"U")+SUMIFS(Flat_file!$H:$H,Flat_file!$B:$B,Summary_Unemployed!$B$2,Flat_file!$C:$C,"Men",Flat_file!$D:$D,"20-24",Flat_file!$E:$E,"750",Flat_file!$F:$F,"U")+SUMIFS(Flat_file!$H:$H,Flat_file!$B:$B,Summary_Unemployed!$B$2,Flat_file!$C:$C,"Men",Flat_file!$D:$D,"20-24",Flat_file!$E:$E,"850",Flat_file!$F:$F,"U")</f>
        <v>0</v>
      </c>
      <c r="AB72" s="89">
        <f>SUMIFS(Flat_file!$H:$H,Flat_file!$B:$B,Summary_Unemployed!$B$2,Flat_file!$C:$C,"Men",Flat_file!$D:$D,"20-24",Flat_file!$E:$E,"660",Flat_file!$F:$F,"U")+SUMIFS(Flat_file!$H:$H,Flat_file!$B:$B,Summary_Unemployed!$B$2,Flat_file!$C:$C,"Men",Flat_file!$D:$D,"20-24",Flat_file!$E:$E,"760",Flat_file!$F:$F,"U")+SUMIFS(Flat_file!$H:$H,Flat_file!$B:$B,Summary_Unemployed!$B$2,Flat_file!$C:$C,"Men",Flat_file!$D:$D,"20-24",Flat_file!$E:$E,"860",Flat_file!$F:$F,"U")</f>
        <v>0</v>
      </c>
      <c r="AC72" s="3"/>
      <c r="AD72" s="3"/>
      <c r="AE72" s="3"/>
      <c r="AF72" s="3"/>
      <c r="AG72" s="3"/>
      <c r="AH72" s="3"/>
      <c r="AI72" s="3"/>
      <c r="AJ72" s="3"/>
      <c r="AK72" s="3"/>
      <c r="AL72" s="3"/>
      <c r="AM72" s="3"/>
      <c r="AN72" s="3"/>
      <c r="AO72" s="3"/>
      <c r="AP72" s="3"/>
      <c r="AQ72" s="3"/>
      <c r="AR72" s="3"/>
      <c r="AS72" s="3"/>
    </row>
    <row r="73" spans="1:45" customFormat="1" x14ac:dyDescent="0.2">
      <c r="A73" s="352"/>
      <c r="B73" s="79" t="s">
        <v>89</v>
      </c>
      <c r="C73" s="89">
        <f>SUMIFS(Flat_file!$H:$H,Flat_file!$B:$B,Summary_Unemployed!$B$2,Flat_file!$C:$C,"Men",Flat_file!$D:$D,"25-29",Flat_file!$E:$E,"010",Flat_file!$F:$F,"U")+SUMIFS(Flat_file!$H:$H,Flat_file!$B:$B,Summary_Unemployed!$B$2,Flat_file!$C:$C,"Men",Flat_file!$D:$D,"25-29",Flat_file!$E:$E,"020",Flat_file!$F:$F,"U")+SUMIFS(Flat_file!$H:$H,Flat_file!$B:$B,Summary_Unemployed!$B$2,Flat_file!$C:$C,"Men",Flat_file!$D:$D,"25-29",Flat_file!$E:$E,"030",Flat_file!$F:$F,"U")</f>
        <v>0</v>
      </c>
      <c r="D73" s="89">
        <f>SUMIFS(Flat_file!$H:$H,Flat_file!$B:$B,Summary_Unemployed!$B$2,Flat_file!$C:$C,"Men",Flat_file!$D:$D,"25-29",Flat_file!$E:$E,"100",Flat_file!$F:$F,"U")</f>
        <v>0</v>
      </c>
      <c r="E73" s="89">
        <f>SUMIFS(Flat_file!$H:$H,Flat_file!$B:$B,Summary_Unemployed!$B$2,Flat_file!$C:$C,"Men",Flat_file!$D:$D,"25-29",Flat_file!$E:$E,"242",Flat_file!$F:$F,"U")+SUMIFS(Flat_file!$H:$H,Flat_file!$B:$B,Summary_Unemployed!$B$2,Flat_file!$C:$C,"Men",Flat_file!$D:$D,"25-29",Flat_file!$E:$E,"252",Flat_file!$F:$F,"U")</f>
        <v>0</v>
      </c>
      <c r="F73" s="89">
        <f>SUMIFS(Flat_file!$H:$H,Flat_file!$B:$B,Summary_Unemployed!$B$2,Flat_file!$C:$C,"Men",Flat_file!$D:$D,"25-29",Flat_file!$E:$E,"243",Flat_file!$F:$F,"U")+SUMIFS(Flat_file!$H:$H,Flat_file!$B:$B,Summary_Unemployed!$B$2,Flat_file!$C:$C,"Men",Flat_file!$D:$D,"25-29",Flat_file!$E:$E,"244",Flat_file!$F:$F,"U")+SUMIFS(Flat_file!$H:$H,Flat_file!$B:$B,Summary_Unemployed!$B$2,Flat_file!$C:$C,"Men",Flat_file!$D:$D,"25-29",Flat_file!$E:$E,"253",Flat_file!$F:$F,"U")+SUMIFS(Flat_file!$H:$H,Flat_file!$B:$B,Summary_Unemployed!$B$2,Flat_file!$C:$C,"Men",Flat_file!$D:$D,"25-29",Flat_file!$E:$E,"254",Flat_file!$F:$F,"U")</f>
        <v>0</v>
      </c>
      <c r="G73" s="89">
        <f>SUMIFS(Flat_file!$H:$H,Flat_file!$B:$B,Summary_Unemployed!$B$2,Flat_file!$C:$C,"Men",Flat_file!$D:$D,"25-29",Flat_file!$E:$E,"342",Flat_file!$F:$F,"U")+SUMIFS(Flat_file!$H:$H,Flat_file!$B:$B,Summary_Unemployed!$B$2,Flat_file!$C:$C,"Men",Flat_file!$D:$D,"25-29",Flat_file!$E:$E,"352",Flat_file!$F:$F,"U")</f>
        <v>0</v>
      </c>
      <c r="H73" s="89">
        <f>SUMIFS(Flat_file!$H:$H,Flat_file!$B:$B,Summary_Unemployed!$B$2,Flat_file!$C:$C,"Men",Flat_file!$D:$D,"25-29",Flat_file!$E:$E,"343",Flat_file!$F:$F,"U")+SUMIFS(Flat_file!$H:$H,Flat_file!$B:$B,Summary_Unemployed!$B$2,Flat_file!$C:$C,"Men",Flat_file!$D:$D,"25-29",Flat_file!$E:$E,"344",Flat_file!$F:$F,"U")+SUMIFS(Flat_file!$H:$H,Flat_file!$B:$B,Summary_Unemployed!$B$2,Flat_file!$C:$C,"Men",Flat_file!$D:$D,"25-29",Flat_file!$E:$E,"353",Flat_file!$F:$F,"U")+SUMIFS(Flat_file!$H:$H,Flat_file!$B:$B,Summary_Unemployed!$B$2,Flat_file!$C:$C,"Men",Flat_file!$D:$D,"25-29",Flat_file!$E:$E,"354",Flat_file!$F:$F,"U")</f>
        <v>0</v>
      </c>
      <c r="I73" s="89">
        <f>SUMIFS(Flat_file!$H:$H,Flat_file!$B:$B,Summary_Unemployed!$B$2,Flat_file!$C:$C,"Men",Flat_file!$D:$D,"25-29",Flat_file!$E:$E,"443",Flat_file!$F:$F,"U")+SUMIFS(Flat_file!$H:$H,Flat_file!$B:$B,Summary_Unemployed!$B$2,Flat_file!$C:$C,"Men",Flat_file!$D:$D,"25-29",Flat_file!$E:$E,"444",Flat_file!$F:$F,"U")+SUMIFS(Flat_file!$H:$H,Flat_file!$B:$B,Summary_Unemployed!$B$2,Flat_file!$C:$C,"Men",Flat_file!$D:$D,"25-29",Flat_file!$E:$E,"453",Flat_file!$F:$F,"U")+SUMIFS(Flat_file!$H:$H,Flat_file!$B:$B,Summary_Unemployed!$B$2,Flat_file!$C:$C,"Men",Flat_file!$D:$D,"25-29",Flat_file!$E:$E,"454",Flat_file!$F:$F,"U")</f>
        <v>0</v>
      </c>
      <c r="J73" s="89">
        <f>SUMIFS(Flat_file!$H:$H,Flat_file!$B:$B,Summary_Unemployed!$B$2,Flat_file!$C:$C,"Men",Flat_file!$D:$D,"25-29",Flat_file!$E:$E,"540",Flat_file!$F:$F,"U")+SUMIFS(Flat_file!$H:$H,Flat_file!$B:$B,Summary_Unemployed!$B$2,Flat_file!$C:$C,"Men",Flat_file!$D:$D,"25-29",Flat_file!$E:$E,"550",Flat_file!$F:$F,"U")+SUMIFS(Flat_file!$H:$H,Flat_file!$B:$B,Summary_Unemployed!$B$2,Flat_file!$C:$C,"Men",Flat_file!$D:$D,"25-29",Flat_file!$E:$E,"560",Flat_file!$F:$F,"U")</f>
        <v>0</v>
      </c>
      <c r="K73" s="89">
        <f>SUMIFS(Flat_file!$H:$H,Flat_file!$B:$B,Summary_Unemployed!$B$2,Flat_file!$C:$C,"Men",Flat_file!$D:$D,"25-29",Flat_file!$E:$E,"640",Flat_file!$F:$F,"U")+SUMIFS(Flat_file!$H:$H,Flat_file!$B:$B,Summary_Unemployed!$B$2,Flat_file!$C:$C,"Men",Flat_file!$D:$D,"25-29",Flat_file!$E:$E,"650",Flat_file!$F:$F,"U")+SUMIFS(Flat_file!$H:$H,Flat_file!$B:$B,Summary_Unemployed!$B$2,Flat_file!$C:$C,"Men",Flat_file!$D:$D,"25-29",Flat_file!$E:$E,"660",Flat_file!$F:$F,"U")</f>
        <v>0</v>
      </c>
      <c r="L73" s="89">
        <f>SUMIFS(Flat_file!$H:$H,Flat_file!$B:$B,Summary_Unemployed!$B$2,Flat_file!$C:$C,"Men",Flat_file!$D:$D,"25-29",Flat_file!$E:$E,"740",Flat_file!$F:$F,"U")+SUMIFS(Flat_file!$H:$H,Flat_file!$B:$B,Summary_Unemployed!$B$2,Flat_file!$C:$C,"Men",Flat_file!$D:$D,"25-29",Flat_file!$E:$E,"750",Flat_file!$F:$F,"U")+SUMIFS(Flat_file!$H:$H,Flat_file!$B:$B,Summary_Unemployed!$B$2,Flat_file!$C:$C,"Men",Flat_file!$D:$D,"25-29",Flat_file!$E:$E,"760",Flat_file!$F:$F,"U")</f>
        <v>0</v>
      </c>
      <c r="M73" s="89">
        <f>SUMIFS(Flat_file!$H:$H,Flat_file!$B:$B,Summary_Unemployed!$B$2,Flat_file!$C:$C,"Men",Flat_file!$D:$D,"25-29",Flat_file!$E:$E,"840",Flat_file!$F:$F,"U")+SUMIFS(Flat_file!$H:$H,Flat_file!$B:$B,Summary_Unemployed!$B$2,Flat_file!$C:$C,"Men",Flat_file!$D:$D,"25-29",Flat_file!$E:$E,"850",Flat_file!$F:$F,"U")+SUMIFS(Flat_file!$H:$H,Flat_file!$B:$B,Summary_Unemployed!$B$2,Flat_file!$C:$C,"Men",Flat_file!$D:$D,"25-29",Flat_file!$E:$E,"860",Flat_file!$F:$F,"U")</f>
        <v>0</v>
      </c>
      <c r="N73" s="89">
        <f>SUMIFS(Flat_file!$H:$H,Flat_file!$B:$B,Summary_Unemployed!$B$2,Flat_file!$C:$C,"Men",Flat_file!$D:$D,"25-29",Flat_file!$E:$E,"999",Flat_file!$F:$F,"U")</f>
        <v>0</v>
      </c>
      <c r="O73" s="89">
        <f t="shared" si="48"/>
        <v>0</v>
      </c>
      <c r="P73" s="90"/>
      <c r="Q73" s="89">
        <f t="shared" si="49"/>
        <v>0</v>
      </c>
      <c r="R73" s="91"/>
      <c r="S73" s="89">
        <f t="shared" si="50"/>
        <v>0</v>
      </c>
      <c r="T73" s="89">
        <f t="shared" si="51"/>
        <v>0</v>
      </c>
      <c r="U73" s="89">
        <f t="shared" si="52"/>
        <v>0</v>
      </c>
      <c r="V73" s="90"/>
      <c r="W73" s="89">
        <f>SUMIFS(Flat_file!$H:$H,Flat_file!$B:$B,Summary_Unemployed!$B$2,Flat_file!$C:$C,"Men",Flat_file!$D:$D,"25-29",Flat_file!$E:$E,"343",Flat_file!$F:$F,"U")+SUMIFS(Flat_file!$H:$H,Flat_file!$B:$B,Summary_Unemployed!$B$2,Flat_file!$C:$C,"Men",Flat_file!$D:$D,"25-29",Flat_file!$E:$E,"344",Flat_file!$F:$F,"U")+SUMIFS(Flat_file!$H:$H,Flat_file!$B:$B,Summary_Unemployed!$B$2,Flat_file!$C:$C,"Men",Flat_file!$D:$D,"25-29",Flat_file!$E:$E,"443",Flat_file!$F:$F,"U")+SUMIFS(Flat_file!$H:$H,Flat_file!$B:$B,Summary_Unemployed!$B$2,Flat_file!$C:$C,"Men",Flat_file!$D:$D,"25-29",Flat_file!$E:$E,"444",Flat_file!$F:$F,"U")</f>
        <v>0</v>
      </c>
      <c r="X73" s="89">
        <f>SUMIFS(Flat_file!$H:$H,Flat_file!$B:$B,Summary_Unemployed!$B$2,Flat_file!$C:$C,"Men",Flat_file!$D:$D,"25-29",Flat_file!$E:$E,"353",Flat_file!$F:$F,"U")+SUMIFS(Flat_file!$H:$H,Flat_file!$B:$B,Summary_Unemployed!$B$2,Flat_file!$C:$C,"Men",Flat_file!$D:$D,"25-29",Flat_file!$E:$E,"354",Flat_file!$F:$F,"U")+SUMIFS(Flat_file!$H:$H,Flat_file!$B:$B,Summary_Unemployed!$B$2,Flat_file!$C:$C,"Men",Flat_file!$D:$D,"25-29",Flat_file!$E:$E,"453",Flat_file!$F:$F,"U")+SUMIFS(Flat_file!$H:$H,Flat_file!$B:$B,Summary_Unemployed!$B$2,Flat_file!$C:$C,"Men",Flat_file!$D:$D,"25-29",Flat_file!$E:$E,"454",Flat_file!$F:$F,"U")</f>
        <v>0</v>
      </c>
      <c r="Y73" s="90"/>
      <c r="Z73" s="89">
        <f>SUMIFS(Flat_file!$H:$H,Flat_file!$B:$B,Summary_Unemployed!$B$2,Flat_file!$C:$C,"Men",Flat_file!$D:$D,"25-29",Flat_file!$E:$E,"640",Flat_file!$F:$F,"U")+SUMIFS(Flat_file!$H:$H,Flat_file!$B:$B,Summary_Unemployed!$B$2,Flat_file!$C:$C,"Men",Flat_file!$D:$D,"25-29",Flat_file!$E:$E,"740",Flat_file!$F:$F,"U")+SUMIFS(Flat_file!$H:$H,Flat_file!$B:$B,Summary_Unemployed!$B$2,Flat_file!$C:$C,"Men",Flat_file!$D:$D,"25-29",Flat_file!$E:$E,"840",Flat_file!$F:$F,"U")</f>
        <v>0</v>
      </c>
      <c r="AA73" s="89">
        <f>SUMIFS(Flat_file!$H:$H,Flat_file!$B:$B,Summary_Unemployed!$B$2,Flat_file!$C:$C,"Men",Flat_file!$D:$D,"25-29",Flat_file!$E:$E,"650",Flat_file!$F:$F,"U")+SUMIFS(Flat_file!$H:$H,Flat_file!$B:$B,Summary_Unemployed!$B$2,Flat_file!$C:$C,"Men",Flat_file!$D:$D,"25-29",Flat_file!$E:$E,"750",Flat_file!$F:$F,"U")+SUMIFS(Flat_file!$H:$H,Flat_file!$B:$B,Summary_Unemployed!$B$2,Flat_file!$C:$C,"Men",Flat_file!$D:$D,"25-29",Flat_file!$E:$E,"850",Flat_file!$F:$F,"U")</f>
        <v>0</v>
      </c>
      <c r="AB73" s="89">
        <f>SUMIFS(Flat_file!$H:$H,Flat_file!$B:$B,Summary_Unemployed!$B$2,Flat_file!$C:$C,"Men",Flat_file!$D:$D,"25-29",Flat_file!$E:$E,"660",Flat_file!$F:$F,"U")+SUMIFS(Flat_file!$H:$H,Flat_file!$B:$B,Summary_Unemployed!$B$2,Flat_file!$C:$C,"Men",Flat_file!$D:$D,"25-29",Flat_file!$E:$E,"760",Flat_file!$F:$F,"U")+SUMIFS(Flat_file!$H:$H,Flat_file!$B:$B,Summary_Unemployed!$B$2,Flat_file!$C:$C,"Men",Flat_file!$D:$D,"25-29",Flat_file!$E:$E,"860",Flat_file!$F:$F,"U")</f>
        <v>0</v>
      </c>
      <c r="AC73" s="3"/>
      <c r="AD73" s="3"/>
      <c r="AE73" s="3"/>
      <c r="AF73" s="3"/>
      <c r="AG73" s="3"/>
      <c r="AH73" s="3"/>
      <c r="AI73" s="3"/>
      <c r="AJ73" s="3"/>
      <c r="AK73" s="3"/>
      <c r="AL73" s="3"/>
      <c r="AM73" s="3"/>
      <c r="AN73" s="3"/>
      <c r="AO73" s="3"/>
      <c r="AP73" s="3"/>
      <c r="AQ73" s="3"/>
      <c r="AR73" s="3"/>
      <c r="AS73" s="3"/>
    </row>
    <row r="74" spans="1:45" customFormat="1" x14ac:dyDescent="0.2">
      <c r="A74" s="352"/>
      <c r="B74" s="79" t="s">
        <v>90</v>
      </c>
      <c r="C74" s="89">
        <f>SUMIFS(Flat_file!$H:$H,Flat_file!$B:$B,Summary_Unemployed!$B$2,Flat_file!$C:$C,"Men",Flat_file!$D:$D,"30-34",Flat_file!$E:$E,"010",Flat_file!$F:$F,"U")+SUMIFS(Flat_file!$H:$H,Flat_file!$B:$B,Summary_Unemployed!$B$2,Flat_file!$C:$C,"Men",Flat_file!$D:$D,"30-34",Flat_file!$E:$E,"020",Flat_file!$F:$F,"U")+SUMIFS(Flat_file!$H:$H,Flat_file!$B:$B,Summary_Unemployed!$B$2,Flat_file!$C:$C,"Men",Flat_file!$D:$D,"30-34",Flat_file!$E:$E,"030",Flat_file!$F:$F,"U")</f>
        <v>0</v>
      </c>
      <c r="D74" s="89">
        <f>SUMIFS(Flat_file!$H:$H,Flat_file!$B:$B,Summary_Unemployed!$B$2,Flat_file!$C:$C,"Men",Flat_file!$D:$D,"30-34",Flat_file!$E:$E,"100",Flat_file!$F:$F,"U")</f>
        <v>0</v>
      </c>
      <c r="E74" s="89">
        <f>SUMIFS(Flat_file!$H:$H,Flat_file!$B:$B,Summary_Unemployed!$B$2,Flat_file!$C:$C,"Men",Flat_file!$D:$D,"30-34",Flat_file!$E:$E,"242",Flat_file!$F:$F,"U")+SUMIFS(Flat_file!$H:$H,Flat_file!$B:$B,Summary_Unemployed!$B$2,Flat_file!$C:$C,"Men",Flat_file!$D:$D,"30-34",Flat_file!$E:$E,"252",Flat_file!$F:$F,"U")</f>
        <v>0</v>
      </c>
      <c r="F74" s="89">
        <f>SUMIFS(Flat_file!$H:$H,Flat_file!$B:$B,Summary_Unemployed!$B$2,Flat_file!$C:$C,"Men",Flat_file!$D:$D,"30-34",Flat_file!$E:$E,"243",Flat_file!$F:$F,"U")+SUMIFS(Flat_file!$H:$H,Flat_file!$B:$B,Summary_Unemployed!$B$2,Flat_file!$C:$C,"Men",Flat_file!$D:$D,"30-34",Flat_file!$E:$E,"244",Flat_file!$F:$F,"U")+SUMIFS(Flat_file!$H:$H,Flat_file!$B:$B,Summary_Unemployed!$B$2,Flat_file!$C:$C,"Men",Flat_file!$D:$D,"30-34",Flat_file!$E:$E,"253",Flat_file!$F:$F,"U")+SUMIFS(Flat_file!$H:$H,Flat_file!$B:$B,Summary_Unemployed!$B$2,Flat_file!$C:$C,"Men",Flat_file!$D:$D,"30-34",Flat_file!$E:$E,"254",Flat_file!$F:$F,"U")</f>
        <v>0</v>
      </c>
      <c r="G74" s="89">
        <f>SUMIFS(Flat_file!$H:$H,Flat_file!$B:$B,Summary_Unemployed!$B$2,Flat_file!$C:$C,"Men",Flat_file!$D:$D,"30-34",Flat_file!$E:$E,"342",Flat_file!$F:$F,"U")+SUMIFS(Flat_file!$H:$H,Flat_file!$B:$B,Summary_Unemployed!$B$2,Flat_file!$C:$C,"Men",Flat_file!$D:$D,"30-34",Flat_file!$E:$E,"352",Flat_file!$F:$F,"U")</f>
        <v>0</v>
      </c>
      <c r="H74" s="89">
        <f>SUMIFS(Flat_file!$H:$H,Flat_file!$B:$B,Summary_Unemployed!$B$2,Flat_file!$C:$C,"Men",Flat_file!$D:$D,"30-34",Flat_file!$E:$E,"343",Flat_file!$F:$F,"U")+SUMIFS(Flat_file!$H:$H,Flat_file!$B:$B,Summary_Unemployed!$B$2,Flat_file!$C:$C,"Men",Flat_file!$D:$D,"30-34",Flat_file!$E:$E,"344",Flat_file!$F:$F,"U")+SUMIFS(Flat_file!$H:$H,Flat_file!$B:$B,Summary_Unemployed!$B$2,Flat_file!$C:$C,"Men",Flat_file!$D:$D,"30-34",Flat_file!$E:$E,"353",Flat_file!$F:$F,"U")+SUMIFS(Flat_file!$H:$H,Flat_file!$B:$B,Summary_Unemployed!$B$2,Flat_file!$C:$C,"Men",Flat_file!$D:$D,"30-34",Flat_file!$E:$E,"354",Flat_file!$F:$F,"U")</f>
        <v>0</v>
      </c>
      <c r="I74" s="89">
        <f>SUMIFS(Flat_file!$H:$H,Flat_file!$B:$B,Summary_Unemployed!$B$2,Flat_file!$C:$C,"Men",Flat_file!$D:$D,"30-34",Flat_file!$E:$E,"443",Flat_file!$F:$F,"U")+SUMIFS(Flat_file!$H:$H,Flat_file!$B:$B,Summary_Unemployed!$B$2,Flat_file!$C:$C,"Men",Flat_file!$D:$D,"30-34",Flat_file!$E:$E,"444",Flat_file!$F:$F,"U")+SUMIFS(Flat_file!$H:$H,Flat_file!$B:$B,Summary_Unemployed!$B$2,Flat_file!$C:$C,"Men",Flat_file!$D:$D,"30-34",Flat_file!$E:$E,"453",Flat_file!$F:$F,"U")+SUMIFS(Flat_file!$H:$H,Flat_file!$B:$B,Summary_Unemployed!$B$2,Flat_file!$C:$C,"Men",Flat_file!$D:$D,"30-34",Flat_file!$E:$E,"454",Flat_file!$F:$F,"U")</f>
        <v>0</v>
      </c>
      <c r="J74" s="89">
        <f>SUMIFS(Flat_file!$H:$H,Flat_file!$B:$B,Summary_Unemployed!$B$2,Flat_file!$C:$C,"Men",Flat_file!$D:$D,"30-34",Flat_file!$E:$E,"540",Flat_file!$F:$F,"U")+SUMIFS(Flat_file!$H:$H,Flat_file!$B:$B,Summary_Unemployed!$B$2,Flat_file!$C:$C,"Men",Flat_file!$D:$D,"30-34",Flat_file!$E:$E,"550",Flat_file!$F:$F,"U")+SUMIFS(Flat_file!$H:$H,Flat_file!$B:$B,Summary_Unemployed!$B$2,Flat_file!$C:$C,"Men",Flat_file!$D:$D,"30-34",Flat_file!$E:$E,"560",Flat_file!$F:$F,"U")</f>
        <v>0</v>
      </c>
      <c r="K74" s="89">
        <f>SUMIFS(Flat_file!$H:$H,Flat_file!$B:$B,Summary_Unemployed!$B$2,Flat_file!$C:$C,"Men",Flat_file!$D:$D,"30-34",Flat_file!$E:$E,"640",Flat_file!$F:$F,"U")+SUMIFS(Flat_file!$H:$H,Flat_file!$B:$B,Summary_Unemployed!$B$2,Flat_file!$C:$C,"Men",Flat_file!$D:$D,"30-34",Flat_file!$E:$E,"650",Flat_file!$F:$F,"U")+SUMIFS(Flat_file!$H:$H,Flat_file!$B:$B,Summary_Unemployed!$B$2,Flat_file!$C:$C,"Men",Flat_file!$D:$D,"30-34",Flat_file!$E:$E,"660",Flat_file!$F:$F,"U")</f>
        <v>0</v>
      </c>
      <c r="L74" s="89">
        <f>SUMIFS(Flat_file!$H:$H,Flat_file!$B:$B,Summary_Unemployed!$B$2,Flat_file!$C:$C,"Men",Flat_file!$D:$D,"30-34",Flat_file!$E:$E,"740",Flat_file!$F:$F,"U")+SUMIFS(Flat_file!$H:$H,Flat_file!$B:$B,Summary_Unemployed!$B$2,Flat_file!$C:$C,"Men",Flat_file!$D:$D,"30-34",Flat_file!$E:$E,"750",Flat_file!$F:$F,"U")+SUMIFS(Flat_file!$H:$H,Flat_file!$B:$B,Summary_Unemployed!$B$2,Flat_file!$C:$C,"Men",Flat_file!$D:$D,"30-34",Flat_file!$E:$E,"760",Flat_file!$F:$F,"U")</f>
        <v>0</v>
      </c>
      <c r="M74" s="89">
        <f>SUMIFS(Flat_file!$H:$H,Flat_file!$B:$B,Summary_Unemployed!$B$2,Flat_file!$C:$C,"Men",Flat_file!$D:$D,"30-34",Flat_file!$E:$E,"840",Flat_file!$F:$F,"U")+SUMIFS(Flat_file!$H:$H,Flat_file!$B:$B,Summary_Unemployed!$B$2,Flat_file!$C:$C,"Men",Flat_file!$D:$D,"30-34",Flat_file!$E:$E,"850",Flat_file!$F:$F,"U")+SUMIFS(Flat_file!$H:$H,Flat_file!$B:$B,Summary_Unemployed!$B$2,Flat_file!$C:$C,"Men",Flat_file!$D:$D,"30-34",Flat_file!$E:$E,"860",Flat_file!$F:$F,"U")</f>
        <v>0</v>
      </c>
      <c r="N74" s="89">
        <f>SUMIFS(Flat_file!$H:$H,Flat_file!$B:$B,Summary_Unemployed!$B$2,Flat_file!$C:$C,"Men",Flat_file!$D:$D,"30-34",Flat_file!$E:$E,"999",Flat_file!$F:$F,"U")</f>
        <v>0</v>
      </c>
      <c r="O74" s="89">
        <f t="shared" si="48"/>
        <v>0</v>
      </c>
      <c r="P74" s="90"/>
      <c r="Q74" s="89">
        <f t="shared" si="49"/>
        <v>0</v>
      </c>
      <c r="R74" s="91"/>
      <c r="S74" s="89">
        <f t="shared" si="50"/>
        <v>0</v>
      </c>
      <c r="T74" s="89">
        <f t="shared" si="51"/>
        <v>0</v>
      </c>
      <c r="U74" s="89">
        <f t="shared" si="52"/>
        <v>0</v>
      </c>
      <c r="V74" s="90"/>
      <c r="W74" s="89">
        <f>SUMIFS(Flat_file!$H:$H,Flat_file!$B:$B,Summary_Unemployed!$B$2,Flat_file!$C:$C,"Men",Flat_file!$D:$D,"30-34",Flat_file!$E:$E,"343",Flat_file!$F:$F,"U")+SUMIFS(Flat_file!$H:$H,Flat_file!$B:$B,Summary_Unemployed!$B$2,Flat_file!$C:$C,"Men",Flat_file!$D:$D,"30-34",Flat_file!$E:$E,"344",Flat_file!$F:$F,"U")+SUMIFS(Flat_file!$H:$H,Flat_file!$B:$B,Summary_Unemployed!$B$2,Flat_file!$C:$C,"Men",Flat_file!$D:$D,"30-34",Flat_file!$E:$E,"443",Flat_file!$F:$F,"U")+SUMIFS(Flat_file!$H:$H,Flat_file!$B:$B,Summary_Unemployed!$B$2,Flat_file!$C:$C,"Men",Flat_file!$D:$D,"30-34",Flat_file!$E:$E,"444",Flat_file!$F:$F,"U")</f>
        <v>0</v>
      </c>
      <c r="X74" s="89">
        <f>SUMIFS(Flat_file!$H:$H,Flat_file!$B:$B,Summary_Unemployed!$B$2,Flat_file!$C:$C,"Men",Flat_file!$D:$D,"30-34",Flat_file!$E:$E,"353",Flat_file!$F:$F,"U")+SUMIFS(Flat_file!$H:$H,Flat_file!$B:$B,Summary_Unemployed!$B$2,Flat_file!$C:$C,"Men",Flat_file!$D:$D,"30-34",Flat_file!$E:$E,"354",Flat_file!$F:$F,"U")+SUMIFS(Flat_file!$H:$H,Flat_file!$B:$B,Summary_Unemployed!$B$2,Flat_file!$C:$C,"Men",Flat_file!$D:$D,"30-34",Flat_file!$E:$E,"453",Flat_file!$F:$F,"U")+SUMIFS(Flat_file!$H:$H,Flat_file!$B:$B,Summary_Unemployed!$B$2,Flat_file!$C:$C,"Men",Flat_file!$D:$D,"30-34",Flat_file!$E:$E,"454",Flat_file!$F:$F,"U")</f>
        <v>0</v>
      </c>
      <c r="Y74" s="90"/>
      <c r="Z74" s="89">
        <f>SUMIFS(Flat_file!$H:$H,Flat_file!$B:$B,Summary_Unemployed!$B$2,Flat_file!$C:$C,"Men",Flat_file!$D:$D,"30-34",Flat_file!$E:$E,"640",Flat_file!$F:$F,"U")+SUMIFS(Flat_file!$H:$H,Flat_file!$B:$B,Summary_Unemployed!$B$2,Flat_file!$C:$C,"Men",Flat_file!$D:$D,"30-34",Flat_file!$E:$E,"740",Flat_file!$F:$F,"U")+SUMIFS(Flat_file!$H:$H,Flat_file!$B:$B,Summary_Unemployed!$B$2,Flat_file!$C:$C,"Men",Flat_file!$D:$D,"30-34",Flat_file!$E:$E,"840",Flat_file!$F:$F,"U")</f>
        <v>0</v>
      </c>
      <c r="AA74" s="89">
        <f>SUMIFS(Flat_file!$H:$H,Flat_file!$B:$B,Summary_Unemployed!$B$2,Flat_file!$C:$C,"Men",Flat_file!$D:$D,"30-34",Flat_file!$E:$E,"650",Flat_file!$F:$F,"U")+SUMIFS(Flat_file!$H:$H,Flat_file!$B:$B,Summary_Unemployed!$B$2,Flat_file!$C:$C,"Men",Flat_file!$D:$D,"30-34",Flat_file!$E:$E,"750",Flat_file!$F:$F,"U")+SUMIFS(Flat_file!$H:$H,Flat_file!$B:$B,Summary_Unemployed!$B$2,Flat_file!$C:$C,"Men",Flat_file!$D:$D,"30-34",Flat_file!$E:$E,"850",Flat_file!$F:$F,"U")</f>
        <v>0</v>
      </c>
      <c r="AB74" s="89">
        <f>SUMIFS(Flat_file!$H:$H,Flat_file!$B:$B,Summary_Unemployed!$B$2,Flat_file!$C:$C,"Men",Flat_file!$D:$D,"30-34",Flat_file!$E:$E,"660",Flat_file!$F:$F,"U")+SUMIFS(Flat_file!$H:$H,Flat_file!$B:$B,Summary_Unemployed!$B$2,Flat_file!$C:$C,"Men",Flat_file!$D:$D,"30-34",Flat_file!$E:$E,"760",Flat_file!$F:$F,"U")+SUMIFS(Flat_file!$H:$H,Flat_file!$B:$B,Summary_Unemployed!$B$2,Flat_file!$C:$C,"Men",Flat_file!$D:$D,"30-34",Flat_file!$E:$E,"860",Flat_file!$F:$F,"U")</f>
        <v>0</v>
      </c>
      <c r="AC74" s="3"/>
      <c r="AD74" s="3"/>
      <c r="AE74" s="3"/>
      <c r="AF74" s="3"/>
      <c r="AG74" s="3"/>
      <c r="AH74" s="3"/>
      <c r="AI74" s="3"/>
      <c r="AJ74" s="3"/>
      <c r="AK74" s="3"/>
      <c r="AL74" s="3"/>
      <c r="AM74" s="3"/>
      <c r="AN74" s="3"/>
      <c r="AO74" s="3"/>
      <c r="AP74" s="3"/>
      <c r="AQ74" s="3"/>
      <c r="AR74" s="3"/>
      <c r="AS74" s="3"/>
    </row>
    <row r="75" spans="1:45" customFormat="1" x14ac:dyDescent="0.2">
      <c r="A75" s="352"/>
      <c r="B75" s="79" t="s">
        <v>91</v>
      </c>
      <c r="C75" s="89">
        <f>SUMIFS(Flat_file!$H:$H,Flat_file!$B:$B,Summary_Unemployed!$B$2,Flat_file!$C:$C,"Men",Flat_file!$D:$D,"35-39",Flat_file!$E:$E,"010",Flat_file!$F:$F,"U")+SUMIFS(Flat_file!$H:$H,Flat_file!$B:$B,Summary_Unemployed!$B$2,Flat_file!$C:$C,"Men",Flat_file!$D:$D,"35-39",Flat_file!$E:$E,"020",Flat_file!$F:$F,"U")+SUMIFS(Flat_file!$H:$H,Flat_file!$B:$B,Summary_Unemployed!$B$2,Flat_file!$C:$C,"Men",Flat_file!$D:$D,"35-39",Flat_file!$E:$E,"030",Flat_file!$F:$F,"U")</f>
        <v>0</v>
      </c>
      <c r="D75" s="89">
        <f>SUMIFS(Flat_file!$H:$H,Flat_file!$B:$B,Summary_Unemployed!$B$2,Flat_file!$C:$C,"Men",Flat_file!$D:$D,"35-39",Flat_file!$E:$E,"100",Flat_file!$F:$F,"U")</f>
        <v>0</v>
      </c>
      <c r="E75" s="89">
        <f>SUMIFS(Flat_file!$H:$H,Flat_file!$B:$B,Summary_Unemployed!$B$2,Flat_file!$C:$C,"Men",Flat_file!$D:$D,"35-39",Flat_file!$E:$E,"242",Flat_file!$F:$F,"U")+SUMIFS(Flat_file!$H:$H,Flat_file!$B:$B,Summary_Unemployed!$B$2,Flat_file!$C:$C,"Men",Flat_file!$D:$D,"35-39",Flat_file!$E:$E,"252",Flat_file!$F:$F,"U")</f>
        <v>0</v>
      </c>
      <c r="F75" s="89">
        <f>SUMIFS(Flat_file!$H:$H,Flat_file!$B:$B,Summary_Unemployed!$B$2,Flat_file!$C:$C,"Men",Flat_file!$D:$D,"35-39",Flat_file!$E:$E,"243",Flat_file!$F:$F,"U")+SUMIFS(Flat_file!$H:$H,Flat_file!$B:$B,Summary_Unemployed!$B$2,Flat_file!$C:$C,"Men",Flat_file!$D:$D,"35-39",Flat_file!$E:$E,"244",Flat_file!$F:$F,"U")+SUMIFS(Flat_file!$H:$H,Flat_file!$B:$B,Summary_Unemployed!$B$2,Flat_file!$C:$C,"Men",Flat_file!$D:$D,"35-39",Flat_file!$E:$E,"253",Flat_file!$F:$F,"U")+SUMIFS(Flat_file!$H:$H,Flat_file!$B:$B,Summary_Unemployed!$B$2,Flat_file!$C:$C,"Men",Flat_file!$D:$D,"35-39",Flat_file!$E:$E,"254",Flat_file!$F:$F,"U")</f>
        <v>0</v>
      </c>
      <c r="G75" s="89">
        <f>SUMIFS(Flat_file!$H:$H,Flat_file!$B:$B,Summary_Unemployed!$B$2,Flat_file!$C:$C,"Men",Flat_file!$D:$D,"35-39",Flat_file!$E:$E,"342",Flat_file!$F:$F,"U")+SUMIFS(Flat_file!$H:$H,Flat_file!$B:$B,Summary_Unemployed!$B$2,Flat_file!$C:$C,"Men",Flat_file!$D:$D,"35-39",Flat_file!$E:$E,"352",Flat_file!$F:$F,"U")</f>
        <v>0</v>
      </c>
      <c r="H75" s="89">
        <f>SUMIFS(Flat_file!$H:$H,Flat_file!$B:$B,Summary_Unemployed!$B$2,Flat_file!$C:$C,"Men",Flat_file!$D:$D,"35-39",Flat_file!$E:$E,"343",Flat_file!$F:$F,"U")+SUMIFS(Flat_file!$H:$H,Flat_file!$B:$B,Summary_Unemployed!$B$2,Flat_file!$C:$C,"Men",Flat_file!$D:$D,"35-39",Flat_file!$E:$E,"344",Flat_file!$F:$F,"U")+SUMIFS(Flat_file!$H:$H,Flat_file!$B:$B,Summary_Unemployed!$B$2,Flat_file!$C:$C,"Men",Flat_file!$D:$D,"35-39",Flat_file!$E:$E,"353",Flat_file!$F:$F,"U")+SUMIFS(Flat_file!$H:$H,Flat_file!$B:$B,Summary_Unemployed!$B$2,Flat_file!$C:$C,"Men",Flat_file!$D:$D,"35-39",Flat_file!$E:$E,"354",Flat_file!$F:$F,"U")</f>
        <v>0</v>
      </c>
      <c r="I75" s="89">
        <f>SUMIFS(Flat_file!$H:$H,Flat_file!$B:$B,Summary_Unemployed!$B$2,Flat_file!$C:$C,"Men",Flat_file!$D:$D,"35-39",Flat_file!$E:$E,"443",Flat_file!$F:$F,"U")+SUMIFS(Flat_file!$H:$H,Flat_file!$B:$B,Summary_Unemployed!$B$2,Flat_file!$C:$C,"Men",Flat_file!$D:$D,"35-39",Flat_file!$E:$E,"444",Flat_file!$F:$F,"U")+SUMIFS(Flat_file!$H:$H,Flat_file!$B:$B,Summary_Unemployed!$B$2,Flat_file!$C:$C,"Men",Flat_file!$D:$D,"35-39",Flat_file!$E:$E,"453",Flat_file!$F:$F,"U")+SUMIFS(Flat_file!$H:$H,Flat_file!$B:$B,Summary_Unemployed!$B$2,Flat_file!$C:$C,"Men",Flat_file!$D:$D,"35-39",Flat_file!$E:$E,"454",Flat_file!$F:$F,"U")</f>
        <v>0</v>
      </c>
      <c r="J75" s="89">
        <f>SUMIFS(Flat_file!$H:$H,Flat_file!$B:$B,Summary_Unemployed!$B$2,Flat_file!$C:$C,"Men",Flat_file!$D:$D,"35-39",Flat_file!$E:$E,"540",Flat_file!$F:$F,"U")+SUMIFS(Flat_file!$H:$H,Flat_file!$B:$B,Summary_Unemployed!$B$2,Flat_file!$C:$C,"Men",Flat_file!$D:$D,"35-39",Flat_file!$E:$E,"550",Flat_file!$F:$F,"U")+SUMIFS(Flat_file!$H:$H,Flat_file!$B:$B,Summary_Unemployed!$B$2,Flat_file!$C:$C,"Men",Flat_file!$D:$D,"35-39",Flat_file!$E:$E,"560",Flat_file!$F:$F,"U")</f>
        <v>0</v>
      </c>
      <c r="K75" s="89">
        <f>SUMIFS(Flat_file!$H:$H,Flat_file!$B:$B,Summary_Unemployed!$B$2,Flat_file!$C:$C,"Men",Flat_file!$D:$D,"35-39",Flat_file!$E:$E,"640",Flat_file!$F:$F,"U")+SUMIFS(Flat_file!$H:$H,Flat_file!$B:$B,Summary_Unemployed!$B$2,Flat_file!$C:$C,"Men",Flat_file!$D:$D,"35-39",Flat_file!$E:$E,"650",Flat_file!$F:$F,"U")+SUMIFS(Flat_file!$H:$H,Flat_file!$B:$B,Summary_Unemployed!$B$2,Flat_file!$C:$C,"Men",Flat_file!$D:$D,"35-39",Flat_file!$E:$E,"660",Flat_file!$F:$F,"U")</f>
        <v>0</v>
      </c>
      <c r="L75" s="89">
        <f>SUMIFS(Flat_file!$H:$H,Flat_file!$B:$B,Summary_Unemployed!$B$2,Flat_file!$C:$C,"Men",Flat_file!$D:$D,"35-39",Flat_file!$E:$E,"740",Flat_file!$F:$F,"U")+SUMIFS(Flat_file!$H:$H,Flat_file!$B:$B,Summary_Unemployed!$B$2,Flat_file!$C:$C,"Men",Flat_file!$D:$D,"35-39",Flat_file!$E:$E,"750",Flat_file!$F:$F,"U")+SUMIFS(Flat_file!$H:$H,Flat_file!$B:$B,Summary_Unemployed!$B$2,Flat_file!$C:$C,"Men",Flat_file!$D:$D,"35-39",Flat_file!$E:$E,"760",Flat_file!$F:$F,"U")</f>
        <v>0</v>
      </c>
      <c r="M75" s="89">
        <f>SUMIFS(Flat_file!$H:$H,Flat_file!$B:$B,Summary_Unemployed!$B$2,Flat_file!$C:$C,"Men",Flat_file!$D:$D,"35-39",Flat_file!$E:$E,"840",Flat_file!$F:$F,"U")+SUMIFS(Flat_file!$H:$H,Flat_file!$B:$B,Summary_Unemployed!$B$2,Flat_file!$C:$C,"Men",Flat_file!$D:$D,"35-39",Flat_file!$E:$E,"850",Flat_file!$F:$F,"U")+SUMIFS(Flat_file!$H:$H,Flat_file!$B:$B,Summary_Unemployed!$B$2,Flat_file!$C:$C,"Men",Flat_file!$D:$D,"35-39",Flat_file!$E:$E,"860",Flat_file!$F:$F,"U")</f>
        <v>0</v>
      </c>
      <c r="N75" s="89">
        <f>SUMIFS(Flat_file!$H:$H,Flat_file!$B:$B,Summary_Unemployed!$B$2,Flat_file!$C:$C,"Men",Flat_file!$D:$D,"35-39",Flat_file!$E:$E,"999",Flat_file!$F:$F,"U")</f>
        <v>0</v>
      </c>
      <c r="O75" s="89">
        <f t="shared" si="48"/>
        <v>0</v>
      </c>
      <c r="P75" s="90"/>
      <c r="Q75" s="89">
        <f t="shared" si="49"/>
        <v>0</v>
      </c>
      <c r="R75" s="91"/>
      <c r="S75" s="89">
        <f t="shared" si="50"/>
        <v>0</v>
      </c>
      <c r="T75" s="89">
        <f t="shared" si="51"/>
        <v>0</v>
      </c>
      <c r="U75" s="89">
        <f t="shared" si="52"/>
        <v>0</v>
      </c>
      <c r="V75" s="90"/>
      <c r="W75" s="89">
        <f>SUMIFS(Flat_file!$H:$H,Flat_file!$B:$B,Summary_Unemployed!$B$2,Flat_file!$C:$C,"Men",Flat_file!$D:$D,"35-39",Flat_file!$E:$E,"343",Flat_file!$F:$F,"U")+SUMIFS(Flat_file!$H:$H,Flat_file!$B:$B,Summary_Unemployed!$B$2,Flat_file!$C:$C,"Men",Flat_file!$D:$D,"35-39",Flat_file!$E:$E,"344",Flat_file!$F:$F,"U")+SUMIFS(Flat_file!$H:$H,Flat_file!$B:$B,Summary_Unemployed!$B$2,Flat_file!$C:$C,"Men",Flat_file!$D:$D,"35-39",Flat_file!$E:$E,"443",Flat_file!$F:$F,"U")+SUMIFS(Flat_file!$H:$H,Flat_file!$B:$B,Summary_Unemployed!$B$2,Flat_file!$C:$C,"Men",Flat_file!$D:$D,"35-39",Flat_file!$E:$E,"444",Flat_file!$F:$F,"U")</f>
        <v>0</v>
      </c>
      <c r="X75" s="89">
        <f>SUMIFS(Flat_file!$H:$H,Flat_file!$B:$B,Summary_Unemployed!$B$2,Flat_file!$C:$C,"Men",Flat_file!$D:$D,"35-39",Flat_file!$E:$E,"353",Flat_file!$F:$F,"U")+SUMIFS(Flat_file!$H:$H,Flat_file!$B:$B,Summary_Unemployed!$B$2,Flat_file!$C:$C,"Men",Flat_file!$D:$D,"35-39",Flat_file!$E:$E,"354",Flat_file!$F:$F,"U")+SUMIFS(Flat_file!$H:$H,Flat_file!$B:$B,Summary_Unemployed!$B$2,Flat_file!$C:$C,"Men",Flat_file!$D:$D,"35-39",Flat_file!$E:$E,"453",Flat_file!$F:$F,"U")+SUMIFS(Flat_file!$H:$H,Flat_file!$B:$B,Summary_Unemployed!$B$2,Flat_file!$C:$C,"Men",Flat_file!$D:$D,"35-39",Flat_file!$E:$E,"454",Flat_file!$F:$F,"U")</f>
        <v>0</v>
      </c>
      <c r="Y75" s="90"/>
      <c r="Z75" s="89">
        <f>SUMIFS(Flat_file!$H:$H,Flat_file!$B:$B,Summary_Unemployed!$B$2,Flat_file!$C:$C,"Men",Flat_file!$D:$D,"35-39",Flat_file!$E:$E,"640",Flat_file!$F:$F,"U")+SUMIFS(Flat_file!$H:$H,Flat_file!$B:$B,Summary_Unemployed!$B$2,Flat_file!$C:$C,"Men",Flat_file!$D:$D,"35-39",Flat_file!$E:$E,"740",Flat_file!$F:$F,"U")+SUMIFS(Flat_file!$H:$H,Flat_file!$B:$B,Summary_Unemployed!$B$2,Flat_file!$C:$C,"Men",Flat_file!$D:$D,"35-39",Flat_file!$E:$E,"840",Flat_file!$F:$F,"U")</f>
        <v>0</v>
      </c>
      <c r="AA75" s="89">
        <f>SUMIFS(Flat_file!$H:$H,Flat_file!$B:$B,Summary_Unemployed!$B$2,Flat_file!$C:$C,"Men",Flat_file!$D:$D,"35-39",Flat_file!$E:$E,"650",Flat_file!$F:$F,"U")+SUMIFS(Flat_file!$H:$H,Flat_file!$B:$B,Summary_Unemployed!$B$2,Flat_file!$C:$C,"Men",Flat_file!$D:$D,"35-39",Flat_file!$E:$E,"750",Flat_file!$F:$F,"U")+SUMIFS(Flat_file!$H:$H,Flat_file!$B:$B,Summary_Unemployed!$B$2,Flat_file!$C:$C,"Men",Flat_file!$D:$D,"35-39",Flat_file!$E:$E,"850",Flat_file!$F:$F,"U")</f>
        <v>0</v>
      </c>
      <c r="AB75" s="89">
        <f>SUMIFS(Flat_file!$H:$H,Flat_file!$B:$B,Summary_Unemployed!$B$2,Flat_file!$C:$C,"Men",Flat_file!$D:$D,"35-39",Flat_file!$E:$E,"660",Flat_file!$F:$F,"U")+SUMIFS(Flat_file!$H:$H,Flat_file!$B:$B,Summary_Unemployed!$B$2,Flat_file!$C:$C,"Men",Flat_file!$D:$D,"35-39",Flat_file!$E:$E,"760",Flat_file!$F:$F,"U")+SUMIFS(Flat_file!$H:$H,Flat_file!$B:$B,Summary_Unemployed!$B$2,Flat_file!$C:$C,"Men",Flat_file!$D:$D,"35-39",Flat_file!$E:$E,"860",Flat_file!$F:$F,"U")</f>
        <v>0</v>
      </c>
      <c r="AC75" s="3"/>
      <c r="AD75" s="3"/>
      <c r="AE75" s="3"/>
      <c r="AF75" s="3"/>
      <c r="AG75" s="3"/>
      <c r="AH75" s="3"/>
      <c r="AI75" s="3"/>
      <c r="AJ75" s="3"/>
      <c r="AK75" s="3"/>
      <c r="AL75" s="3"/>
      <c r="AM75" s="3"/>
      <c r="AN75" s="3"/>
      <c r="AO75" s="3"/>
      <c r="AP75" s="3"/>
      <c r="AQ75" s="3"/>
      <c r="AR75" s="3"/>
      <c r="AS75" s="3"/>
    </row>
    <row r="76" spans="1:45" customFormat="1" x14ac:dyDescent="0.2">
      <c r="A76" s="352"/>
      <c r="B76" s="79" t="s">
        <v>92</v>
      </c>
      <c r="C76" s="89">
        <f>SUMIFS(Flat_file!$H:$H,Flat_file!$B:$B,Summary_Unemployed!$B$2,Flat_file!$C:$C,"Men",Flat_file!$D:$D,"40-44",Flat_file!$E:$E,"010",Flat_file!$F:$F,"U")+SUMIFS(Flat_file!$H:$H,Flat_file!$B:$B,Summary_Unemployed!$B$2,Flat_file!$C:$C,"Men",Flat_file!$D:$D,"40-44",Flat_file!$E:$E,"020",Flat_file!$F:$F,"U")+SUMIFS(Flat_file!$H:$H,Flat_file!$B:$B,Summary_Unemployed!$B$2,Flat_file!$C:$C,"Men",Flat_file!$D:$D,"40-44",Flat_file!$E:$E,"030",Flat_file!$F:$F,"U")</f>
        <v>0</v>
      </c>
      <c r="D76" s="89">
        <f>SUMIFS(Flat_file!$H:$H,Flat_file!$B:$B,Summary_Unemployed!$B$2,Flat_file!$C:$C,"Men",Flat_file!$D:$D,"40-44",Flat_file!$E:$E,"100",Flat_file!$F:$F,"U")</f>
        <v>0</v>
      </c>
      <c r="E76" s="89">
        <f>SUMIFS(Flat_file!$H:$H,Flat_file!$B:$B,Summary_Unemployed!$B$2,Flat_file!$C:$C,"Men",Flat_file!$D:$D,"40-44",Flat_file!$E:$E,"242",Flat_file!$F:$F,"U")+SUMIFS(Flat_file!$H:$H,Flat_file!$B:$B,Summary_Unemployed!$B$2,Flat_file!$C:$C,"Men",Flat_file!$D:$D,"40-44",Flat_file!$E:$E,"252",Flat_file!$F:$F,"U")</f>
        <v>0</v>
      </c>
      <c r="F76" s="89">
        <f>SUMIFS(Flat_file!$H:$H,Flat_file!$B:$B,Summary_Unemployed!$B$2,Flat_file!$C:$C,"Men",Flat_file!$D:$D,"40-44",Flat_file!$E:$E,"243",Flat_file!$F:$F,"U")+SUMIFS(Flat_file!$H:$H,Flat_file!$B:$B,Summary_Unemployed!$B$2,Flat_file!$C:$C,"Men",Flat_file!$D:$D,"40-44",Flat_file!$E:$E,"244",Flat_file!$F:$F,"U")+SUMIFS(Flat_file!$H:$H,Flat_file!$B:$B,Summary_Unemployed!$B$2,Flat_file!$C:$C,"Men",Flat_file!$D:$D,"40-44",Flat_file!$E:$E,"253",Flat_file!$F:$F,"U")+SUMIFS(Flat_file!$H:$H,Flat_file!$B:$B,Summary_Unemployed!$B$2,Flat_file!$C:$C,"Men",Flat_file!$D:$D,"40-44",Flat_file!$E:$E,"254",Flat_file!$F:$F,"U")</f>
        <v>0</v>
      </c>
      <c r="G76" s="89">
        <f>SUMIFS(Flat_file!$H:$H,Flat_file!$B:$B,Summary_Unemployed!$B$2,Flat_file!$C:$C,"Men",Flat_file!$D:$D,"40-44",Flat_file!$E:$E,"342",Flat_file!$F:$F,"U")+SUMIFS(Flat_file!$H:$H,Flat_file!$B:$B,Summary_Unemployed!$B$2,Flat_file!$C:$C,"Men",Flat_file!$D:$D,"40-44",Flat_file!$E:$E,"352",Flat_file!$F:$F,"U")</f>
        <v>0</v>
      </c>
      <c r="H76" s="89">
        <f>SUMIFS(Flat_file!$H:$H,Flat_file!$B:$B,Summary_Unemployed!$B$2,Flat_file!$C:$C,"Men",Flat_file!$D:$D,"40-44",Flat_file!$E:$E,"343",Flat_file!$F:$F,"U")+SUMIFS(Flat_file!$H:$H,Flat_file!$B:$B,Summary_Unemployed!$B$2,Flat_file!$C:$C,"Men",Flat_file!$D:$D,"40-44",Flat_file!$E:$E,"344",Flat_file!$F:$F,"U")+SUMIFS(Flat_file!$H:$H,Flat_file!$B:$B,Summary_Unemployed!$B$2,Flat_file!$C:$C,"Men",Flat_file!$D:$D,"40-44",Flat_file!$E:$E,"353",Flat_file!$F:$F,"U")+SUMIFS(Flat_file!$H:$H,Flat_file!$B:$B,Summary_Unemployed!$B$2,Flat_file!$C:$C,"Men",Flat_file!$D:$D,"40-44",Flat_file!$E:$E,"354",Flat_file!$F:$F,"U")</f>
        <v>0</v>
      </c>
      <c r="I76" s="89">
        <f>SUMIFS(Flat_file!$H:$H,Flat_file!$B:$B,Summary_Unemployed!$B$2,Flat_file!$C:$C,"Men",Flat_file!$D:$D,"40-44",Flat_file!$E:$E,"443",Flat_file!$F:$F,"U")+SUMIFS(Flat_file!$H:$H,Flat_file!$B:$B,Summary_Unemployed!$B$2,Flat_file!$C:$C,"Men",Flat_file!$D:$D,"40-44",Flat_file!$E:$E,"444",Flat_file!$F:$F,"U")+SUMIFS(Flat_file!$H:$H,Flat_file!$B:$B,Summary_Unemployed!$B$2,Flat_file!$C:$C,"Men",Flat_file!$D:$D,"40-44",Flat_file!$E:$E,"453",Flat_file!$F:$F,"U")+SUMIFS(Flat_file!$H:$H,Flat_file!$B:$B,Summary_Unemployed!$B$2,Flat_file!$C:$C,"Men",Flat_file!$D:$D,"40-44",Flat_file!$E:$E,"454",Flat_file!$F:$F,"U")</f>
        <v>0</v>
      </c>
      <c r="J76" s="89">
        <f>SUMIFS(Flat_file!$H:$H,Flat_file!$B:$B,Summary_Unemployed!$B$2,Flat_file!$C:$C,"Men",Flat_file!$D:$D,"40-44",Flat_file!$E:$E,"540",Flat_file!$F:$F,"U")+SUMIFS(Flat_file!$H:$H,Flat_file!$B:$B,Summary_Unemployed!$B$2,Flat_file!$C:$C,"Men",Flat_file!$D:$D,"40-44",Flat_file!$E:$E,"550",Flat_file!$F:$F,"U")+SUMIFS(Flat_file!$H:$H,Flat_file!$B:$B,Summary_Unemployed!$B$2,Flat_file!$C:$C,"Men",Flat_file!$D:$D,"40-44",Flat_file!$E:$E,"560",Flat_file!$F:$F,"U")</f>
        <v>0</v>
      </c>
      <c r="K76" s="89">
        <f>SUMIFS(Flat_file!$H:$H,Flat_file!$B:$B,Summary_Unemployed!$B$2,Flat_file!$C:$C,"Men",Flat_file!$D:$D,"40-44",Flat_file!$E:$E,"640",Flat_file!$F:$F,"U")+SUMIFS(Flat_file!$H:$H,Flat_file!$B:$B,Summary_Unemployed!$B$2,Flat_file!$C:$C,"Men",Flat_file!$D:$D,"40-44",Flat_file!$E:$E,"650",Flat_file!$F:$F,"U")+SUMIFS(Flat_file!$H:$H,Flat_file!$B:$B,Summary_Unemployed!$B$2,Flat_file!$C:$C,"Men",Flat_file!$D:$D,"40-44",Flat_file!$E:$E,"660",Flat_file!$F:$F,"U")</f>
        <v>0</v>
      </c>
      <c r="L76" s="89">
        <f>SUMIFS(Flat_file!$H:$H,Flat_file!$B:$B,Summary_Unemployed!$B$2,Flat_file!$C:$C,"Men",Flat_file!$D:$D,"40-44",Flat_file!$E:$E,"740",Flat_file!$F:$F,"U")+SUMIFS(Flat_file!$H:$H,Flat_file!$B:$B,Summary_Unemployed!$B$2,Flat_file!$C:$C,"Men",Flat_file!$D:$D,"40-44",Flat_file!$E:$E,"750",Flat_file!$F:$F,"U")+SUMIFS(Flat_file!$H:$H,Flat_file!$B:$B,Summary_Unemployed!$B$2,Flat_file!$C:$C,"Men",Flat_file!$D:$D,"40-44",Flat_file!$E:$E,"760",Flat_file!$F:$F,"U")</f>
        <v>0</v>
      </c>
      <c r="M76" s="89">
        <f>SUMIFS(Flat_file!$H:$H,Flat_file!$B:$B,Summary_Unemployed!$B$2,Flat_file!$C:$C,"Men",Flat_file!$D:$D,"40-44",Flat_file!$E:$E,"840",Flat_file!$F:$F,"U")+SUMIFS(Flat_file!$H:$H,Flat_file!$B:$B,Summary_Unemployed!$B$2,Flat_file!$C:$C,"Men",Flat_file!$D:$D,"40-44",Flat_file!$E:$E,"850",Flat_file!$F:$F,"U")+SUMIFS(Flat_file!$H:$H,Flat_file!$B:$B,Summary_Unemployed!$B$2,Flat_file!$C:$C,"Men",Flat_file!$D:$D,"40-44",Flat_file!$E:$E,"860",Flat_file!$F:$F,"U")</f>
        <v>0</v>
      </c>
      <c r="N76" s="89">
        <f>SUMIFS(Flat_file!$H:$H,Flat_file!$B:$B,Summary_Unemployed!$B$2,Flat_file!$C:$C,"Men",Flat_file!$D:$D,"40-44",Flat_file!$E:$E,"999",Flat_file!$F:$F,"U")</f>
        <v>0</v>
      </c>
      <c r="O76" s="89">
        <f t="shared" si="48"/>
        <v>0</v>
      </c>
      <c r="P76" s="90"/>
      <c r="Q76" s="89">
        <f t="shared" si="49"/>
        <v>0</v>
      </c>
      <c r="R76" s="91"/>
      <c r="S76" s="89">
        <f t="shared" si="50"/>
        <v>0</v>
      </c>
      <c r="T76" s="89">
        <f t="shared" si="51"/>
        <v>0</v>
      </c>
      <c r="U76" s="89">
        <f t="shared" si="52"/>
        <v>0</v>
      </c>
      <c r="V76" s="90"/>
      <c r="W76" s="89">
        <f>SUMIFS(Flat_file!$H:$H,Flat_file!$B:$B,Summary_Unemployed!$B$2,Flat_file!$C:$C,"Men",Flat_file!$D:$D,"40-44",Flat_file!$E:$E,"343",Flat_file!$F:$F,"U")+SUMIFS(Flat_file!$H:$H,Flat_file!$B:$B,Summary_Unemployed!$B$2,Flat_file!$C:$C,"Men",Flat_file!$D:$D,"40-44",Flat_file!$E:$E,"344",Flat_file!$F:$F,"U")+SUMIFS(Flat_file!$H:$H,Flat_file!$B:$B,Summary_Unemployed!$B$2,Flat_file!$C:$C,"Men",Flat_file!$D:$D,"40-44",Flat_file!$E:$E,"443",Flat_file!$F:$F,"U")+SUMIFS(Flat_file!$H:$H,Flat_file!$B:$B,Summary_Unemployed!$B$2,Flat_file!$C:$C,"Men",Flat_file!$D:$D,"40-44",Flat_file!$E:$E,"444",Flat_file!$F:$F,"U")</f>
        <v>0</v>
      </c>
      <c r="X76" s="89">
        <f>SUMIFS(Flat_file!$H:$H,Flat_file!$B:$B,Summary_Unemployed!$B$2,Flat_file!$C:$C,"Men",Flat_file!$D:$D,"40-44",Flat_file!$E:$E,"353",Flat_file!$F:$F,"U")+SUMIFS(Flat_file!$H:$H,Flat_file!$B:$B,Summary_Unemployed!$B$2,Flat_file!$C:$C,"Men",Flat_file!$D:$D,"40-44",Flat_file!$E:$E,"354",Flat_file!$F:$F,"U")+SUMIFS(Flat_file!$H:$H,Flat_file!$B:$B,Summary_Unemployed!$B$2,Flat_file!$C:$C,"Men",Flat_file!$D:$D,"40-44",Flat_file!$E:$E,"453",Flat_file!$F:$F,"U")+SUMIFS(Flat_file!$H:$H,Flat_file!$B:$B,Summary_Unemployed!$B$2,Flat_file!$C:$C,"Men",Flat_file!$D:$D,"40-44",Flat_file!$E:$E,"454",Flat_file!$F:$F,"U")</f>
        <v>0</v>
      </c>
      <c r="Y76" s="90"/>
      <c r="Z76" s="89">
        <f>SUMIFS(Flat_file!$H:$H,Flat_file!$B:$B,Summary_Unemployed!$B$2,Flat_file!$C:$C,"Men",Flat_file!$D:$D,"40-44",Flat_file!$E:$E,"640",Flat_file!$F:$F,"U")+SUMIFS(Flat_file!$H:$H,Flat_file!$B:$B,Summary_Unemployed!$B$2,Flat_file!$C:$C,"Men",Flat_file!$D:$D,"40-44",Flat_file!$E:$E,"740",Flat_file!$F:$F,"U")+SUMIFS(Flat_file!$H:$H,Flat_file!$B:$B,Summary_Unemployed!$B$2,Flat_file!$C:$C,"Men",Flat_file!$D:$D,"40-44",Flat_file!$E:$E,"840",Flat_file!$F:$F,"U")</f>
        <v>0</v>
      </c>
      <c r="AA76" s="89">
        <f>SUMIFS(Flat_file!$H:$H,Flat_file!$B:$B,Summary_Unemployed!$B$2,Flat_file!$C:$C,"Men",Flat_file!$D:$D,"40-44",Flat_file!$E:$E,"650",Flat_file!$F:$F,"U")+SUMIFS(Flat_file!$H:$H,Flat_file!$B:$B,Summary_Unemployed!$B$2,Flat_file!$C:$C,"Men",Flat_file!$D:$D,"40-44",Flat_file!$E:$E,"750",Flat_file!$F:$F,"U")+SUMIFS(Flat_file!$H:$H,Flat_file!$B:$B,Summary_Unemployed!$B$2,Flat_file!$C:$C,"Men",Flat_file!$D:$D,"40-44",Flat_file!$E:$E,"850",Flat_file!$F:$F,"U")</f>
        <v>0</v>
      </c>
      <c r="AB76" s="89">
        <f>SUMIFS(Flat_file!$H:$H,Flat_file!$B:$B,Summary_Unemployed!$B$2,Flat_file!$C:$C,"Men",Flat_file!$D:$D,"40-44",Flat_file!$E:$E,"660",Flat_file!$F:$F,"U")+SUMIFS(Flat_file!$H:$H,Flat_file!$B:$B,Summary_Unemployed!$B$2,Flat_file!$C:$C,"Men",Flat_file!$D:$D,"40-44",Flat_file!$E:$E,"760",Flat_file!$F:$F,"U")+SUMIFS(Flat_file!$H:$H,Flat_file!$B:$B,Summary_Unemployed!$B$2,Flat_file!$C:$C,"Men",Flat_file!$D:$D,"40-44",Flat_file!$E:$E,"860",Flat_file!$F:$F,"U")</f>
        <v>0</v>
      </c>
      <c r="AC76" s="3"/>
      <c r="AD76" s="3"/>
      <c r="AE76" s="3"/>
      <c r="AF76" s="3"/>
      <c r="AG76" s="3"/>
      <c r="AH76" s="3"/>
      <c r="AI76" s="3"/>
      <c r="AJ76" s="3"/>
      <c r="AK76" s="3"/>
      <c r="AL76" s="3"/>
      <c r="AM76" s="3"/>
      <c r="AN76" s="3"/>
      <c r="AO76" s="3"/>
      <c r="AP76" s="3"/>
      <c r="AQ76" s="3"/>
      <c r="AR76" s="3"/>
      <c r="AS76" s="3"/>
    </row>
    <row r="77" spans="1:45" customFormat="1" x14ac:dyDescent="0.2">
      <c r="A77" s="352"/>
      <c r="B77" s="79" t="s">
        <v>93</v>
      </c>
      <c r="C77" s="89">
        <f>SUMIFS(Flat_file!$H:$H,Flat_file!$B:$B,Summary_Unemployed!$B$2,Flat_file!$C:$C,"Men",Flat_file!$D:$D,"45-49",Flat_file!$E:$E,"010",Flat_file!$F:$F,"U")+SUMIFS(Flat_file!$H:$H,Flat_file!$B:$B,Summary_Unemployed!$B$2,Flat_file!$C:$C,"Men",Flat_file!$D:$D,"45-49",Flat_file!$E:$E,"020",Flat_file!$F:$F,"U")+SUMIFS(Flat_file!$H:$H,Flat_file!$B:$B,Summary_Unemployed!$B$2,Flat_file!$C:$C,"Men",Flat_file!$D:$D,"45-49",Flat_file!$E:$E,"030",Flat_file!$F:$F,"U")</f>
        <v>0</v>
      </c>
      <c r="D77" s="89">
        <f>SUMIFS(Flat_file!$H:$H,Flat_file!$B:$B,Summary_Unemployed!$B$2,Flat_file!$C:$C,"Men",Flat_file!$D:$D,"45-49",Flat_file!$E:$E,"100",Flat_file!$F:$F,"U")</f>
        <v>0</v>
      </c>
      <c r="E77" s="89">
        <f>SUMIFS(Flat_file!$H:$H,Flat_file!$B:$B,Summary_Unemployed!$B$2,Flat_file!$C:$C,"Men",Flat_file!$D:$D,"45-49",Flat_file!$E:$E,"242",Flat_file!$F:$F,"U")+SUMIFS(Flat_file!$H:$H,Flat_file!$B:$B,Summary_Unemployed!$B$2,Flat_file!$C:$C,"Men",Flat_file!$D:$D,"45-49",Flat_file!$E:$E,"252",Flat_file!$F:$F,"U")</f>
        <v>0</v>
      </c>
      <c r="F77" s="89">
        <f>SUMIFS(Flat_file!$H:$H,Flat_file!$B:$B,Summary_Unemployed!$B$2,Flat_file!$C:$C,"Men",Flat_file!$D:$D,"45-49",Flat_file!$E:$E,"243",Flat_file!$F:$F,"U")+SUMIFS(Flat_file!$H:$H,Flat_file!$B:$B,Summary_Unemployed!$B$2,Flat_file!$C:$C,"Men",Flat_file!$D:$D,"45-49",Flat_file!$E:$E,"244",Flat_file!$F:$F,"U")+SUMIFS(Flat_file!$H:$H,Flat_file!$B:$B,Summary_Unemployed!$B$2,Flat_file!$C:$C,"Men",Flat_file!$D:$D,"45-49",Flat_file!$E:$E,"253",Flat_file!$F:$F,"U")+SUMIFS(Flat_file!$H:$H,Flat_file!$B:$B,Summary_Unemployed!$B$2,Flat_file!$C:$C,"Men",Flat_file!$D:$D,"45-49",Flat_file!$E:$E,"254",Flat_file!$F:$F,"U")</f>
        <v>0</v>
      </c>
      <c r="G77" s="89">
        <f>SUMIFS(Flat_file!$H:$H,Flat_file!$B:$B,Summary_Unemployed!$B$2,Flat_file!$C:$C,"Men",Flat_file!$D:$D,"45-49",Flat_file!$E:$E,"342",Flat_file!$F:$F,"U")+SUMIFS(Flat_file!$H:$H,Flat_file!$B:$B,Summary_Unemployed!$B$2,Flat_file!$C:$C,"Men",Flat_file!$D:$D,"45-49",Flat_file!$E:$E,"352",Flat_file!$F:$F,"U")</f>
        <v>0</v>
      </c>
      <c r="H77" s="89">
        <f>SUMIFS(Flat_file!$H:$H,Flat_file!$B:$B,Summary_Unemployed!$B$2,Flat_file!$C:$C,"Men",Flat_file!$D:$D,"45-49",Flat_file!$E:$E,"343",Flat_file!$F:$F,"U")+SUMIFS(Flat_file!$H:$H,Flat_file!$B:$B,Summary_Unemployed!$B$2,Flat_file!$C:$C,"Men",Flat_file!$D:$D,"45-49",Flat_file!$E:$E,"344",Flat_file!$F:$F,"U")+SUMIFS(Flat_file!$H:$H,Flat_file!$B:$B,Summary_Unemployed!$B$2,Flat_file!$C:$C,"Men",Flat_file!$D:$D,"45-49",Flat_file!$E:$E,"353",Flat_file!$F:$F,"U")+SUMIFS(Flat_file!$H:$H,Flat_file!$B:$B,Summary_Unemployed!$B$2,Flat_file!$C:$C,"Men",Flat_file!$D:$D,"45-49",Flat_file!$E:$E,"354",Flat_file!$F:$F,"U")</f>
        <v>0</v>
      </c>
      <c r="I77" s="89">
        <f>SUMIFS(Flat_file!$H:$H,Flat_file!$B:$B,Summary_Unemployed!$B$2,Flat_file!$C:$C,"Men",Flat_file!$D:$D,"45-49",Flat_file!$E:$E,"443",Flat_file!$F:$F,"U")+SUMIFS(Flat_file!$H:$H,Flat_file!$B:$B,Summary_Unemployed!$B$2,Flat_file!$C:$C,"Men",Flat_file!$D:$D,"45-49",Flat_file!$E:$E,"444",Flat_file!$F:$F,"U")+SUMIFS(Flat_file!$H:$H,Flat_file!$B:$B,Summary_Unemployed!$B$2,Flat_file!$C:$C,"Men",Flat_file!$D:$D,"45-49",Flat_file!$E:$E,"453",Flat_file!$F:$F,"U")+SUMIFS(Flat_file!$H:$H,Flat_file!$B:$B,Summary_Unemployed!$B$2,Flat_file!$C:$C,"Men",Flat_file!$D:$D,"45-49",Flat_file!$E:$E,"454",Flat_file!$F:$F,"U")</f>
        <v>0</v>
      </c>
      <c r="J77" s="89">
        <f>SUMIFS(Flat_file!$H:$H,Flat_file!$B:$B,Summary_Unemployed!$B$2,Flat_file!$C:$C,"Men",Flat_file!$D:$D,"45-49",Flat_file!$E:$E,"540",Flat_file!$F:$F,"U")+SUMIFS(Flat_file!$H:$H,Flat_file!$B:$B,Summary_Unemployed!$B$2,Flat_file!$C:$C,"Men",Flat_file!$D:$D,"45-49",Flat_file!$E:$E,"550",Flat_file!$F:$F,"U")+SUMIFS(Flat_file!$H:$H,Flat_file!$B:$B,Summary_Unemployed!$B$2,Flat_file!$C:$C,"Men",Flat_file!$D:$D,"45-49",Flat_file!$E:$E,"560",Flat_file!$F:$F,"U")</f>
        <v>0</v>
      </c>
      <c r="K77" s="89">
        <f>SUMIFS(Flat_file!$H:$H,Flat_file!$B:$B,Summary_Unemployed!$B$2,Flat_file!$C:$C,"Men",Flat_file!$D:$D,"45-49",Flat_file!$E:$E,"640",Flat_file!$F:$F,"U")+SUMIFS(Flat_file!$H:$H,Flat_file!$B:$B,Summary_Unemployed!$B$2,Flat_file!$C:$C,"Men",Flat_file!$D:$D,"45-49",Flat_file!$E:$E,"650",Flat_file!$F:$F,"U")+SUMIFS(Flat_file!$H:$H,Flat_file!$B:$B,Summary_Unemployed!$B$2,Flat_file!$C:$C,"Men",Flat_file!$D:$D,"45-49",Flat_file!$E:$E,"660",Flat_file!$F:$F,"U")</f>
        <v>0</v>
      </c>
      <c r="L77" s="89">
        <f>SUMIFS(Flat_file!$H:$H,Flat_file!$B:$B,Summary_Unemployed!$B$2,Flat_file!$C:$C,"Men",Flat_file!$D:$D,"45-49",Flat_file!$E:$E,"740",Flat_file!$F:$F,"U")+SUMIFS(Flat_file!$H:$H,Flat_file!$B:$B,Summary_Unemployed!$B$2,Flat_file!$C:$C,"Men",Flat_file!$D:$D,"45-49",Flat_file!$E:$E,"750",Flat_file!$F:$F,"U")+SUMIFS(Flat_file!$H:$H,Flat_file!$B:$B,Summary_Unemployed!$B$2,Flat_file!$C:$C,"Men",Flat_file!$D:$D,"45-49",Flat_file!$E:$E,"760",Flat_file!$F:$F,"U")</f>
        <v>0</v>
      </c>
      <c r="M77" s="89">
        <f>SUMIFS(Flat_file!$H:$H,Flat_file!$B:$B,Summary_Unemployed!$B$2,Flat_file!$C:$C,"Men",Flat_file!$D:$D,"45-49",Flat_file!$E:$E,"840",Flat_file!$F:$F,"U")+SUMIFS(Flat_file!$H:$H,Flat_file!$B:$B,Summary_Unemployed!$B$2,Flat_file!$C:$C,"Men",Flat_file!$D:$D,"45-49",Flat_file!$E:$E,"850",Flat_file!$F:$F,"U")+SUMIFS(Flat_file!$H:$H,Flat_file!$B:$B,Summary_Unemployed!$B$2,Flat_file!$C:$C,"Men",Flat_file!$D:$D,"45-49",Flat_file!$E:$E,"860",Flat_file!$F:$F,"U")</f>
        <v>0</v>
      </c>
      <c r="N77" s="89">
        <f>SUMIFS(Flat_file!$H:$H,Flat_file!$B:$B,Summary_Unemployed!$B$2,Flat_file!$C:$C,"Men",Flat_file!$D:$D,"45-49",Flat_file!$E:$E,"999",Flat_file!$F:$F,"U")</f>
        <v>0</v>
      </c>
      <c r="O77" s="89">
        <f t="shared" si="48"/>
        <v>0</v>
      </c>
      <c r="P77" s="90"/>
      <c r="Q77" s="89">
        <f t="shared" si="49"/>
        <v>0</v>
      </c>
      <c r="R77" s="91"/>
      <c r="S77" s="89">
        <f t="shared" si="50"/>
        <v>0</v>
      </c>
      <c r="T77" s="89">
        <f t="shared" si="51"/>
        <v>0</v>
      </c>
      <c r="U77" s="89">
        <f t="shared" si="52"/>
        <v>0</v>
      </c>
      <c r="V77" s="90"/>
      <c r="W77" s="89">
        <f>SUMIFS(Flat_file!$H:$H,Flat_file!$B:$B,Summary_Unemployed!$B$2,Flat_file!$C:$C,"Men",Flat_file!$D:$D,"45-49",Flat_file!$E:$E,"343",Flat_file!$F:$F,"U")+SUMIFS(Flat_file!$H:$H,Flat_file!$B:$B,Summary_Unemployed!$B$2,Flat_file!$C:$C,"Men",Flat_file!$D:$D,"45-49",Flat_file!$E:$E,"344",Flat_file!$F:$F,"U")+SUMIFS(Flat_file!$H:$H,Flat_file!$B:$B,Summary_Unemployed!$B$2,Flat_file!$C:$C,"Men",Flat_file!$D:$D,"45-49",Flat_file!$E:$E,"443",Flat_file!$F:$F,"U")+SUMIFS(Flat_file!$H:$H,Flat_file!$B:$B,Summary_Unemployed!$B$2,Flat_file!$C:$C,"Men",Flat_file!$D:$D,"45-49",Flat_file!$E:$E,"444",Flat_file!$F:$F,"U")</f>
        <v>0</v>
      </c>
      <c r="X77" s="89">
        <f>SUMIFS(Flat_file!$H:$H,Flat_file!$B:$B,Summary_Unemployed!$B$2,Flat_file!$C:$C,"Men",Flat_file!$D:$D,"45-49",Flat_file!$E:$E,"353",Flat_file!$F:$F,"U")+SUMIFS(Flat_file!$H:$H,Flat_file!$B:$B,Summary_Unemployed!$B$2,Flat_file!$C:$C,"Men",Flat_file!$D:$D,"45-49",Flat_file!$E:$E,"354",Flat_file!$F:$F,"U")+SUMIFS(Flat_file!$H:$H,Flat_file!$B:$B,Summary_Unemployed!$B$2,Flat_file!$C:$C,"Men",Flat_file!$D:$D,"45-49",Flat_file!$E:$E,"453",Flat_file!$F:$F,"U")+SUMIFS(Flat_file!$H:$H,Flat_file!$B:$B,Summary_Unemployed!$B$2,Flat_file!$C:$C,"Men",Flat_file!$D:$D,"45-49",Flat_file!$E:$E,"454",Flat_file!$F:$F,"U")</f>
        <v>0</v>
      </c>
      <c r="Y77" s="90"/>
      <c r="Z77" s="89">
        <f>SUMIFS(Flat_file!$H:$H,Flat_file!$B:$B,Summary_Unemployed!$B$2,Flat_file!$C:$C,"Men",Flat_file!$D:$D,"45-49",Flat_file!$E:$E,"640",Flat_file!$F:$F,"U")+SUMIFS(Flat_file!$H:$H,Flat_file!$B:$B,Summary_Unemployed!$B$2,Flat_file!$C:$C,"Men",Flat_file!$D:$D,"45-49",Flat_file!$E:$E,"740",Flat_file!$F:$F,"U")+SUMIFS(Flat_file!$H:$H,Flat_file!$B:$B,Summary_Unemployed!$B$2,Flat_file!$C:$C,"Men",Flat_file!$D:$D,"45-49",Flat_file!$E:$E,"840",Flat_file!$F:$F,"U")</f>
        <v>0</v>
      </c>
      <c r="AA77" s="89">
        <f>SUMIFS(Flat_file!$H:$H,Flat_file!$B:$B,Summary_Unemployed!$B$2,Flat_file!$C:$C,"Men",Flat_file!$D:$D,"45-49",Flat_file!$E:$E,"650",Flat_file!$F:$F,"U")+SUMIFS(Flat_file!$H:$H,Flat_file!$B:$B,Summary_Unemployed!$B$2,Flat_file!$C:$C,"Men",Flat_file!$D:$D,"45-49",Flat_file!$E:$E,"750",Flat_file!$F:$F,"U")+SUMIFS(Flat_file!$H:$H,Flat_file!$B:$B,Summary_Unemployed!$B$2,Flat_file!$C:$C,"Men",Flat_file!$D:$D,"45-49",Flat_file!$E:$E,"850",Flat_file!$F:$F,"U")</f>
        <v>0</v>
      </c>
      <c r="AB77" s="89">
        <f>SUMIFS(Flat_file!$H:$H,Flat_file!$B:$B,Summary_Unemployed!$B$2,Flat_file!$C:$C,"Men",Flat_file!$D:$D,"45-49",Flat_file!$E:$E,"660",Flat_file!$F:$F,"U")+SUMIFS(Flat_file!$H:$H,Flat_file!$B:$B,Summary_Unemployed!$B$2,Flat_file!$C:$C,"Men",Flat_file!$D:$D,"45-49",Flat_file!$E:$E,"760",Flat_file!$F:$F,"U")+SUMIFS(Flat_file!$H:$H,Flat_file!$B:$B,Summary_Unemployed!$B$2,Flat_file!$C:$C,"Men",Flat_file!$D:$D,"45-49",Flat_file!$E:$E,"860",Flat_file!$F:$F,"U")</f>
        <v>0</v>
      </c>
      <c r="AC77" s="3"/>
      <c r="AD77" s="3"/>
      <c r="AE77" s="3"/>
      <c r="AF77" s="3"/>
      <c r="AG77" s="3"/>
      <c r="AH77" s="3"/>
      <c r="AI77" s="3"/>
      <c r="AJ77" s="3"/>
      <c r="AK77" s="3"/>
      <c r="AL77" s="3"/>
      <c r="AM77" s="3"/>
      <c r="AN77" s="3"/>
      <c r="AO77" s="3"/>
      <c r="AP77" s="3"/>
      <c r="AQ77" s="3"/>
      <c r="AR77" s="3"/>
      <c r="AS77" s="3"/>
    </row>
    <row r="78" spans="1:45" customFormat="1" x14ac:dyDescent="0.2">
      <c r="A78" s="352"/>
      <c r="B78" s="79" t="s">
        <v>94</v>
      </c>
      <c r="C78" s="89">
        <f>SUMIFS(Flat_file!$H:$H,Flat_file!$B:$B,Summary_Unemployed!$B$2,Flat_file!$C:$C,"Men",Flat_file!$D:$D,"50-54",Flat_file!$E:$E,"010",Flat_file!$F:$F,"U")+SUMIFS(Flat_file!$H:$H,Flat_file!$B:$B,Summary_Unemployed!$B$2,Flat_file!$C:$C,"Men",Flat_file!$D:$D,"50-54",Flat_file!$E:$E,"020",Flat_file!$F:$F,"U")+SUMIFS(Flat_file!$H:$H,Flat_file!$B:$B,Summary_Unemployed!$B$2,Flat_file!$C:$C,"Men",Flat_file!$D:$D,"50-54",Flat_file!$E:$E,"030",Flat_file!$F:$F,"U")</f>
        <v>0</v>
      </c>
      <c r="D78" s="89">
        <f>SUMIFS(Flat_file!$H:$H,Flat_file!$B:$B,Summary_Unemployed!$B$2,Flat_file!$C:$C,"Men",Flat_file!$D:$D,"50-54",Flat_file!$E:$E,"100",Flat_file!$F:$F,"U")</f>
        <v>0</v>
      </c>
      <c r="E78" s="89">
        <f>SUMIFS(Flat_file!$H:$H,Flat_file!$B:$B,Summary_Unemployed!$B$2,Flat_file!$C:$C,"Men",Flat_file!$D:$D,"50-54",Flat_file!$E:$E,"242",Flat_file!$F:$F,"U")+SUMIFS(Flat_file!$H:$H,Flat_file!$B:$B,Summary_Unemployed!$B$2,Flat_file!$C:$C,"Men",Flat_file!$D:$D,"50-54",Flat_file!$E:$E,"252",Flat_file!$F:$F,"U")</f>
        <v>0</v>
      </c>
      <c r="F78" s="89">
        <f>SUMIFS(Flat_file!$H:$H,Flat_file!$B:$B,Summary_Unemployed!$B$2,Flat_file!$C:$C,"Men",Flat_file!$D:$D,"50-54",Flat_file!$E:$E,"243",Flat_file!$F:$F,"U")+SUMIFS(Flat_file!$H:$H,Flat_file!$B:$B,Summary_Unemployed!$B$2,Flat_file!$C:$C,"Men",Flat_file!$D:$D,"50-54",Flat_file!$E:$E,"244",Flat_file!$F:$F,"U")+SUMIFS(Flat_file!$H:$H,Flat_file!$B:$B,Summary_Unemployed!$B$2,Flat_file!$C:$C,"Men",Flat_file!$D:$D,"50-54",Flat_file!$E:$E,"253",Flat_file!$F:$F,"U")+SUMIFS(Flat_file!$H:$H,Flat_file!$B:$B,Summary_Unemployed!$B$2,Flat_file!$C:$C,"Men",Flat_file!$D:$D,"50-54",Flat_file!$E:$E,"254",Flat_file!$F:$F,"U")</f>
        <v>0</v>
      </c>
      <c r="G78" s="89">
        <f>SUMIFS(Flat_file!$H:$H,Flat_file!$B:$B,Summary_Unemployed!$B$2,Flat_file!$C:$C,"Men",Flat_file!$D:$D,"50-54",Flat_file!$E:$E,"342",Flat_file!$F:$F,"U")+SUMIFS(Flat_file!$H:$H,Flat_file!$B:$B,Summary_Unemployed!$B$2,Flat_file!$C:$C,"Men",Flat_file!$D:$D,"50-54",Flat_file!$E:$E,"352",Flat_file!$F:$F,"U")</f>
        <v>0</v>
      </c>
      <c r="H78" s="89">
        <f>SUMIFS(Flat_file!$H:$H,Flat_file!$B:$B,Summary_Unemployed!$B$2,Flat_file!$C:$C,"Men",Flat_file!$D:$D,"50-54",Flat_file!$E:$E,"343",Flat_file!$F:$F,"U")+SUMIFS(Flat_file!$H:$H,Flat_file!$B:$B,Summary_Unemployed!$B$2,Flat_file!$C:$C,"Men",Flat_file!$D:$D,"50-54",Flat_file!$E:$E,"344",Flat_file!$F:$F,"U")+SUMIFS(Flat_file!$H:$H,Flat_file!$B:$B,Summary_Unemployed!$B$2,Flat_file!$C:$C,"Men",Flat_file!$D:$D,"50-54",Flat_file!$E:$E,"353",Flat_file!$F:$F,"U")+SUMIFS(Flat_file!$H:$H,Flat_file!$B:$B,Summary_Unemployed!$B$2,Flat_file!$C:$C,"Men",Flat_file!$D:$D,"50-54",Flat_file!$E:$E,"354",Flat_file!$F:$F,"U")</f>
        <v>0</v>
      </c>
      <c r="I78" s="89">
        <f>SUMIFS(Flat_file!$H:$H,Flat_file!$B:$B,Summary_Unemployed!$B$2,Flat_file!$C:$C,"Men",Flat_file!$D:$D,"50-54",Flat_file!$E:$E,"443",Flat_file!$F:$F,"U")+SUMIFS(Flat_file!$H:$H,Flat_file!$B:$B,Summary_Unemployed!$B$2,Flat_file!$C:$C,"Men",Flat_file!$D:$D,"50-54",Flat_file!$E:$E,"444",Flat_file!$F:$F,"U")+SUMIFS(Flat_file!$H:$H,Flat_file!$B:$B,Summary_Unemployed!$B$2,Flat_file!$C:$C,"Men",Flat_file!$D:$D,"50-54",Flat_file!$E:$E,"453",Flat_file!$F:$F,"U")+SUMIFS(Flat_file!$H:$H,Flat_file!$B:$B,Summary_Unemployed!$B$2,Flat_file!$C:$C,"Men",Flat_file!$D:$D,"50-54",Flat_file!$E:$E,"454",Flat_file!$F:$F,"U")</f>
        <v>0</v>
      </c>
      <c r="J78" s="89">
        <f>SUMIFS(Flat_file!$H:$H,Flat_file!$B:$B,Summary_Unemployed!$B$2,Flat_file!$C:$C,"Men",Flat_file!$D:$D,"50-54",Flat_file!$E:$E,"540",Flat_file!$F:$F,"U")+SUMIFS(Flat_file!$H:$H,Flat_file!$B:$B,Summary_Unemployed!$B$2,Flat_file!$C:$C,"Men",Flat_file!$D:$D,"50-54",Flat_file!$E:$E,"550",Flat_file!$F:$F,"U")+SUMIFS(Flat_file!$H:$H,Flat_file!$B:$B,Summary_Unemployed!$B$2,Flat_file!$C:$C,"Men",Flat_file!$D:$D,"50-54",Flat_file!$E:$E,"560",Flat_file!$F:$F,"U")</f>
        <v>0</v>
      </c>
      <c r="K78" s="89">
        <f>SUMIFS(Flat_file!$H:$H,Flat_file!$B:$B,Summary_Unemployed!$B$2,Flat_file!$C:$C,"Men",Flat_file!$D:$D,"50-54",Flat_file!$E:$E,"640",Flat_file!$F:$F,"U")+SUMIFS(Flat_file!$H:$H,Flat_file!$B:$B,Summary_Unemployed!$B$2,Flat_file!$C:$C,"Men",Flat_file!$D:$D,"50-54",Flat_file!$E:$E,"650",Flat_file!$F:$F,"U")+SUMIFS(Flat_file!$H:$H,Flat_file!$B:$B,Summary_Unemployed!$B$2,Flat_file!$C:$C,"Men",Flat_file!$D:$D,"50-54",Flat_file!$E:$E,"660",Flat_file!$F:$F,"U")</f>
        <v>0</v>
      </c>
      <c r="L78" s="89">
        <f>SUMIFS(Flat_file!$H:$H,Flat_file!$B:$B,Summary_Unemployed!$B$2,Flat_file!$C:$C,"Men",Flat_file!$D:$D,"50-54",Flat_file!$E:$E,"740",Flat_file!$F:$F,"U")+SUMIFS(Flat_file!$H:$H,Flat_file!$B:$B,Summary_Unemployed!$B$2,Flat_file!$C:$C,"Men",Flat_file!$D:$D,"50-54",Flat_file!$E:$E,"750",Flat_file!$F:$F,"U")+SUMIFS(Flat_file!$H:$H,Flat_file!$B:$B,Summary_Unemployed!$B$2,Flat_file!$C:$C,"Men",Flat_file!$D:$D,"50-54",Flat_file!$E:$E,"760",Flat_file!$F:$F,"U")</f>
        <v>0</v>
      </c>
      <c r="M78" s="89">
        <f>SUMIFS(Flat_file!$H:$H,Flat_file!$B:$B,Summary_Unemployed!$B$2,Flat_file!$C:$C,"Men",Flat_file!$D:$D,"50-54",Flat_file!$E:$E,"840",Flat_file!$F:$F,"U")+SUMIFS(Flat_file!$H:$H,Flat_file!$B:$B,Summary_Unemployed!$B$2,Flat_file!$C:$C,"Men",Flat_file!$D:$D,"50-54",Flat_file!$E:$E,"850",Flat_file!$F:$F,"U")+SUMIFS(Flat_file!$H:$H,Flat_file!$B:$B,Summary_Unemployed!$B$2,Flat_file!$C:$C,"Men",Flat_file!$D:$D,"50-54",Flat_file!$E:$E,"860",Flat_file!$F:$F,"U")</f>
        <v>0</v>
      </c>
      <c r="N78" s="89">
        <f>SUMIFS(Flat_file!$H:$H,Flat_file!$B:$B,Summary_Unemployed!$B$2,Flat_file!$C:$C,"Men",Flat_file!$D:$D,"50-54",Flat_file!$E:$E,"999",Flat_file!$F:$F,"U")</f>
        <v>0</v>
      </c>
      <c r="O78" s="89">
        <f t="shared" si="48"/>
        <v>0</v>
      </c>
      <c r="P78" s="90"/>
      <c r="Q78" s="89">
        <f t="shared" si="49"/>
        <v>0</v>
      </c>
      <c r="R78" s="91"/>
      <c r="S78" s="89">
        <f t="shared" si="50"/>
        <v>0</v>
      </c>
      <c r="T78" s="89">
        <f t="shared" si="51"/>
        <v>0</v>
      </c>
      <c r="U78" s="89">
        <f t="shared" si="52"/>
        <v>0</v>
      </c>
      <c r="V78" s="90"/>
      <c r="W78" s="89">
        <f>SUMIFS(Flat_file!$H:$H,Flat_file!$B:$B,Summary_Unemployed!$B$2,Flat_file!$C:$C,"Men",Flat_file!$D:$D,"50-54",Flat_file!$E:$E,"343",Flat_file!$F:$F,"U")+SUMIFS(Flat_file!$H:$H,Flat_file!$B:$B,Summary_Unemployed!$B$2,Flat_file!$C:$C,"Men",Flat_file!$D:$D,"50-54",Flat_file!$E:$E,"344",Flat_file!$F:$F,"U")+SUMIFS(Flat_file!$H:$H,Flat_file!$B:$B,Summary_Unemployed!$B$2,Flat_file!$C:$C,"Men",Flat_file!$D:$D,"50-54",Flat_file!$E:$E,"443",Flat_file!$F:$F,"U")+SUMIFS(Flat_file!$H:$H,Flat_file!$B:$B,Summary_Unemployed!$B$2,Flat_file!$C:$C,"Men",Flat_file!$D:$D,"50-54",Flat_file!$E:$E,"444",Flat_file!$F:$F,"U")</f>
        <v>0</v>
      </c>
      <c r="X78" s="89">
        <f>SUMIFS(Flat_file!$H:$H,Flat_file!$B:$B,Summary_Unemployed!$B$2,Flat_file!$C:$C,"Men",Flat_file!$D:$D,"50-54",Flat_file!$E:$E,"353",Flat_file!$F:$F,"U")+SUMIFS(Flat_file!$H:$H,Flat_file!$B:$B,Summary_Unemployed!$B$2,Flat_file!$C:$C,"Men",Flat_file!$D:$D,"50-54",Flat_file!$E:$E,"354",Flat_file!$F:$F,"U")+SUMIFS(Flat_file!$H:$H,Flat_file!$B:$B,Summary_Unemployed!$B$2,Flat_file!$C:$C,"Men",Flat_file!$D:$D,"50-54",Flat_file!$E:$E,"453",Flat_file!$F:$F,"U")+SUMIFS(Flat_file!$H:$H,Flat_file!$B:$B,Summary_Unemployed!$B$2,Flat_file!$C:$C,"Men",Flat_file!$D:$D,"50-54",Flat_file!$E:$E,"454",Flat_file!$F:$F,"U")</f>
        <v>0</v>
      </c>
      <c r="Y78" s="90"/>
      <c r="Z78" s="89">
        <f>SUMIFS(Flat_file!$H:$H,Flat_file!$B:$B,Summary_Unemployed!$B$2,Flat_file!$C:$C,"Men",Flat_file!$D:$D,"50-54",Flat_file!$E:$E,"640",Flat_file!$F:$F,"U")+SUMIFS(Flat_file!$H:$H,Flat_file!$B:$B,Summary_Unemployed!$B$2,Flat_file!$C:$C,"Men",Flat_file!$D:$D,"50-54",Flat_file!$E:$E,"740",Flat_file!$F:$F,"U")+SUMIFS(Flat_file!$H:$H,Flat_file!$B:$B,Summary_Unemployed!$B$2,Flat_file!$C:$C,"Men",Flat_file!$D:$D,"50-54",Flat_file!$E:$E,"840",Flat_file!$F:$F,"U")</f>
        <v>0</v>
      </c>
      <c r="AA78" s="89">
        <f>SUMIFS(Flat_file!$H:$H,Flat_file!$B:$B,Summary_Unemployed!$B$2,Flat_file!$C:$C,"Men",Flat_file!$D:$D,"50-54",Flat_file!$E:$E,"650",Flat_file!$F:$F,"U")+SUMIFS(Flat_file!$H:$H,Flat_file!$B:$B,Summary_Unemployed!$B$2,Flat_file!$C:$C,"Men",Flat_file!$D:$D,"50-54",Flat_file!$E:$E,"750",Flat_file!$F:$F,"U")+SUMIFS(Flat_file!$H:$H,Flat_file!$B:$B,Summary_Unemployed!$B$2,Flat_file!$C:$C,"Men",Flat_file!$D:$D,"50-54",Flat_file!$E:$E,"850",Flat_file!$F:$F,"U")</f>
        <v>0</v>
      </c>
      <c r="AB78" s="89">
        <f>SUMIFS(Flat_file!$H:$H,Flat_file!$B:$B,Summary_Unemployed!$B$2,Flat_file!$C:$C,"Men",Flat_file!$D:$D,"50-54",Flat_file!$E:$E,"660",Flat_file!$F:$F,"U")+SUMIFS(Flat_file!$H:$H,Flat_file!$B:$B,Summary_Unemployed!$B$2,Flat_file!$C:$C,"Men",Flat_file!$D:$D,"50-54",Flat_file!$E:$E,"760",Flat_file!$F:$F,"U")+SUMIFS(Flat_file!$H:$H,Flat_file!$B:$B,Summary_Unemployed!$B$2,Flat_file!$C:$C,"Men",Flat_file!$D:$D,"50-54",Flat_file!$E:$E,"860",Flat_file!$F:$F,"U")</f>
        <v>0</v>
      </c>
      <c r="AC78" s="3"/>
      <c r="AD78" s="3"/>
      <c r="AE78" s="3"/>
      <c r="AF78" s="3"/>
      <c r="AG78" s="3"/>
      <c r="AH78" s="3"/>
      <c r="AI78" s="3"/>
      <c r="AJ78" s="3"/>
      <c r="AK78" s="3"/>
      <c r="AL78" s="3"/>
      <c r="AM78" s="3"/>
      <c r="AN78" s="3"/>
      <c r="AO78" s="3"/>
      <c r="AP78" s="3"/>
      <c r="AQ78" s="3"/>
      <c r="AR78" s="3"/>
      <c r="AS78" s="3"/>
    </row>
    <row r="79" spans="1:45" customFormat="1" x14ac:dyDescent="0.2">
      <c r="A79" s="352"/>
      <c r="B79" s="79" t="s">
        <v>95</v>
      </c>
      <c r="C79" s="89">
        <f>SUMIFS(Flat_file!$H:$H,Flat_file!$B:$B,Summary_Unemployed!$B$2,Flat_file!$C:$C,"Men",Flat_file!$D:$D,"55-59",Flat_file!$E:$E,"010",Flat_file!$F:$F,"U")+SUMIFS(Flat_file!$H:$H,Flat_file!$B:$B,Summary_Unemployed!$B$2,Flat_file!$C:$C,"Men",Flat_file!$D:$D,"55-59",Flat_file!$E:$E,"020",Flat_file!$F:$F,"U")+SUMIFS(Flat_file!$H:$H,Flat_file!$B:$B,Summary_Unemployed!$B$2,Flat_file!$C:$C,"Men",Flat_file!$D:$D,"55-59",Flat_file!$E:$E,"030",Flat_file!$F:$F,"U")</f>
        <v>0</v>
      </c>
      <c r="D79" s="89">
        <f>SUMIFS(Flat_file!$H:$H,Flat_file!$B:$B,Summary_Unemployed!$B$2,Flat_file!$C:$C,"Men",Flat_file!$D:$D,"55-59",Flat_file!$E:$E,"100",Flat_file!$F:$F,"U")</f>
        <v>0</v>
      </c>
      <c r="E79" s="89">
        <f>SUMIFS(Flat_file!$H:$H,Flat_file!$B:$B,Summary_Unemployed!$B$2,Flat_file!$C:$C,"Men",Flat_file!$D:$D,"55-59",Flat_file!$E:$E,"242",Flat_file!$F:$F,"U")+SUMIFS(Flat_file!$H:$H,Flat_file!$B:$B,Summary_Unemployed!$B$2,Flat_file!$C:$C,"Men",Flat_file!$D:$D,"55-59",Flat_file!$E:$E,"252",Flat_file!$F:$F,"U")</f>
        <v>0</v>
      </c>
      <c r="F79" s="89">
        <f>SUMIFS(Flat_file!$H:$H,Flat_file!$B:$B,Summary_Unemployed!$B$2,Flat_file!$C:$C,"Men",Flat_file!$D:$D,"55-59",Flat_file!$E:$E,"243",Flat_file!$F:$F,"U")+SUMIFS(Flat_file!$H:$H,Flat_file!$B:$B,Summary_Unemployed!$B$2,Flat_file!$C:$C,"Men",Flat_file!$D:$D,"55-59",Flat_file!$E:$E,"244",Flat_file!$F:$F,"U")+SUMIFS(Flat_file!$H:$H,Flat_file!$B:$B,Summary_Unemployed!$B$2,Flat_file!$C:$C,"Men",Flat_file!$D:$D,"55-59",Flat_file!$E:$E,"253",Flat_file!$F:$F,"U")+SUMIFS(Flat_file!$H:$H,Flat_file!$B:$B,Summary_Unemployed!$B$2,Flat_file!$C:$C,"Men",Flat_file!$D:$D,"55-59",Flat_file!$E:$E,"254",Flat_file!$F:$F,"U")</f>
        <v>0</v>
      </c>
      <c r="G79" s="89">
        <f>SUMIFS(Flat_file!$H:$H,Flat_file!$B:$B,Summary_Unemployed!$B$2,Flat_file!$C:$C,"Men",Flat_file!$D:$D,"55-59",Flat_file!$E:$E,"342",Flat_file!$F:$F,"U")+SUMIFS(Flat_file!$H:$H,Flat_file!$B:$B,Summary_Unemployed!$B$2,Flat_file!$C:$C,"Men",Flat_file!$D:$D,"55-59",Flat_file!$E:$E,"352",Flat_file!$F:$F,"U")</f>
        <v>0</v>
      </c>
      <c r="H79" s="89">
        <f>SUMIFS(Flat_file!$H:$H,Flat_file!$B:$B,Summary_Unemployed!$B$2,Flat_file!$C:$C,"Men",Flat_file!$D:$D,"55-59",Flat_file!$E:$E,"343",Flat_file!$F:$F,"U")+SUMIFS(Flat_file!$H:$H,Flat_file!$B:$B,Summary_Unemployed!$B$2,Flat_file!$C:$C,"Men",Flat_file!$D:$D,"55-59",Flat_file!$E:$E,"344",Flat_file!$F:$F,"U")+SUMIFS(Flat_file!$H:$H,Flat_file!$B:$B,Summary_Unemployed!$B$2,Flat_file!$C:$C,"Men",Flat_file!$D:$D,"55-59",Flat_file!$E:$E,"353",Flat_file!$F:$F,"U")+SUMIFS(Flat_file!$H:$H,Flat_file!$B:$B,Summary_Unemployed!$B$2,Flat_file!$C:$C,"Men",Flat_file!$D:$D,"55-59",Flat_file!$E:$E,"354",Flat_file!$F:$F,"U")</f>
        <v>0</v>
      </c>
      <c r="I79" s="89">
        <f>SUMIFS(Flat_file!$H:$H,Flat_file!$B:$B,Summary_Unemployed!$B$2,Flat_file!$C:$C,"Men",Flat_file!$D:$D,"55-59",Flat_file!$E:$E,"443",Flat_file!$F:$F,"U")+SUMIFS(Flat_file!$H:$H,Flat_file!$B:$B,Summary_Unemployed!$B$2,Flat_file!$C:$C,"Men",Flat_file!$D:$D,"55-59",Flat_file!$E:$E,"444",Flat_file!$F:$F,"U")+SUMIFS(Flat_file!$H:$H,Flat_file!$B:$B,Summary_Unemployed!$B$2,Flat_file!$C:$C,"Men",Flat_file!$D:$D,"55-59",Flat_file!$E:$E,"453",Flat_file!$F:$F,"U")+SUMIFS(Flat_file!$H:$H,Flat_file!$B:$B,Summary_Unemployed!$B$2,Flat_file!$C:$C,"Men",Flat_file!$D:$D,"55-59",Flat_file!$E:$E,"454",Flat_file!$F:$F,"U")</f>
        <v>0</v>
      </c>
      <c r="J79" s="89">
        <f>SUMIFS(Flat_file!$H:$H,Flat_file!$B:$B,Summary_Unemployed!$B$2,Flat_file!$C:$C,"Men",Flat_file!$D:$D,"55-59",Flat_file!$E:$E,"540",Flat_file!$F:$F,"U")+SUMIFS(Flat_file!$H:$H,Flat_file!$B:$B,Summary_Unemployed!$B$2,Flat_file!$C:$C,"Men",Flat_file!$D:$D,"55-59",Flat_file!$E:$E,"550",Flat_file!$F:$F,"U")+SUMIFS(Flat_file!$H:$H,Flat_file!$B:$B,Summary_Unemployed!$B$2,Flat_file!$C:$C,"Men",Flat_file!$D:$D,"55-59",Flat_file!$E:$E,"560",Flat_file!$F:$F,"U")</f>
        <v>0</v>
      </c>
      <c r="K79" s="89">
        <f>SUMIFS(Flat_file!$H:$H,Flat_file!$B:$B,Summary_Unemployed!$B$2,Flat_file!$C:$C,"Men",Flat_file!$D:$D,"55-59",Flat_file!$E:$E,"640",Flat_file!$F:$F,"U")+SUMIFS(Flat_file!$H:$H,Flat_file!$B:$B,Summary_Unemployed!$B$2,Flat_file!$C:$C,"Men",Flat_file!$D:$D,"55-59",Flat_file!$E:$E,"650",Flat_file!$F:$F,"U")+SUMIFS(Flat_file!$H:$H,Flat_file!$B:$B,Summary_Unemployed!$B$2,Flat_file!$C:$C,"Men",Flat_file!$D:$D,"55-59",Flat_file!$E:$E,"660",Flat_file!$F:$F,"U")</f>
        <v>0</v>
      </c>
      <c r="L79" s="89">
        <f>SUMIFS(Flat_file!$H:$H,Flat_file!$B:$B,Summary_Unemployed!$B$2,Flat_file!$C:$C,"Men",Flat_file!$D:$D,"55-59",Flat_file!$E:$E,"740",Flat_file!$F:$F,"U")+SUMIFS(Flat_file!$H:$H,Flat_file!$B:$B,Summary_Unemployed!$B$2,Flat_file!$C:$C,"Men",Flat_file!$D:$D,"55-59",Flat_file!$E:$E,"750",Flat_file!$F:$F,"U")+SUMIFS(Flat_file!$H:$H,Flat_file!$B:$B,Summary_Unemployed!$B$2,Flat_file!$C:$C,"Men",Flat_file!$D:$D,"55-59",Flat_file!$E:$E,"760",Flat_file!$F:$F,"U")</f>
        <v>0</v>
      </c>
      <c r="M79" s="89">
        <f>SUMIFS(Flat_file!$H:$H,Flat_file!$B:$B,Summary_Unemployed!$B$2,Flat_file!$C:$C,"Men",Flat_file!$D:$D,"55-59",Flat_file!$E:$E,"840",Flat_file!$F:$F,"U")+SUMIFS(Flat_file!$H:$H,Flat_file!$B:$B,Summary_Unemployed!$B$2,Flat_file!$C:$C,"Men",Flat_file!$D:$D,"55-59",Flat_file!$E:$E,"850",Flat_file!$F:$F,"U")+SUMIFS(Flat_file!$H:$H,Flat_file!$B:$B,Summary_Unemployed!$B$2,Flat_file!$C:$C,"Men",Flat_file!$D:$D,"55-59",Flat_file!$E:$E,"860",Flat_file!$F:$F,"U")</f>
        <v>0</v>
      </c>
      <c r="N79" s="89">
        <f>SUMIFS(Flat_file!$H:$H,Flat_file!$B:$B,Summary_Unemployed!$B$2,Flat_file!$C:$C,"Men",Flat_file!$D:$D,"55-59",Flat_file!$E:$E,"999",Flat_file!$F:$F,"U")</f>
        <v>0</v>
      </c>
      <c r="O79" s="89">
        <f t="shared" si="48"/>
        <v>0</v>
      </c>
      <c r="P79" s="90"/>
      <c r="Q79" s="89">
        <f t="shared" si="49"/>
        <v>0</v>
      </c>
      <c r="R79" s="91"/>
      <c r="S79" s="89">
        <f t="shared" si="50"/>
        <v>0</v>
      </c>
      <c r="T79" s="89">
        <f t="shared" si="51"/>
        <v>0</v>
      </c>
      <c r="U79" s="89">
        <f t="shared" si="52"/>
        <v>0</v>
      </c>
      <c r="V79" s="90"/>
      <c r="W79" s="89">
        <f>SUMIFS(Flat_file!$H:$H,Flat_file!$B:$B,Summary_Unemployed!$B$2,Flat_file!$C:$C,"Men",Flat_file!$D:$D,"55-59",Flat_file!$E:$E,"343",Flat_file!$F:$F,"U")+SUMIFS(Flat_file!$H:$H,Flat_file!$B:$B,Summary_Unemployed!$B$2,Flat_file!$C:$C,"Men",Flat_file!$D:$D,"55-59",Flat_file!$E:$E,"344",Flat_file!$F:$F,"U")+SUMIFS(Flat_file!$H:$H,Flat_file!$B:$B,Summary_Unemployed!$B$2,Flat_file!$C:$C,"Men",Flat_file!$D:$D,"55-59",Flat_file!$E:$E,"443",Flat_file!$F:$F,"U")+SUMIFS(Flat_file!$H:$H,Flat_file!$B:$B,Summary_Unemployed!$B$2,Flat_file!$C:$C,"Men",Flat_file!$D:$D,"55-59",Flat_file!$E:$E,"444",Flat_file!$F:$F,"U")</f>
        <v>0</v>
      </c>
      <c r="X79" s="89">
        <f>SUMIFS(Flat_file!$H:$H,Flat_file!$B:$B,Summary_Unemployed!$B$2,Flat_file!$C:$C,"Men",Flat_file!$D:$D,"55-59",Flat_file!$E:$E,"353",Flat_file!$F:$F,"U")+SUMIFS(Flat_file!$H:$H,Flat_file!$B:$B,Summary_Unemployed!$B$2,Flat_file!$C:$C,"Men",Flat_file!$D:$D,"55-59",Flat_file!$E:$E,"354",Flat_file!$F:$F,"U")+SUMIFS(Flat_file!$H:$H,Flat_file!$B:$B,Summary_Unemployed!$B$2,Flat_file!$C:$C,"Men",Flat_file!$D:$D,"55-59",Flat_file!$E:$E,"453",Flat_file!$F:$F,"U")+SUMIFS(Flat_file!$H:$H,Flat_file!$B:$B,Summary_Unemployed!$B$2,Flat_file!$C:$C,"Men",Flat_file!$D:$D,"55-59",Flat_file!$E:$E,"454",Flat_file!$F:$F,"U")</f>
        <v>0</v>
      </c>
      <c r="Y79" s="90"/>
      <c r="Z79" s="89">
        <f>SUMIFS(Flat_file!$H:$H,Flat_file!$B:$B,Summary_Unemployed!$B$2,Flat_file!$C:$C,"Men",Flat_file!$D:$D,"55-59",Flat_file!$E:$E,"640",Flat_file!$F:$F,"U")+SUMIFS(Flat_file!$H:$H,Flat_file!$B:$B,Summary_Unemployed!$B$2,Flat_file!$C:$C,"Men",Flat_file!$D:$D,"55-59",Flat_file!$E:$E,"740",Flat_file!$F:$F,"U")+SUMIFS(Flat_file!$H:$H,Flat_file!$B:$B,Summary_Unemployed!$B$2,Flat_file!$C:$C,"Men",Flat_file!$D:$D,"55-59",Flat_file!$E:$E,"840",Flat_file!$F:$F,"U")</f>
        <v>0</v>
      </c>
      <c r="AA79" s="89">
        <f>SUMIFS(Flat_file!$H:$H,Flat_file!$B:$B,Summary_Unemployed!$B$2,Flat_file!$C:$C,"Men",Flat_file!$D:$D,"55-59",Flat_file!$E:$E,"650",Flat_file!$F:$F,"U")+SUMIFS(Flat_file!$H:$H,Flat_file!$B:$B,Summary_Unemployed!$B$2,Flat_file!$C:$C,"Men",Flat_file!$D:$D,"55-59",Flat_file!$E:$E,"750",Flat_file!$F:$F,"U")+SUMIFS(Flat_file!$H:$H,Flat_file!$B:$B,Summary_Unemployed!$B$2,Flat_file!$C:$C,"Men",Flat_file!$D:$D,"55-59",Flat_file!$E:$E,"850",Flat_file!$F:$F,"U")</f>
        <v>0</v>
      </c>
      <c r="AB79" s="89">
        <f>SUMIFS(Flat_file!$H:$H,Flat_file!$B:$B,Summary_Unemployed!$B$2,Flat_file!$C:$C,"Men",Flat_file!$D:$D,"55-59",Flat_file!$E:$E,"660",Flat_file!$F:$F,"U")+SUMIFS(Flat_file!$H:$H,Flat_file!$B:$B,Summary_Unemployed!$B$2,Flat_file!$C:$C,"Men",Flat_file!$D:$D,"55-59",Flat_file!$E:$E,"760",Flat_file!$F:$F,"U")+SUMIFS(Flat_file!$H:$H,Flat_file!$B:$B,Summary_Unemployed!$B$2,Flat_file!$C:$C,"Men",Flat_file!$D:$D,"55-59",Flat_file!$E:$E,"860",Flat_file!$F:$F,"U")</f>
        <v>0</v>
      </c>
      <c r="AC79" s="3"/>
      <c r="AD79" s="3"/>
      <c r="AE79" s="3"/>
      <c r="AF79" s="3"/>
      <c r="AG79" s="3"/>
      <c r="AH79" s="3"/>
      <c r="AI79" s="3"/>
      <c r="AJ79" s="3"/>
      <c r="AK79" s="3"/>
      <c r="AL79" s="3"/>
      <c r="AM79" s="3"/>
      <c r="AN79" s="3"/>
      <c r="AO79" s="3"/>
      <c r="AP79" s="3"/>
      <c r="AQ79" s="3"/>
      <c r="AR79" s="3"/>
      <c r="AS79" s="3"/>
    </row>
    <row r="80" spans="1:45" customFormat="1" x14ac:dyDescent="0.2">
      <c r="A80" s="352"/>
      <c r="B80" s="79" t="s">
        <v>96</v>
      </c>
      <c r="C80" s="89">
        <f>SUMIFS(Flat_file!$H:$H,Flat_file!$B:$B,Summary_Unemployed!$B$2,Flat_file!$C:$C,"Men",Flat_file!$D:$D,"60-64",Flat_file!$E:$E,"010",Flat_file!$F:$F,"U")+SUMIFS(Flat_file!$H:$H,Flat_file!$B:$B,Summary_Unemployed!$B$2,Flat_file!$C:$C,"Men",Flat_file!$D:$D,"60-64",Flat_file!$E:$E,"020",Flat_file!$F:$F,"U")+SUMIFS(Flat_file!$H:$H,Flat_file!$B:$B,Summary_Unemployed!$B$2,Flat_file!$C:$C,"Men",Flat_file!$D:$D,"60-64",Flat_file!$E:$E,"030",Flat_file!$F:$F,"U")</f>
        <v>0</v>
      </c>
      <c r="D80" s="89">
        <f>SUMIFS(Flat_file!$H:$H,Flat_file!$B:$B,Summary_Unemployed!$B$2,Flat_file!$C:$C,"Men",Flat_file!$D:$D,"60-64",Flat_file!$E:$E,"100",Flat_file!$F:$F,"U")</f>
        <v>0</v>
      </c>
      <c r="E80" s="89">
        <f>SUMIFS(Flat_file!$H:$H,Flat_file!$B:$B,Summary_Unemployed!$B$2,Flat_file!$C:$C,"Men",Flat_file!$D:$D,"60-64",Flat_file!$E:$E,"242",Flat_file!$F:$F,"U")+SUMIFS(Flat_file!$H:$H,Flat_file!$B:$B,Summary_Unemployed!$B$2,Flat_file!$C:$C,"Men",Flat_file!$D:$D,"60-64",Flat_file!$E:$E,"252",Flat_file!$F:$F,"U")</f>
        <v>0</v>
      </c>
      <c r="F80" s="89">
        <f>SUMIFS(Flat_file!$H:$H,Flat_file!$B:$B,Summary_Unemployed!$B$2,Flat_file!$C:$C,"Men",Flat_file!$D:$D,"60-64",Flat_file!$E:$E,"243",Flat_file!$F:$F,"U")+SUMIFS(Flat_file!$H:$H,Flat_file!$B:$B,Summary_Unemployed!$B$2,Flat_file!$C:$C,"Men",Flat_file!$D:$D,"60-64",Flat_file!$E:$E,"244",Flat_file!$F:$F,"U")+SUMIFS(Flat_file!$H:$H,Flat_file!$B:$B,Summary_Unemployed!$B$2,Flat_file!$C:$C,"Men",Flat_file!$D:$D,"60-64",Flat_file!$E:$E,"253",Flat_file!$F:$F,"U")+SUMIFS(Flat_file!$H:$H,Flat_file!$B:$B,Summary_Unemployed!$B$2,Flat_file!$C:$C,"Men",Flat_file!$D:$D,"60-64",Flat_file!$E:$E,"254",Flat_file!$F:$F,"U")</f>
        <v>0</v>
      </c>
      <c r="G80" s="89">
        <f>SUMIFS(Flat_file!$H:$H,Flat_file!$B:$B,Summary_Unemployed!$B$2,Flat_file!$C:$C,"Men",Flat_file!$D:$D,"60-64",Flat_file!$E:$E,"342",Flat_file!$F:$F,"U")+SUMIFS(Flat_file!$H:$H,Flat_file!$B:$B,Summary_Unemployed!$B$2,Flat_file!$C:$C,"Men",Flat_file!$D:$D,"60-64",Flat_file!$E:$E,"352",Flat_file!$F:$F,"U")</f>
        <v>0</v>
      </c>
      <c r="H80" s="89">
        <f>SUMIFS(Flat_file!$H:$H,Flat_file!$B:$B,Summary_Unemployed!$B$2,Flat_file!$C:$C,"Men",Flat_file!$D:$D,"60-64",Flat_file!$E:$E,"343",Flat_file!$F:$F,"U")+SUMIFS(Flat_file!$H:$H,Flat_file!$B:$B,Summary_Unemployed!$B$2,Flat_file!$C:$C,"Men",Flat_file!$D:$D,"60-64",Flat_file!$E:$E,"344",Flat_file!$F:$F,"U")+SUMIFS(Flat_file!$H:$H,Flat_file!$B:$B,Summary_Unemployed!$B$2,Flat_file!$C:$C,"Men",Flat_file!$D:$D,"60-64",Flat_file!$E:$E,"353",Flat_file!$F:$F,"U")+SUMIFS(Flat_file!$H:$H,Flat_file!$B:$B,Summary_Unemployed!$B$2,Flat_file!$C:$C,"Men",Flat_file!$D:$D,"60-64",Flat_file!$E:$E,"354",Flat_file!$F:$F,"U")</f>
        <v>0</v>
      </c>
      <c r="I80" s="89">
        <f>SUMIFS(Flat_file!$H:$H,Flat_file!$B:$B,Summary_Unemployed!$B$2,Flat_file!$C:$C,"Men",Flat_file!$D:$D,"60-64",Flat_file!$E:$E,"443",Flat_file!$F:$F,"U")+SUMIFS(Flat_file!$H:$H,Flat_file!$B:$B,Summary_Unemployed!$B$2,Flat_file!$C:$C,"Men",Flat_file!$D:$D,"60-64",Flat_file!$E:$E,"444",Flat_file!$F:$F,"U")+SUMIFS(Flat_file!$H:$H,Flat_file!$B:$B,Summary_Unemployed!$B$2,Flat_file!$C:$C,"Men",Flat_file!$D:$D,"60-64",Flat_file!$E:$E,"453",Flat_file!$F:$F,"U")+SUMIFS(Flat_file!$H:$H,Flat_file!$B:$B,Summary_Unemployed!$B$2,Flat_file!$C:$C,"Men",Flat_file!$D:$D,"60-64",Flat_file!$E:$E,"454",Flat_file!$F:$F,"U")</f>
        <v>0</v>
      </c>
      <c r="J80" s="89">
        <f>SUMIFS(Flat_file!$H:$H,Flat_file!$B:$B,Summary_Unemployed!$B$2,Flat_file!$C:$C,"Men",Flat_file!$D:$D,"60-64",Flat_file!$E:$E,"540",Flat_file!$F:$F,"U")+SUMIFS(Flat_file!$H:$H,Flat_file!$B:$B,Summary_Unemployed!$B$2,Flat_file!$C:$C,"Men",Flat_file!$D:$D,"60-64",Flat_file!$E:$E,"550",Flat_file!$F:$F,"U")+SUMIFS(Flat_file!$H:$H,Flat_file!$B:$B,Summary_Unemployed!$B$2,Flat_file!$C:$C,"Men",Flat_file!$D:$D,"60-64",Flat_file!$E:$E,"560",Flat_file!$F:$F,"U")</f>
        <v>0</v>
      </c>
      <c r="K80" s="89">
        <f>SUMIFS(Flat_file!$H:$H,Flat_file!$B:$B,Summary_Unemployed!$B$2,Flat_file!$C:$C,"Men",Flat_file!$D:$D,"60-64",Flat_file!$E:$E,"640",Flat_file!$F:$F,"U")+SUMIFS(Flat_file!$H:$H,Flat_file!$B:$B,Summary_Unemployed!$B$2,Flat_file!$C:$C,"Men",Flat_file!$D:$D,"60-64",Flat_file!$E:$E,"650",Flat_file!$F:$F,"U")+SUMIFS(Flat_file!$H:$H,Flat_file!$B:$B,Summary_Unemployed!$B$2,Flat_file!$C:$C,"Men",Flat_file!$D:$D,"60-64",Flat_file!$E:$E,"660",Flat_file!$F:$F,"U")</f>
        <v>0</v>
      </c>
      <c r="L80" s="89">
        <f>SUMIFS(Flat_file!$H:$H,Flat_file!$B:$B,Summary_Unemployed!$B$2,Flat_file!$C:$C,"Men",Flat_file!$D:$D,"60-64",Flat_file!$E:$E,"740",Flat_file!$F:$F,"U")+SUMIFS(Flat_file!$H:$H,Flat_file!$B:$B,Summary_Unemployed!$B$2,Flat_file!$C:$C,"Men",Flat_file!$D:$D,"60-64",Flat_file!$E:$E,"750",Flat_file!$F:$F,"U")+SUMIFS(Flat_file!$H:$H,Flat_file!$B:$B,Summary_Unemployed!$B$2,Flat_file!$C:$C,"Men",Flat_file!$D:$D,"60-64",Flat_file!$E:$E,"760",Flat_file!$F:$F,"U")</f>
        <v>0</v>
      </c>
      <c r="M80" s="89">
        <f>SUMIFS(Flat_file!$H:$H,Flat_file!$B:$B,Summary_Unemployed!$B$2,Flat_file!$C:$C,"Men",Flat_file!$D:$D,"60-64",Flat_file!$E:$E,"840",Flat_file!$F:$F,"U")+SUMIFS(Flat_file!$H:$H,Flat_file!$B:$B,Summary_Unemployed!$B$2,Flat_file!$C:$C,"Men",Flat_file!$D:$D,"60-64",Flat_file!$E:$E,"850",Flat_file!$F:$F,"U")+SUMIFS(Flat_file!$H:$H,Flat_file!$B:$B,Summary_Unemployed!$B$2,Flat_file!$C:$C,"Men",Flat_file!$D:$D,"60-64",Flat_file!$E:$E,"860",Flat_file!$F:$F,"U")</f>
        <v>0</v>
      </c>
      <c r="N80" s="89">
        <f>SUMIFS(Flat_file!$H:$H,Flat_file!$B:$B,Summary_Unemployed!$B$2,Flat_file!$C:$C,"Men",Flat_file!$D:$D,"60-64",Flat_file!$E:$E,"999",Flat_file!$F:$F,"U")</f>
        <v>0</v>
      </c>
      <c r="O80" s="89">
        <f t="shared" si="48"/>
        <v>0</v>
      </c>
      <c r="P80" s="90"/>
      <c r="Q80" s="89">
        <f t="shared" si="49"/>
        <v>0</v>
      </c>
      <c r="R80" s="91"/>
      <c r="S80" s="89">
        <f t="shared" si="50"/>
        <v>0</v>
      </c>
      <c r="T80" s="89">
        <f t="shared" si="51"/>
        <v>0</v>
      </c>
      <c r="U80" s="89">
        <f t="shared" si="52"/>
        <v>0</v>
      </c>
      <c r="V80" s="90"/>
      <c r="W80" s="89">
        <f>SUMIFS(Flat_file!$H:$H,Flat_file!$B:$B,Summary_Unemployed!$B$2,Flat_file!$C:$C,"Men",Flat_file!$D:$D,"60-64",Flat_file!$E:$E,"343",Flat_file!$F:$F,"U")+SUMIFS(Flat_file!$H:$H,Flat_file!$B:$B,Summary_Unemployed!$B$2,Flat_file!$C:$C,"Men",Flat_file!$D:$D,"60-64",Flat_file!$E:$E,"344",Flat_file!$F:$F,"U")+SUMIFS(Flat_file!$H:$H,Flat_file!$B:$B,Summary_Unemployed!$B$2,Flat_file!$C:$C,"Men",Flat_file!$D:$D,"60-64",Flat_file!$E:$E,"443",Flat_file!$F:$F,"U")+SUMIFS(Flat_file!$H:$H,Flat_file!$B:$B,Summary_Unemployed!$B$2,Flat_file!$C:$C,"Men",Flat_file!$D:$D,"60-64",Flat_file!$E:$E,"444",Flat_file!$F:$F,"U")</f>
        <v>0</v>
      </c>
      <c r="X80" s="89">
        <f>SUMIFS(Flat_file!$H:$H,Flat_file!$B:$B,Summary_Unemployed!$B$2,Flat_file!$C:$C,"Men",Flat_file!$D:$D,"60-64",Flat_file!$E:$E,"353",Flat_file!$F:$F,"U")+SUMIFS(Flat_file!$H:$H,Flat_file!$B:$B,Summary_Unemployed!$B$2,Flat_file!$C:$C,"Men",Flat_file!$D:$D,"60-64",Flat_file!$E:$E,"354",Flat_file!$F:$F,"U")+SUMIFS(Flat_file!$H:$H,Flat_file!$B:$B,Summary_Unemployed!$B$2,Flat_file!$C:$C,"Men",Flat_file!$D:$D,"60-64",Flat_file!$E:$E,"453",Flat_file!$F:$F,"U")+SUMIFS(Flat_file!$H:$H,Flat_file!$B:$B,Summary_Unemployed!$B$2,Flat_file!$C:$C,"Men",Flat_file!$D:$D,"60-64",Flat_file!$E:$E,"454",Flat_file!$F:$F,"U")</f>
        <v>0</v>
      </c>
      <c r="Y80" s="90"/>
      <c r="Z80" s="89">
        <f>SUMIFS(Flat_file!$H:$H,Flat_file!$B:$B,Summary_Unemployed!$B$2,Flat_file!$C:$C,"Men",Flat_file!$D:$D,"60-64",Flat_file!$E:$E,"640",Flat_file!$F:$F,"U")+SUMIFS(Flat_file!$H:$H,Flat_file!$B:$B,Summary_Unemployed!$B$2,Flat_file!$C:$C,"Men",Flat_file!$D:$D,"60-64",Flat_file!$E:$E,"740",Flat_file!$F:$F,"U")+SUMIFS(Flat_file!$H:$H,Flat_file!$B:$B,Summary_Unemployed!$B$2,Flat_file!$C:$C,"Men",Flat_file!$D:$D,"60-64",Flat_file!$E:$E,"840",Flat_file!$F:$F,"U")</f>
        <v>0</v>
      </c>
      <c r="AA80" s="89">
        <f>SUMIFS(Flat_file!$H:$H,Flat_file!$B:$B,Summary_Unemployed!$B$2,Flat_file!$C:$C,"Men",Flat_file!$D:$D,"60-64",Flat_file!$E:$E,"650",Flat_file!$F:$F,"U")+SUMIFS(Flat_file!$H:$H,Flat_file!$B:$B,Summary_Unemployed!$B$2,Flat_file!$C:$C,"Men",Flat_file!$D:$D,"60-64",Flat_file!$E:$E,"750",Flat_file!$F:$F,"U")+SUMIFS(Flat_file!$H:$H,Flat_file!$B:$B,Summary_Unemployed!$B$2,Flat_file!$C:$C,"Men",Flat_file!$D:$D,"60-64",Flat_file!$E:$E,"850",Flat_file!$F:$F,"U")</f>
        <v>0</v>
      </c>
      <c r="AB80" s="89">
        <f>SUMIFS(Flat_file!$H:$H,Flat_file!$B:$B,Summary_Unemployed!$B$2,Flat_file!$C:$C,"Men",Flat_file!$D:$D,"60-64",Flat_file!$E:$E,"660",Flat_file!$F:$F,"U")+SUMIFS(Flat_file!$H:$H,Flat_file!$B:$B,Summary_Unemployed!$B$2,Flat_file!$C:$C,"Men",Flat_file!$D:$D,"60-64",Flat_file!$E:$E,"760",Flat_file!$F:$F,"U")+SUMIFS(Flat_file!$H:$H,Flat_file!$B:$B,Summary_Unemployed!$B$2,Flat_file!$C:$C,"Men",Flat_file!$D:$D,"60-64",Flat_file!$E:$E,"860",Flat_file!$F:$F,"U")</f>
        <v>0</v>
      </c>
      <c r="AC80" s="3"/>
      <c r="AD80" s="3"/>
      <c r="AE80" s="3"/>
      <c r="AF80" s="3"/>
      <c r="AG80" s="3"/>
      <c r="AH80" s="3"/>
      <c r="AI80" s="3"/>
      <c r="AJ80" s="3"/>
      <c r="AK80" s="3"/>
      <c r="AL80" s="3"/>
      <c r="AM80" s="3"/>
      <c r="AN80" s="3"/>
      <c r="AO80" s="3"/>
      <c r="AP80" s="3"/>
      <c r="AQ80" s="3"/>
      <c r="AR80" s="3"/>
      <c r="AS80" s="3"/>
    </row>
    <row r="81" spans="1:45" customFormat="1" x14ac:dyDescent="0.2">
      <c r="A81" s="352"/>
      <c r="B81" s="79" t="s">
        <v>258</v>
      </c>
      <c r="C81" s="225">
        <f>SUMIFS(Flat_file!$H:$H,Flat_file!$B:$B,Summary_Unemployed!$B$2,Flat_file!$C:$C,"Men",Flat_file!$D:$D,"65-69",Flat_file!$E:$E,"010",Flat_file!$F:$F,"U")+SUMIFS(Flat_file!$H:$H,Flat_file!$B:$B,Summary_Unemployed!$B$2,Flat_file!$C:$C,"Men",Flat_file!$D:$D,"65-69",Flat_file!$E:$E,"020",Flat_file!$F:$F,"U")+SUMIFS(Flat_file!$H:$H,Flat_file!$B:$B,Summary_Unemployed!$B$2,Flat_file!$C:$C,"Men",Flat_file!$D:$D,"65-69",Flat_file!$E:$E,"030",Flat_file!$F:$F,"U")</f>
        <v>0</v>
      </c>
      <c r="D81" s="225">
        <f>SUMIFS(Flat_file!$H:$H,Flat_file!$B:$B,Summary_Unemployed!$B$2,Flat_file!$C:$C,"Men",Flat_file!$D:$D,"65-69",Flat_file!$E:$E,"100",Flat_file!$F:$F,"U")</f>
        <v>0</v>
      </c>
      <c r="E81" s="225">
        <f>SUMIFS(Flat_file!$H:$H,Flat_file!$B:$B,Summary_Unemployed!$B$2,Flat_file!$C:$C,"Men",Flat_file!$D:$D,"65-69",Flat_file!$E:$E,"242",Flat_file!$F:$F,"U")+SUMIFS(Flat_file!$H:$H,Flat_file!$B:$B,Summary_Unemployed!$B$2,Flat_file!$C:$C,"Men",Flat_file!$D:$D,"65-69",Flat_file!$E:$E,"252",Flat_file!$F:$F,"U")</f>
        <v>0</v>
      </c>
      <c r="F81" s="225">
        <f>SUMIFS(Flat_file!$H:$H,Flat_file!$B:$B,Summary_Unemployed!$B$2,Flat_file!$C:$C,"Men",Flat_file!$D:$D,"65-69",Flat_file!$E:$E,"243",Flat_file!$F:$F,"U")+SUMIFS(Flat_file!$H:$H,Flat_file!$B:$B,Summary_Unemployed!$B$2,Flat_file!$C:$C,"Men",Flat_file!$D:$D,"65-69",Flat_file!$E:$E,"244",Flat_file!$F:$F,"U")+SUMIFS(Flat_file!$H:$H,Flat_file!$B:$B,Summary_Unemployed!$B$2,Flat_file!$C:$C,"Men",Flat_file!$D:$D,"65-69",Flat_file!$E:$E,"253",Flat_file!$F:$F,"U")+SUMIFS(Flat_file!$H:$H,Flat_file!$B:$B,Summary_Unemployed!$B$2,Flat_file!$C:$C,"Men",Flat_file!$D:$D,"65-69",Flat_file!$E:$E,"254",Flat_file!$F:$F,"U")</f>
        <v>0</v>
      </c>
      <c r="G81" s="225">
        <f>SUMIFS(Flat_file!$H:$H,Flat_file!$B:$B,Summary_Unemployed!$B$2,Flat_file!$C:$C,"Men",Flat_file!$D:$D,"65-69",Flat_file!$E:$E,"342",Flat_file!$F:$F,"U")+SUMIFS(Flat_file!$H:$H,Flat_file!$B:$B,Summary_Unemployed!$B$2,Flat_file!$C:$C,"Men",Flat_file!$D:$D,"65-69",Flat_file!$E:$E,"352",Flat_file!$F:$F,"U")</f>
        <v>0</v>
      </c>
      <c r="H81" s="225">
        <f>SUMIFS(Flat_file!$H:$H,Flat_file!$B:$B,Summary_Unemployed!$B$2,Flat_file!$C:$C,"Men",Flat_file!$D:$D,"65-69",Flat_file!$E:$E,"343",Flat_file!$F:$F,"U")+SUMIFS(Flat_file!$H:$H,Flat_file!$B:$B,Summary_Unemployed!$B$2,Flat_file!$C:$C,"Men",Flat_file!$D:$D,"65-69",Flat_file!$E:$E,"344",Flat_file!$F:$F,"U")+SUMIFS(Flat_file!$H:$H,Flat_file!$B:$B,Summary_Unemployed!$B$2,Flat_file!$C:$C,"Men",Flat_file!$D:$D,"65-69",Flat_file!$E:$E,"353",Flat_file!$F:$F,"U")+SUMIFS(Flat_file!$H:$H,Flat_file!$B:$B,Summary_Unemployed!$B$2,Flat_file!$C:$C,"Men",Flat_file!$D:$D,"65-69",Flat_file!$E:$E,"354",Flat_file!$F:$F,"U")</f>
        <v>0</v>
      </c>
      <c r="I81" s="225">
        <f>SUMIFS(Flat_file!$H:$H,Flat_file!$B:$B,Summary_Unemployed!$B$2,Flat_file!$C:$C,"Men",Flat_file!$D:$D,"65-69",Flat_file!$E:$E,"443",Flat_file!$F:$F,"U")+SUMIFS(Flat_file!$H:$H,Flat_file!$B:$B,Summary_Unemployed!$B$2,Flat_file!$C:$C,"Men",Flat_file!$D:$D,"65-69",Flat_file!$E:$E,"444",Flat_file!$F:$F,"U")+SUMIFS(Flat_file!$H:$H,Flat_file!$B:$B,Summary_Unemployed!$B$2,Flat_file!$C:$C,"Men",Flat_file!$D:$D,"65-69",Flat_file!$E:$E,"453",Flat_file!$F:$F,"U")+SUMIFS(Flat_file!$H:$H,Flat_file!$B:$B,Summary_Unemployed!$B$2,Flat_file!$C:$C,"Men",Flat_file!$D:$D,"65-69",Flat_file!$E:$E,"454",Flat_file!$F:$F,"U")</f>
        <v>0</v>
      </c>
      <c r="J81" s="225">
        <f>SUMIFS(Flat_file!$H:$H,Flat_file!$B:$B,Summary_Unemployed!$B$2,Flat_file!$C:$C,"Men",Flat_file!$D:$D,"65-69",Flat_file!$E:$E,"540",Flat_file!$F:$F,"U")+SUMIFS(Flat_file!$H:$H,Flat_file!$B:$B,Summary_Unemployed!$B$2,Flat_file!$C:$C,"Men",Flat_file!$D:$D,"65-69",Flat_file!$E:$E,"550",Flat_file!$F:$F,"U")+SUMIFS(Flat_file!$H:$H,Flat_file!$B:$B,Summary_Unemployed!$B$2,Flat_file!$C:$C,"Men",Flat_file!$D:$D,"65-69",Flat_file!$E:$E,"560",Flat_file!$F:$F,"U")</f>
        <v>0</v>
      </c>
      <c r="K81" s="225">
        <f>SUMIFS(Flat_file!$H:$H,Flat_file!$B:$B,Summary_Unemployed!$B$2,Flat_file!$C:$C,"Men",Flat_file!$D:$D,"65-69",Flat_file!$E:$E,"640",Flat_file!$F:$F,"U")+SUMIFS(Flat_file!$H:$H,Flat_file!$B:$B,Summary_Unemployed!$B$2,Flat_file!$C:$C,"Men",Flat_file!$D:$D,"65-69",Flat_file!$E:$E,"650",Flat_file!$F:$F,"U")+SUMIFS(Flat_file!$H:$H,Flat_file!$B:$B,Summary_Unemployed!$B$2,Flat_file!$C:$C,"Men",Flat_file!$D:$D,"65-69",Flat_file!$E:$E,"660",Flat_file!$F:$F,"U")</f>
        <v>0</v>
      </c>
      <c r="L81" s="225">
        <f>SUMIFS(Flat_file!$H:$H,Flat_file!$B:$B,Summary_Unemployed!$B$2,Flat_file!$C:$C,"Men",Flat_file!$D:$D,"65-69",Flat_file!$E:$E,"740",Flat_file!$F:$F,"U")+SUMIFS(Flat_file!$H:$H,Flat_file!$B:$B,Summary_Unemployed!$B$2,Flat_file!$C:$C,"Men",Flat_file!$D:$D,"65-69",Flat_file!$E:$E,"750",Flat_file!$F:$F,"U")+SUMIFS(Flat_file!$H:$H,Flat_file!$B:$B,Summary_Unemployed!$B$2,Flat_file!$C:$C,"Men",Flat_file!$D:$D,"65-69",Flat_file!$E:$E,"760",Flat_file!$F:$F,"U")</f>
        <v>0</v>
      </c>
      <c r="M81" s="225">
        <f>SUMIFS(Flat_file!$H:$H,Flat_file!$B:$B,Summary_Unemployed!$B$2,Flat_file!$C:$C,"Men",Flat_file!$D:$D,"65-69",Flat_file!$E:$E,"840",Flat_file!$F:$F,"U")+SUMIFS(Flat_file!$H:$H,Flat_file!$B:$B,Summary_Unemployed!$B$2,Flat_file!$C:$C,"Men",Flat_file!$D:$D,"65-69",Flat_file!$E:$E,"850",Flat_file!$F:$F,"U")+SUMIFS(Flat_file!$H:$H,Flat_file!$B:$B,Summary_Unemployed!$B$2,Flat_file!$C:$C,"Men",Flat_file!$D:$D,"65-69",Flat_file!$E:$E,"860",Flat_file!$F:$F,"U")</f>
        <v>0</v>
      </c>
      <c r="N81" s="225">
        <f>SUMIFS(Flat_file!$H:$H,Flat_file!$B:$B,Summary_Unemployed!$B$2,Flat_file!$C:$C,"Men",Flat_file!$D:$D,"65-69",Flat_file!$E:$E,"999",Flat_file!$F:$F,"U")</f>
        <v>0</v>
      </c>
      <c r="O81" s="225">
        <f t="shared" si="48"/>
        <v>0</v>
      </c>
      <c r="P81" s="90"/>
      <c r="Q81" s="225">
        <f t="shared" si="49"/>
        <v>0</v>
      </c>
      <c r="R81" s="91"/>
      <c r="S81" s="225">
        <f t="shared" si="50"/>
        <v>0</v>
      </c>
      <c r="T81" s="225">
        <f t="shared" si="51"/>
        <v>0</v>
      </c>
      <c r="U81" s="225">
        <f t="shared" si="52"/>
        <v>0</v>
      </c>
      <c r="V81" s="90"/>
      <c r="W81" s="225">
        <f>SUMIFS(Flat_file!$H:$H,Flat_file!$B:$B,Summary_Unemployed!$B$2,Flat_file!$C:$C,"Men",Flat_file!$D:$D,"65-69",Flat_file!$E:$E,"343",Flat_file!$F:$F,"U")+SUMIFS(Flat_file!$H:$H,Flat_file!$B:$B,Summary_Unemployed!$B$2,Flat_file!$C:$C,"Men",Flat_file!$D:$D,"65-69",Flat_file!$E:$E,"344",Flat_file!$F:$F,"U")+SUMIFS(Flat_file!$H:$H,Flat_file!$B:$B,Summary_Unemployed!$B$2,Flat_file!$C:$C,"Men",Flat_file!$D:$D,"65-69",Flat_file!$E:$E,"443",Flat_file!$F:$F,"U")+SUMIFS(Flat_file!$H:$H,Flat_file!$B:$B,Summary_Unemployed!$B$2,Flat_file!$C:$C,"Men",Flat_file!$D:$D,"65-69",Flat_file!$E:$E,"444",Flat_file!$F:$F,"U")</f>
        <v>0</v>
      </c>
      <c r="X81" s="225">
        <f>SUMIFS(Flat_file!$H:$H,Flat_file!$B:$B,Summary_Unemployed!$B$2,Flat_file!$C:$C,"Men",Flat_file!$D:$D,"65-69",Flat_file!$E:$E,"353",Flat_file!$F:$F,"U")+SUMIFS(Flat_file!$H:$H,Flat_file!$B:$B,Summary_Unemployed!$B$2,Flat_file!$C:$C,"Men",Flat_file!$D:$D,"65-69",Flat_file!$E:$E,"354",Flat_file!$F:$F,"U")+SUMIFS(Flat_file!$H:$H,Flat_file!$B:$B,Summary_Unemployed!$B$2,Flat_file!$C:$C,"Men",Flat_file!$D:$D,"65-69",Flat_file!$E:$E,"453",Flat_file!$F:$F,"U")+SUMIFS(Flat_file!$H:$H,Flat_file!$B:$B,Summary_Unemployed!$B$2,Flat_file!$C:$C,"Men",Flat_file!$D:$D,"65-69",Flat_file!$E:$E,"454",Flat_file!$F:$F,"U")</f>
        <v>0</v>
      </c>
      <c r="Y81" s="90"/>
      <c r="Z81" s="225">
        <f>SUMIFS(Flat_file!$H:$H,Flat_file!$B:$B,Summary_Unemployed!$B$2,Flat_file!$C:$C,"Men",Flat_file!$D:$D,"65-69",Flat_file!$E:$E,"640",Flat_file!$F:$F,"U")+SUMIFS(Flat_file!$H:$H,Flat_file!$B:$B,Summary_Unemployed!$B$2,Flat_file!$C:$C,"Men",Flat_file!$D:$D,"65-69",Flat_file!$E:$E,"740",Flat_file!$F:$F,"U")+SUMIFS(Flat_file!$H:$H,Flat_file!$B:$B,Summary_Unemployed!$B$2,Flat_file!$C:$C,"Men",Flat_file!$D:$D,"65-69",Flat_file!$E:$E,"840",Flat_file!$F:$F,"U")</f>
        <v>0</v>
      </c>
      <c r="AA81" s="225">
        <f>SUMIFS(Flat_file!$H:$H,Flat_file!$B:$B,Summary_Unemployed!$B$2,Flat_file!$C:$C,"Men",Flat_file!$D:$D,"65-69",Flat_file!$E:$E,"650",Flat_file!$F:$F,"U")+SUMIFS(Flat_file!$H:$H,Flat_file!$B:$B,Summary_Unemployed!$B$2,Flat_file!$C:$C,"Men",Flat_file!$D:$D,"65-69",Flat_file!$E:$E,"750",Flat_file!$F:$F,"U")+SUMIFS(Flat_file!$H:$H,Flat_file!$B:$B,Summary_Unemployed!$B$2,Flat_file!$C:$C,"Men",Flat_file!$D:$D,"65-69",Flat_file!$E:$E,"850",Flat_file!$F:$F,"U")</f>
        <v>0</v>
      </c>
      <c r="AB81" s="225">
        <f>SUMIFS(Flat_file!$H:$H,Flat_file!$B:$B,Summary_Unemployed!$B$2,Flat_file!$C:$C,"Men",Flat_file!$D:$D,"65-69",Flat_file!$E:$E,"660",Flat_file!$F:$F,"U")+SUMIFS(Flat_file!$H:$H,Flat_file!$B:$B,Summary_Unemployed!$B$2,Flat_file!$C:$C,"Men",Flat_file!$D:$D,"65-69",Flat_file!$E:$E,"760",Flat_file!$F:$F,"U")+SUMIFS(Flat_file!$H:$H,Flat_file!$B:$B,Summary_Unemployed!$B$2,Flat_file!$C:$C,"Men",Flat_file!$D:$D,"65-69",Flat_file!$E:$E,"860",Flat_file!$F:$F,"U")</f>
        <v>0</v>
      </c>
      <c r="AC81" s="3"/>
      <c r="AD81" s="3"/>
      <c r="AE81" s="3"/>
      <c r="AF81" s="3"/>
      <c r="AG81" s="3"/>
      <c r="AH81" s="3"/>
      <c r="AI81" s="3"/>
      <c r="AJ81" s="3"/>
      <c r="AK81" s="3"/>
      <c r="AL81" s="3"/>
      <c r="AM81" s="3"/>
      <c r="AN81" s="3"/>
      <c r="AO81" s="3"/>
      <c r="AP81" s="3"/>
      <c r="AQ81" s="3"/>
      <c r="AR81" s="3"/>
      <c r="AS81" s="3"/>
    </row>
    <row r="82" spans="1:45" customFormat="1" x14ac:dyDescent="0.2">
      <c r="A82" s="352"/>
      <c r="B82" s="79" t="s">
        <v>260</v>
      </c>
      <c r="C82" s="225">
        <f>SUMIFS(Flat_file!$H:$H,Flat_file!$B:$B,Summary_Unemployed!$B$2,Flat_file!$C:$C,"Men",Flat_file!$D:$D,"70-74",Flat_file!$E:$E,"010",Flat_file!$F:$F,"U")+SUMIFS(Flat_file!$H:$H,Flat_file!$B:$B,Summary_Unemployed!$B$2,Flat_file!$C:$C,"Men",Flat_file!$D:$D,"70-74",Flat_file!$E:$E,"020",Flat_file!$F:$F,"U")+SUMIFS(Flat_file!$H:$H,Flat_file!$B:$B,Summary_Unemployed!$B$2,Flat_file!$C:$C,"Men",Flat_file!$D:$D,"70-74",Flat_file!$E:$E,"030",Flat_file!$F:$F,"U")</f>
        <v>0</v>
      </c>
      <c r="D82" s="225">
        <f>SUMIFS(Flat_file!$H:$H,Flat_file!$B:$B,Summary_Unemployed!$B$2,Flat_file!$C:$C,"Men",Flat_file!$D:$D,"70-74",Flat_file!$E:$E,"100",Flat_file!$F:$F,"U")</f>
        <v>0</v>
      </c>
      <c r="E82" s="225">
        <f>SUMIFS(Flat_file!$H:$H,Flat_file!$B:$B,Summary_Unemployed!$B$2,Flat_file!$C:$C,"Men",Flat_file!$D:$D,"70-74",Flat_file!$E:$E,"242",Flat_file!$F:$F,"U")+SUMIFS(Flat_file!$H:$H,Flat_file!$B:$B,Summary_Unemployed!$B$2,Flat_file!$C:$C,"Men",Flat_file!$D:$D,"70-74",Flat_file!$E:$E,"252",Flat_file!$F:$F,"U")</f>
        <v>0</v>
      </c>
      <c r="F82" s="225">
        <f>SUMIFS(Flat_file!$H:$H,Flat_file!$B:$B,Summary_Unemployed!$B$2,Flat_file!$C:$C,"Men",Flat_file!$D:$D,"70-74",Flat_file!$E:$E,"243",Flat_file!$F:$F,"U")+SUMIFS(Flat_file!$H:$H,Flat_file!$B:$B,Summary_Unemployed!$B$2,Flat_file!$C:$C,"Men",Flat_file!$D:$D,"70-74",Flat_file!$E:$E,"244",Flat_file!$F:$F,"U")+SUMIFS(Flat_file!$H:$H,Flat_file!$B:$B,Summary_Unemployed!$B$2,Flat_file!$C:$C,"Men",Flat_file!$D:$D,"70-74",Flat_file!$E:$E,"253",Flat_file!$F:$F,"U")+SUMIFS(Flat_file!$H:$H,Flat_file!$B:$B,Summary_Unemployed!$B$2,Flat_file!$C:$C,"Men",Flat_file!$D:$D,"70-74",Flat_file!$E:$E,"254",Flat_file!$F:$F,"U")</f>
        <v>0</v>
      </c>
      <c r="G82" s="225">
        <f>SUMIFS(Flat_file!$H:$H,Flat_file!$B:$B,Summary_Unemployed!$B$2,Flat_file!$C:$C,"Men",Flat_file!$D:$D,"70-74",Flat_file!$E:$E,"342",Flat_file!$F:$F,"U")+SUMIFS(Flat_file!$H:$H,Flat_file!$B:$B,Summary_Unemployed!$B$2,Flat_file!$C:$C,"Men",Flat_file!$D:$D,"70-74",Flat_file!$E:$E,"352",Flat_file!$F:$F,"U")</f>
        <v>0</v>
      </c>
      <c r="H82" s="225">
        <f>SUMIFS(Flat_file!$H:$H,Flat_file!$B:$B,Summary_Unemployed!$B$2,Flat_file!$C:$C,"Men",Flat_file!$D:$D,"70-74",Flat_file!$E:$E,"343",Flat_file!$F:$F,"U")+SUMIFS(Flat_file!$H:$H,Flat_file!$B:$B,Summary_Unemployed!$B$2,Flat_file!$C:$C,"Men",Flat_file!$D:$D,"70-74",Flat_file!$E:$E,"344",Flat_file!$F:$F,"U")+SUMIFS(Flat_file!$H:$H,Flat_file!$B:$B,Summary_Unemployed!$B$2,Flat_file!$C:$C,"Men",Flat_file!$D:$D,"70-74",Flat_file!$E:$E,"353",Flat_file!$F:$F,"U")+SUMIFS(Flat_file!$H:$H,Flat_file!$B:$B,Summary_Unemployed!$B$2,Flat_file!$C:$C,"Men",Flat_file!$D:$D,"70-74",Flat_file!$E:$E,"354",Flat_file!$F:$F,"U")</f>
        <v>0</v>
      </c>
      <c r="I82" s="225">
        <f>SUMIFS(Flat_file!$H:$H,Flat_file!$B:$B,Summary_Unemployed!$B$2,Flat_file!$C:$C,"Men",Flat_file!$D:$D,"70-74",Flat_file!$E:$E,"443",Flat_file!$F:$F,"U")+SUMIFS(Flat_file!$H:$H,Flat_file!$B:$B,Summary_Unemployed!$B$2,Flat_file!$C:$C,"Men",Flat_file!$D:$D,"70-74",Flat_file!$E:$E,"444",Flat_file!$F:$F,"U")+SUMIFS(Flat_file!$H:$H,Flat_file!$B:$B,Summary_Unemployed!$B$2,Flat_file!$C:$C,"Men",Flat_file!$D:$D,"70-74",Flat_file!$E:$E,"453",Flat_file!$F:$F,"U")+SUMIFS(Flat_file!$H:$H,Flat_file!$B:$B,Summary_Unemployed!$B$2,Flat_file!$C:$C,"Men",Flat_file!$D:$D,"70-74",Flat_file!$E:$E,"454",Flat_file!$F:$F,"U")</f>
        <v>0</v>
      </c>
      <c r="J82" s="225">
        <f>SUMIFS(Flat_file!$H:$H,Flat_file!$B:$B,Summary_Unemployed!$B$2,Flat_file!$C:$C,"Men",Flat_file!$D:$D,"70-74",Flat_file!$E:$E,"540",Flat_file!$F:$F,"U")+SUMIFS(Flat_file!$H:$H,Flat_file!$B:$B,Summary_Unemployed!$B$2,Flat_file!$C:$C,"Men",Flat_file!$D:$D,"70-74",Flat_file!$E:$E,"550",Flat_file!$F:$F,"U")+SUMIFS(Flat_file!$H:$H,Flat_file!$B:$B,Summary_Unemployed!$B$2,Flat_file!$C:$C,"Men",Flat_file!$D:$D,"70-74",Flat_file!$E:$E,"560",Flat_file!$F:$F,"U")</f>
        <v>0</v>
      </c>
      <c r="K82" s="225">
        <f>SUMIFS(Flat_file!$H:$H,Flat_file!$B:$B,Summary_Unemployed!$B$2,Flat_file!$C:$C,"Men",Flat_file!$D:$D,"70-74",Flat_file!$E:$E,"640",Flat_file!$F:$F,"U")+SUMIFS(Flat_file!$H:$H,Flat_file!$B:$B,Summary_Unemployed!$B$2,Flat_file!$C:$C,"Men",Flat_file!$D:$D,"70-74",Flat_file!$E:$E,"650",Flat_file!$F:$F,"U")+SUMIFS(Flat_file!$H:$H,Flat_file!$B:$B,Summary_Unemployed!$B$2,Flat_file!$C:$C,"Men",Flat_file!$D:$D,"70-74",Flat_file!$E:$E,"660",Flat_file!$F:$F,"U")</f>
        <v>0</v>
      </c>
      <c r="L82" s="225">
        <f>SUMIFS(Flat_file!$H:$H,Flat_file!$B:$B,Summary_Unemployed!$B$2,Flat_file!$C:$C,"Men",Flat_file!$D:$D,"70-74",Flat_file!$E:$E,"740",Flat_file!$F:$F,"U")+SUMIFS(Flat_file!$H:$H,Flat_file!$B:$B,Summary_Unemployed!$B$2,Flat_file!$C:$C,"Men",Flat_file!$D:$D,"70-74",Flat_file!$E:$E,"750",Flat_file!$F:$F,"U")+SUMIFS(Flat_file!$H:$H,Flat_file!$B:$B,Summary_Unemployed!$B$2,Flat_file!$C:$C,"Men",Flat_file!$D:$D,"70-74",Flat_file!$E:$E,"760",Flat_file!$F:$F,"U")</f>
        <v>0</v>
      </c>
      <c r="M82" s="225">
        <f>SUMIFS(Flat_file!$H:$H,Flat_file!$B:$B,Summary_Unemployed!$B$2,Flat_file!$C:$C,"Men",Flat_file!$D:$D,"70-74",Flat_file!$E:$E,"840",Flat_file!$F:$F,"U")+SUMIFS(Flat_file!$H:$H,Flat_file!$B:$B,Summary_Unemployed!$B$2,Flat_file!$C:$C,"Men",Flat_file!$D:$D,"70-74",Flat_file!$E:$E,"850",Flat_file!$F:$F,"U")+SUMIFS(Flat_file!$H:$H,Flat_file!$B:$B,Summary_Unemployed!$B$2,Flat_file!$C:$C,"Men",Flat_file!$D:$D,"70-74",Flat_file!$E:$E,"860",Flat_file!$F:$F,"U")</f>
        <v>0</v>
      </c>
      <c r="N82" s="225">
        <f>SUMIFS(Flat_file!$H:$H,Flat_file!$B:$B,Summary_Unemployed!$B$2,Flat_file!$C:$C,"Men",Flat_file!$D:$D,"70-74",Flat_file!$E:$E,"999",Flat_file!$F:$F,"U")</f>
        <v>0</v>
      </c>
      <c r="O82" s="225">
        <f t="shared" si="48"/>
        <v>0</v>
      </c>
      <c r="P82" s="90"/>
      <c r="Q82" s="225">
        <f t="shared" si="49"/>
        <v>0</v>
      </c>
      <c r="R82" s="91"/>
      <c r="S82" s="225">
        <f t="shared" si="50"/>
        <v>0</v>
      </c>
      <c r="T82" s="225">
        <f t="shared" si="51"/>
        <v>0</v>
      </c>
      <c r="U82" s="225">
        <f t="shared" si="52"/>
        <v>0</v>
      </c>
      <c r="V82" s="90"/>
      <c r="W82" s="225">
        <f>SUMIFS(Flat_file!$H:$H,Flat_file!$B:$B,Summary_Unemployed!$B$2,Flat_file!$C:$C,"Men",Flat_file!$D:$D,"70-74",Flat_file!$E:$E,"343",Flat_file!$F:$F,"U")+SUMIFS(Flat_file!$H:$H,Flat_file!$B:$B,Summary_Unemployed!$B$2,Flat_file!$C:$C,"Men",Flat_file!$D:$D,"70-74",Flat_file!$E:$E,"344",Flat_file!$F:$F,"U")+SUMIFS(Flat_file!$H:$H,Flat_file!$B:$B,Summary_Unemployed!$B$2,Flat_file!$C:$C,"Men",Flat_file!$D:$D,"70-74",Flat_file!$E:$E,"443",Flat_file!$F:$F,"U")+SUMIFS(Flat_file!$H:$H,Flat_file!$B:$B,Summary_Unemployed!$B$2,Flat_file!$C:$C,"Men",Flat_file!$D:$D,"70-74",Flat_file!$E:$E,"444",Flat_file!$F:$F,"U")</f>
        <v>0</v>
      </c>
      <c r="X82" s="225">
        <f>SUMIFS(Flat_file!$H:$H,Flat_file!$B:$B,Summary_Unemployed!$B$2,Flat_file!$C:$C,"Men",Flat_file!$D:$D,"70-74",Flat_file!$E:$E,"353",Flat_file!$F:$F,"U")+SUMIFS(Flat_file!$H:$H,Flat_file!$B:$B,Summary_Unemployed!$B$2,Flat_file!$C:$C,"Men",Flat_file!$D:$D,"70-74",Flat_file!$E:$E,"354",Flat_file!$F:$F,"U")+SUMIFS(Flat_file!$H:$H,Flat_file!$B:$B,Summary_Unemployed!$B$2,Flat_file!$C:$C,"Men",Flat_file!$D:$D,"70-74",Flat_file!$E:$E,"453",Flat_file!$F:$F,"U")+SUMIFS(Flat_file!$H:$H,Flat_file!$B:$B,Summary_Unemployed!$B$2,Flat_file!$C:$C,"Men",Flat_file!$D:$D,"70-74",Flat_file!$E:$E,"454",Flat_file!$F:$F,"U")</f>
        <v>0</v>
      </c>
      <c r="Y82" s="90"/>
      <c r="Z82" s="225">
        <f>SUMIFS(Flat_file!$H:$H,Flat_file!$B:$B,Summary_Unemployed!$B$2,Flat_file!$C:$C,"Men",Flat_file!$D:$D,"70-74",Flat_file!$E:$E,"640",Flat_file!$F:$F,"U")+SUMIFS(Flat_file!$H:$H,Flat_file!$B:$B,Summary_Unemployed!$B$2,Flat_file!$C:$C,"Men",Flat_file!$D:$D,"70-74",Flat_file!$E:$E,"740",Flat_file!$F:$F,"U")+SUMIFS(Flat_file!$H:$H,Flat_file!$B:$B,Summary_Unemployed!$B$2,Flat_file!$C:$C,"Men",Flat_file!$D:$D,"70-74",Flat_file!$E:$E,"840",Flat_file!$F:$F,"U")</f>
        <v>0</v>
      </c>
      <c r="AA82" s="225">
        <f>SUMIFS(Flat_file!$H:$H,Flat_file!$B:$B,Summary_Unemployed!$B$2,Flat_file!$C:$C,"Men",Flat_file!$D:$D,"70-74",Flat_file!$E:$E,"650",Flat_file!$F:$F,"U")+SUMIFS(Flat_file!$H:$H,Flat_file!$B:$B,Summary_Unemployed!$B$2,Flat_file!$C:$C,"Men",Flat_file!$D:$D,"70-74",Flat_file!$E:$E,"750",Flat_file!$F:$F,"U")+SUMIFS(Flat_file!$H:$H,Flat_file!$B:$B,Summary_Unemployed!$B$2,Flat_file!$C:$C,"Men",Flat_file!$D:$D,"70-74",Flat_file!$E:$E,"850",Flat_file!$F:$F,"U")</f>
        <v>0</v>
      </c>
      <c r="AB82" s="225">
        <f>SUMIFS(Flat_file!$H:$H,Flat_file!$B:$B,Summary_Unemployed!$B$2,Flat_file!$C:$C,"Men",Flat_file!$D:$D,"70-74",Flat_file!$E:$E,"660",Flat_file!$F:$F,"U")+SUMIFS(Flat_file!$H:$H,Flat_file!$B:$B,Summary_Unemployed!$B$2,Flat_file!$C:$C,"Men",Flat_file!$D:$D,"70-74",Flat_file!$E:$E,"760",Flat_file!$F:$F,"U")+SUMIFS(Flat_file!$H:$H,Flat_file!$B:$B,Summary_Unemployed!$B$2,Flat_file!$C:$C,"Men",Flat_file!$D:$D,"70-74",Flat_file!$E:$E,"860",Flat_file!$F:$F,"U")</f>
        <v>0</v>
      </c>
      <c r="AC82" s="3"/>
      <c r="AD82" s="3"/>
      <c r="AE82" s="3"/>
      <c r="AF82" s="3"/>
      <c r="AG82" s="3"/>
      <c r="AH82" s="3"/>
      <c r="AI82" s="3"/>
      <c r="AJ82" s="3"/>
      <c r="AK82" s="3"/>
      <c r="AL82" s="3"/>
      <c r="AM82" s="3"/>
      <c r="AN82" s="3"/>
      <c r="AO82" s="3"/>
      <c r="AP82" s="3"/>
      <c r="AQ82" s="3"/>
      <c r="AR82" s="3"/>
      <c r="AS82" s="3"/>
    </row>
    <row r="83" spans="1:45" customFormat="1" ht="13.5" thickBot="1" x14ac:dyDescent="0.25">
      <c r="A83" s="353"/>
      <c r="B83" s="79" t="s">
        <v>261</v>
      </c>
      <c r="C83" s="92">
        <f>SUMIFS(Flat_file!$H:$H,Flat_file!$B:$B,Summary_Unemployed!$B$2,Flat_file!$C:$C,"Men",Flat_file!$D:$D,"75+",Flat_file!$E:$E,"010",Flat_file!$F:$F,"U")+SUMIFS(Flat_file!$H:$H,Flat_file!$B:$B,Summary_Unemployed!$B$2,Flat_file!$C:$C,"Men",Flat_file!$D:$D,"75+",Flat_file!$E:$E,"020",Flat_file!$F:$F,"U")+SUMIFS(Flat_file!$H:$H,Flat_file!$B:$B,Summary_Unemployed!$B$2,Flat_file!$C:$C,"Men",Flat_file!$D:$D,"75+",Flat_file!$E:$E,"030",Flat_file!$F:$F,"U")</f>
        <v>0</v>
      </c>
      <c r="D83" s="92">
        <f>SUMIFS(Flat_file!$H:$H,Flat_file!$B:$B,Summary_Unemployed!$B$2,Flat_file!$C:$C,"Men",Flat_file!$D:$D,"75+",Flat_file!$E:$E,"100",Flat_file!$F:$F,"U")</f>
        <v>0</v>
      </c>
      <c r="E83" s="92">
        <f>SUMIFS(Flat_file!$H:$H,Flat_file!$B:$B,Summary_Unemployed!$B$2,Flat_file!$C:$C,"Men",Flat_file!$D:$D,"75+",Flat_file!$E:$E,"242",Flat_file!$F:$F,"U")+SUMIFS(Flat_file!$H:$H,Flat_file!$B:$B,Summary_Unemployed!$B$2,Flat_file!$C:$C,"Men",Flat_file!$D:$D,"75+",Flat_file!$E:$E,"252",Flat_file!$F:$F,"U")</f>
        <v>0</v>
      </c>
      <c r="F83" s="92">
        <f>SUMIFS(Flat_file!$H:$H,Flat_file!$B:$B,Summary_Unemployed!$B$2,Flat_file!$C:$C,"Men",Flat_file!$D:$D,"75+",Flat_file!$E:$E,"243",Flat_file!$F:$F,"U")+SUMIFS(Flat_file!$H:$H,Flat_file!$B:$B,Summary_Unemployed!$B$2,Flat_file!$C:$C,"Men",Flat_file!$D:$D,"75+",Flat_file!$E:$E,"244",Flat_file!$F:$F,"U")+SUMIFS(Flat_file!$H:$H,Flat_file!$B:$B,Summary_Unemployed!$B$2,Flat_file!$C:$C,"Men",Flat_file!$D:$D,"75+",Flat_file!$E:$E,"253",Flat_file!$F:$F,"U")+SUMIFS(Flat_file!$H:$H,Flat_file!$B:$B,Summary_Unemployed!$B$2,Flat_file!$C:$C,"Men",Flat_file!$D:$D,"75+",Flat_file!$E:$E,"254",Flat_file!$F:$F,"U")</f>
        <v>0</v>
      </c>
      <c r="G83" s="92">
        <f>SUMIFS(Flat_file!$H:$H,Flat_file!$B:$B,Summary_Unemployed!$B$2,Flat_file!$C:$C,"Men",Flat_file!$D:$D,"75+",Flat_file!$E:$E,"342",Flat_file!$F:$F,"U")+SUMIFS(Flat_file!$H:$H,Flat_file!$B:$B,Summary_Unemployed!$B$2,Flat_file!$C:$C,"Men",Flat_file!$D:$D,"75+",Flat_file!$E:$E,"352",Flat_file!$F:$F,"U")</f>
        <v>0</v>
      </c>
      <c r="H83" s="92">
        <f>SUMIFS(Flat_file!$H:$H,Flat_file!$B:$B,Summary_Unemployed!$B$2,Flat_file!$C:$C,"Men",Flat_file!$D:$D,"75+",Flat_file!$E:$E,"343",Flat_file!$F:$F,"U")+SUMIFS(Flat_file!$H:$H,Flat_file!$B:$B,Summary_Unemployed!$B$2,Flat_file!$C:$C,"Men",Flat_file!$D:$D,"75+",Flat_file!$E:$E,"344",Flat_file!$F:$F,"U")+SUMIFS(Flat_file!$H:$H,Flat_file!$B:$B,Summary_Unemployed!$B$2,Flat_file!$C:$C,"Men",Flat_file!$D:$D,"75+",Flat_file!$E:$E,"353",Flat_file!$F:$F,"U")+SUMIFS(Flat_file!$H:$H,Flat_file!$B:$B,Summary_Unemployed!$B$2,Flat_file!$C:$C,"Men",Flat_file!$D:$D,"75+",Flat_file!$E:$E,"354",Flat_file!$F:$F,"U")</f>
        <v>0</v>
      </c>
      <c r="I83" s="92">
        <f>SUMIFS(Flat_file!$H:$H,Flat_file!$B:$B,Summary_Unemployed!$B$2,Flat_file!$C:$C,"Men",Flat_file!$D:$D,"75+",Flat_file!$E:$E,"443",Flat_file!$F:$F,"U")+SUMIFS(Flat_file!$H:$H,Flat_file!$B:$B,Summary_Unemployed!$B$2,Flat_file!$C:$C,"Men",Flat_file!$D:$D,"75+",Flat_file!$E:$E,"444",Flat_file!$F:$F,"U")+SUMIFS(Flat_file!$H:$H,Flat_file!$B:$B,Summary_Unemployed!$B$2,Flat_file!$C:$C,"Men",Flat_file!$D:$D,"75+",Flat_file!$E:$E,"453",Flat_file!$F:$F,"U")+SUMIFS(Flat_file!$H:$H,Flat_file!$B:$B,Summary_Unemployed!$B$2,Flat_file!$C:$C,"Men",Flat_file!$D:$D,"75+",Flat_file!$E:$E,"454",Flat_file!$F:$F,"U")</f>
        <v>0</v>
      </c>
      <c r="J83" s="92">
        <f>SUMIFS(Flat_file!$H:$H,Flat_file!$B:$B,Summary_Unemployed!$B$2,Flat_file!$C:$C,"Men",Flat_file!$D:$D,"75+",Flat_file!$E:$E,"540",Flat_file!$F:$F,"U")+SUMIFS(Flat_file!$H:$H,Flat_file!$B:$B,Summary_Unemployed!$B$2,Flat_file!$C:$C,"Men",Flat_file!$D:$D,"75+",Flat_file!$E:$E,"550",Flat_file!$F:$F,"U")+SUMIFS(Flat_file!$H:$H,Flat_file!$B:$B,Summary_Unemployed!$B$2,Flat_file!$C:$C,"Men",Flat_file!$D:$D,"75+",Flat_file!$E:$E,"560",Flat_file!$F:$F,"U")</f>
        <v>0</v>
      </c>
      <c r="K83" s="92">
        <f>SUMIFS(Flat_file!$H:$H,Flat_file!$B:$B,Summary_Unemployed!$B$2,Flat_file!$C:$C,"Men",Flat_file!$D:$D,"75+",Flat_file!$E:$E,"640",Flat_file!$F:$F,"U")+SUMIFS(Flat_file!$H:$H,Flat_file!$B:$B,Summary_Unemployed!$B$2,Flat_file!$C:$C,"Men",Flat_file!$D:$D,"75+",Flat_file!$E:$E,"650",Flat_file!$F:$F,"U")+SUMIFS(Flat_file!$H:$H,Flat_file!$B:$B,Summary_Unemployed!$B$2,Flat_file!$C:$C,"Men",Flat_file!$D:$D,"75+",Flat_file!$E:$E,"660",Flat_file!$F:$F,"U")</f>
        <v>0</v>
      </c>
      <c r="L83" s="92">
        <f>SUMIFS(Flat_file!$H:$H,Flat_file!$B:$B,Summary_Unemployed!$B$2,Flat_file!$C:$C,"Men",Flat_file!$D:$D,"75+",Flat_file!$E:$E,"740",Flat_file!$F:$F,"U")+SUMIFS(Flat_file!$H:$H,Flat_file!$B:$B,Summary_Unemployed!$B$2,Flat_file!$C:$C,"Men",Flat_file!$D:$D,"75+",Flat_file!$E:$E,"750",Flat_file!$F:$F,"U")+SUMIFS(Flat_file!$H:$H,Flat_file!$B:$B,Summary_Unemployed!$B$2,Flat_file!$C:$C,"Men",Flat_file!$D:$D,"75+",Flat_file!$E:$E,"760",Flat_file!$F:$F,"U")</f>
        <v>0</v>
      </c>
      <c r="M83" s="92">
        <f>SUMIFS(Flat_file!$H:$H,Flat_file!$B:$B,Summary_Unemployed!$B$2,Flat_file!$C:$C,"Men",Flat_file!$D:$D,"75+",Flat_file!$E:$E,"840",Flat_file!$F:$F,"U")+SUMIFS(Flat_file!$H:$H,Flat_file!$B:$B,Summary_Unemployed!$B$2,Flat_file!$C:$C,"Men",Flat_file!$D:$D,"75+",Flat_file!$E:$E,"850",Flat_file!$F:$F,"U")+SUMIFS(Flat_file!$H:$H,Flat_file!$B:$B,Summary_Unemployed!$B$2,Flat_file!$C:$C,"Men",Flat_file!$D:$D,"75+",Flat_file!$E:$E,"860",Flat_file!$F:$F,"U")</f>
        <v>0</v>
      </c>
      <c r="N83" s="92">
        <f>SUMIFS(Flat_file!$H:$H,Flat_file!$B:$B,Summary_Unemployed!$B$2,Flat_file!$C:$C,"Men",Flat_file!$D:$D,"75+",Flat_file!$E:$E,"999",Flat_file!$F:$F,"U")</f>
        <v>0</v>
      </c>
      <c r="O83" s="92">
        <f t="shared" si="48"/>
        <v>0</v>
      </c>
      <c r="P83" s="93"/>
      <c r="Q83" s="92">
        <f t="shared" si="49"/>
        <v>0</v>
      </c>
      <c r="R83" s="94"/>
      <c r="S83" s="92">
        <f t="shared" si="50"/>
        <v>0</v>
      </c>
      <c r="T83" s="92">
        <f t="shared" si="51"/>
        <v>0</v>
      </c>
      <c r="U83" s="92">
        <f t="shared" si="52"/>
        <v>0</v>
      </c>
      <c r="V83" s="93"/>
      <c r="W83" s="92">
        <f>SUMIFS(Flat_file!$H:$H,Flat_file!$B:$B,Summary_Unemployed!$B$2,Flat_file!$C:$C,"Men",Flat_file!$D:$D,"75+",Flat_file!$E:$E,"343",Flat_file!$F:$F,"U")+SUMIFS(Flat_file!$H:$H,Flat_file!$B:$B,Summary_Unemployed!$B$2,Flat_file!$C:$C,"Men",Flat_file!$D:$D,"75+",Flat_file!$E:$E,"344",Flat_file!$F:$F,"U")+SUMIFS(Flat_file!$H:$H,Flat_file!$B:$B,Summary_Unemployed!$B$2,Flat_file!$C:$C,"Men",Flat_file!$D:$D,"75+",Flat_file!$E:$E,"443",Flat_file!$F:$F,"U")+SUMIFS(Flat_file!$H:$H,Flat_file!$B:$B,Summary_Unemployed!$B$2,Flat_file!$C:$C,"Men",Flat_file!$D:$D,"75+",Flat_file!$E:$E,"444",Flat_file!$F:$F,"U")</f>
        <v>0</v>
      </c>
      <c r="X83" s="92">
        <f>SUMIFS(Flat_file!$H:$H,Flat_file!$B:$B,Summary_Unemployed!$B$2,Flat_file!$C:$C,"Men",Flat_file!$D:$D,"75+",Flat_file!$E:$E,"353",Flat_file!$F:$F,"U")+SUMIFS(Flat_file!$H:$H,Flat_file!$B:$B,Summary_Unemployed!$B$2,Flat_file!$C:$C,"Men",Flat_file!$D:$D,"75+",Flat_file!$E:$E,"354",Flat_file!$F:$F,"U")+SUMIFS(Flat_file!$H:$H,Flat_file!$B:$B,Summary_Unemployed!$B$2,Flat_file!$C:$C,"Men",Flat_file!$D:$D,"75+",Flat_file!$E:$E,"453",Flat_file!$F:$F,"U")+SUMIFS(Flat_file!$H:$H,Flat_file!$B:$B,Summary_Unemployed!$B$2,Flat_file!$C:$C,"Men",Flat_file!$D:$D,"75+",Flat_file!$E:$E,"454",Flat_file!$F:$F,"U")</f>
        <v>0</v>
      </c>
      <c r="Y83" s="93"/>
      <c r="Z83" s="92">
        <f>SUMIFS(Flat_file!$H:$H,Flat_file!$B:$B,Summary_Unemployed!$B$2,Flat_file!$C:$C,"Men",Flat_file!$D:$D,"75+",Flat_file!$E:$E,"640",Flat_file!$F:$F,"U")+SUMIFS(Flat_file!$H:$H,Flat_file!$B:$B,Summary_Unemployed!$B$2,Flat_file!$C:$C,"Men",Flat_file!$D:$D,"75+",Flat_file!$E:$E,"740",Flat_file!$F:$F,"U")+SUMIFS(Flat_file!$H:$H,Flat_file!$B:$B,Summary_Unemployed!$B$2,Flat_file!$C:$C,"Men",Flat_file!$D:$D,"75+",Flat_file!$E:$E,"840",Flat_file!$F:$F,"U")</f>
        <v>0</v>
      </c>
      <c r="AA83" s="92">
        <f>SUMIFS(Flat_file!$H:$H,Flat_file!$B:$B,Summary_Unemployed!$B$2,Flat_file!$C:$C,"Men",Flat_file!$D:$D,"75+",Flat_file!$E:$E,"650",Flat_file!$F:$F,"U")+SUMIFS(Flat_file!$H:$H,Flat_file!$B:$B,Summary_Unemployed!$B$2,Flat_file!$C:$C,"Men",Flat_file!$D:$D,"75+",Flat_file!$E:$E,"750",Flat_file!$F:$F,"U")+SUMIFS(Flat_file!$H:$H,Flat_file!$B:$B,Summary_Unemployed!$B$2,Flat_file!$C:$C,"Men",Flat_file!$D:$D,"75+",Flat_file!$E:$E,"850",Flat_file!$F:$F,"U")</f>
        <v>0</v>
      </c>
      <c r="AB83" s="92">
        <f>SUMIFS(Flat_file!$H:$H,Flat_file!$B:$B,Summary_Unemployed!$B$2,Flat_file!$C:$C,"Men",Flat_file!$D:$D,"75+",Flat_file!$E:$E,"660",Flat_file!$F:$F,"U")+SUMIFS(Flat_file!$H:$H,Flat_file!$B:$B,Summary_Unemployed!$B$2,Flat_file!$C:$C,"Men",Flat_file!$D:$D,"75+",Flat_file!$E:$E,"760",Flat_file!$F:$F,"U")+SUMIFS(Flat_file!$H:$H,Flat_file!$B:$B,Summary_Unemployed!$B$2,Flat_file!$C:$C,"Men",Flat_file!$D:$D,"75+",Flat_file!$E:$E,"860",Flat_file!$F:$F,"U")</f>
        <v>0</v>
      </c>
      <c r="AC83" s="3"/>
      <c r="AD83" s="3"/>
      <c r="AE83" s="3"/>
      <c r="AF83" s="3"/>
      <c r="AG83" s="3"/>
      <c r="AH83" s="3"/>
      <c r="AI83" s="3"/>
      <c r="AJ83" s="3"/>
      <c r="AK83" s="3"/>
      <c r="AL83" s="3"/>
      <c r="AM83" s="3"/>
      <c r="AN83" s="3"/>
      <c r="AO83" s="3"/>
      <c r="AP83" s="3"/>
      <c r="AQ83" s="3"/>
      <c r="AR83" s="3"/>
      <c r="AS83" s="3"/>
    </row>
    <row r="84" spans="1:45" customFormat="1" ht="12.75" customHeight="1" x14ac:dyDescent="0.2">
      <c r="A84" s="351" t="s">
        <v>6</v>
      </c>
      <c r="B84" s="78" t="s">
        <v>87</v>
      </c>
      <c r="C84" s="86">
        <f>SUMIFS(Flat_file!$H:$H,Flat_file!$B:$B,Summary_Unemployed!$B$2,Flat_file!$C:$C,"Women",Flat_file!$D:$D,"15-19",Flat_file!$E:$E,"010",Flat_file!$F:$F,"U")+SUMIFS(Flat_file!$H:$H,Flat_file!$B:$B,Summary_Unemployed!$B$2,Flat_file!$C:$C,"Women",Flat_file!$D:$D,"15-19",Flat_file!$E:$E,"020",Flat_file!$F:$F,"U")+SUMIFS(Flat_file!$H:$H,Flat_file!$B:$B,Summary_Unemployed!$B$2,Flat_file!$C:$C,"Women",Flat_file!$D:$D,"15-19",Flat_file!$E:$E,"030",Flat_file!$F:$F,"U")</f>
        <v>0</v>
      </c>
      <c r="D84" s="86">
        <f>SUMIFS(Flat_file!$H:$H,Flat_file!$B:$B,Summary_Unemployed!$B$2,Flat_file!$C:$C,"Women",Flat_file!$D:$D,"15-19",Flat_file!$E:$E,"100",Flat_file!$F:$F,"U")</f>
        <v>0</v>
      </c>
      <c r="E84" s="86">
        <f>SUMIFS(Flat_file!$H:$H,Flat_file!$B:$B,Summary_Unemployed!$B$2,Flat_file!$C:$C,"Women",Flat_file!$D:$D,"15-19",Flat_file!$E:$E,"242",Flat_file!$F:$F,"U")+SUMIFS(Flat_file!$H:$H,Flat_file!$B:$B,Summary_Unemployed!$B$2,Flat_file!$C:$C,"Women",Flat_file!$D:$D,"15-19",Flat_file!$E:$E,"252",Flat_file!$F:$F,"U")</f>
        <v>0</v>
      </c>
      <c r="F84" s="86">
        <f>SUMIFS(Flat_file!$H:$H,Flat_file!$B:$B,Summary_Unemployed!$B$2,Flat_file!$C:$C,"Women",Flat_file!$D:$D,"15-19",Flat_file!$E:$E,"243",Flat_file!$F:$F,"U")+SUMIFS(Flat_file!$H:$H,Flat_file!$B:$B,Summary_Unemployed!$B$2,Flat_file!$C:$C,"Women",Flat_file!$D:$D,"15-19",Flat_file!$E:$E,"244",Flat_file!$F:$F,"U")+SUMIFS(Flat_file!$H:$H,Flat_file!$B:$B,Summary_Unemployed!$B$2,Flat_file!$C:$C,"Women",Flat_file!$D:$D,"15-19",Flat_file!$E:$E,"253",Flat_file!$F:$F,"U")+SUMIFS(Flat_file!$H:$H,Flat_file!$B:$B,Summary_Unemployed!$B$2,Flat_file!$C:$C,"Women",Flat_file!$D:$D,"15-19",Flat_file!$E:$E,"254",Flat_file!$F:$F,"U")</f>
        <v>0</v>
      </c>
      <c r="G84" s="86">
        <f>SUMIFS(Flat_file!$H:$H,Flat_file!$B:$B,Summary_Unemployed!$B$2,Flat_file!$C:$C,"Women",Flat_file!$D:$D,"15-19",Flat_file!$E:$E,"342",Flat_file!$F:$F,"U")+SUMIFS(Flat_file!$H:$H,Flat_file!$B:$B,Summary_Unemployed!$B$2,Flat_file!$C:$C,"Women",Flat_file!$D:$D,"15-19",Flat_file!$E:$E,"352",Flat_file!$F:$F,"U")</f>
        <v>0</v>
      </c>
      <c r="H84" s="86">
        <f>SUMIFS(Flat_file!$H:$H,Flat_file!$B:$B,Summary_Unemployed!$B$2,Flat_file!$C:$C,"Women",Flat_file!$D:$D,"15-19",Flat_file!$E:$E,"343",Flat_file!$F:$F,"U")+SUMIFS(Flat_file!$H:$H,Flat_file!$B:$B,Summary_Unemployed!$B$2,Flat_file!$C:$C,"Women",Flat_file!$D:$D,"15-19",Flat_file!$E:$E,"344",Flat_file!$F:$F,"U")+SUMIFS(Flat_file!$H:$H,Flat_file!$B:$B,Summary_Unemployed!$B$2,Flat_file!$C:$C,"Women",Flat_file!$D:$D,"15-19",Flat_file!$E:$E,"353",Flat_file!$F:$F,"U")+SUMIFS(Flat_file!$H:$H,Flat_file!$B:$B,Summary_Unemployed!$B$2,Flat_file!$C:$C,"Women",Flat_file!$D:$D,"15-19",Flat_file!$E:$E,"354",Flat_file!$F:$F,"U")</f>
        <v>0</v>
      </c>
      <c r="I84" s="86">
        <f>SUMIFS(Flat_file!$H:$H,Flat_file!$B:$B,Summary_Unemployed!$B$2,Flat_file!$C:$C,"Women",Flat_file!$D:$D,"15-19",Flat_file!$E:$E,"443",Flat_file!$F:$F,"U")+SUMIFS(Flat_file!$H:$H,Flat_file!$B:$B,Summary_Unemployed!$B$2,Flat_file!$C:$C,"Women",Flat_file!$D:$D,"15-19",Flat_file!$E:$E,"444",Flat_file!$F:$F,"U")+SUMIFS(Flat_file!$H:$H,Flat_file!$B:$B,Summary_Unemployed!$B$2,Flat_file!$C:$C,"Women",Flat_file!$D:$D,"15-19",Flat_file!$E:$E,"453",Flat_file!$F:$F,"U")+SUMIFS(Flat_file!$H:$H,Flat_file!$B:$B,Summary_Unemployed!$B$2,Flat_file!$C:$C,"Women",Flat_file!$D:$D,"15-19",Flat_file!$E:$E,"454",Flat_file!$F:$F,"U")</f>
        <v>0</v>
      </c>
      <c r="J84" s="86">
        <f>SUMIFS(Flat_file!$H:$H,Flat_file!$B:$B,Summary_Unemployed!$B$2,Flat_file!$C:$C,"Women",Flat_file!$D:$D,"15-19",Flat_file!$E:$E,"540",Flat_file!$F:$F,"U")+SUMIFS(Flat_file!$H:$H,Flat_file!$B:$B,Summary_Unemployed!$B$2,Flat_file!$C:$C,"Women",Flat_file!$D:$D,"15-19",Flat_file!$E:$E,"550",Flat_file!$F:$F,"U")+SUMIFS(Flat_file!$H:$H,Flat_file!$B:$B,Summary_Unemployed!$B$2,Flat_file!$C:$C,"Women",Flat_file!$D:$D,"15-19",Flat_file!$E:$E,"560",Flat_file!$F:$F,"U")</f>
        <v>0</v>
      </c>
      <c r="K84" s="86">
        <f>SUMIFS(Flat_file!$H:$H,Flat_file!$B:$B,Summary_Unemployed!$B$2,Flat_file!$C:$C,"Women",Flat_file!$D:$D,"15-19",Flat_file!$E:$E,"640",Flat_file!$F:$F,"U")+SUMIFS(Flat_file!$H:$H,Flat_file!$B:$B,Summary_Unemployed!$B$2,Flat_file!$C:$C,"Women",Flat_file!$D:$D,"15-19",Flat_file!$E:$E,"650",Flat_file!$F:$F,"U")+SUMIFS(Flat_file!$H:$H,Flat_file!$B:$B,Summary_Unemployed!$B$2,Flat_file!$C:$C,"Women",Flat_file!$D:$D,"15-19",Flat_file!$E:$E,"660",Flat_file!$F:$F,"U")</f>
        <v>0</v>
      </c>
      <c r="L84" s="86">
        <f>SUMIFS(Flat_file!$H:$H,Flat_file!$B:$B,Summary_Unemployed!$B$2,Flat_file!$C:$C,"Women",Flat_file!$D:$D,"15-19",Flat_file!$E:$E,"740",Flat_file!$F:$F,"U")+SUMIFS(Flat_file!$H:$H,Flat_file!$B:$B,Summary_Unemployed!$B$2,Flat_file!$C:$C,"Women",Flat_file!$D:$D,"15-19",Flat_file!$E:$E,"750",Flat_file!$F:$F,"U")+SUMIFS(Flat_file!$H:$H,Flat_file!$B:$B,Summary_Unemployed!$B$2,Flat_file!$C:$C,"Women",Flat_file!$D:$D,"15-19",Flat_file!$E:$E,"760",Flat_file!$F:$F,"U")</f>
        <v>0</v>
      </c>
      <c r="M84" s="86">
        <f>SUMIFS(Flat_file!$H:$H,Flat_file!$B:$B,Summary_Unemployed!$B$2,Flat_file!$C:$C,"Women",Flat_file!$D:$D,"15-19",Flat_file!$E:$E,"840",Flat_file!$F:$F,"U")+SUMIFS(Flat_file!$H:$H,Flat_file!$B:$B,Summary_Unemployed!$B$2,Flat_file!$C:$C,"Women",Flat_file!$D:$D,"15-19",Flat_file!$E:$E,"850",Flat_file!$F:$F,"U")+SUMIFS(Flat_file!$H:$H,Flat_file!$B:$B,Summary_Unemployed!$B$2,Flat_file!$C:$C,"Women",Flat_file!$D:$D,"15-19",Flat_file!$E:$E,"860",Flat_file!$F:$F,"U")</f>
        <v>0</v>
      </c>
      <c r="N84" s="86">
        <f>SUMIFS(Flat_file!$H:$H,Flat_file!$B:$B,Summary_Unemployed!$B$2,Flat_file!$C:$C,"Women",Flat_file!$D:$D,"15-19",Flat_file!$E:$E,"999",Flat_file!$F:$F,"U")</f>
        <v>0</v>
      </c>
      <c r="O84" s="86">
        <f>SUM(C84:M84)</f>
        <v>0</v>
      </c>
      <c r="P84" s="87"/>
      <c r="Q84" s="86">
        <f>SUM(H84:M84)</f>
        <v>0</v>
      </c>
      <c r="R84" s="88"/>
      <c r="S84" s="86">
        <f>SUM(C84:G84)</f>
        <v>0</v>
      </c>
      <c r="T84" s="86">
        <f>SUM(H84:I84)</f>
        <v>0</v>
      </c>
      <c r="U84" s="86">
        <f>SUM(J84:M84)</f>
        <v>0</v>
      </c>
      <c r="V84" s="87"/>
      <c r="W84" s="86">
        <f>SUMIFS(Flat_file!$H:$H,Flat_file!$B:$B,Summary_Unemployed!$B$2,Flat_file!$C:$C,"Women",Flat_file!$D:$D,"15-19",Flat_file!$E:$E,"343",Flat_file!$F:$F,"U")+SUMIFS(Flat_file!$H:$H,Flat_file!$B:$B,Summary_Unemployed!$B$2,Flat_file!$C:$C,"Women",Flat_file!$D:$D,"15-19",Flat_file!$E:$E,"344",Flat_file!$F:$F,"U")+SUMIFS(Flat_file!$H:$H,Flat_file!$B:$B,Summary_Unemployed!$B$2,Flat_file!$C:$C,"Women",Flat_file!$D:$D,"15-19",Flat_file!$E:$E,"443",Flat_file!$F:$F,"U")+SUMIFS(Flat_file!$H:$H,Flat_file!$B:$B,Summary_Unemployed!$B$2,Flat_file!$C:$C,"Women",Flat_file!$D:$D,"15-19",Flat_file!$E:$E,"444",Flat_file!$F:$F,"U")</f>
        <v>0</v>
      </c>
      <c r="X84" s="86">
        <f>SUMIFS(Flat_file!$H:$H,Flat_file!$B:$B,Summary_Unemployed!$B$2,Flat_file!$C:$C,"Women",Flat_file!$D:$D,"15-19",Flat_file!$E:$E,"353",Flat_file!$F:$F,"U")+SUMIFS(Flat_file!$H:$H,Flat_file!$B:$B,Summary_Unemployed!$B$2,Flat_file!$C:$C,"Women",Flat_file!$D:$D,"15-19",Flat_file!$E:$E,"354",Flat_file!$F:$F,"U")+SUMIFS(Flat_file!$H:$H,Flat_file!$B:$B,Summary_Unemployed!$B$2,Flat_file!$C:$C,"Women",Flat_file!$D:$D,"15-19",Flat_file!$E:$E,"453",Flat_file!$F:$F,"U")+SUMIFS(Flat_file!$H:$H,Flat_file!$B:$B,Summary_Unemployed!$B$2,Flat_file!$C:$C,"Women",Flat_file!$D:$D,"15-19",Flat_file!$E:$E,"454",Flat_file!$F:$F,"U")</f>
        <v>0</v>
      </c>
      <c r="Y84" s="87"/>
      <c r="Z84" s="86">
        <f>SUMIFS(Flat_file!$H:$H,Flat_file!$B:$B,Summary_Unemployed!$B$2,Flat_file!$C:$C,"Women",Flat_file!$D:$D,"15-19",Flat_file!$E:$E,"640",Flat_file!$F:$F,"U")+SUMIFS(Flat_file!$H:$H,Flat_file!$B:$B,Summary_Unemployed!$B$2,Flat_file!$C:$C,"Women",Flat_file!$D:$D,"15-19",Flat_file!$E:$E,"740",Flat_file!$F:$F,"U")+SUMIFS(Flat_file!$H:$H,Flat_file!$B:$B,Summary_Unemployed!$B$2,Flat_file!$C:$C,"Women",Flat_file!$D:$D,"15-19",Flat_file!$E:$E,"840",Flat_file!$F:$F,"U")</f>
        <v>0</v>
      </c>
      <c r="AA84" s="86">
        <f>SUMIFS(Flat_file!$H:$H,Flat_file!$B:$B,Summary_Unemployed!$B$2,Flat_file!$C:$C,"Women",Flat_file!$D:$D,"15-19",Flat_file!$E:$E,"650",Flat_file!$F:$F,"U")+SUMIFS(Flat_file!$H:$H,Flat_file!$B:$B,Summary_Unemployed!$B$2,Flat_file!$C:$C,"Women",Flat_file!$D:$D,"15-19",Flat_file!$E:$E,"750",Flat_file!$F:$F,"U")+SUMIFS(Flat_file!$H:$H,Flat_file!$B:$B,Summary_Unemployed!$B$2,Flat_file!$C:$C,"Women",Flat_file!$D:$D,"15-19",Flat_file!$E:$E,"850",Flat_file!$F:$F,"U")</f>
        <v>0</v>
      </c>
      <c r="AB84" s="86">
        <f>SUMIFS(Flat_file!$H:$H,Flat_file!$B:$B,Summary_Unemployed!$B$2,Flat_file!$C:$C,"Women",Flat_file!$D:$D,"15-19",Flat_file!$E:$E,"660",Flat_file!$F:$F,"U")+SUMIFS(Flat_file!$H:$H,Flat_file!$B:$B,Summary_Unemployed!$B$2,Flat_file!$C:$C,"Women",Flat_file!$D:$D,"15-19",Flat_file!$E:$E,"760",Flat_file!$F:$F,"U")+SUMIFS(Flat_file!$H:$H,Flat_file!$B:$B,Summary_Unemployed!$B$2,Flat_file!$C:$C,"Women",Flat_file!$D:$D,"15-19",Flat_file!$E:$E,"860",Flat_file!$F:$F,"U")</f>
        <v>0</v>
      </c>
      <c r="AC84" s="3"/>
      <c r="AD84" s="3"/>
      <c r="AE84" s="3"/>
      <c r="AF84" s="3"/>
      <c r="AG84" s="3"/>
      <c r="AH84" s="3"/>
      <c r="AI84" s="3"/>
      <c r="AJ84" s="3"/>
      <c r="AK84" s="3"/>
      <c r="AL84" s="3"/>
      <c r="AM84" s="3"/>
      <c r="AN84" s="3"/>
      <c r="AO84" s="3"/>
      <c r="AP84" s="3"/>
      <c r="AQ84" s="3"/>
      <c r="AR84" s="3"/>
      <c r="AS84" s="3"/>
    </row>
    <row r="85" spans="1:45" customFormat="1" x14ac:dyDescent="0.2">
      <c r="A85" s="352"/>
      <c r="B85" s="79" t="s">
        <v>88</v>
      </c>
      <c r="C85" s="89">
        <f>SUMIFS(Flat_file!$H:$H,Flat_file!$B:$B,Summary_Unemployed!$B$2,Flat_file!$C:$C,"Women",Flat_file!$D:$D,"20-24",Flat_file!$E:$E,"010",Flat_file!$F:$F,"U")+SUMIFS(Flat_file!$H:$H,Flat_file!$B:$B,Summary_Unemployed!$B$2,Flat_file!$C:$C,"Women",Flat_file!$D:$D,"20-24",Flat_file!$E:$E,"020",Flat_file!$F:$F,"U")+SUMIFS(Flat_file!$H:$H,Flat_file!$B:$B,Summary_Unemployed!$B$2,Flat_file!$C:$C,"Women",Flat_file!$D:$D,"20-24",Flat_file!$E:$E,"030",Flat_file!$F:$F,"U")</f>
        <v>0</v>
      </c>
      <c r="D85" s="89">
        <f>SUMIFS(Flat_file!$H:$H,Flat_file!$B:$B,Summary_Unemployed!$B$2,Flat_file!$C:$C,"Women",Flat_file!$D:$D,"20-24",Flat_file!$E:$E,"100",Flat_file!$F:$F,"U")</f>
        <v>0</v>
      </c>
      <c r="E85" s="89">
        <f>SUMIFS(Flat_file!$H:$H,Flat_file!$B:$B,Summary_Unemployed!$B$2,Flat_file!$C:$C,"Women",Flat_file!$D:$D,"20-24",Flat_file!$E:$E,"242",Flat_file!$F:$F,"U")+SUMIFS(Flat_file!$H:$H,Flat_file!$B:$B,Summary_Unemployed!$B$2,Flat_file!$C:$C,"Women",Flat_file!$D:$D,"20-24",Flat_file!$E:$E,"252",Flat_file!$F:$F,"U")</f>
        <v>0</v>
      </c>
      <c r="F85" s="89">
        <f>SUMIFS(Flat_file!$H:$H,Flat_file!$B:$B,Summary_Unemployed!$B$2,Flat_file!$C:$C,"Women",Flat_file!$D:$D,"20-24",Flat_file!$E:$E,"243",Flat_file!$F:$F,"U")+SUMIFS(Flat_file!$H:$H,Flat_file!$B:$B,Summary_Unemployed!$B$2,Flat_file!$C:$C,"Women",Flat_file!$D:$D,"20-24",Flat_file!$E:$E,"244",Flat_file!$F:$F,"U")+SUMIFS(Flat_file!$H:$H,Flat_file!$B:$B,Summary_Unemployed!$B$2,Flat_file!$C:$C,"Women",Flat_file!$D:$D,"20-24",Flat_file!$E:$E,"253",Flat_file!$F:$F,"U")+SUMIFS(Flat_file!$H:$H,Flat_file!$B:$B,Summary_Unemployed!$B$2,Flat_file!$C:$C,"Women",Flat_file!$D:$D,"20-24",Flat_file!$E:$E,"254",Flat_file!$F:$F,"U")</f>
        <v>0</v>
      </c>
      <c r="G85" s="89">
        <f>SUMIFS(Flat_file!$H:$H,Flat_file!$B:$B,Summary_Unemployed!$B$2,Flat_file!$C:$C,"Women",Flat_file!$D:$D,"20-24",Flat_file!$E:$E,"342",Flat_file!$F:$F,"U")+SUMIFS(Flat_file!$H:$H,Flat_file!$B:$B,Summary_Unemployed!$B$2,Flat_file!$C:$C,"Women",Flat_file!$D:$D,"20-24",Flat_file!$E:$E,"352",Flat_file!$F:$F,"U")</f>
        <v>0</v>
      </c>
      <c r="H85" s="89">
        <f>SUMIFS(Flat_file!$H:$H,Flat_file!$B:$B,Summary_Unemployed!$B$2,Flat_file!$C:$C,"Women",Flat_file!$D:$D,"20-24",Flat_file!$E:$E,"343",Flat_file!$F:$F,"U")+SUMIFS(Flat_file!$H:$H,Flat_file!$B:$B,Summary_Unemployed!$B$2,Flat_file!$C:$C,"Women",Flat_file!$D:$D,"20-24",Flat_file!$E:$E,"344",Flat_file!$F:$F,"U")+SUMIFS(Flat_file!$H:$H,Flat_file!$B:$B,Summary_Unemployed!$B$2,Flat_file!$C:$C,"Women",Flat_file!$D:$D,"20-24",Flat_file!$E:$E,"353",Flat_file!$F:$F,"U")+SUMIFS(Flat_file!$H:$H,Flat_file!$B:$B,Summary_Unemployed!$B$2,Flat_file!$C:$C,"Women",Flat_file!$D:$D,"20-24",Flat_file!$E:$E,"354",Flat_file!$F:$F,"U")</f>
        <v>0</v>
      </c>
      <c r="I85" s="89">
        <f>SUMIFS(Flat_file!$H:$H,Flat_file!$B:$B,Summary_Unemployed!$B$2,Flat_file!$C:$C,"Women",Flat_file!$D:$D,"20-24",Flat_file!$E:$E,"443",Flat_file!$F:$F,"U")+SUMIFS(Flat_file!$H:$H,Flat_file!$B:$B,Summary_Unemployed!$B$2,Flat_file!$C:$C,"Women",Flat_file!$D:$D,"20-24",Flat_file!$E:$E,"444",Flat_file!$F:$F,"U")+SUMIFS(Flat_file!$H:$H,Flat_file!$B:$B,Summary_Unemployed!$B$2,Flat_file!$C:$C,"Women",Flat_file!$D:$D,"20-24",Flat_file!$E:$E,"453",Flat_file!$F:$F,"U")+SUMIFS(Flat_file!$H:$H,Flat_file!$B:$B,Summary_Unemployed!$B$2,Flat_file!$C:$C,"Women",Flat_file!$D:$D,"20-24",Flat_file!$E:$E,"454",Flat_file!$F:$F,"U")</f>
        <v>0</v>
      </c>
      <c r="J85" s="89">
        <f>SUMIFS(Flat_file!$H:$H,Flat_file!$B:$B,Summary_Unemployed!$B$2,Flat_file!$C:$C,"Women",Flat_file!$D:$D,"20-24",Flat_file!$E:$E,"540",Flat_file!$F:$F,"U")+SUMIFS(Flat_file!$H:$H,Flat_file!$B:$B,Summary_Unemployed!$B$2,Flat_file!$C:$C,"Women",Flat_file!$D:$D,"20-24",Flat_file!$E:$E,"550",Flat_file!$F:$F,"U")+SUMIFS(Flat_file!$H:$H,Flat_file!$B:$B,Summary_Unemployed!$B$2,Flat_file!$C:$C,"Women",Flat_file!$D:$D,"20-24",Flat_file!$E:$E,"560",Flat_file!$F:$F,"U")</f>
        <v>0</v>
      </c>
      <c r="K85" s="89">
        <f>SUMIFS(Flat_file!$H:$H,Flat_file!$B:$B,Summary_Unemployed!$B$2,Flat_file!$C:$C,"Women",Flat_file!$D:$D,"20-24",Flat_file!$E:$E,"640",Flat_file!$F:$F,"U")+SUMIFS(Flat_file!$H:$H,Flat_file!$B:$B,Summary_Unemployed!$B$2,Flat_file!$C:$C,"Women",Flat_file!$D:$D,"20-24",Flat_file!$E:$E,"650",Flat_file!$F:$F,"U")+SUMIFS(Flat_file!$H:$H,Flat_file!$B:$B,Summary_Unemployed!$B$2,Flat_file!$C:$C,"Women",Flat_file!$D:$D,"20-24",Flat_file!$E:$E,"660",Flat_file!$F:$F,"U")</f>
        <v>0</v>
      </c>
      <c r="L85" s="89">
        <f>SUMIFS(Flat_file!$H:$H,Flat_file!$B:$B,Summary_Unemployed!$B$2,Flat_file!$C:$C,"Women",Flat_file!$D:$D,"20-24",Flat_file!$E:$E,"740",Flat_file!$F:$F,"U")+SUMIFS(Flat_file!$H:$H,Flat_file!$B:$B,Summary_Unemployed!$B$2,Flat_file!$C:$C,"Women",Flat_file!$D:$D,"20-24",Flat_file!$E:$E,"750",Flat_file!$F:$F,"U")+SUMIFS(Flat_file!$H:$H,Flat_file!$B:$B,Summary_Unemployed!$B$2,Flat_file!$C:$C,"Women",Flat_file!$D:$D,"20-24",Flat_file!$E:$E,"760",Flat_file!$F:$F,"U")</f>
        <v>0</v>
      </c>
      <c r="M85" s="89">
        <f>SUMIFS(Flat_file!$H:$H,Flat_file!$B:$B,Summary_Unemployed!$B$2,Flat_file!$C:$C,"Women",Flat_file!$D:$D,"20-24",Flat_file!$E:$E,"840",Flat_file!$F:$F,"U")+SUMIFS(Flat_file!$H:$H,Flat_file!$B:$B,Summary_Unemployed!$B$2,Flat_file!$C:$C,"Women",Flat_file!$D:$D,"20-24",Flat_file!$E:$E,"850",Flat_file!$F:$F,"U")+SUMIFS(Flat_file!$H:$H,Flat_file!$B:$B,Summary_Unemployed!$B$2,Flat_file!$C:$C,"Women",Flat_file!$D:$D,"20-24",Flat_file!$E:$E,"860",Flat_file!$F:$F,"U")</f>
        <v>0</v>
      </c>
      <c r="N85" s="89">
        <f>SUMIFS(Flat_file!$H:$H,Flat_file!$B:$B,Summary_Unemployed!$B$2,Flat_file!$C:$C,"Women",Flat_file!$D:$D,"20-24",Flat_file!$E:$E,"999",Flat_file!$F:$F,"U")</f>
        <v>0</v>
      </c>
      <c r="O85" s="89">
        <f t="shared" ref="O85:O96" si="53">SUM(C85:M85)</f>
        <v>0</v>
      </c>
      <c r="P85" s="90"/>
      <c r="Q85" s="89">
        <f t="shared" ref="Q85:Q96" si="54">SUM(H85:M85)</f>
        <v>0</v>
      </c>
      <c r="R85" s="91"/>
      <c r="S85" s="89">
        <f t="shared" ref="S85:S96" si="55">SUM(C85:G85)</f>
        <v>0</v>
      </c>
      <c r="T85" s="89">
        <f t="shared" ref="T85:T96" si="56">SUM(H85:I85)</f>
        <v>0</v>
      </c>
      <c r="U85" s="89">
        <f t="shared" ref="U85:U96" si="57">SUM(J85:M85)</f>
        <v>0</v>
      </c>
      <c r="V85" s="90"/>
      <c r="W85" s="89">
        <f>SUMIFS(Flat_file!$H:$H,Flat_file!$B:$B,Summary_Unemployed!$B$2,Flat_file!$C:$C,"Women",Flat_file!$D:$D,"20-24",Flat_file!$E:$E,"343",Flat_file!$F:$F,"U")+SUMIFS(Flat_file!$H:$H,Flat_file!$B:$B,Summary_Unemployed!$B$2,Flat_file!$C:$C,"Women",Flat_file!$D:$D,"20-24",Flat_file!$E:$E,"344",Flat_file!$F:$F,"U")+SUMIFS(Flat_file!$H:$H,Flat_file!$B:$B,Summary_Unemployed!$B$2,Flat_file!$C:$C,"Women",Flat_file!$D:$D,"20-24",Flat_file!$E:$E,"443",Flat_file!$F:$F,"U")+SUMIFS(Flat_file!$H:$H,Flat_file!$B:$B,Summary_Unemployed!$B$2,Flat_file!$C:$C,"Women",Flat_file!$D:$D,"20-24",Flat_file!$E:$E,"444",Flat_file!$F:$F,"U")</f>
        <v>0</v>
      </c>
      <c r="X85" s="89">
        <f>SUMIFS(Flat_file!$H:$H,Flat_file!$B:$B,Summary_Unemployed!$B$2,Flat_file!$C:$C,"Women",Flat_file!$D:$D,"20-24",Flat_file!$E:$E,"353",Flat_file!$F:$F,"U")+SUMIFS(Flat_file!$H:$H,Flat_file!$B:$B,Summary_Unemployed!$B$2,Flat_file!$C:$C,"Women",Flat_file!$D:$D,"20-24",Flat_file!$E:$E,"354",Flat_file!$F:$F,"U")+SUMIFS(Flat_file!$H:$H,Flat_file!$B:$B,Summary_Unemployed!$B$2,Flat_file!$C:$C,"Women",Flat_file!$D:$D,"20-24",Flat_file!$E:$E,"453",Flat_file!$F:$F,"U")+SUMIFS(Flat_file!$H:$H,Flat_file!$B:$B,Summary_Unemployed!$B$2,Flat_file!$C:$C,"Women",Flat_file!$D:$D,"20-24",Flat_file!$E:$E,"454",Flat_file!$F:$F,"U")</f>
        <v>0</v>
      </c>
      <c r="Y85" s="90"/>
      <c r="Z85" s="89">
        <f>SUMIFS(Flat_file!$H:$H,Flat_file!$B:$B,Summary_Unemployed!$B$2,Flat_file!$C:$C,"Women",Flat_file!$D:$D,"20-24",Flat_file!$E:$E,"640",Flat_file!$F:$F,"U")+SUMIFS(Flat_file!$H:$H,Flat_file!$B:$B,Summary_Unemployed!$B$2,Flat_file!$C:$C,"Women",Flat_file!$D:$D,"20-24",Flat_file!$E:$E,"740",Flat_file!$F:$F,"U")+SUMIFS(Flat_file!$H:$H,Flat_file!$B:$B,Summary_Unemployed!$B$2,Flat_file!$C:$C,"Women",Flat_file!$D:$D,"20-24",Flat_file!$E:$E,"840",Flat_file!$F:$F,"U")</f>
        <v>0</v>
      </c>
      <c r="AA85" s="89">
        <f>SUMIFS(Flat_file!$H:$H,Flat_file!$B:$B,Summary_Unemployed!$B$2,Flat_file!$C:$C,"Women",Flat_file!$D:$D,"20-24",Flat_file!$E:$E,"650",Flat_file!$F:$F,"U")+SUMIFS(Flat_file!$H:$H,Flat_file!$B:$B,Summary_Unemployed!$B$2,Flat_file!$C:$C,"Women",Flat_file!$D:$D,"20-24",Flat_file!$E:$E,"750",Flat_file!$F:$F,"U")+SUMIFS(Flat_file!$H:$H,Flat_file!$B:$B,Summary_Unemployed!$B$2,Flat_file!$C:$C,"Women",Flat_file!$D:$D,"20-24",Flat_file!$E:$E,"850",Flat_file!$F:$F,"U")</f>
        <v>0</v>
      </c>
      <c r="AB85" s="89">
        <f>SUMIFS(Flat_file!$H:$H,Flat_file!$B:$B,Summary_Unemployed!$B$2,Flat_file!$C:$C,"Women",Flat_file!$D:$D,"20-24",Flat_file!$E:$E,"660",Flat_file!$F:$F,"U")+SUMIFS(Flat_file!$H:$H,Flat_file!$B:$B,Summary_Unemployed!$B$2,Flat_file!$C:$C,"Women",Flat_file!$D:$D,"20-24",Flat_file!$E:$E,"760",Flat_file!$F:$F,"U")+SUMIFS(Flat_file!$H:$H,Flat_file!$B:$B,Summary_Unemployed!$B$2,Flat_file!$C:$C,"Women",Flat_file!$D:$D,"20-24",Flat_file!$E:$E,"860",Flat_file!$F:$F,"U")</f>
        <v>0</v>
      </c>
      <c r="AC85" s="3"/>
      <c r="AD85" s="3"/>
      <c r="AE85" s="3"/>
      <c r="AF85" s="3"/>
      <c r="AG85" s="3"/>
      <c r="AH85" s="3"/>
      <c r="AI85" s="3"/>
      <c r="AJ85" s="3"/>
      <c r="AK85" s="3"/>
      <c r="AL85" s="3"/>
      <c r="AM85" s="3"/>
      <c r="AN85" s="3"/>
      <c r="AO85" s="3"/>
      <c r="AP85" s="3"/>
      <c r="AQ85" s="3"/>
      <c r="AR85" s="3"/>
      <c r="AS85" s="3"/>
    </row>
    <row r="86" spans="1:45" customFormat="1" x14ac:dyDescent="0.2">
      <c r="A86" s="352"/>
      <c r="B86" s="79" t="s">
        <v>89</v>
      </c>
      <c r="C86" s="89">
        <f>SUMIFS(Flat_file!$H:$H,Flat_file!$B:$B,Summary_Unemployed!$B$2,Flat_file!$C:$C,"Women",Flat_file!$D:$D,"25-29",Flat_file!$E:$E,"010",Flat_file!$F:$F,"U")+SUMIFS(Flat_file!$H:$H,Flat_file!$B:$B,Summary_Unemployed!$B$2,Flat_file!$C:$C,"Women",Flat_file!$D:$D,"25-29",Flat_file!$E:$E,"020",Flat_file!$F:$F,"U")+SUMIFS(Flat_file!$H:$H,Flat_file!$B:$B,Summary_Unemployed!$B$2,Flat_file!$C:$C,"Women",Flat_file!$D:$D,"25-29",Flat_file!$E:$E,"030",Flat_file!$F:$F,"U")</f>
        <v>0</v>
      </c>
      <c r="D86" s="89">
        <f>SUMIFS(Flat_file!$H:$H,Flat_file!$B:$B,Summary_Unemployed!$B$2,Flat_file!$C:$C,"Women",Flat_file!$D:$D,"25-29",Flat_file!$E:$E,"100",Flat_file!$F:$F,"U")</f>
        <v>0</v>
      </c>
      <c r="E86" s="89">
        <f>SUMIFS(Flat_file!$H:$H,Flat_file!$B:$B,Summary_Unemployed!$B$2,Flat_file!$C:$C,"Women",Flat_file!$D:$D,"25-29",Flat_file!$E:$E,"242",Flat_file!$F:$F,"U")+SUMIFS(Flat_file!$H:$H,Flat_file!$B:$B,Summary_Unemployed!$B$2,Flat_file!$C:$C,"Women",Flat_file!$D:$D,"25-29",Flat_file!$E:$E,"252",Flat_file!$F:$F,"U")</f>
        <v>0</v>
      </c>
      <c r="F86" s="89">
        <f>SUMIFS(Flat_file!$H:$H,Flat_file!$B:$B,Summary_Unemployed!$B$2,Flat_file!$C:$C,"Women",Flat_file!$D:$D,"25-29",Flat_file!$E:$E,"243",Flat_file!$F:$F,"U")+SUMIFS(Flat_file!$H:$H,Flat_file!$B:$B,Summary_Unemployed!$B$2,Flat_file!$C:$C,"Women",Flat_file!$D:$D,"25-29",Flat_file!$E:$E,"244",Flat_file!$F:$F,"U")+SUMIFS(Flat_file!$H:$H,Flat_file!$B:$B,Summary_Unemployed!$B$2,Flat_file!$C:$C,"Women",Flat_file!$D:$D,"25-29",Flat_file!$E:$E,"253",Flat_file!$F:$F,"U")+SUMIFS(Flat_file!$H:$H,Flat_file!$B:$B,Summary_Unemployed!$B$2,Flat_file!$C:$C,"Women",Flat_file!$D:$D,"25-29",Flat_file!$E:$E,"254",Flat_file!$F:$F,"U")</f>
        <v>0</v>
      </c>
      <c r="G86" s="89">
        <f>SUMIFS(Flat_file!$H:$H,Flat_file!$B:$B,Summary_Unemployed!$B$2,Flat_file!$C:$C,"Women",Flat_file!$D:$D,"25-29",Flat_file!$E:$E,"342",Flat_file!$F:$F,"U")+SUMIFS(Flat_file!$H:$H,Flat_file!$B:$B,Summary_Unemployed!$B$2,Flat_file!$C:$C,"Women",Flat_file!$D:$D,"25-29",Flat_file!$E:$E,"352",Flat_file!$F:$F,"U")</f>
        <v>0</v>
      </c>
      <c r="H86" s="89">
        <f>SUMIFS(Flat_file!$H:$H,Flat_file!$B:$B,Summary_Unemployed!$B$2,Flat_file!$C:$C,"Women",Flat_file!$D:$D,"25-29",Flat_file!$E:$E,"343",Flat_file!$F:$F,"U")+SUMIFS(Flat_file!$H:$H,Flat_file!$B:$B,Summary_Unemployed!$B$2,Flat_file!$C:$C,"Women",Flat_file!$D:$D,"25-29",Flat_file!$E:$E,"344",Flat_file!$F:$F,"U")+SUMIFS(Flat_file!$H:$H,Flat_file!$B:$B,Summary_Unemployed!$B$2,Flat_file!$C:$C,"Women",Flat_file!$D:$D,"25-29",Flat_file!$E:$E,"353",Flat_file!$F:$F,"U")+SUMIFS(Flat_file!$H:$H,Flat_file!$B:$B,Summary_Unemployed!$B$2,Flat_file!$C:$C,"Women",Flat_file!$D:$D,"25-29",Flat_file!$E:$E,"354",Flat_file!$F:$F,"U")</f>
        <v>0</v>
      </c>
      <c r="I86" s="89">
        <f>SUMIFS(Flat_file!$H:$H,Flat_file!$B:$B,Summary_Unemployed!$B$2,Flat_file!$C:$C,"Women",Flat_file!$D:$D,"25-29",Flat_file!$E:$E,"443",Flat_file!$F:$F,"U")+SUMIFS(Flat_file!$H:$H,Flat_file!$B:$B,Summary_Unemployed!$B$2,Flat_file!$C:$C,"Women",Flat_file!$D:$D,"25-29",Flat_file!$E:$E,"444",Flat_file!$F:$F,"U")+SUMIFS(Flat_file!$H:$H,Flat_file!$B:$B,Summary_Unemployed!$B$2,Flat_file!$C:$C,"Women",Flat_file!$D:$D,"25-29",Flat_file!$E:$E,"453",Flat_file!$F:$F,"U")+SUMIFS(Flat_file!$H:$H,Flat_file!$B:$B,Summary_Unemployed!$B$2,Flat_file!$C:$C,"Women",Flat_file!$D:$D,"25-29",Flat_file!$E:$E,"454",Flat_file!$F:$F,"U")</f>
        <v>0</v>
      </c>
      <c r="J86" s="89">
        <f>SUMIFS(Flat_file!$H:$H,Flat_file!$B:$B,Summary_Unemployed!$B$2,Flat_file!$C:$C,"Women",Flat_file!$D:$D,"25-29",Flat_file!$E:$E,"540",Flat_file!$F:$F,"U")+SUMIFS(Flat_file!$H:$H,Flat_file!$B:$B,Summary_Unemployed!$B$2,Flat_file!$C:$C,"Women",Flat_file!$D:$D,"25-29",Flat_file!$E:$E,"550",Flat_file!$F:$F,"U")+SUMIFS(Flat_file!$H:$H,Flat_file!$B:$B,Summary_Unemployed!$B$2,Flat_file!$C:$C,"Women",Flat_file!$D:$D,"25-29",Flat_file!$E:$E,"560",Flat_file!$F:$F,"U")</f>
        <v>0</v>
      </c>
      <c r="K86" s="89">
        <f>SUMIFS(Flat_file!$H:$H,Flat_file!$B:$B,Summary_Unemployed!$B$2,Flat_file!$C:$C,"Women",Flat_file!$D:$D,"25-29",Flat_file!$E:$E,"640",Flat_file!$F:$F,"U")+SUMIFS(Flat_file!$H:$H,Flat_file!$B:$B,Summary_Unemployed!$B$2,Flat_file!$C:$C,"Women",Flat_file!$D:$D,"25-29",Flat_file!$E:$E,"650",Flat_file!$F:$F,"U")+SUMIFS(Flat_file!$H:$H,Flat_file!$B:$B,Summary_Unemployed!$B$2,Flat_file!$C:$C,"Women",Flat_file!$D:$D,"25-29",Flat_file!$E:$E,"660",Flat_file!$F:$F,"U")</f>
        <v>0</v>
      </c>
      <c r="L86" s="89">
        <f>SUMIFS(Flat_file!$H:$H,Flat_file!$B:$B,Summary_Unemployed!$B$2,Flat_file!$C:$C,"Women",Flat_file!$D:$D,"25-29",Flat_file!$E:$E,"740",Flat_file!$F:$F,"U")+SUMIFS(Flat_file!$H:$H,Flat_file!$B:$B,Summary_Unemployed!$B$2,Flat_file!$C:$C,"Women",Flat_file!$D:$D,"25-29",Flat_file!$E:$E,"750",Flat_file!$F:$F,"U")+SUMIFS(Flat_file!$H:$H,Flat_file!$B:$B,Summary_Unemployed!$B$2,Flat_file!$C:$C,"Women",Flat_file!$D:$D,"25-29",Flat_file!$E:$E,"760",Flat_file!$F:$F,"U")</f>
        <v>0</v>
      </c>
      <c r="M86" s="89">
        <f>SUMIFS(Flat_file!$H:$H,Flat_file!$B:$B,Summary_Unemployed!$B$2,Flat_file!$C:$C,"Women",Flat_file!$D:$D,"25-29",Flat_file!$E:$E,"840",Flat_file!$F:$F,"U")+SUMIFS(Flat_file!$H:$H,Flat_file!$B:$B,Summary_Unemployed!$B$2,Flat_file!$C:$C,"Women",Flat_file!$D:$D,"25-29",Flat_file!$E:$E,"850",Flat_file!$F:$F,"U")+SUMIFS(Flat_file!$H:$H,Flat_file!$B:$B,Summary_Unemployed!$B$2,Flat_file!$C:$C,"Women",Flat_file!$D:$D,"25-29",Flat_file!$E:$E,"860",Flat_file!$F:$F,"U")</f>
        <v>0</v>
      </c>
      <c r="N86" s="89">
        <f>SUMIFS(Flat_file!$H:$H,Flat_file!$B:$B,Summary_Unemployed!$B$2,Flat_file!$C:$C,"Women",Flat_file!$D:$D,"25-29",Flat_file!$E:$E,"999",Flat_file!$F:$F,"U")</f>
        <v>0</v>
      </c>
      <c r="O86" s="89">
        <f t="shared" si="53"/>
        <v>0</v>
      </c>
      <c r="P86" s="90"/>
      <c r="Q86" s="89">
        <f t="shared" si="54"/>
        <v>0</v>
      </c>
      <c r="R86" s="91"/>
      <c r="S86" s="89">
        <f t="shared" si="55"/>
        <v>0</v>
      </c>
      <c r="T86" s="89">
        <f t="shared" si="56"/>
        <v>0</v>
      </c>
      <c r="U86" s="89">
        <f t="shared" si="57"/>
        <v>0</v>
      </c>
      <c r="V86" s="90"/>
      <c r="W86" s="89">
        <f>SUMIFS(Flat_file!$H:$H,Flat_file!$B:$B,Summary_Unemployed!$B$2,Flat_file!$C:$C,"Women",Flat_file!$D:$D,"25-29",Flat_file!$E:$E,"343",Flat_file!$F:$F,"U")+SUMIFS(Flat_file!$H:$H,Flat_file!$B:$B,Summary_Unemployed!$B$2,Flat_file!$C:$C,"Women",Flat_file!$D:$D,"25-29",Flat_file!$E:$E,"344",Flat_file!$F:$F,"U")+SUMIFS(Flat_file!$H:$H,Flat_file!$B:$B,Summary_Unemployed!$B$2,Flat_file!$C:$C,"Women",Flat_file!$D:$D,"25-29",Flat_file!$E:$E,"443",Flat_file!$F:$F,"U")+SUMIFS(Flat_file!$H:$H,Flat_file!$B:$B,Summary_Unemployed!$B$2,Flat_file!$C:$C,"Women",Flat_file!$D:$D,"25-29",Flat_file!$E:$E,"444",Flat_file!$F:$F,"U")</f>
        <v>0</v>
      </c>
      <c r="X86" s="89">
        <f>SUMIFS(Flat_file!$H:$H,Flat_file!$B:$B,Summary_Unemployed!$B$2,Flat_file!$C:$C,"Women",Flat_file!$D:$D,"25-29",Flat_file!$E:$E,"353",Flat_file!$F:$F,"U")+SUMIFS(Flat_file!$H:$H,Flat_file!$B:$B,Summary_Unemployed!$B$2,Flat_file!$C:$C,"Women",Flat_file!$D:$D,"25-29",Flat_file!$E:$E,"354",Flat_file!$F:$F,"U")+SUMIFS(Flat_file!$H:$H,Flat_file!$B:$B,Summary_Unemployed!$B$2,Flat_file!$C:$C,"Women",Flat_file!$D:$D,"25-29",Flat_file!$E:$E,"453",Flat_file!$F:$F,"U")+SUMIFS(Flat_file!$H:$H,Flat_file!$B:$B,Summary_Unemployed!$B$2,Flat_file!$C:$C,"Women",Flat_file!$D:$D,"25-29",Flat_file!$E:$E,"454",Flat_file!$F:$F,"U")</f>
        <v>0</v>
      </c>
      <c r="Y86" s="90"/>
      <c r="Z86" s="89">
        <f>SUMIFS(Flat_file!$H:$H,Flat_file!$B:$B,Summary_Unemployed!$B$2,Flat_file!$C:$C,"Women",Flat_file!$D:$D,"25-29",Flat_file!$E:$E,"640",Flat_file!$F:$F,"U")+SUMIFS(Flat_file!$H:$H,Flat_file!$B:$B,Summary_Unemployed!$B$2,Flat_file!$C:$C,"Women",Flat_file!$D:$D,"25-29",Flat_file!$E:$E,"740",Flat_file!$F:$F,"U")+SUMIFS(Flat_file!$H:$H,Flat_file!$B:$B,Summary_Unemployed!$B$2,Flat_file!$C:$C,"Women",Flat_file!$D:$D,"25-29",Flat_file!$E:$E,"840",Flat_file!$F:$F,"U")</f>
        <v>0</v>
      </c>
      <c r="AA86" s="89">
        <f>SUMIFS(Flat_file!$H:$H,Flat_file!$B:$B,Summary_Unemployed!$B$2,Flat_file!$C:$C,"Women",Flat_file!$D:$D,"25-29",Flat_file!$E:$E,"650",Flat_file!$F:$F,"U")+SUMIFS(Flat_file!$H:$H,Flat_file!$B:$B,Summary_Unemployed!$B$2,Flat_file!$C:$C,"Women",Flat_file!$D:$D,"25-29",Flat_file!$E:$E,"750",Flat_file!$F:$F,"U")+SUMIFS(Flat_file!$H:$H,Flat_file!$B:$B,Summary_Unemployed!$B$2,Flat_file!$C:$C,"Women",Flat_file!$D:$D,"25-29",Flat_file!$E:$E,"850",Flat_file!$F:$F,"U")</f>
        <v>0</v>
      </c>
      <c r="AB86" s="89">
        <f>SUMIFS(Flat_file!$H:$H,Flat_file!$B:$B,Summary_Unemployed!$B$2,Flat_file!$C:$C,"Women",Flat_file!$D:$D,"25-29",Flat_file!$E:$E,"660",Flat_file!$F:$F,"U")+SUMIFS(Flat_file!$H:$H,Flat_file!$B:$B,Summary_Unemployed!$B$2,Flat_file!$C:$C,"Women",Flat_file!$D:$D,"25-29",Flat_file!$E:$E,"760",Flat_file!$F:$F,"U")+SUMIFS(Flat_file!$H:$H,Flat_file!$B:$B,Summary_Unemployed!$B$2,Flat_file!$C:$C,"Women",Flat_file!$D:$D,"25-29",Flat_file!$E:$E,"860",Flat_file!$F:$F,"U")</f>
        <v>0</v>
      </c>
      <c r="AC86" s="3"/>
      <c r="AD86" s="3"/>
      <c r="AE86" s="3"/>
      <c r="AF86" s="3"/>
      <c r="AG86" s="3"/>
      <c r="AH86" s="3"/>
      <c r="AI86" s="3"/>
      <c r="AJ86" s="3"/>
      <c r="AK86" s="3"/>
      <c r="AL86" s="3"/>
      <c r="AM86" s="3"/>
      <c r="AN86" s="3"/>
      <c r="AO86" s="3"/>
      <c r="AP86" s="3"/>
      <c r="AQ86" s="3"/>
      <c r="AR86" s="3"/>
      <c r="AS86" s="3"/>
    </row>
    <row r="87" spans="1:45" customFormat="1" x14ac:dyDescent="0.2">
      <c r="A87" s="352"/>
      <c r="B87" s="79" t="s">
        <v>90</v>
      </c>
      <c r="C87" s="89">
        <f>SUMIFS(Flat_file!$H:$H,Flat_file!$B:$B,Summary_Unemployed!$B$2,Flat_file!$C:$C,"Women",Flat_file!$D:$D,"30-34",Flat_file!$E:$E,"010",Flat_file!$F:$F,"U")+SUMIFS(Flat_file!$H:$H,Flat_file!$B:$B,Summary_Unemployed!$B$2,Flat_file!$C:$C,"Women",Flat_file!$D:$D,"30-34",Flat_file!$E:$E,"020",Flat_file!$F:$F,"U")+SUMIFS(Flat_file!$H:$H,Flat_file!$B:$B,Summary_Unemployed!$B$2,Flat_file!$C:$C,"Women",Flat_file!$D:$D,"30-34",Flat_file!$E:$E,"030",Flat_file!$F:$F,"U")</f>
        <v>0</v>
      </c>
      <c r="D87" s="89">
        <f>SUMIFS(Flat_file!$H:$H,Flat_file!$B:$B,Summary_Unemployed!$B$2,Flat_file!$C:$C,"Women",Flat_file!$D:$D,"30-34",Flat_file!$E:$E,"100",Flat_file!$F:$F,"U")</f>
        <v>0</v>
      </c>
      <c r="E87" s="89">
        <f>SUMIFS(Flat_file!$H:$H,Flat_file!$B:$B,Summary_Unemployed!$B$2,Flat_file!$C:$C,"Women",Flat_file!$D:$D,"30-34",Flat_file!$E:$E,"242",Flat_file!$F:$F,"U")+SUMIFS(Flat_file!$H:$H,Flat_file!$B:$B,Summary_Unemployed!$B$2,Flat_file!$C:$C,"Women",Flat_file!$D:$D,"30-34",Flat_file!$E:$E,"252",Flat_file!$F:$F,"U")</f>
        <v>0</v>
      </c>
      <c r="F87" s="89">
        <f>SUMIFS(Flat_file!$H:$H,Flat_file!$B:$B,Summary_Unemployed!$B$2,Flat_file!$C:$C,"Women",Flat_file!$D:$D,"30-34",Flat_file!$E:$E,"243",Flat_file!$F:$F,"U")+SUMIFS(Flat_file!$H:$H,Flat_file!$B:$B,Summary_Unemployed!$B$2,Flat_file!$C:$C,"Women",Flat_file!$D:$D,"30-34",Flat_file!$E:$E,"244",Flat_file!$F:$F,"U")+SUMIFS(Flat_file!$H:$H,Flat_file!$B:$B,Summary_Unemployed!$B$2,Flat_file!$C:$C,"Women",Flat_file!$D:$D,"30-34",Flat_file!$E:$E,"253",Flat_file!$F:$F,"U")+SUMIFS(Flat_file!$H:$H,Flat_file!$B:$B,Summary_Unemployed!$B$2,Flat_file!$C:$C,"Women",Flat_file!$D:$D,"30-34",Flat_file!$E:$E,"254",Flat_file!$F:$F,"U")</f>
        <v>0</v>
      </c>
      <c r="G87" s="89">
        <f>SUMIFS(Flat_file!$H:$H,Flat_file!$B:$B,Summary_Unemployed!$B$2,Flat_file!$C:$C,"Women",Flat_file!$D:$D,"30-34",Flat_file!$E:$E,"342",Flat_file!$F:$F,"U")+SUMIFS(Flat_file!$H:$H,Flat_file!$B:$B,Summary_Unemployed!$B$2,Flat_file!$C:$C,"Women",Flat_file!$D:$D,"30-34",Flat_file!$E:$E,"352",Flat_file!$F:$F,"U")</f>
        <v>0</v>
      </c>
      <c r="H87" s="89">
        <f>SUMIFS(Flat_file!$H:$H,Flat_file!$B:$B,Summary_Unemployed!$B$2,Flat_file!$C:$C,"Women",Flat_file!$D:$D,"30-34",Flat_file!$E:$E,"343",Flat_file!$F:$F,"U")+SUMIFS(Flat_file!$H:$H,Flat_file!$B:$B,Summary_Unemployed!$B$2,Flat_file!$C:$C,"Women",Flat_file!$D:$D,"30-34",Flat_file!$E:$E,"344",Flat_file!$F:$F,"U")+SUMIFS(Flat_file!$H:$H,Flat_file!$B:$B,Summary_Unemployed!$B$2,Flat_file!$C:$C,"Women",Flat_file!$D:$D,"30-34",Flat_file!$E:$E,"353",Flat_file!$F:$F,"U")+SUMIFS(Flat_file!$H:$H,Flat_file!$B:$B,Summary_Unemployed!$B$2,Flat_file!$C:$C,"Women",Flat_file!$D:$D,"30-34",Flat_file!$E:$E,"354",Flat_file!$F:$F,"U")</f>
        <v>0</v>
      </c>
      <c r="I87" s="89">
        <f>SUMIFS(Flat_file!$H:$H,Flat_file!$B:$B,Summary_Unemployed!$B$2,Flat_file!$C:$C,"Women",Flat_file!$D:$D,"30-34",Flat_file!$E:$E,"443",Flat_file!$F:$F,"U")+SUMIFS(Flat_file!$H:$H,Flat_file!$B:$B,Summary_Unemployed!$B$2,Flat_file!$C:$C,"Women",Flat_file!$D:$D,"30-34",Flat_file!$E:$E,"444",Flat_file!$F:$F,"U")+SUMIFS(Flat_file!$H:$H,Flat_file!$B:$B,Summary_Unemployed!$B$2,Flat_file!$C:$C,"Women",Flat_file!$D:$D,"30-34",Flat_file!$E:$E,"453",Flat_file!$F:$F,"U")+SUMIFS(Flat_file!$H:$H,Flat_file!$B:$B,Summary_Unemployed!$B$2,Flat_file!$C:$C,"Women",Flat_file!$D:$D,"30-34",Flat_file!$E:$E,"454",Flat_file!$F:$F,"U")</f>
        <v>0</v>
      </c>
      <c r="J87" s="89">
        <f>SUMIFS(Flat_file!$H:$H,Flat_file!$B:$B,Summary_Unemployed!$B$2,Flat_file!$C:$C,"Women",Flat_file!$D:$D,"30-34",Flat_file!$E:$E,"540",Flat_file!$F:$F,"U")+SUMIFS(Flat_file!$H:$H,Flat_file!$B:$B,Summary_Unemployed!$B$2,Flat_file!$C:$C,"Women",Flat_file!$D:$D,"30-34",Flat_file!$E:$E,"550",Flat_file!$F:$F,"U")+SUMIFS(Flat_file!$H:$H,Flat_file!$B:$B,Summary_Unemployed!$B$2,Flat_file!$C:$C,"Women",Flat_file!$D:$D,"30-34",Flat_file!$E:$E,"560",Flat_file!$F:$F,"U")</f>
        <v>0</v>
      </c>
      <c r="K87" s="89">
        <f>SUMIFS(Flat_file!$H:$H,Flat_file!$B:$B,Summary_Unemployed!$B$2,Flat_file!$C:$C,"Women",Flat_file!$D:$D,"30-34",Flat_file!$E:$E,"640",Flat_file!$F:$F,"U")+SUMIFS(Flat_file!$H:$H,Flat_file!$B:$B,Summary_Unemployed!$B$2,Flat_file!$C:$C,"Women",Flat_file!$D:$D,"30-34",Flat_file!$E:$E,"650",Flat_file!$F:$F,"U")+SUMIFS(Flat_file!$H:$H,Flat_file!$B:$B,Summary_Unemployed!$B$2,Flat_file!$C:$C,"Women",Flat_file!$D:$D,"30-34",Flat_file!$E:$E,"660",Flat_file!$F:$F,"U")</f>
        <v>0</v>
      </c>
      <c r="L87" s="89">
        <f>SUMIFS(Flat_file!$H:$H,Flat_file!$B:$B,Summary_Unemployed!$B$2,Flat_file!$C:$C,"Women",Flat_file!$D:$D,"30-34",Flat_file!$E:$E,"740",Flat_file!$F:$F,"U")+SUMIFS(Flat_file!$H:$H,Flat_file!$B:$B,Summary_Unemployed!$B$2,Flat_file!$C:$C,"Women",Flat_file!$D:$D,"30-34",Flat_file!$E:$E,"750",Flat_file!$F:$F,"U")+SUMIFS(Flat_file!$H:$H,Flat_file!$B:$B,Summary_Unemployed!$B$2,Flat_file!$C:$C,"Women",Flat_file!$D:$D,"30-34",Flat_file!$E:$E,"760",Flat_file!$F:$F,"U")</f>
        <v>0</v>
      </c>
      <c r="M87" s="89">
        <f>SUMIFS(Flat_file!$H:$H,Flat_file!$B:$B,Summary_Unemployed!$B$2,Flat_file!$C:$C,"Women",Flat_file!$D:$D,"30-34",Flat_file!$E:$E,"840",Flat_file!$F:$F,"U")+SUMIFS(Flat_file!$H:$H,Flat_file!$B:$B,Summary_Unemployed!$B$2,Flat_file!$C:$C,"Women",Flat_file!$D:$D,"30-34",Flat_file!$E:$E,"850",Flat_file!$F:$F,"U")+SUMIFS(Flat_file!$H:$H,Flat_file!$B:$B,Summary_Unemployed!$B$2,Flat_file!$C:$C,"Women",Flat_file!$D:$D,"30-34",Flat_file!$E:$E,"860",Flat_file!$F:$F,"U")</f>
        <v>0</v>
      </c>
      <c r="N87" s="89">
        <f>SUMIFS(Flat_file!$H:$H,Flat_file!$B:$B,Summary_Unemployed!$B$2,Flat_file!$C:$C,"Women",Flat_file!$D:$D,"30-34",Flat_file!$E:$E,"999",Flat_file!$F:$F,"U")</f>
        <v>0</v>
      </c>
      <c r="O87" s="89">
        <f t="shared" si="53"/>
        <v>0</v>
      </c>
      <c r="P87" s="90"/>
      <c r="Q87" s="89">
        <f t="shared" si="54"/>
        <v>0</v>
      </c>
      <c r="R87" s="91"/>
      <c r="S87" s="89">
        <f t="shared" si="55"/>
        <v>0</v>
      </c>
      <c r="T87" s="89">
        <f t="shared" si="56"/>
        <v>0</v>
      </c>
      <c r="U87" s="89">
        <f t="shared" si="57"/>
        <v>0</v>
      </c>
      <c r="V87" s="90"/>
      <c r="W87" s="89">
        <f>SUMIFS(Flat_file!$H:$H,Flat_file!$B:$B,Summary_Unemployed!$B$2,Flat_file!$C:$C,"Women",Flat_file!$D:$D,"30-34",Flat_file!$E:$E,"343",Flat_file!$F:$F,"U")+SUMIFS(Flat_file!$H:$H,Flat_file!$B:$B,Summary_Unemployed!$B$2,Flat_file!$C:$C,"Women",Flat_file!$D:$D,"30-34",Flat_file!$E:$E,"344",Flat_file!$F:$F,"U")+SUMIFS(Flat_file!$H:$H,Flat_file!$B:$B,Summary_Unemployed!$B$2,Flat_file!$C:$C,"Women",Flat_file!$D:$D,"30-34",Flat_file!$E:$E,"443",Flat_file!$F:$F,"U")+SUMIFS(Flat_file!$H:$H,Flat_file!$B:$B,Summary_Unemployed!$B$2,Flat_file!$C:$C,"Women",Flat_file!$D:$D,"30-34",Flat_file!$E:$E,"444",Flat_file!$F:$F,"U")</f>
        <v>0</v>
      </c>
      <c r="X87" s="89">
        <f>SUMIFS(Flat_file!$H:$H,Flat_file!$B:$B,Summary_Unemployed!$B$2,Flat_file!$C:$C,"Women",Flat_file!$D:$D,"30-34",Flat_file!$E:$E,"353",Flat_file!$F:$F,"U")+SUMIFS(Flat_file!$H:$H,Flat_file!$B:$B,Summary_Unemployed!$B$2,Flat_file!$C:$C,"Women",Flat_file!$D:$D,"30-34",Flat_file!$E:$E,"354",Flat_file!$F:$F,"U")+SUMIFS(Flat_file!$H:$H,Flat_file!$B:$B,Summary_Unemployed!$B$2,Flat_file!$C:$C,"Women",Flat_file!$D:$D,"30-34",Flat_file!$E:$E,"453",Flat_file!$F:$F,"U")+SUMIFS(Flat_file!$H:$H,Flat_file!$B:$B,Summary_Unemployed!$B$2,Flat_file!$C:$C,"Women",Flat_file!$D:$D,"30-34",Flat_file!$E:$E,"454",Flat_file!$F:$F,"U")</f>
        <v>0</v>
      </c>
      <c r="Y87" s="90"/>
      <c r="Z87" s="89">
        <f>SUMIFS(Flat_file!$H:$H,Flat_file!$B:$B,Summary_Unemployed!$B$2,Flat_file!$C:$C,"Women",Flat_file!$D:$D,"30-34",Flat_file!$E:$E,"640",Flat_file!$F:$F,"U")+SUMIFS(Flat_file!$H:$H,Flat_file!$B:$B,Summary_Unemployed!$B$2,Flat_file!$C:$C,"Women",Flat_file!$D:$D,"30-34",Flat_file!$E:$E,"740",Flat_file!$F:$F,"U")+SUMIFS(Flat_file!$H:$H,Flat_file!$B:$B,Summary_Unemployed!$B$2,Flat_file!$C:$C,"Women",Flat_file!$D:$D,"30-34",Flat_file!$E:$E,"840",Flat_file!$F:$F,"U")</f>
        <v>0</v>
      </c>
      <c r="AA87" s="89">
        <f>SUMIFS(Flat_file!$H:$H,Flat_file!$B:$B,Summary_Unemployed!$B$2,Flat_file!$C:$C,"Women",Flat_file!$D:$D,"30-34",Flat_file!$E:$E,"650",Flat_file!$F:$F,"U")+SUMIFS(Flat_file!$H:$H,Flat_file!$B:$B,Summary_Unemployed!$B$2,Flat_file!$C:$C,"Women",Flat_file!$D:$D,"30-34",Flat_file!$E:$E,"750",Flat_file!$F:$F,"U")+SUMIFS(Flat_file!$H:$H,Flat_file!$B:$B,Summary_Unemployed!$B$2,Flat_file!$C:$C,"Women",Flat_file!$D:$D,"30-34",Flat_file!$E:$E,"850",Flat_file!$F:$F,"U")</f>
        <v>0</v>
      </c>
      <c r="AB87" s="89">
        <f>SUMIFS(Flat_file!$H:$H,Flat_file!$B:$B,Summary_Unemployed!$B$2,Flat_file!$C:$C,"Women",Flat_file!$D:$D,"30-34",Flat_file!$E:$E,"660",Flat_file!$F:$F,"U")+SUMIFS(Flat_file!$H:$H,Flat_file!$B:$B,Summary_Unemployed!$B$2,Flat_file!$C:$C,"Women",Flat_file!$D:$D,"30-34",Flat_file!$E:$E,"760",Flat_file!$F:$F,"U")+SUMIFS(Flat_file!$H:$H,Flat_file!$B:$B,Summary_Unemployed!$B$2,Flat_file!$C:$C,"Women",Flat_file!$D:$D,"30-34",Flat_file!$E:$E,"860",Flat_file!$F:$F,"U")</f>
        <v>0</v>
      </c>
      <c r="AC87" s="3"/>
      <c r="AD87" s="3"/>
      <c r="AE87" s="3"/>
      <c r="AF87" s="3"/>
      <c r="AG87" s="3"/>
      <c r="AH87" s="3"/>
      <c r="AI87" s="3"/>
      <c r="AJ87" s="3"/>
      <c r="AK87" s="3"/>
      <c r="AL87" s="3"/>
      <c r="AM87" s="3"/>
      <c r="AN87" s="3"/>
      <c r="AO87" s="3"/>
      <c r="AP87" s="3"/>
      <c r="AQ87" s="3"/>
      <c r="AR87" s="3"/>
      <c r="AS87" s="3"/>
    </row>
    <row r="88" spans="1:45" customFormat="1" x14ac:dyDescent="0.2">
      <c r="A88" s="352"/>
      <c r="B88" s="79" t="s">
        <v>91</v>
      </c>
      <c r="C88" s="89">
        <f>SUMIFS(Flat_file!$H:$H,Flat_file!$B:$B,Summary_Unemployed!$B$2,Flat_file!$C:$C,"Women",Flat_file!$D:$D,"35-39",Flat_file!$E:$E,"010",Flat_file!$F:$F,"U")+SUMIFS(Flat_file!$H:$H,Flat_file!$B:$B,Summary_Unemployed!$B$2,Flat_file!$C:$C,"Women",Flat_file!$D:$D,"35-39",Flat_file!$E:$E,"020",Flat_file!$F:$F,"U")+SUMIFS(Flat_file!$H:$H,Flat_file!$B:$B,Summary_Unemployed!$B$2,Flat_file!$C:$C,"Women",Flat_file!$D:$D,"35-39",Flat_file!$E:$E,"030",Flat_file!$F:$F,"U")</f>
        <v>0</v>
      </c>
      <c r="D88" s="89">
        <f>SUMIFS(Flat_file!$H:$H,Flat_file!$B:$B,Summary_Unemployed!$B$2,Flat_file!$C:$C,"Women",Flat_file!$D:$D,"35-39",Flat_file!$E:$E,"100",Flat_file!$F:$F,"U")</f>
        <v>0</v>
      </c>
      <c r="E88" s="89">
        <f>SUMIFS(Flat_file!$H:$H,Flat_file!$B:$B,Summary_Unemployed!$B$2,Flat_file!$C:$C,"Women",Flat_file!$D:$D,"35-39",Flat_file!$E:$E,"242",Flat_file!$F:$F,"U")+SUMIFS(Flat_file!$H:$H,Flat_file!$B:$B,Summary_Unemployed!$B$2,Flat_file!$C:$C,"Women",Flat_file!$D:$D,"35-39",Flat_file!$E:$E,"252",Flat_file!$F:$F,"U")</f>
        <v>0</v>
      </c>
      <c r="F88" s="89">
        <f>SUMIFS(Flat_file!$H:$H,Flat_file!$B:$B,Summary_Unemployed!$B$2,Flat_file!$C:$C,"Women",Flat_file!$D:$D,"35-39",Flat_file!$E:$E,"243",Flat_file!$F:$F,"U")+SUMIFS(Flat_file!$H:$H,Flat_file!$B:$B,Summary_Unemployed!$B$2,Flat_file!$C:$C,"Women",Flat_file!$D:$D,"35-39",Flat_file!$E:$E,"244",Flat_file!$F:$F,"U")+SUMIFS(Flat_file!$H:$H,Flat_file!$B:$B,Summary_Unemployed!$B$2,Flat_file!$C:$C,"Women",Flat_file!$D:$D,"35-39",Flat_file!$E:$E,"253",Flat_file!$F:$F,"U")+SUMIFS(Flat_file!$H:$H,Flat_file!$B:$B,Summary_Unemployed!$B$2,Flat_file!$C:$C,"Women",Flat_file!$D:$D,"35-39",Flat_file!$E:$E,"254",Flat_file!$F:$F,"U")</f>
        <v>0</v>
      </c>
      <c r="G88" s="89">
        <f>SUMIFS(Flat_file!$H:$H,Flat_file!$B:$B,Summary_Unemployed!$B$2,Flat_file!$C:$C,"Women",Flat_file!$D:$D,"35-39",Flat_file!$E:$E,"342",Flat_file!$F:$F,"U")+SUMIFS(Flat_file!$H:$H,Flat_file!$B:$B,Summary_Unemployed!$B$2,Flat_file!$C:$C,"Women",Flat_file!$D:$D,"35-39",Flat_file!$E:$E,"352",Flat_file!$F:$F,"U")</f>
        <v>0</v>
      </c>
      <c r="H88" s="89">
        <f>SUMIFS(Flat_file!$H:$H,Flat_file!$B:$B,Summary_Unemployed!$B$2,Flat_file!$C:$C,"Women",Flat_file!$D:$D,"35-39",Flat_file!$E:$E,"343",Flat_file!$F:$F,"U")+SUMIFS(Flat_file!$H:$H,Flat_file!$B:$B,Summary_Unemployed!$B$2,Flat_file!$C:$C,"Women",Flat_file!$D:$D,"35-39",Flat_file!$E:$E,"344",Flat_file!$F:$F,"U")+SUMIFS(Flat_file!$H:$H,Flat_file!$B:$B,Summary_Unemployed!$B$2,Flat_file!$C:$C,"Women",Flat_file!$D:$D,"35-39",Flat_file!$E:$E,"353",Flat_file!$F:$F,"U")+SUMIFS(Flat_file!$H:$H,Flat_file!$B:$B,Summary_Unemployed!$B$2,Flat_file!$C:$C,"Women",Flat_file!$D:$D,"35-39",Flat_file!$E:$E,"354",Flat_file!$F:$F,"U")</f>
        <v>0</v>
      </c>
      <c r="I88" s="89">
        <f>SUMIFS(Flat_file!$H:$H,Flat_file!$B:$B,Summary_Unemployed!$B$2,Flat_file!$C:$C,"Women",Flat_file!$D:$D,"35-39",Flat_file!$E:$E,"443",Flat_file!$F:$F,"U")+SUMIFS(Flat_file!$H:$H,Flat_file!$B:$B,Summary_Unemployed!$B$2,Flat_file!$C:$C,"Women",Flat_file!$D:$D,"35-39",Flat_file!$E:$E,"444",Flat_file!$F:$F,"U")+SUMIFS(Flat_file!$H:$H,Flat_file!$B:$B,Summary_Unemployed!$B$2,Flat_file!$C:$C,"Women",Flat_file!$D:$D,"35-39",Flat_file!$E:$E,"453",Flat_file!$F:$F,"U")+SUMIFS(Flat_file!$H:$H,Flat_file!$B:$B,Summary_Unemployed!$B$2,Flat_file!$C:$C,"Women",Flat_file!$D:$D,"35-39",Flat_file!$E:$E,"454",Flat_file!$F:$F,"U")</f>
        <v>0</v>
      </c>
      <c r="J88" s="89">
        <f>SUMIFS(Flat_file!$H:$H,Flat_file!$B:$B,Summary_Unemployed!$B$2,Flat_file!$C:$C,"Women",Flat_file!$D:$D,"35-39",Flat_file!$E:$E,"540",Flat_file!$F:$F,"U")+SUMIFS(Flat_file!$H:$H,Flat_file!$B:$B,Summary_Unemployed!$B$2,Flat_file!$C:$C,"Women",Flat_file!$D:$D,"35-39",Flat_file!$E:$E,"550",Flat_file!$F:$F,"U")+SUMIFS(Flat_file!$H:$H,Flat_file!$B:$B,Summary_Unemployed!$B$2,Flat_file!$C:$C,"Women",Flat_file!$D:$D,"35-39",Flat_file!$E:$E,"560",Flat_file!$F:$F,"U")</f>
        <v>0</v>
      </c>
      <c r="K88" s="89">
        <f>SUMIFS(Flat_file!$H:$H,Flat_file!$B:$B,Summary_Unemployed!$B$2,Flat_file!$C:$C,"Women",Flat_file!$D:$D,"35-39",Flat_file!$E:$E,"640",Flat_file!$F:$F,"U")+SUMIFS(Flat_file!$H:$H,Flat_file!$B:$B,Summary_Unemployed!$B$2,Flat_file!$C:$C,"Women",Flat_file!$D:$D,"35-39",Flat_file!$E:$E,"650",Flat_file!$F:$F,"U")+SUMIFS(Flat_file!$H:$H,Flat_file!$B:$B,Summary_Unemployed!$B$2,Flat_file!$C:$C,"Women",Flat_file!$D:$D,"35-39",Flat_file!$E:$E,"660",Flat_file!$F:$F,"U")</f>
        <v>0</v>
      </c>
      <c r="L88" s="89">
        <f>SUMIFS(Flat_file!$H:$H,Flat_file!$B:$B,Summary_Unemployed!$B$2,Flat_file!$C:$C,"Women",Flat_file!$D:$D,"35-39",Flat_file!$E:$E,"740",Flat_file!$F:$F,"U")+SUMIFS(Flat_file!$H:$H,Flat_file!$B:$B,Summary_Unemployed!$B$2,Flat_file!$C:$C,"Women",Flat_file!$D:$D,"35-39",Flat_file!$E:$E,"750",Flat_file!$F:$F,"U")+SUMIFS(Flat_file!$H:$H,Flat_file!$B:$B,Summary_Unemployed!$B$2,Flat_file!$C:$C,"Women",Flat_file!$D:$D,"35-39",Flat_file!$E:$E,"760",Flat_file!$F:$F,"U")</f>
        <v>0</v>
      </c>
      <c r="M88" s="89">
        <f>SUMIFS(Flat_file!$H:$H,Flat_file!$B:$B,Summary_Unemployed!$B$2,Flat_file!$C:$C,"Women",Flat_file!$D:$D,"35-39",Flat_file!$E:$E,"840",Flat_file!$F:$F,"U")+SUMIFS(Flat_file!$H:$H,Flat_file!$B:$B,Summary_Unemployed!$B$2,Flat_file!$C:$C,"Women",Flat_file!$D:$D,"35-39",Flat_file!$E:$E,"850",Flat_file!$F:$F,"U")+SUMIFS(Flat_file!$H:$H,Flat_file!$B:$B,Summary_Unemployed!$B$2,Flat_file!$C:$C,"Women",Flat_file!$D:$D,"35-39",Flat_file!$E:$E,"860",Flat_file!$F:$F,"U")</f>
        <v>0</v>
      </c>
      <c r="N88" s="89">
        <f>SUMIFS(Flat_file!$H:$H,Flat_file!$B:$B,Summary_Unemployed!$B$2,Flat_file!$C:$C,"Women",Flat_file!$D:$D,"35-39",Flat_file!$E:$E,"999",Flat_file!$F:$F,"U")</f>
        <v>0</v>
      </c>
      <c r="O88" s="89">
        <f t="shared" si="53"/>
        <v>0</v>
      </c>
      <c r="P88" s="90"/>
      <c r="Q88" s="89">
        <f t="shared" si="54"/>
        <v>0</v>
      </c>
      <c r="R88" s="91"/>
      <c r="S88" s="89">
        <f t="shared" si="55"/>
        <v>0</v>
      </c>
      <c r="T88" s="89">
        <f t="shared" si="56"/>
        <v>0</v>
      </c>
      <c r="U88" s="89">
        <f t="shared" si="57"/>
        <v>0</v>
      </c>
      <c r="V88" s="90"/>
      <c r="W88" s="89">
        <f>SUMIFS(Flat_file!$H:$H,Flat_file!$B:$B,Summary_Unemployed!$B$2,Flat_file!$C:$C,"Women",Flat_file!$D:$D,"35-39",Flat_file!$E:$E,"343",Flat_file!$F:$F,"U")+SUMIFS(Flat_file!$H:$H,Flat_file!$B:$B,Summary_Unemployed!$B$2,Flat_file!$C:$C,"Women",Flat_file!$D:$D,"35-39",Flat_file!$E:$E,"344",Flat_file!$F:$F,"U")+SUMIFS(Flat_file!$H:$H,Flat_file!$B:$B,Summary_Unemployed!$B$2,Flat_file!$C:$C,"Women",Flat_file!$D:$D,"35-39",Flat_file!$E:$E,"443",Flat_file!$F:$F,"U")+SUMIFS(Flat_file!$H:$H,Flat_file!$B:$B,Summary_Unemployed!$B$2,Flat_file!$C:$C,"Women",Flat_file!$D:$D,"35-39",Flat_file!$E:$E,"444",Flat_file!$F:$F,"U")</f>
        <v>0</v>
      </c>
      <c r="X88" s="89">
        <f>SUMIFS(Flat_file!$H:$H,Flat_file!$B:$B,Summary_Unemployed!$B$2,Flat_file!$C:$C,"Women",Flat_file!$D:$D,"35-39",Flat_file!$E:$E,"353",Flat_file!$F:$F,"U")+SUMIFS(Flat_file!$H:$H,Flat_file!$B:$B,Summary_Unemployed!$B$2,Flat_file!$C:$C,"Women",Flat_file!$D:$D,"35-39",Flat_file!$E:$E,"354",Flat_file!$F:$F,"U")+SUMIFS(Flat_file!$H:$H,Flat_file!$B:$B,Summary_Unemployed!$B$2,Flat_file!$C:$C,"Women",Flat_file!$D:$D,"35-39",Flat_file!$E:$E,"453",Flat_file!$F:$F,"U")+SUMIFS(Flat_file!$H:$H,Flat_file!$B:$B,Summary_Unemployed!$B$2,Flat_file!$C:$C,"Women",Flat_file!$D:$D,"35-39",Flat_file!$E:$E,"454",Flat_file!$F:$F,"U")</f>
        <v>0</v>
      </c>
      <c r="Y88" s="90"/>
      <c r="Z88" s="89">
        <f>SUMIFS(Flat_file!$H:$H,Flat_file!$B:$B,Summary_Unemployed!$B$2,Flat_file!$C:$C,"Women",Flat_file!$D:$D,"35-39",Flat_file!$E:$E,"640",Flat_file!$F:$F,"U")+SUMIFS(Flat_file!$H:$H,Flat_file!$B:$B,Summary_Unemployed!$B$2,Flat_file!$C:$C,"Women",Flat_file!$D:$D,"35-39",Flat_file!$E:$E,"740",Flat_file!$F:$F,"U")+SUMIFS(Flat_file!$H:$H,Flat_file!$B:$B,Summary_Unemployed!$B$2,Flat_file!$C:$C,"Women",Flat_file!$D:$D,"35-39",Flat_file!$E:$E,"840",Flat_file!$F:$F,"U")</f>
        <v>0</v>
      </c>
      <c r="AA88" s="89">
        <f>SUMIFS(Flat_file!$H:$H,Flat_file!$B:$B,Summary_Unemployed!$B$2,Flat_file!$C:$C,"Women",Flat_file!$D:$D,"35-39",Flat_file!$E:$E,"650",Flat_file!$F:$F,"U")+SUMIFS(Flat_file!$H:$H,Flat_file!$B:$B,Summary_Unemployed!$B$2,Flat_file!$C:$C,"Women",Flat_file!$D:$D,"35-39",Flat_file!$E:$E,"750",Flat_file!$F:$F,"U")+SUMIFS(Flat_file!$H:$H,Flat_file!$B:$B,Summary_Unemployed!$B$2,Flat_file!$C:$C,"Women",Flat_file!$D:$D,"35-39",Flat_file!$E:$E,"850",Flat_file!$F:$F,"U")</f>
        <v>0</v>
      </c>
      <c r="AB88" s="89">
        <f>SUMIFS(Flat_file!$H:$H,Flat_file!$B:$B,Summary_Unemployed!$B$2,Flat_file!$C:$C,"Women",Flat_file!$D:$D,"35-39",Flat_file!$E:$E,"660",Flat_file!$F:$F,"U")+SUMIFS(Flat_file!$H:$H,Flat_file!$B:$B,Summary_Unemployed!$B$2,Flat_file!$C:$C,"Women",Flat_file!$D:$D,"35-39",Flat_file!$E:$E,"760",Flat_file!$F:$F,"U")+SUMIFS(Flat_file!$H:$H,Flat_file!$B:$B,Summary_Unemployed!$B$2,Flat_file!$C:$C,"Women",Flat_file!$D:$D,"35-39",Flat_file!$E:$E,"860",Flat_file!$F:$F,"U")</f>
        <v>0</v>
      </c>
      <c r="AC88" s="3"/>
      <c r="AD88" s="3"/>
      <c r="AE88" s="3"/>
      <c r="AF88" s="3"/>
      <c r="AG88" s="3"/>
      <c r="AH88" s="3"/>
      <c r="AI88" s="3"/>
      <c r="AJ88" s="3"/>
      <c r="AK88" s="3"/>
      <c r="AL88" s="3"/>
      <c r="AM88" s="3"/>
      <c r="AN88" s="3"/>
      <c r="AO88" s="3"/>
      <c r="AP88" s="3"/>
      <c r="AQ88" s="3"/>
      <c r="AR88" s="3"/>
      <c r="AS88" s="3"/>
    </row>
    <row r="89" spans="1:45" customFormat="1" x14ac:dyDescent="0.2">
      <c r="A89" s="352"/>
      <c r="B89" s="79" t="s">
        <v>92</v>
      </c>
      <c r="C89" s="89">
        <f>SUMIFS(Flat_file!$H:$H,Flat_file!$B:$B,Summary_Unemployed!$B$2,Flat_file!$C:$C,"Women",Flat_file!$D:$D,"40-44",Flat_file!$E:$E,"010",Flat_file!$F:$F,"U")+SUMIFS(Flat_file!$H:$H,Flat_file!$B:$B,Summary_Unemployed!$B$2,Flat_file!$C:$C,"Women",Flat_file!$D:$D,"40-44",Flat_file!$E:$E,"020",Flat_file!$F:$F,"U")+SUMIFS(Flat_file!$H:$H,Flat_file!$B:$B,Summary_Unemployed!$B$2,Flat_file!$C:$C,"Women",Flat_file!$D:$D,"40-44",Flat_file!$E:$E,"030",Flat_file!$F:$F,"U")</f>
        <v>0</v>
      </c>
      <c r="D89" s="89">
        <f>SUMIFS(Flat_file!$H:$H,Flat_file!$B:$B,Summary_Unemployed!$B$2,Flat_file!$C:$C,"Women",Flat_file!$D:$D,"40-44",Flat_file!$E:$E,"100",Flat_file!$F:$F,"U")</f>
        <v>0</v>
      </c>
      <c r="E89" s="89">
        <f>SUMIFS(Flat_file!$H:$H,Flat_file!$B:$B,Summary_Unemployed!$B$2,Flat_file!$C:$C,"Women",Flat_file!$D:$D,"40-44",Flat_file!$E:$E,"242",Flat_file!$F:$F,"U")+SUMIFS(Flat_file!$H:$H,Flat_file!$B:$B,Summary_Unemployed!$B$2,Flat_file!$C:$C,"Women",Flat_file!$D:$D,"40-44",Flat_file!$E:$E,"252",Flat_file!$F:$F,"U")</f>
        <v>0</v>
      </c>
      <c r="F89" s="89">
        <f>SUMIFS(Flat_file!$H:$H,Flat_file!$B:$B,Summary_Unemployed!$B$2,Flat_file!$C:$C,"Women",Flat_file!$D:$D,"40-44",Flat_file!$E:$E,"243",Flat_file!$F:$F,"U")+SUMIFS(Flat_file!$H:$H,Flat_file!$B:$B,Summary_Unemployed!$B$2,Flat_file!$C:$C,"Women",Flat_file!$D:$D,"40-44",Flat_file!$E:$E,"244",Flat_file!$F:$F,"U")+SUMIFS(Flat_file!$H:$H,Flat_file!$B:$B,Summary_Unemployed!$B$2,Flat_file!$C:$C,"Women",Flat_file!$D:$D,"40-44",Flat_file!$E:$E,"253",Flat_file!$F:$F,"U")+SUMIFS(Flat_file!$H:$H,Flat_file!$B:$B,Summary_Unemployed!$B$2,Flat_file!$C:$C,"Women",Flat_file!$D:$D,"40-44",Flat_file!$E:$E,"254",Flat_file!$F:$F,"U")</f>
        <v>0</v>
      </c>
      <c r="G89" s="89">
        <f>SUMIFS(Flat_file!$H:$H,Flat_file!$B:$B,Summary_Unemployed!$B$2,Flat_file!$C:$C,"Women",Flat_file!$D:$D,"40-44",Flat_file!$E:$E,"342",Flat_file!$F:$F,"U")+SUMIFS(Flat_file!$H:$H,Flat_file!$B:$B,Summary_Unemployed!$B$2,Flat_file!$C:$C,"Women",Flat_file!$D:$D,"40-44",Flat_file!$E:$E,"352",Flat_file!$F:$F,"U")</f>
        <v>0</v>
      </c>
      <c r="H89" s="89">
        <f>SUMIFS(Flat_file!$H:$H,Flat_file!$B:$B,Summary_Unemployed!$B$2,Flat_file!$C:$C,"Women",Flat_file!$D:$D,"40-44",Flat_file!$E:$E,"343",Flat_file!$F:$F,"U")+SUMIFS(Flat_file!$H:$H,Flat_file!$B:$B,Summary_Unemployed!$B$2,Flat_file!$C:$C,"Women",Flat_file!$D:$D,"40-44",Flat_file!$E:$E,"344",Flat_file!$F:$F,"U")+SUMIFS(Flat_file!$H:$H,Flat_file!$B:$B,Summary_Unemployed!$B$2,Flat_file!$C:$C,"Women",Flat_file!$D:$D,"40-44",Flat_file!$E:$E,"353",Flat_file!$F:$F,"U")+SUMIFS(Flat_file!$H:$H,Flat_file!$B:$B,Summary_Unemployed!$B$2,Flat_file!$C:$C,"Women",Flat_file!$D:$D,"40-44",Flat_file!$E:$E,"354",Flat_file!$F:$F,"U")</f>
        <v>0</v>
      </c>
      <c r="I89" s="89">
        <f>SUMIFS(Flat_file!$H:$H,Flat_file!$B:$B,Summary_Unemployed!$B$2,Flat_file!$C:$C,"Women",Flat_file!$D:$D,"40-44",Flat_file!$E:$E,"443",Flat_file!$F:$F,"U")+SUMIFS(Flat_file!$H:$H,Flat_file!$B:$B,Summary_Unemployed!$B$2,Flat_file!$C:$C,"Women",Flat_file!$D:$D,"40-44",Flat_file!$E:$E,"444",Flat_file!$F:$F,"U")+SUMIFS(Flat_file!$H:$H,Flat_file!$B:$B,Summary_Unemployed!$B$2,Flat_file!$C:$C,"Women",Flat_file!$D:$D,"40-44",Flat_file!$E:$E,"453",Flat_file!$F:$F,"U")+SUMIFS(Flat_file!$H:$H,Flat_file!$B:$B,Summary_Unemployed!$B$2,Flat_file!$C:$C,"Women",Flat_file!$D:$D,"40-44",Flat_file!$E:$E,"454",Flat_file!$F:$F,"U")</f>
        <v>0</v>
      </c>
      <c r="J89" s="89">
        <f>SUMIFS(Flat_file!$H:$H,Flat_file!$B:$B,Summary_Unemployed!$B$2,Flat_file!$C:$C,"Women",Flat_file!$D:$D,"40-44",Flat_file!$E:$E,"540",Flat_file!$F:$F,"U")+SUMIFS(Flat_file!$H:$H,Flat_file!$B:$B,Summary_Unemployed!$B$2,Flat_file!$C:$C,"Women",Flat_file!$D:$D,"40-44",Flat_file!$E:$E,"550",Flat_file!$F:$F,"U")+SUMIFS(Flat_file!$H:$H,Flat_file!$B:$B,Summary_Unemployed!$B$2,Flat_file!$C:$C,"Women",Flat_file!$D:$D,"40-44",Flat_file!$E:$E,"560",Flat_file!$F:$F,"U")</f>
        <v>0</v>
      </c>
      <c r="K89" s="89">
        <f>SUMIFS(Flat_file!$H:$H,Flat_file!$B:$B,Summary_Unemployed!$B$2,Flat_file!$C:$C,"Women",Flat_file!$D:$D,"40-44",Flat_file!$E:$E,"640",Flat_file!$F:$F,"U")+SUMIFS(Flat_file!$H:$H,Flat_file!$B:$B,Summary_Unemployed!$B$2,Flat_file!$C:$C,"Women",Flat_file!$D:$D,"40-44",Flat_file!$E:$E,"650",Flat_file!$F:$F,"U")+SUMIFS(Flat_file!$H:$H,Flat_file!$B:$B,Summary_Unemployed!$B$2,Flat_file!$C:$C,"Women",Flat_file!$D:$D,"40-44",Flat_file!$E:$E,"660",Flat_file!$F:$F,"U")</f>
        <v>0</v>
      </c>
      <c r="L89" s="89">
        <f>SUMIFS(Flat_file!$H:$H,Flat_file!$B:$B,Summary_Unemployed!$B$2,Flat_file!$C:$C,"Women",Flat_file!$D:$D,"40-44",Flat_file!$E:$E,"740",Flat_file!$F:$F,"U")+SUMIFS(Flat_file!$H:$H,Flat_file!$B:$B,Summary_Unemployed!$B$2,Flat_file!$C:$C,"Women",Flat_file!$D:$D,"40-44",Flat_file!$E:$E,"750",Flat_file!$F:$F,"U")+SUMIFS(Flat_file!$H:$H,Flat_file!$B:$B,Summary_Unemployed!$B$2,Flat_file!$C:$C,"Women",Flat_file!$D:$D,"40-44",Flat_file!$E:$E,"760",Flat_file!$F:$F,"U")</f>
        <v>0</v>
      </c>
      <c r="M89" s="89">
        <f>SUMIFS(Flat_file!$H:$H,Flat_file!$B:$B,Summary_Unemployed!$B$2,Flat_file!$C:$C,"Women",Flat_file!$D:$D,"40-44",Flat_file!$E:$E,"840",Flat_file!$F:$F,"U")+SUMIFS(Flat_file!$H:$H,Flat_file!$B:$B,Summary_Unemployed!$B$2,Flat_file!$C:$C,"Women",Flat_file!$D:$D,"40-44",Flat_file!$E:$E,"850",Flat_file!$F:$F,"U")+SUMIFS(Flat_file!$H:$H,Flat_file!$B:$B,Summary_Unemployed!$B$2,Flat_file!$C:$C,"Women",Flat_file!$D:$D,"40-44",Flat_file!$E:$E,"860",Flat_file!$F:$F,"U")</f>
        <v>0</v>
      </c>
      <c r="N89" s="89">
        <f>SUMIFS(Flat_file!$H:$H,Flat_file!$B:$B,Summary_Unemployed!$B$2,Flat_file!$C:$C,"Women",Flat_file!$D:$D,"40-44",Flat_file!$E:$E,"999",Flat_file!$F:$F,"U")</f>
        <v>0</v>
      </c>
      <c r="O89" s="89">
        <f t="shared" si="53"/>
        <v>0</v>
      </c>
      <c r="P89" s="90"/>
      <c r="Q89" s="89">
        <f t="shared" si="54"/>
        <v>0</v>
      </c>
      <c r="R89" s="91"/>
      <c r="S89" s="89">
        <f t="shared" si="55"/>
        <v>0</v>
      </c>
      <c r="T89" s="89">
        <f t="shared" si="56"/>
        <v>0</v>
      </c>
      <c r="U89" s="89">
        <f t="shared" si="57"/>
        <v>0</v>
      </c>
      <c r="V89" s="90"/>
      <c r="W89" s="89">
        <f>SUMIFS(Flat_file!$H:$H,Flat_file!$B:$B,Summary_Unemployed!$B$2,Flat_file!$C:$C,"Women",Flat_file!$D:$D,"40-44",Flat_file!$E:$E,"343",Flat_file!$F:$F,"U")+SUMIFS(Flat_file!$H:$H,Flat_file!$B:$B,Summary_Unemployed!$B$2,Flat_file!$C:$C,"Women",Flat_file!$D:$D,"40-44",Flat_file!$E:$E,"344",Flat_file!$F:$F,"U")+SUMIFS(Flat_file!$H:$H,Flat_file!$B:$B,Summary_Unemployed!$B$2,Flat_file!$C:$C,"Women",Flat_file!$D:$D,"40-44",Flat_file!$E:$E,"443",Flat_file!$F:$F,"U")+SUMIFS(Flat_file!$H:$H,Flat_file!$B:$B,Summary_Unemployed!$B$2,Flat_file!$C:$C,"Women",Flat_file!$D:$D,"40-44",Flat_file!$E:$E,"444",Flat_file!$F:$F,"U")</f>
        <v>0</v>
      </c>
      <c r="X89" s="89">
        <f>SUMIFS(Flat_file!$H:$H,Flat_file!$B:$B,Summary_Unemployed!$B$2,Flat_file!$C:$C,"Women",Flat_file!$D:$D,"40-44",Flat_file!$E:$E,"353",Flat_file!$F:$F,"U")+SUMIFS(Flat_file!$H:$H,Flat_file!$B:$B,Summary_Unemployed!$B$2,Flat_file!$C:$C,"Women",Flat_file!$D:$D,"40-44",Flat_file!$E:$E,"354",Flat_file!$F:$F,"U")+SUMIFS(Flat_file!$H:$H,Flat_file!$B:$B,Summary_Unemployed!$B$2,Flat_file!$C:$C,"Women",Flat_file!$D:$D,"40-44",Flat_file!$E:$E,"453",Flat_file!$F:$F,"U")+SUMIFS(Flat_file!$H:$H,Flat_file!$B:$B,Summary_Unemployed!$B$2,Flat_file!$C:$C,"Women",Flat_file!$D:$D,"40-44",Flat_file!$E:$E,"454",Flat_file!$F:$F,"U")</f>
        <v>0</v>
      </c>
      <c r="Y89" s="90"/>
      <c r="Z89" s="89">
        <f>SUMIFS(Flat_file!$H:$H,Flat_file!$B:$B,Summary_Unemployed!$B$2,Flat_file!$C:$C,"Women",Flat_file!$D:$D,"40-44",Flat_file!$E:$E,"640",Flat_file!$F:$F,"U")+SUMIFS(Flat_file!$H:$H,Flat_file!$B:$B,Summary_Unemployed!$B$2,Flat_file!$C:$C,"Women",Flat_file!$D:$D,"40-44",Flat_file!$E:$E,"740",Flat_file!$F:$F,"U")+SUMIFS(Flat_file!$H:$H,Flat_file!$B:$B,Summary_Unemployed!$B$2,Flat_file!$C:$C,"Women",Flat_file!$D:$D,"40-44",Flat_file!$E:$E,"840",Flat_file!$F:$F,"U")</f>
        <v>0</v>
      </c>
      <c r="AA89" s="89">
        <f>SUMIFS(Flat_file!$H:$H,Flat_file!$B:$B,Summary_Unemployed!$B$2,Flat_file!$C:$C,"Women",Flat_file!$D:$D,"40-44",Flat_file!$E:$E,"650",Flat_file!$F:$F,"U")+SUMIFS(Flat_file!$H:$H,Flat_file!$B:$B,Summary_Unemployed!$B$2,Flat_file!$C:$C,"Women",Flat_file!$D:$D,"40-44",Flat_file!$E:$E,"750",Flat_file!$F:$F,"U")+SUMIFS(Flat_file!$H:$H,Flat_file!$B:$B,Summary_Unemployed!$B$2,Flat_file!$C:$C,"Women",Flat_file!$D:$D,"40-44",Flat_file!$E:$E,"850",Flat_file!$F:$F,"U")</f>
        <v>0</v>
      </c>
      <c r="AB89" s="89">
        <f>SUMIFS(Flat_file!$H:$H,Flat_file!$B:$B,Summary_Unemployed!$B$2,Flat_file!$C:$C,"Women",Flat_file!$D:$D,"40-44",Flat_file!$E:$E,"660",Flat_file!$F:$F,"U")+SUMIFS(Flat_file!$H:$H,Flat_file!$B:$B,Summary_Unemployed!$B$2,Flat_file!$C:$C,"Women",Flat_file!$D:$D,"40-44",Flat_file!$E:$E,"760",Flat_file!$F:$F,"U")+SUMIFS(Flat_file!$H:$H,Flat_file!$B:$B,Summary_Unemployed!$B$2,Flat_file!$C:$C,"Women",Flat_file!$D:$D,"40-44",Flat_file!$E:$E,"860",Flat_file!$F:$F,"U")</f>
        <v>0</v>
      </c>
      <c r="AC89" s="3"/>
      <c r="AD89" s="3"/>
      <c r="AE89" s="3"/>
      <c r="AF89" s="3"/>
      <c r="AG89" s="3"/>
      <c r="AH89" s="3"/>
      <c r="AI89" s="3"/>
      <c r="AJ89" s="3"/>
      <c r="AK89" s="3"/>
      <c r="AL89" s="3"/>
      <c r="AM89" s="3"/>
      <c r="AN89" s="3"/>
      <c r="AO89" s="3"/>
      <c r="AP89" s="3"/>
      <c r="AQ89" s="3"/>
      <c r="AR89" s="3"/>
      <c r="AS89" s="3"/>
    </row>
    <row r="90" spans="1:45" customFormat="1" x14ac:dyDescent="0.2">
      <c r="A90" s="352"/>
      <c r="B90" s="79" t="s">
        <v>93</v>
      </c>
      <c r="C90" s="89">
        <f>SUMIFS(Flat_file!$H:$H,Flat_file!$B:$B,Summary_Unemployed!$B$2,Flat_file!$C:$C,"Women",Flat_file!$D:$D,"45-49",Flat_file!$E:$E,"010",Flat_file!$F:$F,"U")+SUMIFS(Flat_file!$H:$H,Flat_file!$B:$B,Summary_Unemployed!$B$2,Flat_file!$C:$C,"Women",Flat_file!$D:$D,"45-49",Flat_file!$E:$E,"020",Flat_file!$F:$F,"U")+SUMIFS(Flat_file!$H:$H,Flat_file!$B:$B,Summary_Unemployed!$B$2,Flat_file!$C:$C,"Women",Flat_file!$D:$D,"45-49",Flat_file!$E:$E,"030",Flat_file!$F:$F,"U")</f>
        <v>0</v>
      </c>
      <c r="D90" s="89">
        <f>SUMIFS(Flat_file!$H:$H,Flat_file!$B:$B,Summary_Unemployed!$B$2,Flat_file!$C:$C,"Women",Flat_file!$D:$D,"45-49",Flat_file!$E:$E,"100",Flat_file!$F:$F,"U")</f>
        <v>0</v>
      </c>
      <c r="E90" s="89">
        <f>SUMIFS(Flat_file!$H:$H,Flat_file!$B:$B,Summary_Unemployed!$B$2,Flat_file!$C:$C,"Women",Flat_file!$D:$D,"45-49",Flat_file!$E:$E,"242",Flat_file!$F:$F,"U")+SUMIFS(Flat_file!$H:$H,Flat_file!$B:$B,Summary_Unemployed!$B$2,Flat_file!$C:$C,"Women",Flat_file!$D:$D,"45-49",Flat_file!$E:$E,"252",Flat_file!$F:$F,"U")</f>
        <v>0</v>
      </c>
      <c r="F90" s="89">
        <f>SUMIFS(Flat_file!$H:$H,Flat_file!$B:$B,Summary_Unemployed!$B$2,Flat_file!$C:$C,"Women",Flat_file!$D:$D,"45-49",Flat_file!$E:$E,"243",Flat_file!$F:$F,"U")+SUMIFS(Flat_file!$H:$H,Flat_file!$B:$B,Summary_Unemployed!$B$2,Flat_file!$C:$C,"Women",Flat_file!$D:$D,"45-49",Flat_file!$E:$E,"244",Flat_file!$F:$F,"U")+SUMIFS(Flat_file!$H:$H,Flat_file!$B:$B,Summary_Unemployed!$B$2,Flat_file!$C:$C,"Women",Flat_file!$D:$D,"45-49",Flat_file!$E:$E,"253",Flat_file!$F:$F,"U")+SUMIFS(Flat_file!$H:$H,Flat_file!$B:$B,Summary_Unemployed!$B$2,Flat_file!$C:$C,"Women",Flat_file!$D:$D,"45-49",Flat_file!$E:$E,"254",Flat_file!$F:$F,"U")</f>
        <v>0</v>
      </c>
      <c r="G90" s="89">
        <f>SUMIFS(Flat_file!$H:$H,Flat_file!$B:$B,Summary_Unemployed!$B$2,Flat_file!$C:$C,"Women",Flat_file!$D:$D,"45-49",Flat_file!$E:$E,"342",Flat_file!$F:$F,"U")+SUMIFS(Flat_file!$H:$H,Flat_file!$B:$B,Summary_Unemployed!$B$2,Flat_file!$C:$C,"Women",Flat_file!$D:$D,"45-49",Flat_file!$E:$E,"352",Flat_file!$F:$F,"U")</f>
        <v>0</v>
      </c>
      <c r="H90" s="89">
        <f>SUMIFS(Flat_file!$H:$H,Flat_file!$B:$B,Summary_Unemployed!$B$2,Flat_file!$C:$C,"Women",Flat_file!$D:$D,"45-49",Flat_file!$E:$E,"343",Flat_file!$F:$F,"U")+SUMIFS(Flat_file!$H:$H,Flat_file!$B:$B,Summary_Unemployed!$B$2,Flat_file!$C:$C,"Women",Flat_file!$D:$D,"45-49",Flat_file!$E:$E,"344",Flat_file!$F:$F,"U")+SUMIFS(Flat_file!$H:$H,Flat_file!$B:$B,Summary_Unemployed!$B$2,Flat_file!$C:$C,"Women",Flat_file!$D:$D,"45-49",Flat_file!$E:$E,"353",Flat_file!$F:$F,"U")+SUMIFS(Flat_file!$H:$H,Flat_file!$B:$B,Summary_Unemployed!$B$2,Flat_file!$C:$C,"Women",Flat_file!$D:$D,"45-49",Flat_file!$E:$E,"354",Flat_file!$F:$F,"U")</f>
        <v>0</v>
      </c>
      <c r="I90" s="89">
        <f>SUMIFS(Flat_file!$H:$H,Flat_file!$B:$B,Summary_Unemployed!$B$2,Flat_file!$C:$C,"Women",Flat_file!$D:$D,"45-49",Flat_file!$E:$E,"443",Flat_file!$F:$F,"U")+SUMIFS(Flat_file!$H:$H,Flat_file!$B:$B,Summary_Unemployed!$B$2,Flat_file!$C:$C,"Women",Flat_file!$D:$D,"45-49",Flat_file!$E:$E,"444",Flat_file!$F:$F,"U")+SUMIFS(Flat_file!$H:$H,Flat_file!$B:$B,Summary_Unemployed!$B$2,Flat_file!$C:$C,"Women",Flat_file!$D:$D,"45-49",Flat_file!$E:$E,"453",Flat_file!$F:$F,"U")+SUMIFS(Flat_file!$H:$H,Flat_file!$B:$B,Summary_Unemployed!$B$2,Flat_file!$C:$C,"Women",Flat_file!$D:$D,"45-49",Flat_file!$E:$E,"454",Flat_file!$F:$F,"U")</f>
        <v>0</v>
      </c>
      <c r="J90" s="89">
        <f>SUMIFS(Flat_file!$H:$H,Flat_file!$B:$B,Summary_Unemployed!$B$2,Flat_file!$C:$C,"Women",Flat_file!$D:$D,"45-49",Flat_file!$E:$E,"540",Flat_file!$F:$F,"U")+SUMIFS(Flat_file!$H:$H,Flat_file!$B:$B,Summary_Unemployed!$B$2,Flat_file!$C:$C,"Women",Flat_file!$D:$D,"45-49",Flat_file!$E:$E,"550",Flat_file!$F:$F,"U")+SUMIFS(Flat_file!$H:$H,Flat_file!$B:$B,Summary_Unemployed!$B$2,Flat_file!$C:$C,"Women",Flat_file!$D:$D,"45-49",Flat_file!$E:$E,"560",Flat_file!$F:$F,"U")</f>
        <v>0</v>
      </c>
      <c r="K90" s="89">
        <f>SUMIFS(Flat_file!$H:$H,Flat_file!$B:$B,Summary_Unemployed!$B$2,Flat_file!$C:$C,"Women",Flat_file!$D:$D,"45-49",Flat_file!$E:$E,"640",Flat_file!$F:$F,"U")+SUMIFS(Flat_file!$H:$H,Flat_file!$B:$B,Summary_Unemployed!$B$2,Flat_file!$C:$C,"Women",Flat_file!$D:$D,"45-49",Flat_file!$E:$E,"650",Flat_file!$F:$F,"U")+SUMIFS(Flat_file!$H:$H,Flat_file!$B:$B,Summary_Unemployed!$B$2,Flat_file!$C:$C,"Women",Flat_file!$D:$D,"45-49",Flat_file!$E:$E,"660",Flat_file!$F:$F,"U")</f>
        <v>0</v>
      </c>
      <c r="L90" s="89">
        <f>SUMIFS(Flat_file!$H:$H,Flat_file!$B:$B,Summary_Unemployed!$B$2,Flat_file!$C:$C,"Women",Flat_file!$D:$D,"45-49",Flat_file!$E:$E,"740",Flat_file!$F:$F,"U")+SUMIFS(Flat_file!$H:$H,Flat_file!$B:$B,Summary_Unemployed!$B$2,Flat_file!$C:$C,"Women",Flat_file!$D:$D,"45-49",Flat_file!$E:$E,"750",Flat_file!$F:$F,"U")+SUMIFS(Flat_file!$H:$H,Flat_file!$B:$B,Summary_Unemployed!$B$2,Flat_file!$C:$C,"Women",Flat_file!$D:$D,"45-49",Flat_file!$E:$E,"760",Flat_file!$F:$F,"U")</f>
        <v>0</v>
      </c>
      <c r="M90" s="89">
        <f>SUMIFS(Flat_file!$H:$H,Flat_file!$B:$B,Summary_Unemployed!$B$2,Flat_file!$C:$C,"Women",Flat_file!$D:$D,"45-49",Flat_file!$E:$E,"840",Flat_file!$F:$F,"U")+SUMIFS(Flat_file!$H:$H,Flat_file!$B:$B,Summary_Unemployed!$B$2,Flat_file!$C:$C,"Women",Flat_file!$D:$D,"45-49",Flat_file!$E:$E,"850",Flat_file!$F:$F,"U")+SUMIFS(Flat_file!$H:$H,Flat_file!$B:$B,Summary_Unemployed!$B$2,Flat_file!$C:$C,"Women",Flat_file!$D:$D,"45-49",Flat_file!$E:$E,"860",Flat_file!$F:$F,"U")</f>
        <v>0</v>
      </c>
      <c r="N90" s="89">
        <f>SUMIFS(Flat_file!$H:$H,Flat_file!$B:$B,Summary_Unemployed!$B$2,Flat_file!$C:$C,"Women",Flat_file!$D:$D,"45-49",Flat_file!$E:$E,"999",Flat_file!$F:$F,"U")</f>
        <v>0</v>
      </c>
      <c r="O90" s="89">
        <f t="shared" si="53"/>
        <v>0</v>
      </c>
      <c r="P90" s="90"/>
      <c r="Q90" s="89">
        <f t="shared" si="54"/>
        <v>0</v>
      </c>
      <c r="R90" s="91"/>
      <c r="S90" s="89">
        <f t="shared" si="55"/>
        <v>0</v>
      </c>
      <c r="T90" s="89">
        <f t="shared" si="56"/>
        <v>0</v>
      </c>
      <c r="U90" s="89">
        <f t="shared" si="57"/>
        <v>0</v>
      </c>
      <c r="V90" s="90"/>
      <c r="W90" s="89">
        <f>SUMIFS(Flat_file!$H:$H,Flat_file!$B:$B,Summary_Unemployed!$B$2,Flat_file!$C:$C,"Women",Flat_file!$D:$D,"45-49",Flat_file!$E:$E,"343",Flat_file!$F:$F,"U")+SUMIFS(Flat_file!$H:$H,Flat_file!$B:$B,Summary_Unemployed!$B$2,Flat_file!$C:$C,"Women",Flat_file!$D:$D,"45-49",Flat_file!$E:$E,"344",Flat_file!$F:$F,"U")+SUMIFS(Flat_file!$H:$H,Flat_file!$B:$B,Summary_Unemployed!$B$2,Flat_file!$C:$C,"Women",Flat_file!$D:$D,"45-49",Flat_file!$E:$E,"443",Flat_file!$F:$F,"U")+SUMIFS(Flat_file!$H:$H,Flat_file!$B:$B,Summary_Unemployed!$B$2,Flat_file!$C:$C,"Women",Flat_file!$D:$D,"45-49",Flat_file!$E:$E,"444",Flat_file!$F:$F,"U")</f>
        <v>0</v>
      </c>
      <c r="X90" s="89">
        <f>SUMIFS(Flat_file!$H:$H,Flat_file!$B:$B,Summary_Unemployed!$B$2,Flat_file!$C:$C,"Women",Flat_file!$D:$D,"45-49",Flat_file!$E:$E,"353",Flat_file!$F:$F,"U")+SUMIFS(Flat_file!$H:$H,Flat_file!$B:$B,Summary_Unemployed!$B$2,Flat_file!$C:$C,"Women",Flat_file!$D:$D,"45-49",Flat_file!$E:$E,"354",Flat_file!$F:$F,"U")+SUMIFS(Flat_file!$H:$H,Flat_file!$B:$B,Summary_Unemployed!$B$2,Flat_file!$C:$C,"Women",Flat_file!$D:$D,"45-49",Flat_file!$E:$E,"453",Flat_file!$F:$F,"U")+SUMIFS(Flat_file!$H:$H,Flat_file!$B:$B,Summary_Unemployed!$B$2,Flat_file!$C:$C,"Women",Flat_file!$D:$D,"45-49",Flat_file!$E:$E,"454",Flat_file!$F:$F,"U")</f>
        <v>0</v>
      </c>
      <c r="Y90" s="90"/>
      <c r="Z90" s="89">
        <f>SUMIFS(Flat_file!$H:$H,Flat_file!$B:$B,Summary_Unemployed!$B$2,Flat_file!$C:$C,"Women",Flat_file!$D:$D,"45-49",Flat_file!$E:$E,"640",Flat_file!$F:$F,"U")+SUMIFS(Flat_file!$H:$H,Flat_file!$B:$B,Summary_Unemployed!$B$2,Flat_file!$C:$C,"Women",Flat_file!$D:$D,"45-49",Flat_file!$E:$E,"740",Flat_file!$F:$F,"U")+SUMIFS(Flat_file!$H:$H,Flat_file!$B:$B,Summary_Unemployed!$B$2,Flat_file!$C:$C,"Women",Flat_file!$D:$D,"45-49",Flat_file!$E:$E,"840",Flat_file!$F:$F,"U")</f>
        <v>0</v>
      </c>
      <c r="AA90" s="89">
        <f>SUMIFS(Flat_file!$H:$H,Flat_file!$B:$B,Summary_Unemployed!$B$2,Flat_file!$C:$C,"Women",Flat_file!$D:$D,"45-49",Flat_file!$E:$E,"650",Flat_file!$F:$F,"U")+SUMIFS(Flat_file!$H:$H,Flat_file!$B:$B,Summary_Unemployed!$B$2,Flat_file!$C:$C,"Women",Flat_file!$D:$D,"45-49",Flat_file!$E:$E,"750",Flat_file!$F:$F,"U")+SUMIFS(Flat_file!$H:$H,Flat_file!$B:$B,Summary_Unemployed!$B$2,Flat_file!$C:$C,"Women",Flat_file!$D:$D,"45-49",Flat_file!$E:$E,"850",Flat_file!$F:$F,"U")</f>
        <v>0</v>
      </c>
      <c r="AB90" s="89">
        <f>SUMIFS(Flat_file!$H:$H,Flat_file!$B:$B,Summary_Unemployed!$B$2,Flat_file!$C:$C,"Women",Flat_file!$D:$D,"45-49",Flat_file!$E:$E,"660",Flat_file!$F:$F,"U")+SUMIFS(Flat_file!$H:$H,Flat_file!$B:$B,Summary_Unemployed!$B$2,Flat_file!$C:$C,"Women",Flat_file!$D:$D,"45-49",Flat_file!$E:$E,"760",Flat_file!$F:$F,"U")+SUMIFS(Flat_file!$H:$H,Flat_file!$B:$B,Summary_Unemployed!$B$2,Flat_file!$C:$C,"Women",Flat_file!$D:$D,"45-49",Flat_file!$E:$E,"860",Flat_file!$F:$F,"U")</f>
        <v>0</v>
      </c>
      <c r="AC90" s="3"/>
      <c r="AD90" s="3"/>
      <c r="AE90" s="3"/>
      <c r="AF90" s="3"/>
      <c r="AG90" s="3"/>
      <c r="AH90" s="3"/>
      <c r="AI90" s="3"/>
      <c r="AJ90" s="3"/>
      <c r="AK90" s="3"/>
      <c r="AL90" s="3"/>
      <c r="AM90" s="3"/>
      <c r="AN90" s="3"/>
      <c r="AO90" s="3"/>
      <c r="AP90" s="3"/>
      <c r="AQ90" s="3"/>
      <c r="AR90" s="3"/>
      <c r="AS90" s="3"/>
    </row>
    <row r="91" spans="1:45" customFormat="1" x14ac:dyDescent="0.2">
      <c r="A91" s="352"/>
      <c r="B91" s="79" t="s">
        <v>94</v>
      </c>
      <c r="C91" s="89">
        <f>SUMIFS(Flat_file!$H:$H,Flat_file!$B:$B,Summary_Unemployed!$B$2,Flat_file!$C:$C,"Women",Flat_file!$D:$D,"50-54",Flat_file!$E:$E,"010",Flat_file!$F:$F,"U")+SUMIFS(Flat_file!$H:$H,Flat_file!$B:$B,Summary_Unemployed!$B$2,Flat_file!$C:$C,"Women",Flat_file!$D:$D,"50-54",Flat_file!$E:$E,"020",Flat_file!$F:$F,"U")+SUMIFS(Flat_file!$H:$H,Flat_file!$B:$B,Summary_Unemployed!$B$2,Flat_file!$C:$C,"Women",Flat_file!$D:$D,"50-54",Flat_file!$E:$E,"030",Flat_file!$F:$F,"U")</f>
        <v>0</v>
      </c>
      <c r="D91" s="89">
        <f>SUMIFS(Flat_file!$H:$H,Flat_file!$B:$B,Summary_Unemployed!$B$2,Flat_file!$C:$C,"Women",Flat_file!$D:$D,"50-54",Flat_file!$E:$E,"100",Flat_file!$F:$F,"U")</f>
        <v>0</v>
      </c>
      <c r="E91" s="89">
        <f>SUMIFS(Flat_file!$H:$H,Flat_file!$B:$B,Summary_Unemployed!$B$2,Flat_file!$C:$C,"Women",Flat_file!$D:$D,"50-54",Flat_file!$E:$E,"242",Flat_file!$F:$F,"U")+SUMIFS(Flat_file!$H:$H,Flat_file!$B:$B,Summary_Unemployed!$B$2,Flat_file!$C:$C,"Women",Flat_file!$D:$D,"50-54",Flat_file!$E:$E,"252",Flat_file!$F:$F,"U")</f>
        <v>0</v>
      </c>
      <c r="F91" s="89">
        <f>SUMIFS(Flat_file!$H:$H,Flat_file!$B:$B,Summary_Unemployed!$B$2,Flat_file!$C:$C,"Women",Flat_file!$D:$D,"50-54",Flat_file!$E:$E,"243",Flat_file!$F:$F,"U")+SUMIFS(Flat_file!$H:$H,Flat_file!$B:$B,Summary_Unemployed!$B$2,Flat_file!$C:$C,"Women",Flat_file!$D:$D,"50-54",Flat_file!$E:$E,"244",Flat_file!$F:$F,"U")+SUMIFS(Flat_file!$H:$H,Flat_file!$B:$B,Summary_Unemployed!$B$2,Flat_file!$C:$C,"Women",Flat_file!$D:$D,"50-54",Flat_file!$E:$E,"253",Flat_file!$F:$F,"U")+SUMIFS(Flat_file!$H:$H,Flat_file!$B:$B,Summary_Unemployed!$B$2,Flat_file!$C:$C,"Women",Flat_file!$D:$D,"50-54",Flat_file!$E:$E,"254",Flat_file!$F:$F,"U")</f>
        <v>0</v>
      </c>
      <c r="G91" s="89">
        <f>SUMIFS(Flat_file!$H:$H,Flat_file!$B:$B,Summary_Unemployed!$B$2,Flat_file!$C:$C,"Women",Flat_file!$D:$D,"50-54",Flat_file!$E:$E,"342",Flat_file!$F:$F,"U")+SUMIFS(Flat_file!$H:$H,Flat_file!$B:$B,Summary_Unemployed!$B$2,Flat_file!$C:$C,"Women",Flat_file!$D:$D,"50-54",Flat_file!$E:$E,"352",Flat_file!$F:$F,"U")</f>
        <v>0</v>
      </c>
      <c r="H91" s="89">
        <f>SUMIFS(Flat_file!$H:$H,Flat_file!$B:$B,Summary_Unemployed!$B$2,Flat_file!$C:$C,"Women",Flat_file!$D:$D,"50-54",Flat_file!$E:$E,"343",Flat_file!$F:$F,"U")+SUMIFS(Flat_file!$H:$H,Flat_file!$B:$B,Summary_Unemployed!$B$2,Flat_file!$C:$C,"Women",Flat_file!$D:$D,"50-54",Flat_file!$E:$E,"344",Flat_file!$F:$F,"U")+SUMIFS(Flat_file!$H:$H,Flat_file!$B:$B,Summary_Unemployed!$B$2,Flat_file!$C:$C,"Women",Flat_file!$D:$D,"50-54",Flat_file!$E:$E,"353",Flat_file!$F:$F,"U")+SUMIFS(Flat_file!$H:$H,Flat_file!$B:$B,Summary_Unemployed!$B$2,Flat_file!$C:$C,"Women",Flat_file!$D:$D,"50-54",Flat_file!$E:$E,"354",Flat_file!$F:$F,"U")</f>
        <v>0</v>
      </c>
      <c r="I91" s="89">
        <f>SUMIFS(Flat_file!$H:$H,Flat_file!$B:$B,Summary_Unemployed!$B$2,Flat_file!$C:$C,"Women",Flat_file!$D:$D,"50-54",Flat_file!$E:$E,"443",Flat_file!$F:$F,"U")+SUMIFS(Flat_file!$H:$H,Flat_file!$B:$B,Summary_Unemployed!$B$2,Flat_file!$C:$C,"Women",Flat_file!$D:$D,"50-54",Flat_file!$E:$E,"444",Flat_file!$F:$F,"U")+SUMIFS(Flat_file!$H:$H,Flat_file!$B:$B,Summary_Unemployed!$B$2,Flat_file!$C:$C,"Women",Flat_file!$D:$D,"50-54",Flat_file!$E:$E,"453",Flat_file!$F:$F,"U")+SUMIFS(Flat_file!$H:$H,Flat_file!$B:$B,Summary_Unemployed!$B$2,Flat_file!$C:$C,"Women",Flat_file!$D:$D,"50-54",Flat_file!$E:$E,"454",Flat_file!$F:$F,"U")</f>
        <v>0</v>
      </c>
      <c r="J91" s="89">
        <f>SUMIFS(Flat_file!$H:$H,Flat_file!$B:$B,Summary_Unemployed!$B$2,Flat_file!$C:$C,"Women",Flat_file!$D:$D,"50-54",Flat_file!$E:$E,"540",Flat_file!$F:$F,"U")+SUMIFS(Flat_file!$H:$H,Flat_file!$B:$B,Summary_Unemployed!$B$2,Flat_file!$C:$C,"Women",Flat_file!$D:$D,"50-54",Flat_file!$E:$E,"550",Flat_file!$F:$F,"U")+SUMIFS(Flat_file!$H:$H,Flat_file!$B:$B,Summary_Unemployed!$B$2,Flat_file!$C:$C,"Women",Flat_file!$D:$D,"50-54",Flat_file!$E:$E,"560",Flat_file!$F:$F,"U")</f>
        <v>0</v>
      </c>
      <c r="K91" s="89">
        <f>SUMIFS(Flat_file!$H:$H,Flat_file!$B:$B,Summary_Unemployed!$B$2,Flat_file!$C:$C,"Women",Flat_file!$D:$D,"50-54",Flat_file!$E:$E,"640",Flat_file!$F:$F,"U")+SUMIFS(Flat_file!$H:$H,Flat_file!$B:$B,Summary_Unemployed!$B$2,Flat_file!$C:$C,"Women",Flat_file!$D:$D,"50-54",Flat_file!$E:$E,"650",Flat_file!$F:$F,"U")+SUMIFS(Flat_file!$H:$H,Flat_file!$B:$B,Summary_Unemployed!$B$2,Flat_file!$C:$C,"Women",Flat_file!$D:$D,"50-54",Flat_file!$E:$E,"660",Flat_file!$F:$F,"U")</f>
        <v>0</v>
      </c>
      <c r="L91" s="89">
        <f>SUMIFS(Flat_file!$H:$H,Flat_file!$B:$B,Summary_Unemployed!$B$2,Flat_file!$C:$C,"Women",Flat_file!$D:$D,"50-54",Flat_file!$E:$E,"740",Flat_file!$F:$F,"U")+SUMIFS(Flat_file!$H:$H,Flat_file!$B:$B,Summary_Unemployed!$B$2,Flat_file!$C:$C,"Women",Flat_file!$D:$D,"50-54",Flat_file!$E:$E,"750",Flat_file!$F:$F,"U")+SUMIFS(Flat_file!$H:$H,Flat_file!$B:$B,Summary_Unemployed!$B$2,Flat_file!$C:$C,"Women",Flat_file!$D:$D,"50-54",Flat_file!$E:$E,"760",Flat_file!$F:$F,"U")</f>
        <v>0</v>
      </c>
      <c r="M91" s="89">
        <f>SUMIFS(Flat_file!$H:$H,Flat_file!$B:$B,Summary_Unemployed!$B$2,Flat_file!$C:$C,"Women",Flat_file!$D:$D,"50-54",Flat_file!$E:$E,"840",Flat_file!$F:$F,"U")+SUMIFS(Flat_file!$H:$H,Flat_file!$B:$B,Summary_Unemployed!$B$2,Flat_file!$C:$C,"Women",Flat_file!$D:$D,"50-54",Flat_file!$E:$E,"850",Flat_file!$F:$F,"U")+SUMIFS(Flat_file!$H:$H,Flat_file!$B:$B,Summary_Unemployed!$B$2,Flat_file!$C:$C,"Women",Flat_file!$D:$D,"50-54",Flat_file!$E:$E,"860",Flat_file!$F:$F,"U")</f>
        <v>0</v>
      </c>
      <c r="N91" s="89">
        <f>SUMIFS(Flat_file!$H:$H,Flat_file!$B:$B,Summary_Unemployed!$B$2,Flat_file!$C:$C,"Women",Flat_file!$D:$D,"50-54",Flat_file!$E:$E,"999",Flat_file!$F:$F,"U")</f>
        <v>0</v>
      </c>
      <c r="O91" s="89">
        <f t="shared" si="53"/>
        <v>0</v>
      </c>
      <c r="P91" s="90"/>
      <c r="Q91" s="89">
        <f t="shared" si="54"/>
        <v>0</v>
      </c>
      <c r="R91" s="91"/>
      <c r="S91" s="89">
        <f t="shared" si="55"/>
        <v>0</v>
      </c>
      <c r="T91" s="89">
        <f t="shared" si="56"/>
        <v>0</v>
      </c>
      <c r="U91" s="89">
        <f t="shared" si="57"/>
        <v>0</v>
      </c>
      <c r="V91" s="90"/>
      <c r="W91" s="89">
        <f>SUMIFS(Flat_file!$H:$H,Flat_file!$B:$B,Summary_Unemployed!$B$2,Flat_file!$C:$C,"Women",Flat_file!$D:$D,"50-54",Flat_file!$E:$E,"343",Flat_file!$F:$F,"U")+SUMIFS(Flat_file!$H:$H,Flat_file!$B:$B,Summary_Unemployed!$B$2,Flat_file!$C:$C,"Women",Flat_file!$D:$D,"50-54",Flat_file!$E:$E,"344",Flat_file!$F:$F,"U")+SUMIFS(Flat_file!$H:$H,Flat_file!$B:$B,Summary_Unemployed!$B$2,Flat_file!$C:$C,"Women",Flat_file!$D:$D,"50-54",Flat_file!$E:$E,"443",Flat_file!$F:$F,"U")+SUMIFS(Flat_file!$H:$H,Flat_file!$B:$B,Summary_Unemployed!$B$2,Flat_file!$C:$C,"Women",Flat_file!$D:$D,"50-54",Flat_file!$E:$E,"444",Flat_file!$F:$F,"U")</f>
        <v>0</v>
      </c>
      <c r="X91" s="89">
        <f>SUMIFS(Flat_file!$H:$H,Flat_file!$B:$B,Summary_Unemployed!$B$2,Flat_file!$C:$C,"Women",Flat_file!$D:$D,"50-54",Flat_file!$E:$E,"353",Flat_file!$F:$F,"U")+SUMIFS(Flat_file!$H:$H,Flat_file!$B:$B,Summary_Unemployed!$B$2,Flat_file!$C:$C,"Women",Flat_file!$D:$D,"50-54",Flat_file!$E:$E,"354",Flat_file!$F:$F,"U")+SUMIFS(Flat_file!$H:$H,Flat_file!$B:$B,Summary_Unemployed!$B$2,Flat_file!$C:$C,"Women",Flat_file!$D:$D,"50-54",Flat_file!$E:$E,"453",Flat_file!$F:$F,"U")+SUMIFS(Flat_file!$H:$H,Flat_file!$B:$B,Summary_Unemployed!$B$2,Flat_file!$C:$C,"Women",Flat_file!$D:$D,"50-54",Flat_file!$E:$E,"454",Flat_file!$F:$F,"U")</f>
        <v>0</v>
      </c>
      <c r="Y91" s="90"/>
      <c r="Z91" s="89">
        <f>SUMIFS(Flat_file!$H:$H,Flat_file!$B:$B,Summary_Unemployed!$B$2,Flat_file!$C:$C,"Women",Flat_file!$D:$D,"50-54",Flat_file!$E:$E,"640",Flat_file!$F:$F,"U")+SUMIFS(Flat_file!$H:$H,Flat_file!$B:$B,Summary_Unemployed!$B$2,Flat_file!$C:$C,"Women",Flat_file!$D:$D,"50-54",Flat_file!$E:$E,"740",Flat_file!$F:$F,"U")+SUMIFS(Flat_file!$H:$H,Flat_file!$B:$B,Summary_Unemployed!$B$2,Flat_file!$C:$C,"Women",Flat_file!$D:$D,"50-54",Flat_file!$E:$E,"840",Flat_file!$F:$F,"U")</f>
        <v>0</v>
      </c>
      <c r="AA91" s="89">
        <f>SUMIFS(Flat_file!$H:$H,Flat_file!$B:$B,Summary_Unemployed!$B$2,Flat_file!$C:$C,"Women",Flat_file!$D:$D,"50-54",Flat_file!$E:$E,"650",Flat_file!$F:$F,"U")+SUMIFS(Flat_file!$H:$H,Flat_file!$B:$B,Summary_Unemployed!$B$2,Flat_file!$C:$C,"Women",Flat_file!$D:$D,"50-54",Flat_file!$E:$E,"750",Flat_file!$F:$F,"U")+SUMIFS(Flat_file!$H:$H,Flat_file!$B:$B,Summary_Unemployed!$B$2,Flat_file!$C:$C,"Women",Flat_file!$D:$D,"50-54",Flat_file!$E:$E,"850",Flat_file!$F:$F,"U")</f>
        <v>0</v>
      </c>
      <c r="AB91" s="89">
        <f>SUMIFS(Flat_file!$H:$H,Flat_file!$B:$B,Summary_Unemployed!$B$2,Flat_file!$C:$C,"Women",Flat_file!$D:$D,"50-54",Flat_file!$E:$E,"660",Flat_file!$F:$F,"U")+SUMIFS(Flat_file!$H:$H,Flat_file!$B:$B,Summary_Unemployed!$B$2,Flat_file!$C:$C,"Women",Flat_file!$D:$D,"50-54",Flat_file!$E:$E,"760",Flat_file!$F:$F,"U")+SUMIFS(Flat_file!$H:$H,Flat_file!$B:$B,Summary_Unemployed!$B$2,Flat_file!$C:$C,"Women",Flat_file!$D:$D,"50-54",Flat_file!$E:$E,"860",Flat_file!$F:$F,"U")</f>
        <v>0</v>
      </c>
      <c r="AC91" s="3"/>
      <c r="AD91" s="3"/>
      <c r="AE91" s="3"/>
      <c r="AF91" s="3"/>
      <c r="AG91" s="3"/>
      <c r="AH91" s="3"/>
      <c r="AI91" s="3"/>
      <c r="AJ91" s="3"/>
      <c r="AK91" s="3"/>
      <c r="AL91" s="3"/>
      <c r="AM91" s="3"/>
      <c r="AN91" s="3"/>
      <c r="AO91" s="3"/>
      <c r="AP91" s="3"/>
      <c r="AQ91" s="3"/>
      <c r="AR91" s="3"/>
      <c r="AS91" s="3"/>
    </row>
    <row r="92" spans="1:45" customFormat="1" x14ac:dyDescent="0.2">
      <c r="A92" s="352"/>
      <c r="B92" s="79" t="s">
        <v>95</v>
      </c>
      <c r="C92" s="89">
        <f>SUMIFS(Flat_file!$H:$H,Flat_file!$B:$B,Summary_Unemployed!$B$2,Flat_file!$C:$C,"Women",Flat_file!$D:$D,"55-59",Flat_file!$E:$E,"010",Flat_file!$F:$F,"U")+SUMIFS(Flat_file!$H:$H,Flat_file!$B:$B,Summary_Unemployed!$B$2,Flat_file!$C:$C,"Women",Flat_file!$D:$D,"55-59",Flat_file!$E:$E,"020",Flat_file!$F:$F,"U")+SUMIFS(Flat_file!$H:$H,Flat_file!$B:$B,Summary_Unemployed!$B$2,Flat_file!$C:$C,"Women",Flat_file!$D:$D,"55-59",Flat_file!$E:$E,"030",Flat_file!$F:$F,"U")</f>
        <v>0</v>
      </c>
      <c r="D92" s="89">
        <f>SUMIFS(Flat_file!$H:$H,Flat_file!$B:$B,Summary_Unemployed!$B$2,Flat_file!$C:$C,"Women",Flat_file!$D:$D,"55-59",Flat_file!$E:$E,"100",Flat_file!$F:$F,"U")</f>
        <v>0</v>
      </c>
      <c r="E92" s="89">
        <f>SUMIFS(Flat_file!$H:$H,Flat_file!$B:$B,Summary_Unemployed!$B$2,Flat_file!$C:$C,"Women",Flat_file!$D:$D,"55-59",Flat_file!$E:$E,"242",Flat_file!$F:$F,"U")+SUMIFS(Flat_file!$H:$H,Flat_file!$B:$B,Summary_Unemployed!$B$2,Flat_file!$C:$C,"Women",Flat_file!$D:$D,"55-59",Flat_file!$E:$E,"252",Flat_file!$F:$F,"U")</f>
        <v>0</v>
      </c>
      <c r="F92" s="89">
        <f>SUMIFS(Flat_file!$H:$H,Flat_file!$B:$B,Summary_Unemployed!$B$2,Flat_file!$C:$C,"Women",Flat_file!$D:$D,"55-59",Flat_file!$E:$E,"243",Flat_file!$F:$F,"U")+SUMIFS(Flat_file!$H:$H,Flat_file!$B:$B,Summary_Unemployed!$B$2,Flat_file!$C:$C,"Women",Flat_file!$D:$D,"55-59",Flat_file!$E:$E,"244",Flat_file!$F:$F,"U")+SUMIFS(Flat_file!$H:$H,Flat_file!$B:$B,Summary_Unemployed!$B$2,Flat_file!$C:$C,"Women",Flat_file!$D:$D,"55-59",Flat_file!$E:$E,"253",Flat_file!$F:$F,"U")+SUMIFS(Flat_file!$H:$H,Flat_file!$B:$B,Summary_Unemployed!$B$2,Flat_file!$C:$C,"Women",Flat_file!$D:$D,"55-59",Flat_file!$E:$E,"254",Flat_file!$F:$F,"U")</f>
        <v>0</v>
      </c>
      <c r="G92" s="89">
        <f>SUMIFS(Flat_file!$H:$H,Flat_file!$B:$B,Summary_Unemployed!$B$2,Flat_file!$C:$C,"Women",Flat_file!$D:$D,"55-59",Flat_file!$E:$E,"342",Flat_file!$F:$F,"U")+SUMIFS(Flat_file!$H:$H,Flat_file!$B:$B,Summary_Unemployed!$B$2,Flat_file!$C:$C,"Women",Flat_file!$D:$D,"55-59",Flat_file!$E:$E,"352",Flat_file!$F:$F,"U")</f>
        <v>0</v>
      </c>
      <c r="H92" s="89">
        <f>SUMIFS(Flat_file!$H:$H,Flat_file!$B:$B,Summary_Unemployed!$B$2,Flat_file!$C:$C,"Women",Flat_file!$D:$D,"55-59",Flat_file!$E:$E,"343",Flat_file!$F:$F,"U")+SUMIFS(Flat_file!$H:$H,Flat_file!$B:$B,Summary_Unemployed!$B$2,Flat_file!$C:$C,"Women",Flat_file!$D:$D,"55-59",Flat_file!$E:$E,"344",Flat_file!$F:$F,"U")+SUMIFS(Flat_file!$H:$H,Flat_file!$B:$B,Summary_Unemployed!$B$2,Flat_file!$C:$C,"Women",Flat_file!$D:$D,"55-59",Flat_file!$E:$E,"353",Flat_file!$F:$F,"U")+SUMIFS(Flat_file!$H:$H,Flat_file!$B:$B,Summary_Unemployed!$B$2,Flat_file!$C:$C,"Women",Flat_file!$D:$D,"55-59",Flat_file!$E:$E,"354",Flat_file!$F:$F,"U")</f>
        <v>0</v>
      </c>
      <c r="I92" s="89">
        <f>SUMIFS(Flat_file!$H:$H,Flat_file!$B:$B,Summary_Unemployed!$B$2,Flat_file!$C:$C,"Women",Flat_file!$D:$D,"55-59",Flat_file!$E:$E,"443",Flat_file!$F:$F,"U")+SUMIFS(Flat_file!$H:$H,Flat_file!$B:$B,Summary_Unemployed!$B$2,Flat_file!$C:$C,"Women",Flat_file!$D:$D,"55-59",Flat_file!$E:$E,"444",Flat_file!$F:$F,"U")+SUMIFS(Flat_file!$H:$H,Flat_file!$B:$B,Summary_Unemployed!$B$2,Flat_file!$C:$C,"Women",Flat_file!$D:$D,"55-59",Flat_file!$E:$E,"453",Flat_file!$F:$F,"U")+SUMIFS(Flat_file!$H:$H,Flat_file!$B:$B,Summary_Unemployed!$B$2,Flat_file!$C:$C,"Women",Flat_file!$D:$D,"55-59",Flat_file!$E:$E,"454",Flat_file!$F:$F,"U")</f>
        <v>0</v>
      </c>
      <c r="J92" s="89">
        <f>SUMIFS(Flat_file!$H:$H,Flat_file!$B:$B,Summary_Unemployed!$B$2,Flat_file!$C:$C,"Women",Flat_file!$D:$D,"55-59",Flat_file!$E:$E,"540",Flat_file!$F:$F,"U")+SUMIFS(Flat_file!$H:$H,Flat_file!$B:$B,Summary_Unemployed!$B$2,Flat_file!$C:$C,"Women",Flat_file!$D:$D,"55-59",Flat_file!$E:$E,"550",Flat_file!$F:$F,"U")+SUMIFS(Flat_file!$H:$H,Flat_file!$B:$B,Summary_Unemployed!$B$2,Flat_file!$C:$C,"Women",Flat_file!$D:$D,"55-59",Flat_file!$E:$E,"560",Flat_file!$F:$F,"U")</f>
        <v>0</v>
      </c>
      <c r="K92" s="89">
        <f>SUMIFS(Flat_file!$H:$H,Flat_file!$B:$B,Summary_Unemployed!$B$2,Flat_file!$C:$C,"Women",Flat_file!$D:$D,"55-59",Flat_file!$E:$E,"640",Flat_file!$F:$F,"U")+SUMIFS(Flat_file!$H:$H,Flat_file!$B:$B,Summary_Unemployed!$B$2,Flat_file!$C:$C,"Women",Flat_file!$D:$D,"55-59",Flat_file!$E:$E,"650",Flat_file!$F:$F,"U")+SUMIFS(Flat_file!$H:$H,Flat_file!$B:$B,Summary_Unemployed!$B$2,Flat_file!$C:$C,"Women",Flat_file!$D:$D,"55-59",Flat_file!$E:$E,"660",Flat_file!$F:$F,"U")</f>
        <v>0</v>
      </c>
      <c r="L92" s="89">
        <f>SUMIFS(Flat_file!$H:$H,Flat_file!$B:$B,Summary_Unemployed!$B$2,Flat_file!$C:$C,"Women",Flat_file!$D:$D,"55-59",Flat_file!$E:$E,"740",Flat_file!$F:$F,"U")+SUMIFS(Flat_file!$H:$H,Flat_file!$B:$B,Summary_Unemployed!$B$2,Flat_file!$C:$C,"Women",Flat_file!$D:$D,"55-59",Flat_file!$E:$E,"750",Flat_file!$F:$F,"U")+SUMIFS(Flat_file!$H:$H,Flat_file!$B:$B,Summary_Unemployed!$B$2,Flat_file!$C:$C,"Women",Flat_file!$D:$D,"55-59",Flat_file!$E:$E,"760",Flat_file!$F:$F,"U")</f>
        <v>0</v>
      </c>
      <c r="M92" s="89">
        <f>SUMIFS(Flat_file!$H:$H,Flat_file!$B:$B,Summary_Unemployed!$B$2,Flat_file!$C:$C,"Women",Flat_file!$D:$D,"55-59",Flat_file!$E:$E,"840",Flat_file!$F:$F,"U")+SUMIFS(Flat_file!$H:$H,Flat_file!$B:$B,Summary_Unemployed!$B$2,Flat_file!$C:$C,"Women",Flat_file!$D:$D,"55-59",Flat_file!$E:$E,"850",Flat_file!$F:$F,"U")+SUMIFS(Flat_file!$H:$H,Flat_file!$B:$B,Summary_Unemployed!$B$2,Flat_file!$C:$C,"Women",Flat_file!$D:$D,"55-59",Flat_file!$E:$E,"860",Flat_file!$F:$F,"U")</f>
        <v>0</v>
      </c>
      <c r="N92" s="89">
        <f>SUMIFS(Flat_file!$H:$H,Flat_file!$B:$B,Summary_Unemployed!$B$2,Flat_file!$C:$C,"Women",Flat_file!$D:$D,"55-59",Flat_file!$E:$E,"999",Flat_file!$F:$F,"U")</f>
        <v>0</v>
      </c>
      <c r="O92" s="89">
        <f t="shared" si="53"/>
        <v>0</v>
      </c>
      <c r="P92" s="90"/>
      <c r="Q92" s="89">
        <f t="shared" si="54"/>
        <v>0</v>
      </c>
      <c r="R92" s="91"/>
      <c r="S92" s="89">
        <f t="shared" si="55"/>
        <v>0</v>
      </c>
      <c r="T92" s="89">
        <f t="shared" si="56"/>
        <v>0</v>
      </c>
      <c r="U92" s="89">
        <f t="shared" si="57"/>
        <v>0</v>
      </c>
      <c r="V92" s="90"/>
      <c r="W92" s="89">
        <f>SUMIFS(Flat_file!$H:$H,Flat_file!$B:$B,Summary_Unemployed!$B$2,Flat_file!$C:$C,"Women",Flat_file!$D:$D,"55-59",Flat_file!$E:$E,"343",Flat_file!$F:$F,"U")+SUMIFS(Flat_file!$H:$H,Flat_file!$B:$B,Summary_Unemployed!$B$2,Flat_file!$C:$C,"Women",Flat_file!$D:$D,"55-59",Flat_file!$E:$E,"344",Flat_file!$F:$F,"U")+SUMIFS(Flat_file!$H:$H,Flat_file!$B:$B,Summary_Unemployed!$B$2,Flat_file!$C:$C,"Women",Flat_file!$D:$D,"55-59",Flat_file!$E:$E,"443",Flat_file!$F:$F,"U")+SUMIFS(Flat_file!$H:$H,Flat_file!$B:$B,Summary_Unemployed!$B$2,Flat_file!$C:$C,"Women",Flat_file!$D:$D,"55-59",Flat_file!$E:$E,"444",Flat_file!$F:$F,"U")</f>
        <v>0</v>
      </c>
      <c r="X92" s="89">
        <f>SUMIFS(Flat_file!$H:$H,Flat_file!$B:$B,Summary_Unemployed!$B$2,Flat_file!$C:$C,"Women",Flat_file!$D:$D,"55-59",Flat_file!$E:$E,"353",Flat_file!$F:$F,"U")+SUMIFS(Flat_file!$H:$H,Flat_file!$B:$B,Summary_Unemployed!$B$2,Flat_file!$C:$C,"Women",Flat_file!$D:$D,"55-59",Flat_file!$E:$E,"354",Flat_file!$F:$F,"U")+SUMIFS(Flat_file!$H:$H,Flat_file!$B:$B,Summary_Unemployed!$B$2,Flat_file!$C:$C,"Women",Flat_file!$D:$D,"55-59",Flat_file!$E:$E,"453",Flat_file!$F:$F,"U")+SUMIFS(Flat_file!$H:$H,Flat_file!$B:$B,Summary_Unemployed!$B$2,Flat_file!$C:$C,"Women",Flat_file!$D:$D,"55-59",Flat_file!$E:$E,"454",Flat_file!$F:$F,"U")</f>
        <v>0</v>
      </c>
      <c r="Y92" s="90"/>
      <c r="Z92" s="89">
        <f>SUMIFS(Flat_file!$H:$H,Flat_file!$B:$B,Summary_Unemployed!$B$2,Flat_file!$C:$C,"Women",Flat_file!$D:$D,"55-59",Flat_file!$E:$E,"640",Flat_file!$F:$F,"U")+SUMIFS(Flat_file!$H:$H,Flat_file!$B:$B,Summary_Unemployed!$B$2,Flat_file!$C:$C,"Women",Flat_file!$D:$D,"55-59",Flat_file!$E:$E,"740",Flat_file!$F:$F,"U")+SUMIFS(Flat_file!$H:$H,Flat_file!$B:$B,Summary_Unemployed!$B$2,Flat_file!$C:$C,"Women",Flat_file!$D:$D,"55-59",Flat_file!$E:$E,"840",Flat_file!$F:$F,"U")</f>
        <v>0</v>
      </c>
      <c r="AA92" s="89">
        <f>SUMIFS(Flat_file!$H:$H,Flat_file!$B:$B,Summary_Unemployed!$B$2,Flat_file!$C:$C,"Women",Flat_file!$D:$D,"55-59",Flat_file!$E:$E,"650",Flat_file!$F:$F,"U")+SUMIFS(Flat_file!$H:$H,Flat_file!$B:$B,Summary_Unemployed!$B$2,Flat_file!$C:$C,"Women",Flat_file!$D:$D,"55-59",Flat_file!$E:$E,"750",Flat_file!$F:$F,"U")+SUMIFS(Flat_file!$H:$H,Flat_file!$B:$B,Summary_Unemployed!$B$2,Flat_file!$C:$C,"Women",Flat_file!$D:$D,"55-59",Flat_file!$E:$E,"850",Flat_file!$F:$F,"U")</f>
        <v>0</v>
      </c>
      <c r="AB92" s="89">
        <f>SUMIFS(Flat_file!$H:$H,Flat_file!$B:$B,Summary_Unemployed!$B$2,Flat_file!$C:$C,"Women",Flat_file!$D:$D,"55-59",Flat_file!$E:$E,"660",Flat_file!$F:$F,"U")+SUMIFS(Flat_file!$H:$H,Flat_file!$B:$B,Summary_Unemployed!$B$2,Flat_file!$C:$C,"Women",Flat_file!$D:$D,"55-59",Flat_file!$E:$E,"760",Flat_file!$F:$F,"U")+SUMIFS(Flat_file!$H:$H,Flat_file!$B:$B,Summary_Unemployed!$B$2,Flat_file!$C:$C,"Women",Flat_file!$D:$D,"55-59",Flat_file!$E:$E,"860",Flat_file!$F:$F,"U")</f>
        <v>0</v>
      </c>
      <c r="AC92" s="3"/>
      <c r="AD92" s="3"/>
      <c r="AE92" s="3"/>
      <c r="AF92" s="3"/>
      <c r="AG92" s="3"/>
      <c r="AH92" s="3"/>
      <c r="AI92" s="3"/>
      <c r="AJ92" s="3"/>
      <c r="AK92" s="3"/>
      <c r="AL92" s="3"/>
      <c r="AM92" s="3"/>
      <c r="AN92" s="3"/>
      <c r="AO92" s="3"/>
      <c r="AP92" s="3"/>
      <c r="AQ92" s="3"/>
      <c r="AR92" s="3"/>
      <c r="AS92" s="3"/>
    </row>
    <row r="93" spans="1:45" customFormat="1" x14ac:dyDescent="0.2">
      <c r="A93" s="352"/>
      <c r="B93" s="79" t="s">
        <v>96</v>
      </c>
      <c r="C93" s="89">
        <f>SUMIFS(Flat_file!$H:$H,Flat_file!$B:$B,Summary_Unemployed!$B$2,Flat_file!$C:$C,"Women",Flat_file!$D:$D,"60-64",Flat_file!$E:$E,"010",Flat_file!$F:$F,"U")+SUMIFS(Flat_file!$H:$H,Flat_file!$B:$B,Summary_Unemployed!$B$2,Flat_file!$C:$C,"Women",Flat_file!$D:$D,"60-64",Flat_file!$E:$E,"020",Flat_file!$F:$F,"U")+SUMIFS(Flat_file!$H:$H,Flat_file!$B:$B,Summary_Unemployed!$B$2,Flat_file!$C:$C,"Women",Flat_file!$D:$D,"60-64",Flat_file!$E:$E,"030",Flat_file!$F:$F,"U")</f>
        <v>0</v>
      </c>
      <c r="D93" s="89">
        <f>SUMIFS(Flat_file!$H:$H,Flat_file!$B:$B,Summary_Unemployed!$B$2,Flat_file!$C:$C,"Women",Flat_file!$D:$D,"60-64",Flat_file!$E:$E,"100",Flat_file!$F:$F,"U")</f>
        <v>0</v>
      </c>
      <c r="E93" s="89">
        <f>SUMIFS(Flat_file!$H:$H,Flat_file!$B:$B,Summary_Unemployed!$B$2,Flat_file!$C:$C,"Women",Flat_file!$D:$D,"60-64",Flat_file!$E:$E,"242",Flat_file!$F:$F,"U")+SUMIFS(Flat_file!$H:$H,Flat_file!$B:$B,Summary_Unemployed!$B$2,Flat_file!$C:$C,"Women",Flat_file!$D:$D,"60-64",Flat_file!$E:$E,"252",Flat_file!$F:$F,"U")</f>
        <v>0</v>
      </c>
      <c r="F93" s="89">
        <f>SUMIFS(Flat_file!$H:$H,Flat_file!$B:$B,Summary_Unemployed!$B$2,Flat_file!$C:$C,"Women",Flat_file!$D:$D,"60-64",Flat_file!$E:$E,"243",Flat_file!$F:$F,"U")+SUMIFS(Flat_file!$H:$H,Flat_file!$B:$B,Summary_Unemployed!$B$2,Flat_file!$C:$C,"Women",Flat_file!$D:$D,"60-64",Flat_file!$E:$E,"244",Flat_file!$F:$F,"U")+SUMIFS(Flat_file!$H:$H,Flat_file!$B:$B,Summary_Unemployed!$B$2,Flat_file!$C:$C,"Women",Flat_file!$D:$D,"60-64",Flat_file!$E:$E,"253",Flat_file!$F:$F,"U")+SUMIFS(Flat_file!$H:$H,Flat_file!$B:$B,Summary_Unemployed!$B$2,Flat_file!$C:$C,"Women",Flat_file!$D:$D,"60-64",Flat_file!$E:$E,"254",Flat_file!$F:$F,"U")</f>
        <v>0</v>
      </c>
      <c r="G93" s="89">
        <f>SUMIFS(Flat_file!$H:$H,Flat_file!$B:$B,Summary_Unemployed!$B$2,Flat_file!$C:$C,"Women",Flat_file!$D:$D,"60-64",Flat_file!$E:$E,"342",Flat_file!$F:$F,"U")+SUMIFS(Flat_file!$H:$H,Flat_file!$B:$B,Summary_Unemployed!$B$2,Flat_file!$C:$C,"Women",Flat_file!$D:$D,"60-64",Flat_file!$E:$E,"352",Flat_file!$F:$F,"U")</f>
        <v>0</v>
      </c>
      <c r="H93" s="89">
        <f>SUMIFS(Flat_file!$H:$H,Flat_file!$B:$B,Summary_Unemployed!$B$2,Flat_file!$C:$C,"Women",Flat_file!$D:$D,"60-64",Flat_file!$E:$E,"343",Flat_file!$F:$F,"U")+SUMIFS(Flat_file!$H:$H,Flat_file!$B:$B,Summary_Unemployed!$B$2,Flat_file!$C:$C,"Women",Flat_file!$D:$D,"60-64",Flat_file!$E:$E,"344",Flat_file!$F:$F,"U")+SUMIFS(Flat_file!$H:$H,Flat_file!$B:$B,Summary_Unemployed!$B$2,Flat_file!$C:$C,"Women",Flat_file!$D:$D,"60-64",Flat_file!$E:$E,"353",Flat_file!$F:$F,"U")+SUMIFS(Flat_file!$H:$H,Flat_file!$B:$B,Summary_Unemployed!$B$2,Flat_file!$C:$C,"Women",Flat_file!$D:$D,"60-64",Flat_file!$E:$E,"354",Flat_file!$F:$F,"U")</f>
        <v>0</v>
      </c>
      <c r="I93" s="89">
        <f>SUMIFS(Flat_file!$H:$H,Flat_file!$B:$B,Summary_Unemployed!$B$2,Flat_file!$C:$C,"Women",Flat_file!$D:$D,"60-64",Flat_file!$E:$E,"443",Flat_file!$F:$F,"U")+SUMIFS(Flat_file!$H:$H,Flat_file!$B:$B,Summary_Unemployed!$B$2,Flat_file!$C:$C,"Women",Flat_file!$D:$D,"60-64",Flat_file!$E:$E,"444",Flat_file!$F:$F,"U")+SUMIFS(Flat_file!$H:$H,Flat_file!$B:$B,Summary_Unemployed!$B$2,Flat_file!$C:$C,"Women",Flat_file!$D:$D,"60-64",Flat_file!$E:$E,"453",Flat_file!$F:$F,"U")+SUMIFS(Flat_file!$H:$H,Flat_file!$B:$B,Summary_Unemployed!$B$2,Flat_file!$C:$C,"Women",Flat_file!$D:$D,"60-64",Flat_file!$E:$E,"454",Flat_file!$F:$F,"U")</f>
        <v>0</v>
      </c>
      <c r="J93" s="89">
        <f>SUMIFS(Flat_file!$H:$H,Flat_file!$B:$B,Summary_Unemployed!$B$2,Flat_file!$C:$C,"Women",Flat_file!$D:$D,"60-64",Flat_file!$E:$E,"540",Flat_file!$F:$F,"U")+SUMIFS(Flat_file!$H:$H,Flat_file!$B:$B,Summary_Unemployed!$B$2,Flat_file!$C:$C,"Women",Flat_file!$D:$D,"60-64",Flat_file!$E:$E,"550",Flat_file!$F:$F,"U")+SUMIFS(Flat_file!$H:$H,Flat_file!$B:$B,Summary_Unemployed!$B$2,Flat_file!$C:$C,"Women",Flat_file!$D:$D,"60-64",Flat_file!$E:$E,"560",Flat_file!$F:$F,"U")</f>
        <v>0</v>
      </c>
      <c r="K93" s="89">
        <f>SUMIFS(Flat_file!$H:$H,Flat_file!$B:$B,Summary_Unemployed!$B$2,Flat_file!$C:$C,"Women",Flat_file!$D:$D,"60-64",Flat_file!$E:$E,"640",Flat_file!$F:$F,"U")+SUMIFS(Flat_file!$H:$H,Flat_file!$B:$B,Summary_Unemployed!$B$2,Flat_file!$C:$C,"Women",Flat_file!$D:$D,"60-64",Flat_file!$E:$E,"650",Flat_file!$F:$F,"U")+SUMIFS(Flat_file!$H:$H,Flat_file!$B:$B,Summary_Unemployed!$B$2,Flat_file!$C:$C,"Women",Flat_file!$D:$D,"60-64",Flat_file!$E:$E,"660",Flat_file!$F:$F,"U")</f>
        <v>0</v>
      </c>
      <c r="L93" s="89">
        <f>SUMIFS(Flat_file!$H:$H,Flat_file!$B:$B,Summary_Unemployed!$B$2,Flat_file!$C:$C,"Women",Flat_file!$D:$D,"60-64",Flat_file!$E:$E,"740",Flat_file!$F:$F,"U")+SUMIFS(Flat_file!$H:$H,Flat_file!$B:$B,Summary_Unemployed!$B$2,Flat_file!$C:$C,"Women",Flat_file!$D:$D,"60-64",Flat_file!$E:$E,"750",Flat_file!$F:$F,"U")+SUMIFS(Flat_file!$H:$H,Flat_file!$B:$B,Summary_Unemployed!$B$2,Flat_file!$C:$C,"Women",Flat_file!$D:$D,"60-64",Flat_file!$E:$E,"760",Flat_file!$F:$F,"U")</f>
        <v>0</v>
      </c>
      <c r="M93" s="89">
        <f>SUMIFS(Flat_file!$H:$H,Flat_file!$B:$B,Summary_Unemployed!$B$2,Flat_file!$C:$C,"Women",Flat_file!$D:$D,"60-64",Flat_file!$E:$E,"840",Flat_file!$F:$F,"U")+SUMIFS(Flat_file!$H:$H,Flat_file!$B:$B,Summary_Unemployed!$B$2,Flat_file!$C:$C,"Women",Flat_file!$D:$D,"60-64",Flat_file!$E:$E,"850",Flat_file!$F:$F,"U")+SUMIFS(Flat_file!$H:$H,Flat_file!$B:$B,Summary_Unemployed!$B$2,Flat_file!$C:$C,"Women",Flat_file!$D:$D,"60-64",Flat_file!$E:$E,"860",Flat_file!$F:$F,"U")</f>
        <v>0</v>
      </c>
      <c r="N93" s="89">
        <f>SUMIFS(Flat_file!$H:$H,Flat_file!$B:$B,Summary_Unemployed!$B$2,Flat_file!$C:$C,"Women",Flat_file!$D:$D,"60-64",Flat_file!$E:$E,"999",Flat_file!$F:$F,"U")</f>
        <v>0</v>
      </c>
      <c r="O93" s="89">
        <f t="shared" si="53"/>
        <v>0</v>
      </c>
      <c r="P93" s="90"/>
      <c r="Q93" s="89">
        <f t="shared" si="54"/>
        <v>0</v>
      </c>
      <c r="R93" s="91"/>
      <c r="S93" s="89">
        <f t="shared" si="55"/>
        <v>0</v>
      </c>
      <c r="T93" s="89">
        <f t="shared" si="56"/>
        <v>0</v>
      </c>
      <c r="U93" s="89">
        <f t="shared" si="57"/>
        <v>0</v>
      </c>
      <c r="V93" s="90"/>
      <c r="W93" s="89">
        <f>SUMIFS(Flat_file!$H:$H,Flat_file!$B:$B,Summary_Unemployed!$B$2,Flat_file!$C:$C,"Women",Flat_file!$D:$D,"60-64",Flat_file!$E:$E,"343",Flat_file!$F:$F,"U")+SUMIFS(Flat_file!$H:$H,Flat_file!$B:$B,Summary_Unemployed!$B$2,Flat_file!$C:$C,"Women",Flat_file!$D:$D,"60-64",Flat_file!$E:$E,"344",Flat_file!$F:$F,"U")+SUMIFS(Flat_file!$H:$H,Flat_file!$B:$B,Summary_Unemployed!$B$2,Flat_file!$C:$C,"Women",Flat_file!$D:$D,"60-64",Flat_file!$E:$E,"443",Flat_file!$F:$F,"U")+SUMIFS(Flat_file!$H:$H,Flat_file!$B:$B,Summary_Unemployed!$B$2,Flat_file!$C:$C,"Women",Flat_file!$D:$D,"60-64",Flat_file!$E:$E,"444",Flat_file!$F:$F,"U")</f>
        <v>0</v>
      </c>
      <c r="X93" s="89">
        <f>SUMIFS(Flat_file!$H:$H,Flat_file!$B:$B,Summary_Unemployed!$B$2,Flat_file!$C:$C,"Women",Flat_file!$D:$D,"60-64",Flat_file!$E:$E,"353",Flat_file!$F:$F,"U")+SUMIFS(Flat_file!$H:$H,Flat_file!$B:$B,Summary_Unemployed!$B$2,Flat_file!$C:$C,"Women",Flat_file!$D:$D,"60-64",Flat_file!$E:$E,"354",Flat_file!$F:$F,"U")+SUMIFS(Flat_file!$H:$H,Flat_file!$B:$B,Summary_Unemployed!$B$2,Flat_file!$C:$C,"Women",Flat_file!$D:$D,"60-64",Flat_file!$E:$E,"453",Flat_file!$F:$F,"U")+SUMIFS(Flat_file!$H:$H,Flat_file!$B:$B,Summary_Unemployed!$B$2,Flat_file!$C:$C,"Women",Flat_file!$D:$D,"60-64",Flat_file!$E:$E,"454",Flat_file!$F:$F,"U")</f>
        <v>0</v>
      </c>
      <c r="Y93" s="90"/>
      <c r="Z93" s="89">
        <f>SUMIFS(Flat_file!$H:$H,Flat_file!$B:$B,Summary_Unemployed!$B$2,Flat_file!$C:$C,"Women",Flat_file!$D:$D,"60-64",Flat_file!$E:$E,"640",Flat_file!$F:$F,"U")+SUMIFS(Flat_file!$H:$H,Flat_file!$B:$B,Summary_Unemployed!$B$2,Flat_file!$C:$C,"Women",Flat_file!$D:$D,"60-64",Flat_file!$E:$E,"740",Flat_file!$F:$F,"U")+SUMIFS(Flat_file!$H:$H,Flat_file!$B:$B,Summary_Unemployed!$B$2,Flat_file!$C:$C,"Women",Flat_file!$D:$D,"60-64",Flat_file!$E:$E,"840",Flat_file!$F:$F,"U")</f>
        <v>0</v>
      </c>
      <c r="AA93" s="89">
        <f>SUMIFS(Flat_file!$H:$H,Flat_file!$B:$B,Summary_Unemployed!$B$2,Flat_file!$C:$C,"Women",Flat_file!$D:$D,"60-64",Flat_file!$E:$E,"650",Flat_file!$F:$F,"U")+SUMIFS(Flat_file!$H:$H,Flat_file!$B:$B,Summary_Unemployed!$B$2,Flat_file!$C:$C,"Women",Flat_file!$D:$D,"60-64",Flat_file!$E:$E,"750",Flat_file!$F:$F,"U")+SUMIFS(Flat_file!$H:$H,Flat_file!$B:$B,Summary_Unemployed!$B$2,Flat_file!$C:$C,"Women",Flat_file!$D:$D,"60-64",Flat_file!$E:$E,"850",Flat_file!$F:$F,"U")</f>
        <v>0</v>
      </c>
      <c r="AB93" s="89">
        <f>SUMIFS(Flat_file!$H:$H,Flat_file!$B:$B,Summary_Unemployed!$B$2,Flat_file!$C:$C,"Women",Flat_file!$D:$D,"60-64",Flat_file!$E:$E,"660",Flat_file!$F:$F,"U")+SUMIFS(Flat_file!$H:$H,Flat_file!$B:$B,Summary_Unemployed!$B$2,Flat_file!$C:$C,"Women",Flat_file!$D:$D,"60-64",Flat_file!$E:$E,"760",Flat_file!$F:$F,"U")+SUMIFS(Flat_file!$H:$H,Flat_file!$B:$B,Summary_Unemployed!$B$2,Flat_file!$C:$C,"Women",Flat_file!$D:$D,"60-64",Flat_file!$E:$E,"860",Flat_file!$F:$F,"U")</f>
        <v>0</v>
      </c>
      <c r="AC93" s="3"/>
      <c r="AD93" s="3"/>
      <c r="AE93" s="3"/>
      <c r="AF93" s="3"/>
      <c r="AG93" s="3"/>
      <c r="AH93" s="3"/>
      <c r="AI93" s="3"/>
      <c r="AJ93" s="3"/>
      <c r="AK93" s="3"/>
      <c r="AL93" s="3"/>
      <c r="AM93" s="3"/>
      <c r="AN93" s="3"/>
      <c r="AO93" s="3"/>
      <c r="AP93" s="3"/>
      <c r="AQ93" s="3"/>
      <c r="AR93" s="3"/>
      <c r="AS93" s="3"/>
    </row>
    <row r="94" spans="1:45" customFormat="1" x14ac:dyDescent="0.2">
      <c r="A94" s="352"/>
      <c r="B94" s="79" t="s">
        <v>258</v>
      </c>
      <c r="C94" s="225">
        <f>SUMIFS(Flat_file!$H:$H,Flat_file!$B:$B,Summary_Unemployed!$B$2,Flat_file!$C:$C,"Women",Flat_file!$D:$D,"65-69",Flat_file!$E:$E,"010",Flat_file!$F:$F,"U")+SUMIFS(Flat_file!$H:$H,Flat_file!$B:$B,Summary_Unemployed!$B$2,Flat_file!$C:$C,"Women",Flat_file!$D:$D,"65-69",Flat_file!$E:$E,"020",Flat_file!$F:$F,"U")+SUMIFS(Flat_file!$H:$H,Flat_file!$B:$B,Summary_Unemployed!$B$2,Flat_file!$C:$C,"Women",Flat_file!$D:$D,"65-69",Flat_file!$E:$E,"030",Flat_file!$F:$F,"U")</f>
        <v>0</v>
      </c>
      <c r="D94" s="225">
        <f>SUMIFS(Flat_file!$H:$H,Flat_file!$B:$B,Summary_Unemployed!$B$2,Flat_file!$C:$C,"Women",Flat_file!$D:$D,"65-69",Flat_file!$E:$E,"100",Flat_file!$F:$F,"U")</f>
        <v>0</v>
      </c>
      <c r="E94" s="225">
        <f>SUMIFS(Flat_file!$H:$H,Flat_file!$B:$B,Summary_Unemployed!$B$2,Flat_file!$C:$C,"Women",Flat_file!$D:$D,"65-69",Flat_file!$E:$E,"242",Flat_file!$F:$F,"U")+SUMIFS(Flat_file!$H:$H,Flat_file!$B:$B,Summary_Unemployed!$B$2,Flat_file!$C:$C,"Women",Flat_file!$D:$D,"65-69",Flat_file!$E:$E,"252",Flat_file!$F:$F,"U")</f>
        <v>0</v>
      </c>
      <c r="F94" s="225">
        <f>SUMIFS(Flat_file!$H:$H,Flat_file!$B:$B,Summary_Unemployed!$B$2,Flat_file!$C:$C,"Women",Flat_file!$D:$D,"65-69",Flat_file!$E:$E,"243",Flat_file!$F:$F,"U")+SUMIFS(Flat_file!$H:$H,Flat_file!$B:$B,Summary_Unemployed!$B$2,Flat_file!$C:$C,"Women",Flat_file!$D:$D,"65-69",Flat_file!$E:$E,"244",Flat_file!$F:$F,"U")+SUMIFS(Flat_file!$H:$H,Flat_file!$B:$B,Summary_Unemployed!$B$2,Flat_file!$C:$C,"Women",Flat_file!$D:$D,"65-69",Flat_file!$E:$E,"253",Flat_file!$F:$F,"U")+SUMIFS(Flat_file!$H:$H,Flat_file!$B:$B,Summary_Unemployed!$B$2,Flat_file!$C:$C,"Women",Flat_file!$D:$D,"65-69",Flat_file!$E:$E,"254",Flat_file!$F:$F,"U")</f>
        <v>0</v>
      </c>
      <c r="G94" s="225">
        <f>SUMIFS(Flat_file!$H:$H,Flat_file!$B:$B,Summary_Unemployed!$B$2,Flat_file!$C:$C,"Women",Flat_file!$D:$D,"65-69",Flat_file!$E:$E,"342",Flat_file!$F:$F,"U")+SUMIFS(Flat_file!$H:$H,Flat_file!$B:$B,Summary_Unemployed!$B$2,Flat_file!$C:$C,"Women",Flat_file!$D:$D,"65-69",Flat_file!$E:$E,"352",Flat_file!$F:$F,"U")</f>
        <v>0</v>
      </c>
      <c r="H94" s="225">
        <f>SUMIFS(Flat_file!$H:$H,Flat_file!$B:$B,Summary_Unemployed!$B$2,Flat_file!$C:$C,"Women",Flat_file!$D:$D,"65-69",Flat_file!$E:$E,"343",Flat_file!$F:$F,"U")+SUMIFS(Flat_file!$H:$H,Flat_file!$B:$B,Summary_Unemployed!$B$2,Flat_file!$C:$C,"Women",Flat_file!$D:$D,"65-69",Flat_file!$E:$E,"344",Flat_file!$F:$F,"U")+SUMIFS(Flat_file!$H:$H,Flat_file!$B:$B,Summary_Unemployed!$B$2,Flat_file!$C:$C,"Women",Flat_file!$D:$D,"65-69",Flat_file!$E:$E,"353",Flat_file!$F:$F,"U")+SUMIFS(Flat_file!$H:$H,Flat_file!$B:$B,Summary_Unemployed!$B$2,Flat_file!$C:$C,"Women",Flat_file!$D:$D,"65-69",Flat_file!$E:$E,"354",Flat_file!$F:$F,"U")</f>
        <v>0</v>
      </c>
      <c r="I94" s="225">
        <f>SUMIFS(Flat_file!$H:$H,Flat_file!$B:$B,Summary_Unemployed!$B$2,Flat_file!$C:$C,"Women",Flat_file!$D:$D,"65-69",Flat_file!$E:$E,"443",Flat_file!$F:$F,"U")+SUMIFS(Flat_file!$H:$H,Flat_file!$B:$B,Summary_Unemployed!$B$2,Flat_file!$C:$C,"Women",Flat_file!$D:$D,"65-69",Flat_file!$E:$E,"444",Flat_file!$F:$F,"U")+SUMIFS(Flat_file!$H:$H,Flat_file!$B:$B,Summary_Unemployed!$B$2,Flat_file!$C:$C,"Women",Flat_file!$D:$D,"65-69",Flat_file!$E:$E,"453",Flat_file!$F:$F,"U")+SUMIFS(Flat_file!$H:$H,Flat_file!$B:$B,Summary_Unemployed!$B$2,Flat_file!$C:$C,"Women",Flat_file!$D:$D,"65-69",Flat_file!$E:$E,"454",Flat_file!$F:$F,"U")</f>
        <v>0</v>
      </c>
      <c r="J94" s="225">
        <f>SUMIFS(Flat_file!$H:$H,Flat_file!$B:$B,Summary_Unemployed!$B$2,Flat_file!$C:$C,"Women",Flat_file!$D:$D,"65-69",Flat_file!$E:$E,"540",Flat_file!$F:$F,"U")+SUMIFS(Flat_file!$H:$H,Flat_file!$B:$B,Summary_Unemployed!$B$2,Flat_file!$C:$C,"Women",Flat_file!$D:$D,"65-69",Flat_file!$E:$E,"550",Flat_file!$F:$F,"U")+SUMIFS(Flat_file!$H:$H,Flat_file!$B:$B,Summary_Unemployed!$B$2,Flat_file!$C:$C,"Women",Flat_file!$D:$D,"65-69",Flat_file!$E:$E,"560",Flat_file!$F:$F,"U")</f>
        <v>0</v>
      </c>
      <c r="K94" s="225">
        <f>SUMIFS(Flat_file!$H:$H,Flat_file!$B:$B,Summary_Unemployed!$B$2,Flat_file!$C:$C,"Women",Flat_file!$D:$D,"65-69",Flat_file!$E:$E,"640",Flat_file!$F:$F,"U")+SUMIFS(Flat_file!$H:$H,Flat_file!$B:$B,Summary_Unemployed!$B$2,Flat_file!$C:$C,"Women",Flat_file!$D:$D,"65-69",Flat_file!$E:$E,"650",Flat_file!$F:$F,"U")+SUMIFS(Flat_file!$H:$H,Flat_file!$B:$B,Summary_Unemployed!$B$2,Flat_file!$C:$C,"Women",Flat_file!$D:$D,"65-69",Flat_file!$E:$E,"660",Flat_file!$F:$F,"U")</f>
        <v>0</v>
      </c>
      <c r="L94" s="225">
        <f>SUMIFS(Flat_file!$H:$H,Flat_file!$B:$B,Summary_Unemployed!$B$2,Flat_file!$C:$C,"Women",Flat_file!$D:$D,"65-69",Flat_file!$E:$E,"740",Flat_file!$F:$F,"U")+SUMIFS(Flat_file!$H:$H,Flat_file!$B:$B,Summary_Unemployed!$B$2,Flat_file!$C:$C,"Women",Flat_file!$D:$D,"65-69",Flat_file!$E:$E,"750",Flat_file!$F:$F,"U")+SUMIFS(Flat_file!$H:$H,Flat_file!$B:$B,Summary_Unemployed!$B$2,Flat_file!$C:$C,"Women",Flat_file!$D:$D,"65-69",Flat_file!$E:$E,"760",Flat_file!$F:$F,"U")</f>
        <v>0</v>
      </c>
      <c r="M94" s="225">
        <f>SUMIFS(Flat_file!$H:$H,Flat_file!$B:$B,Summary_Unemployed!$B$2,Flat_file!$C:$C,"Women",Flat_file!$D:$D,"65-69",Flat_file!$E:$E,"840",Flat_file!$F:$F,"U")+SUMIFS(Flat_file!$H:$H,Flat_file!$B:$B,Summary_Unemployed!$B$2,Flat_file!$C:$C,"Women",Flat_file!$D:$D,"65-69",Flat_file!$E:$E,"850",Flat_file!$F:$F,"U")+SUMIFS(Flat_file!$H:$H,Flat_file!$B:$B,Summary_Unemployed!$B$2,Flat_file!$C:$C,"Women",Flat_file!$D:$D,"65-69",Flat_file!$E:$E,"860",Flat_file!$F:$F,"U")</f>
        <v>0</v>
      </c>
      <c r="N94" s="225">
        <f>SUMIFS(Flat_file!$H:$H,Flat_file!$B:$B,Summary_Unemployed!$B$2,Flat_file!$C:$C,"Women",Flat_file!$D:$D,"65-69",Flat_file!$E:$E,"999",Flat_file!$F:$F,"U")</f>
        <v>0</v>
      </c>
      <c r="O94" s="225">
        <f t="shared" si="53"/>
        <v>0</v>
      </c>
      <c r="P94" s="90"/>
      <c r="Q94" s="225">
        <f t="shared" si="54"/>
        <v>0</v>
      </c>
      <c r="R94" s="91"/>
      <c r="S94" s="225">
        <f t="shared" si="55"/>
        <v>0</v>
      </c>
      <c r="T94" s="225">
        <f t="shared" si="56"/>
        <v>0</v>
      </c>
      <c r="U94" s="225">
        <f t="shared" si="57"/>
        <v>0</v>
      </c>
      <c r="V94" s="90"/>
      <c r="W94" s="225">
        <f>SUMIFS(Flat_file!$H:$H,Flat_file!$B:$B,Summary_Unemployed!$B$2,Flat_file!$C:$C,"Women",Flat_file!$D:$D,"65-69",Flat_file!$E:$E,"343",Flat_file!$F:$F,"U")+SUMIFS(Flat_file!$H:$H,Flat_file!$B:$B,Summary_Unemployed!$B$2,Flat_file!$C:$C,"Women",Flat_file!$D:$D,"65-69",Flat_file!$E:$E,"344",Flat_file!$F:$F,"U")+SUMIFS(Flat_file!$H:$H,Flat_file!$B:$B,Summary_Unemployed!$B$2,Flat_file!$C:$C,"Women",Flat_file!$D:$D,"65-69",Flat_file!$E:$E,"443",Flat_file!$F:$F,"U")+SUMIFS(Flat_file!$H:$H,Flat_file!$B:$B,Summary_Unemployed!$B$2,Flat_file!$C:$C,"Women",Flat_file!$D:$D,"65-69",Flat_file!$E:$E,"444",Flat_file!$F:$F,"U")</f>
        <v>0</v>
      </c>
      <c r="X94" s="225">
        <f>SUMIFS(Flat_file!$H:$H,Flat_file!$B:$B,Summary_Unemployed!$B$2,Flat_file!$C:$C,"Women",Flat_file!$D:$D,"65-69",Flat_file!$E:$E,"353",Flat_file!$F:$F,"U")+SUMIFS(Flat_file!$H:$H,Flat_file!$B:$B,Summary_Unemployed!$B$2,Flat_file!$C:$C,"Women",Flat_file!$D:$D,"65-69",Flat_file!$E:$E,"354",Flat_file!$F:$F,"U")+SUMIFS(Flat_file!$H:$H,Flat_file!$B:$B,Summary_Unemployed!$B$2,Flat_file!$C:$C,"Women",Flat_file!$D:$D,"65-69",Flat_file!$E:$E,"453",Flat_file!$F:$F,"U")+SUMIFS(Flat_file!$H:$H,Flat_file!$B:$B,Summary_Unemployed!$B$2,Flat_file!$C:$C,"Women",Flat_file!$D:$D,"65-69",Flat_file!$E:$E,"454",Flat_file!$F:$F,"U")</f>
        <v>0</v>
      </c>
      <c r="Y94" s="90"/>
      <c r="Z94" s="225">
        <f>SUMIFS(Flat_file!$H:$H,Flat_file!$B:$B,Summary_Unemployed!$B$2,Flat_file!$C:$C,"Women",Flat_file!$D:$D,"65-69",Flat_file!$E:$E,"640",Flat_file!$F:$F,"U")+SUMIFS(Flat_file!$H:$H,Flat_file!$B:$B,Summary_Unemployed!$B$2,Flat_file!$C:$C,"Women",Flat_file!$D:$D,"65-69",Flat_file!$E:$E,"740",Flat_file!$F:$F,"U")+SUMIFS(Flat_file!$H:$H,Flat_file!$B:$B,Summary_Unemployed!$B$2,Flat_file!$C:$C,"Women",Flat_file!$D:$D,"65-69",Flat_file!$E:$E,"840",Flat_file!$F:$F,"U")</f>
        <v>0</v>
      </c>
      <c r="AA94" s="225">
        <f>SUMIFS(Flat_file!$H:$H,Flat_file!$B:$B,Summary_Unemployed!$B$2,Flat_file!$C:$C,"Women",Flat_file!$D:$D,"65-69",Flat_file!$E:$E,"650",Flat_file!$F:$F,"U")+SUMIFS(Flat_file!$H:$H,Flat_file!$B:$B,Summary_Unemployed!$B$2,Flat_file!$C:$C,"Women",Flat_file!$D:$D,"65-69",Flat_file!$E:$E,"750",Flat_file!$F:$F,"U")+SUMIFS(Flat_file!$H:$H,Flat_file!$B:$B,Summary_Unemployed!$B$2,Flat_file!$C:$C,"Women",Flat_file!$D:$D,"65-69",Flat_file!$E:$E,"850",Flat_file!$F:$F,"U")</f>
        <v>0</v>
      </c>
      <c r="AB94" s="225">
        <f>SUMIFS(Flat_file!$H:$H,Flat_file!$B:$B,Summary_Unemployed!$B$2,Flat_file!$C:$C,"Women",Flat_file!$D:$D,"65-69",Flat_file!$E:$E,"660",Flat_file!$F:$F,"U")+SUMIFS(Flat_file!$H:$H,Flat_file!$B:$B,Summary_Unemployed!$B$2,Flat_file!$C:$C,"Women",Flat_file!$D:$D,"65-69",Flat_file!$E:$E,"760",Flat_file!$F:$F,"U")+SUMIFS(Flat_file!$H:$H,Flat_file!$B:$B,Summary_Unemployed!$B$2,Flat_file!$C:$C,"Women",Flat_file!$D:$D,"65-69",Flat_file!$E:$E,"860",Flat_file!$F:$F,"U")</f>
        <v>0</v>
      </c>
      <c r="AC94" s="3"/>
      <c r="AD94" s="3"/>
      <c r="AE94" s="3"/>
      <c r="AF94" s="3"/>
      <c r="AG94" s="3"/>
      <c r="AH94" s="3"/>
      <c r="AI94" s="3"/>
      <c r="AJ94" s="3"/>
      <c r="AK94" s="3"/>
      <c r="AL94" s="3"/>
      <c r="AM94" s="3"/>
      <c r="AN94" s="3"/>
      <c r="AO94" s="3"/>
      <c r="AP94" s="3"/>
      <c r="AQ94" s="3"/>
      <c r="AR94" s="3"/>
      <c r="AS94" s="3"/>
    </row>
    <row r="95" spans="1:45" customFormat="1" x14ac:dyDescent="0.2">
      <c r="A95" s="352"/>
      <c r="B95" s="79" t="s">
        <v>260</v>
      </c>
      <c r="C95" s="225">
        <f>SUMIFS(Flat_file!$H:$H,Flat_file!$B:$B,Summary_Unemployed!$B$2,Flat_file!$C:$C,"Women",Flat_file!$D:$D,"70-74",Flat_file!$E:$E,"010",Flat_file!$F:$F,"U")+SUMIFS(Flat_file!$H:$H,Flat_file!$B:$B,Summary_Unemployed!$B$2,Flat_file!$C:$C,"Women",Flat_file!$D:$D,"70-74",Flat_file!$E:$E,"020",Flat_file!$F:$F,"U")+SUMIFS(Flat_file!$H:$H,Flat_file!$B:$B,Summary_Unemployed!$B$2,Flat_file!$C:$C,"Women",Flat_file!$D:$D,"70-74",Flat_file!$E:$E,"030",Flat_file!$F:$F,"U")</f>
        <v>0</v>
      </c>
      <c r="D95" s="225">
        <f>SUMIFS(Flat_file!$H:$H,Flat_file!$B:$B,Summary_Unemployed!$B$2,Flat_file!$C:$C,"Women",Flat_file!$D:$D,"70-74",Flat_file!$E:$E,"100",Flat_file!$F:$F,"U")</f>
        <v>0</v>
      </c>
      <c r="E95" s="225">
        <f>SUMIFS(Flat_file!$H:$H,Flat_file!$B:$B,Summary_Unemployed!$B$2,Flat_file!$C:$C,"Women",Flat_file!$D:$D,"70-74",Flat_file!$E:$E,"242",Flat_file!$F:$F,"U")+SUMIFS(Flat_file!$H:$H,Flat_file!$B:$B,Summary_Unemployed!$B$2,Flat_file!$C:$C,"Women",Flat_file!$D:$D,"70-74",Flat_file!$E:$E,"252",Flat_file!$F:$F,"U")</f>
        <v>0</v>
      </c>
      <c r="F95" s="225">
        <f>SUMIFS(Flat_file!$H:$H,Flat_file!$B:$B,Summary_Unemployed!$B$2,Flat_file!$C:$C,"Women",Flat_file!$D:$D,"70-74",Flat_file!$E:$E,"243",Flat_file!$F:$F,"U")+SUMIFS(Flat_file!$H:$H,Flat_file!$B:$B,Summary_Unemployed!$B$2,Flat_file!$C:$C,"Women",Flat_file!$D:$D,"70-74",Flat_file!$E:$E,"244",Flat_file!$F:$F,"U")+SUMIFS(Flat_file!$H:$H,Flat_file!$B:$B,Summary_Unemployed!$B$2,Flat_file!$C:$C,"Women",Flat_file!$D:$D,"70-74",Flat_file!$E:$E,"253",Flat_file!$F:$F,"U")+SUMIFS(Flat_file!$H:$H,Flat_file!$B:$B,Summary_Unemployed!$B$2,Flat_file!$C:$C,"Women",Flat_file!$D:$D,"70-74",Flat_file!$E:$E,"254",Flat_file!$F:$F,"U")</f>
        <v>0</v>
      </c>
      <c r="G95" s="225">
        <f>SUMIFS(Flat_file!$H:$H,Flat_file!$B:$B,Summary_Unemployed!$B$2,Flat_file!$C:$C,"Women",Flat_file!$D:$D,"70-74",Flat_file!$E:$E,"342",Flat_file!$F:$F,"U")+SUMIFS(Flat_file!$H:$H,Flat_file!$B:$B,Summary_Unemployed!$B$2,Flat_file!$C:$C,"Women",Flat_file!$D:$D,"70-74",Flat_file!$E:$E,"352",Flat_file!$F:$F,"U")</f>
        <v>0</v>
      </c>
      <c r="H95" s="225">
        <f>SUMIFS(Flat_file!$H:$H,Flat_file!$B:$B,Summary_Unemployed!$B$2,Flat_file!$C:$C,"Women",Flat_file!$D:$D,"70-74",Flat_file!$E:$E,"343",Flat_file!$F:$F,"U")+SUMIFS(Flat_file!$H:$H,Flat_file!$B:$B,Summary_Unemployed!$B$2,Flat_file!$C:$C,"Women",Flat_file!$D:$D,"70-74",Flat_file!$E:$E,"344",Flat_file!$F:$F,"U")+SUMIFS(Flat_file!$H:$H,Flat_file!$B:$B,Summary_Unemployed!$B$2,Flat_file!$C:$C,"Women",Flat_file!$D:$D,"70-74",Flat_file!$E:$E,"353",Flat_file!$F:$F,"U")+SUMIFS(Flat_file!$H:$H,Flat_file!$B:$B,Summary_Unemployed!$B$2,Flat_file!$C:$C,"Women",Flat_file!$D:$D,"70-74",Flat_file!$E:$E,"354",Flat_file!$F:$F,"U")</f>
        <v>0</v>
      </c>
      <c r="I95" s="225">
        <f>SUMIFS(Flat_file!$H:$H,Flat_file!$B:$B,Summary_Unemployed!$B$2,Flat_file!$C:$C,"Women",Flat_file!$D:$D,"70-74",Flat_file!$E:$E,"443",Flat_file!$F:$F,"U")+SUMIFS(Flat_file!$H:$H,Flat_file!$B:$B,Summary_Unemployed!$B$2,Flat_file!$C:$C,"Women",Flat_file!$D:$D,"70-74",Flat_file!$E:$E,"444",Flat_file!$F:$F,"U")+SUMIFS(Flat_file!$H:$H,Flat_file!$B:$B,Summary_Unemployed!$B$2,Flat_file!$C:$C,"Women",Flat_file!$D:$D,"70-74",Flat_file!$E:$E,"453",Flat_file!$F:$F,"U")+SUMIFS(Flat_file!$H:$H,Flat_file!$B:$B,Summary_Unemployed!$B$2,Flat_file!$C:$C,"Women",Flat_file!$D:$D,"70-74",Flat_file!$E:$E,"454",Flat_file!$F:$F,"U")</f>
        <v>0</v>
      </c>
      <c r="J95" s="225">
        <f>SUMIFS(Flat_file!$H:$H,Flat_file!$B:$B,Summary_Unemployed!$B$2,Flat_file!$C:$C,"Women",Flat_file!$D:$D,"70-74",Flat_file!$E:$E,"540",Flat_file!$F:$F,"U")+SUMIFS(Flat_file!$H:$H,Flat_file!$B:$B,Summary_Unemployed!$B$2,Flat_file!$C:$C,"Women",Flat_file!$D:$D,"70-74",Flat_file!$E:$E,"550",Flat_file!$F:$F,"U")+SUMIFS(Flat_file!$H:$H,Flat_file!$B:$B,Summary_Unemployed!$B$2,Flat_file!$C:$C,"Women",Flat_file!$D:$D,"70-74",Flat_file!$E:$E,"560",Flat_file!$F:$F,"U")</f>
        <v>0</v>
      </c>
      <c r="K95" s="225">
        <f>SUMIFS(Flat_file!$H:$H,Flat_file!$B:$B,Summary_Unemployed!$B$2,Flat_file!$C:$C,"Women",Flat_file!$D:$D,"70-74",Flat_file!$E:$E,"640",Flat_file!$F:$F,"U")+SUMIFS(Flat_file!$H:$H,Flat_file!$B:$B,Summary_Unemployed!$B$2,Flat_file!$C:$C,"Women",Flat_file!$D:$D,"70-74",Flat_file!$E:$E,"650",Flat_file!$F:$F,"U")+SUMIFS(Flat_file!$H:$H,Flat_file!$B:$B,Summary_Unemployed!$B$2,Flat_file!$C:$C,"Women",Flat_file!$D:$D,"70-74",Flat_file!$E:$E,"660",Flat_file!$F:$F,"U")</f>
        <v>0</v>
      </c>
      <c r="L95" s="225">
        <f>SUMIFS(Flat_file!$H:$H,Flat_file!$B:$B,Summary_Unemployed!$B$2,Flat_file!$C:$C,"Women",Flat_file!$D:$D,"70-74",Flat_file!$E:$E,"740",Flat_file!$F:$F,"U")+SUMIFS(Flat_file!$H:$H,Flat_file!$B:$B,Summary_Unemployed!$B$2,Flat_file!$C:$C,"Women",Flat_file!$D:$D,"70-74",Flat_file!$E:$E,"750",Flat_file!$F:$F,"U")+SUMIFS(Flat_file!$H:$H,Flat_file!$B:$B,Summary_Unemployed!$B$2,Flat_file!$C:$C,"Women",Flat_file!$D:$D,"70-74",Flat_file!$E:$E,"760",Flat_file!$F:$F,"U")</f>
        <v>0</v>
      </c>
      <c r="M95" s="225">
        <f>SUMIFS(Flat_file!$H:$H,Flat_file!$B:$B,Summary_Unemployed!$B$2,Flat_file!$C:$C,"Women",Flat_file!$D:$D,"70-74",Flat_file!$E:$E,"840",Flat_file!$F:$F,"U")+SUMIFS(Flat_file!$H:$H,Flat_file!$B:$B,Summary_Unemployed!$B$2,Flat_file!$C:$C,"Women",Flat_file!$D:$D,"70-74",Flat_file!$E:$E,"850",Flat_file!$F:$F,"U")+SUMIFS(Flat_file!$H:$H,Flat_file!$B:$B,Summary_Unemployed!$B$2,Flat_file!$C:$C,"Women",Flat_file!$D:$D,"70-74",Flat_file!$E:$E,"860",Flat_file!$F:$F,"U")</f>
        <v>0</v>
      </c>
      <c r="N95" s="225">
        <f>SUMIFS(Flat_file!$H:$H,Flat_file!$B:$B,Summary_Unemployed!$B$2,Flat_file!$C:$C,"Women",Flat_file!$D:$D,"70-74",Flat_file!$E:$E,"999",Flat_file!$F:$F,"U")</f>
        <v>0</v>
      </c>
      <c r="O95" s="225">
        <f t="shared" si="53"/>
        <v>0</v>
      </c>
      <c r="P95" s="90"/>
      <c r="Q95" s="225">
        <f t="shared" si="54"/>
        <v>0</v>
      </c>
      <c r="R95" s="91"/>
      <c r="S95" s="225">
        <f t="shared" si="55"/>
        <v>0</v>
      </c>
      <c r="T95" s="225">
        <f t="shared" si="56"/>
        <v>0</v>
      </c>
      <c r="U95" s="225">
        <f t="shared" si="57"/>
        <v>0</v>
      </c>
      <c r="V95" s="90"/>
      <c r="W95" s="225">
        <f>SUMIFS(Flat_file!$H:$H,Flat_file!$B:$B,Summary_Unemployed!$B$2,Flat_file!$C:$C,"Women",Flat_file!$D:$D,"70-74",Flat_file!$E:$E,"343",Flat_file!$F:$F,"U")+SUMIFS(Flat_file!$H:$H,Flat_file!$B:$B,Summary_Unemployed!$B$2,Flat_file!$C:$C,"Women",Flat_file!$D:$D,"70-74",Flat_file!$E:$E,"344",Flat_file!$F:$F,"U")+SUMIFS(Flat_file!$H:$H,Flat_file!$B:$B,Summary_Unemployed!$B$2,Flat_file!$C:$C,"Women",Flat_file!$D:$D,"70-74",Flat_file!$E:$E,"443",Flat_file!$F:$F,"U")+SUMIFS(Flat_file!$H:$H,Flat_file!$B:$B,Summary_Unemployed!$B$2,Flat_file!$C:$C,"Women",Flat_file!$D:$D,"70-74",Flat_file!$E:$E,"444",Flat_file!$F:$F,"U")</f>
        <v>0</v>
      </c>
      <c r="X95" s="225">
        <f>SUMIFS(Flat_file!$H:$H,Flat_file!$B:$B,Summary_Unemployed!$B$2,Flat_file!$C:$C,"Women",Flat_file!$D:$D,"70-74",Flat_file!$E:$E,"353",Flat_file!$F:$F,"U")+SUMIFS(Flat_file!$H:$H,Flat_file!$B:$B,Summary_Unemployed!$B$2,Flat_file!$C:$C,"Women",Flat_file!$D:$D,"70-74",Flat_file!$E:$E,"354",Flat_file!$F:$F,"U")+SUMIFS(Flat_file!$H:$H,Flat_file!$B:$B,Summary_Unemployed!$B$2,Flat_file!$C:$C,"Women",Flat_file!$D:$D,"70-74",Flat_file!$E:$E,"453",Flat_file!$F:$F,"U")+SUMIFS(Flat_file!$H:$H,Flat_file!$B:$B,Summary_Unemployed!$B$2,Flat_file!$C:$C,"Women",Flat_file!$D:$D,"70-74",Flat_file!$E:$E,"454",Flat_file!$F:$F,"U")</f>
        <v>0</v>
      </c>
      <c r="Y95" s="90"/>
      <c r="Z95" s="225">
        <f>SUMIFS(Flat_file!$H:$H,Flat_file!$B:$B,Summary_Unemployed!$B$2,Flat_file!$C:$C,"Women",Flat_file!$D:$D,"70-74",Flat_file!$E:$E,"640",Flat_file!$F:$F,"U")+SUMIFS(Flat_file!$H:$H,Flat_file!$B:$B,Summary_Unemployed!$B$2,Flat_file!$C:$C,"Women",Flat_file!$D:$D,"70-74",Flat_file!$E:$E,"740",Flat_file!$F:$F,"U")+SUMIFS(Flat_file!$H:$H,Flat_file!$B:$B,Summary_Unemployed!$B$2,Flat_file!$C:$C,"Women",Flat_file!$D:$D,"70-74",Flat_file!$E:$E,"840",Flat_file!$F:$F,"U")</f>
        <v>0</v>
      </c>
      <c r="AA95" s="225">
        <f>SUMIFS(Flat_file!$H:$H,Flat_file!$B:$B,Summary_Unemployed!$B$2,Flat_file!$C:$C,"Women",Flat_file!$D:$D,"70-74",Flat_file!$E:$E,"650",Flat_file!$F:$F,"U")+SUMIFS(Flat_file!$H:$H,Flat_file!$B:$B,Summary_Unemployed!$B$2,Flat_file!$C:$C,"Women",Flat_file!$D:$D,"70-74",Flat_file!$E:$E,"750",Flat_file!$F:$F,"U")+SUMIFS(Flat_file!$H:$H,Flat_file!$B:$B,Summary_Unemployed!$B$2,Flat_file!$C:$C,"Women",Flat_file!$D:$D,"70-74",Flat_file!$E:$E,"850",Flat_file!$F:$F,"U")</f>
        <v>0</v>
      </c>
      <c r="AB95" s="225">
        <f>SUMIFS(Flat_file!$H:$H,Flat_file!$B:$B,Summary_Unemployed!$B$2,Flat_file!$C:$C,"Women",Flat_file!$D:$D,"70-74",Flat_file!$E:$E,"660",Flat_file!$F:$F,"U")+SUMIFS(Flat_file!$H:$H,Flat_file!$B:$B,Summary_Unemployed!$B$2,Flat_file!$C:$C,"Women",Flat_file!$D:$D,"70-74",Flat_file!$E:$E,"760",Flat_file!$F:$F,"U")+SUMIFS(Flat_file!$H:$H,Flat_file!$B:$B,Summary_Unemployed!$B$2,Flat_file!$C:$C,"Women",Flat_file!$D:$D,"70-74",Flat_file!$E:$E,"860",Flat_file!$F:$F,"U")</f>
        <v>0</v>
      </c>
      <c r="AC95" s="3"/>
      <c r="AD95" s="3"/>
      <c r="AE95" s="3"/>
      <c r="AF95" s="3"/>
      <c r="AG95" s="3"/>
      <c r="AH95" s="3"/>
      <c r="AI95" s="3"/>
      <c r="AJ95" s="3"/>
      <c r="AK95" s="3"/>
      <c r="AL95" s="3"/>
      <c r="AM95" s="3"/>
      <c r="AN95" s="3"/>
      <c r="AO95" s="3"/>
      <c r="AP95" s="3"/>
      <c r="AQ95" s="3"/>
      <c r="AR95" s="3"/>
      <c r="AS95" s="3"/>
    </row>
    <row r="96" spans="1:45" customFormat="1" ht="13.5" thickBot="1" x14ac:dyDescent="0.25">
      <c r="A96" s="353"/>
      <c r="B96" s="79" t="s">
        <v>261</v>
      </c>
      <c r="C96" s="92">
        <f>SUMIFS(Flat_file!$H:$H,Flat_file!$B:$B,Summary_Unemployed!$B$2,Flat_file!$C:$C,"Women",Flat_file!$D:$D,"75+",Flat_file!$E:$E,"010",Flat_file!$F:$F,"U")+SUMIFS(Flat_file!$H:$H,Flat_file!$B:$B,Summary_Unemployed!$B$2,Flat_file!$C:$C,"Women",Flat_file!$D:$D,"75+",Flat_file!$E:$E,"020",Flat_file!$F:$F,"U")+SUMIFS(Flat_file!$H:$H,Flat_file!$B:$B,Summary_Unemployed!$B$2,Flat_file!$C:$C,"Women",Flat_file!$D:$D,"75+",Flat_file!$E:$E,"030",Flat_file!$F:$F,"U")</f>
        <v>0</v>
      </c>
      <c r="D96" s="92">
        <f>SUMIFS(Flat_file!$H:$H,Flat_file!$B:$B,Summary_Unemployed!$B$2,Flat_file!$C:$C,"Women",Flat_file!$D:$D,"75+",Flat_file!$E:$E,"100",Flat_file!$F:$F,"U")</f>
        <v>0</v>
      </c>
      <c r="E96" s="92">
        <f>SUMIFS(Flat_file!$H:$H,Flat_file!$B:$B,Summary_Unemployed!$B$2,Flat_file!$C:$C,"Women",Flat_file!$D:$D,"75+",Flat_file!$E:$E,"242",Flat_file!$F:$F,"U")+SUMIFS(Flat_file!$H:$H,Flat_file!$B:$B,Summary_Unemployed!$B$2,Flat_file!$C:$C,"Women",Flat_file!$D:$D,"75+",Flat_file!$E:$E,"252",Flat_file!$F:$F,"U")</f>
        <v>0</v>
      </c>
      <c r="F96" s="92">
        <f>SUMIFS(Flat_file!$H:$H,Flat_file!$B:$B,Summary_Unemployed!$B$2,Flat_file!$C:$C,"Women",Flat_file!$D:$D,"75+",Flat_file!$E:$E,"243",Flat_file!$F:$F,"U")+SUMIFS(Flat_file!$H:$H,Flat_file!$B:$B,Summary_Unemployed!$B$2,Flat_file!$C:$C,"Women",Flat_file!$D:$D,"75+",Flat_file!$E:$E,"244",Flat_file!$F:$F,"U")+SUMIFS(Flat_file!$H:$H,Flat_file!$B:$B,Summary_Unemployed!$B$2,Flat_file!$C:$C,"Women",Flat_file!$D:$D,"75+",Flat_file!$E:$E,"253",Flat_file!$F:$F,"U")+SUMIFS(Flat_file!$H:$H,Flat_file!$B:$B,Summary_Unemployed!$B$2,Flat_file!$C:$C,"Women",Flat_file!$D:$D,"75+",Flat_file!$E:$E,"254",Flat_file!$F:$F,"U")</f>
        <v>0</v>
      </c>
      <c r="G96" s="92">
        <f>SUMIFS(Flat_file!$H:$H,Flat_file!$B:$B,Summary_Unemployed!$B$2,Flat_file!$C:$C,"Women",Flat_file!$D:$D,"75+",Flat_file!$E:$E,"342",Flat_file!$F:$F,"U")+SUMIFS(Flat_file!$H:$H,Flat_file!$B:$B,Summary_Unemployed!$B$2,Flat_file!$C:$C,"Women",Flat_file!$D:$D,"75+",Flat_file!$E:$E,"352",Flat_file!$F:$F,"U")</f>
        <v>0</v>
      </c>
      <c r="H96" s="92">
        <f>SUMIFS(Flat_file!$H:$H,Flat_file!$B:$B,Summary_Unemployed!$B$2,Flat_file!$C:$C,"Women",Flat_file!$D:$D,"75+",Flat_file!$E:$E,"343",Flat_file!$F:$F,"U")+SUMIFS(Flat_file!$H:$H,Flat_file!$B:$B,Summary_Unemployed!$B$2,Flat_file!$C:$C,"Women",Flat_file!$D:$D,"75+",Flat_file!$E:$E,"344",Flat_file!$F:$F,"U")+SUMIFS(Flat_file!$H:$H,Flat_file!$B:$B,Summary_Unemployed!$B$2,Flat_file!$C:$C,"Women",Flat_file!$D:$D,"75+",Flat_file!$E:$E,"353",Flat_file!$F:$F,"U")+SUMIFS(Flat_file!$H:$H,Flat_file!$B:$B,Summary_Unemployed!$B$2,Flat_file!$C:$C,"Women",Flat_file!$D:$D,"75+",Flat_file!$E:$E,"354",Flat_file!$F:$F,"U")</f>
        <v>0</v>
      </c>
      <c r="I96" s="92">
        <f>SUMIFS(Flat_file!$H:$H,Flat_file!$B:$B,Summary_Unemployed!$B$2,Flat_file!$C:$C,"Women",Flat_file!$D:$D,"75+",Flat_file!$E:$E,"443",Flat_file!$F:$F,"U")+SUMIFS(Flat_file!$H:$H,Flat_file!$B:$B,Summary_Unemployed!$B$2,Flat_file!$C:$C,"Women",Flat_file!$D:$D,"75+",Flat_file!$E:$E,"444",Flat_file!$F:$F,"U")+SUMIFS(Flat_file!$H:$H,Flat_file!$B:$B,Summary_Unemployed!$B$2,Flat_file!$C:$C,"Women",Flat_file!$D:$D,"75+",Flat_file!$E:$E,"453",Flat_file!$F:$F,"U")+SUMIFS(Flat_file!$H:$H,Flat_file!$B:$B,Summary_Unemployed!$B$2,Flat_file!$C:$C,"Women",Flat_file!$D:$D,"75+",Flat_file!$E:$E,"454",Flat_file!$F:$F,"U")</f>
        <v>0</v>
      </c>
      <c r="J96" s="92">
        <f>SUMIFS(Flat_file!$H:$H,Flat_file!$B:$B,Summary_Unemployed!$B$2,Flat_file!$C:$C,"Women",Flat_file!$D:$D,"75+",Flat_file!$E:$E,"540",Flat_file!$F:$F,"U")+SUMIFS(Flat_file!$H:$H,Flat_file!$B:$B,Summary_Unemployed!$B$2,Flat_file!$C:$C,"Women",Flat_file!$D:$D,"75+",Flat_file!$E:$E,"550",Flat_file!$F:$F,"U")+SUMIFS(Flat_file!$H:$H,Flat_file!$B:$B,Summary_Unemployed!$B$2,Flat_file!$C:$C,"Women",Flat_file!$D:$D,"75+",Flat_file!$E:$E,"560",Flat_file!$F:$F,"U")</f>
        <v>0</v>
      </c>
      <c r="K96" s="92">
        <f>SUMIFS(Flat_file!$H:$H,Flat_file!$B:$B,Summary_Unemployed!$B$2,Flat_file!$C:$C,"Women",Flat_file!$D:$D,"75+",Flat_file!$E:$E,"640",Flat_file!$F:$F,"U")+SUMIFS(Flat_file!$H:$H,Flat_file!$B:$B,Summary_Unemployed!$B$2,Flat_file!$C:$C,"Women",Flat_file!$D:$D,"75+",Flat_file!$E:$E,"650",Flat_file!$F:$F,"U")+SUMIFS(Flat_file!$H:$H,Flat_file!$B:$B,Summary_Unemployed!$B$2,Flat_file!$C:$C,"Women",Flat_file!$D:$D,"75+",Flat_file!$E:$E,"660",Flat_file!$F:$F,"U")</f>
        <v>0</v>
      </c>
      <c r="L96" s="92">
        <f>SUMIFS(Flat_file!$H:$H,Flat_file!$B:$B,Summary_Unemployed!$B$2,Flat_file!$C:$C,"Women",Flat_file!$D:$D,"75+",Flat_file!$E:$E,"740",Flat_file!$F:$F,"U")+SUMIFS(Flat_file!$H:$H,Flat_file!$B:$B,Summary_Unemployed!$B$2,Flat_file!$C:$C,"Women",Flat_file!$D:$D,"75+",Flat_file!$E:$E,"750",Flat_file!$F:$F,"U")+SUMIFS(Flat_file!$H:$H,Flat_file!$B:$B,Summary_Unemployed!$B$2,Flat_file!$C:$C,"Women",Flat_file!$D:$D,"75+",Flat_file!$E:$E,"760",Flat_file!$F:$F,"U")</f>
        <v>0</v>
      </c>
      <c r="M96" s="92">
        <f>SUMIFS(Flat_file!$H:$H,Flat_file!$B:$B,Summary_Unemployed!$B$2,Flat_file!$C:$C,"Women",Flat_file!$D:$D,"75+",Flat_file!$E:$E,"840",Flat_file!$F:$F,"U")+SUMIFS(Flat_file!$H:$H,Flat_file!$B:$B,Summary_Unemployed!$B$2,Flat_file!$C:$C,"Women",Flat_file!$D:$D,"75+",Flat_file!$E:$E,"850",Flat_file!$F:$F,"U")+SUMIFS(Flat_file!$H:$H,Flat_file!$B:$B,Summary_Unemployed!$B$2,Flat_file!$C:$C,"Women",Flat_file!$D:$D,"75+",Flat_file!$E:$E,"860",Flat_file!$F:$F,"U")</f>
        <v>0</v>
      </c>
      <c r="N96" s="92">
        <f>SUMIFS(Flat_file!$H:$H,Flat_file!$B:$B,Summary_Unemployed!$B$2,Flat_file!$C:$C,"Women",Flat_file!$D:$D,"75+",Flat_file!$E:$E,"999",Flat_file!$F:$F,"U")</f>
        <v>0</v>
      </c>
      <c r="O96" s="92">
        <f t="shared" si="53"/>
        <v>0</v>
      </c>
      <c r="P96" s="93"/>
      <c r="Q96" s="92">
        <f t="shared" si="54"/>
        <v>0</v>
      </c>
      <c r="R96" s="94"/>
      <c r="S96" s="92">
        <f t="shared" si="55"/>
        <v>0</v>
      </c>
      <c r="T96" s="92">
        <f t="shared" si="56"/>
        <v>0</v>
      </c>
      <c r="U96" s="92">
        <f t="shared" si="57"/>
        <v>0</v>
      </c>
      <c r="V96" s="93"/>
      <c r="W96" s="92">
        <f>SUMIFS(Flat_file!$H:$H,Flat_file!$B:$B,Summary_Unemployed!$B$2,Flat_file!$C:$C,"Women",Flat_file!$D:$D,"75+",Flat_file!$E:$E,"343",Flat_file!$F:$F,"U")+SUMIFS(Flat_file!$H:$H,Flat_file!$B:$B,Summary_Unemployed!$B$2,Flat_file!$C:$C,"Women",Flat_file!$D:$D,"75+",Flat_file!$E:$E,"344",Flat_file!$F:$F,"U")+SUMIFS(Flat_file!$H:$H,Flat_file!$B:$B,Summary_Unemployed!$B$2,Flat_file!$C:$C,"Women",Flat_file!$D:$D,"75+",Flat_file!$E:$E,"443",Flat_file!$F:$F,"U")+SUMIFS(Flat_file!$H:$H,Flat_file!$B:$B,Summary_Unemployed!$B$2,Flat_file!$C:$C,"Women",Flat_file!$D:$D,"75+",Flat_file!$E:$E,"444",Flat_file!$F:$F,"U")</f>
        <v>0</v>
      </c>
      <c r="X96" s="92">
        <f>SUMIFS(Flat_file!$H:$H,Flat_file!$B:$B,Summary_Unemployed!$B$2,Flat_file!$C:$C,"Women",Flat_file!$D:$D,"75+",Flat_file!$E:$E,"353",Flat_file!$F:$F,"U")+SUMIFS(Flat_file!$H:$H,Flat_file!$B:$B,Summary_Unemployed!$B$2,Flat_file!$C:$C,"Women",Flat_file!$D:$D,"75+",Flat_file!$E:$E,"354",Flat_file!$F:$F,"U")+SUMIFS(Flat_file!$H:$H,Flat_file!$B:$B,Summary_Unemployed!$B$2,Flat_file!$C:$C,"Women",Flat_file!$D:$D,"75+",Flat_file!$E:$E,"453",Flat_file!$F:$F,"U")+SUMIFS(Flat_file!$H:$H,Flat_file!$B:$B,Summary_Unemployed!$B$2,Flat_file!$C:$C,"Women",Flat_file!$D:$D,"75+",Flat_file!$E:$E,"454",Flat_file!$F:$F,"U")</f>
        <v>0</v>
      </c>
      <c r="Y96" s="93"/>
      <c r="Z96" s="92">
        <f>SUMIFS(Flat_file!$H:$H,Flat_file!$B:$B,Summary_Unemployed!$B$2,Flat_file!$C:$C,"Women",Flat_file!$D:$D,"75+",Flat_file!$E:$E,"640",Flat_file!$F:$F,"U")+SUMIFS(Flat_file!$H:$H,Flat_file!$B:$B,Summary_Unemployed!$B$2,Flat_file!$C:$C,"Women",Flat_file!$D:$D,"75+",Flat_file!$E:$E,"740",Flat_file!$F:$F,"U")+SUMIFS(Flat_file!$H:$H,Flat_file!$B:$B,Summary_Unemployed!$B$2,Flat_file!$C:$C,"Women",Flat_file!$D:$D,"75+",Flat_file!$E:$E,"840",Flat_file!$F:$F,"U")</f>
        <v>0</v>
      </c>
      <c r="AA96" s="92">
        <f>SUMIFS(Flat_file!$H:$H,Flat_file!$B:$B,Summary_Unemployed!$B$2,Flat_file!$C:$C,"Women",Flat_file!$D:$D,"75+",Flat_file!$E:$E,"650",Flat_file!$F:$F,"U")+SUMIFS(Flat_file!$H:$H,Flat_file!$B:$B,Summary_Unemployed!$B$2,Flat_file!$C:$C,"Women",Flat_file!$D:$D,"75+",Flat_file!$E:$E,"750",Flat_file!$F:$F,"U")+SUMIFS(Flat_file!$H:$H,Flat_file!$B:$B,Summary_Unemployed!$B$2,Flat_file!$C:$C,"Women",Flat_file!$D:$D,"75+",Flat_file!$E:$E,"850",Flat_file!$F:$F,"U")</f>
        <v>0</v>
      </c>
      <c r="AB96" s="92">
        <f>SUMIFS(Flat_file!$H:$H,Flat_file!$B:$B,Summary_Unemployed!$B$2,Flat_file!$C:$C,"Women",Flat_file!$D:$D,"75+",Flat_file!$E:$E,"660",Flat_file!$F:$F,"U")+SUMIFS(Flat_file!$H:$H,Flat_file!$B:$B,Summary_Unemployed!$B$2,Flat_file!$C:$C,"Women",Flat_file!$D:$D,"75+",Flat_file!$E:$E,"760",Flat_file!$F:$F,"U")+SUMIFS(Flat_file!$H:$H,Flat_file!$B:$B,Summary_Unemployed!$B$2,Flat_file!$C:$C,"Women",Flat_file!$D:$D,"75+",Flat_file!$E:$E,"860",Flat_file!$F:$F,"U")</f>
        <v>0</v>
      </c>
      <c r="AC96" s="3"/>
      <c r="AD96" s="3"/>
      <c r="AE96" s="3"/>
      <c r="AF96" s="3"/>
      <c r="AG96" s="3"/>
      <c r="AH96" s="3"/>
      <c r="AI96" s="3"/>
      <c r="AJ96" s="3"/>
      <c r="AK96" s="3"/>
      <c r="AL96" s="3"/>
      <c r="AM96" s="3"/>
      <c r="AN96" s="3"/>
      <c r="AO96" s="3"/>
      <c r="AP96" s="3"/>
      <c r="AQ96" s="3"/>
      <c r="AR96" s="3"/>
      <c r="AS96" s="3"/>
    </row>
    <row r="97" spans="1:28" x14ac:dyDescent="0.2">
      <c r="A97" s="351" t="s">
        <v>133</v>
      </c>
      <c r="B97" s="78" t="s">
        <v>87</v>
      </c>
      <c r="C97" s="86">
        <f>C71+C84</f>
        <v>0</v>
      </c>
      <c r="D97" s="86">
        <f t="shared" ref="D97:O97" si="58">D71+D84</f>
        <v>0</v>
      </c>
      <c r="E97" s="86">
        <f t="shared" si="58"/>
        <v>0</v>
      </c>
      <c r="F97" s="86">
        <f t="shared" si="58"/>
        <v>0</v>
      </c>
      <c r="G97" s="86">
        <f t="shared" si="58"/>
        <v>0</v>
      </c>
      <c r="H97" s="86">
        <f t="shared" si="58"/>
        <v>0</v>
      </c>
      <c r="I97" s="86">
        <f t="shared" si="58"/>
        <v>0</v>
      </c>
      <c r="J97" s="86">
        <f t="shared" si="58"/>
        <v>0</v>
      </c>
      <c r="K97" s="86">
        <f t="shared" si="58"/>
        <v>0</v>
      </c>
      <c r="L97" s="86">
        <f t="shared" si="58"/>
        <v>0</v>
      </c>
      <c r="M97" s="86">
        <f t="shared" si="58"/>
        <v>0</v>
      </c>
      <c r="N97" s="86">
        <f t="shared" si="58"/>
        <v>0</v>
      </c>
      <c r="O97" s="86">
        <f t="shared" si="58"/>
        <v>0</v>
      </c>
      <c r="P97" s="87"/>
      <c r="Q97" s="86">
        <f t="shared" ref="Q97:Q106" si="59">Q71+Q84</f>
        <v>0</v>
      </c>
      <c r="R97" s="88"/>
      <c r="S97" s="86">
        <f t="shared" ref="S97:U97" si="60">S71+S84</f>
        <v>0</v>
      </c>
      <c r="T97" s="86">
        <f t="shared" si="60"/>
        <v>0</v>
      </c>
      <c r="U97" s="86">
        <f t="shared" si="60"/>
        <v>0</v>
      </c>
      <c r="V97" s="87"/>
      <c r="W97" s="86">
        <f t="shared" ref="W97:X97" si="61">W71+W84</f>
        <v>0</v>
      </c>
      <c r="X97" s="86">
        <f t="shared" si="61"/>
        <v>0</v>
      </c>
      <c r="Y97" s="87"/>
      <c r="Z97" s="86">
        <f t="shared" ref="Z97:AB97" si="62">Z71+Z84</f>
        <v>0</v>
      </c>
      <c r="AA97" s="86">
        <f t="shared" si="62"/>
        <v>0</v>
      </c>
      <c r="AB97" s="86">
        <f t="shared" si="62"/>
        <v>0</v>
      </c>
    </row>
    <row r="98" spans="1:28" x14ac:dyDescent="0.2">
      <c r="A98" s="352"/>
      <c r="B98" s="79" t="s">
        <v>88</v>
      </c>
      <c r="C98" s="89">
        <f t="shared" ref="C98:O98" si="63">C72+C85</f>
        <v>0</v>
      </c>
      <c r="D98" s="89">
        <f t="shared" si="63"/>
        <v>0</v>
      </c>
      <c r="E98" s="89">
        <f t="shared" si="63"/>
        <v>0</v>
      </c>
      <c r="F98" s="89">
        <f t="shared" si="63"/>
        <v>0</v>
      </c>
      <c r="G98" s="89">
        <f t="shared" si="63"/>
        <v>0</v>
      </c>
      <c r="H98" s="89">
        <f t="shared" si="63"/>
        <v>0</v>
      </c>
      <c r="I98" s="89">
        <f t="shared" si="63"/>
        <v>0</v>
      </c>
      <c r="J98" s="89">
        <f t="shared" si="63"/>
        <v>0</v>
      </c>
      <c r="K98" s="89">
        <f t="shared" si="63"/>
        <v>0</v>
      </c>
      <c r="L98" s="89">
        <f t="shared" si="63"/>
        <v>0</v>
      </c>
      <c r="M98" s="89">
        <f t="shared" si="63"/>
        <v>0</v>
      </c>
      <c r="N98" s="89">
        <f t="shared" si="63"/>
        <v>0</v>
      </c>
      <c r="O98" s="89">
        <f t="shared" si="63"/>
        <v>0</v>
      </c>
      <c r="P98" s="90"/>
      <c r="Q98" s="89">
        <f t="shared" si="59"/>
        <v>0</v>
      </c>
      <c r="R98" s="91"/>
      <c r="S98" s="89">
        <f t="shared" ref="S98:U98" si="64">S72+S85</f>
        <v>0</v>
      </c>
      <c r="T98" s="89">
        <f t="shared" si="64"/>
        <v>0</v>
      </c>
      <c r="U98" s="89">
        <f t="shared" si="64"/>
        <v>0</v>
      </c>
      <c r="V98" s="90"/>
      <c r="W98" s="89">
        <f t="shared" ref="W98:X98" si="65">W72+W85</f>
        <v>0</v>
      </c>
      <c r="X98" s="89">
        <f t="shared" si="65"/>
        <v>0</v>
      </c>
      <c r="Y98" s="90"/>
      <c r="Z98" s="89">
        <f t="shared" ref="Z98:AB98" si="66">Z72+Z85</f>
        <v>0</v>
      </c>
      <c r="AA98" s="89">
        <f t="shared" si="66"/>
        <v>0</v>
      </c>
      <c r="AB98" s="89">
        <f t="shared" si="66"/>
        <v>0</v>
      </c>
    </row>
    <row r="99" spans="1:28" x14ac:dyDescent="0.2">
      <c r="A99" s="352"/>
      <c r="B99" s="79" t="s">
        <v>89</v>
      </c>
      <c r="C99" s="89">
        <f t="shared" ref="C99:O99" si="67">C73+C86</f>
        <v>0</v>
      </c>
      <c r="D99" s="89">
        <f t="shared" si="67"/>
        <v>0</v>
      </c>
      <c r="E99" s="89">
        <f t="shared" si="67"/>
        <v>0</v>
      </c>
      <c r="F99" s="89">
        <f t="shared" si="67"/>
        <v>0</v>
      </c>
      <c r="G99" s="89">
        <f t="shared" si="67"/>
        <v>0</v>
      </c>
      <c r="H99" s="89">
        <f t="shared" si="67"/>
        <v>0</v>
      </c>
      <c r="I99" s="89">
        <f t="shared" si="67"/>
        <v>0</v>
      </c>
      <c r="J99" s="89">
        <f t="shared" si="67"/>
        <v>0</v>
      </c>
      <c r="K99" s="89">
        <f t="shared" si="67"/>
        <v>0</v>
      </c>
      <c r="L99" s="89">
        <f t="shared" si="67"/>
        <v>0</v>
      </c>
      <c r="M99" s="89">
        <f t="shared" si="67"/>
        <v>0</v>
      </c>
      <c r="N99" s="89">
        <f t="shared" si="67"/>
        <v>0</v>
      </c>
      <c r="O99" s="89">
        <f t="shared" si="67"/>
        <v>0</v>
      </c>
      <c r="P99" s="90"/>
      <c r="Q99" s="89">
        <f t="shared" si="59"/>
        <v>0</v>
      </c>
      <c r="R99" s="91"/>
      <c r="S99" s="89">
        <f t="shared" ref="S99:U99" si="68">S73+S86</f>
        <v>0</v>
      </c>
      <c r="T99" s="89">
        <f t="shared" si="68"/>
        <v>0</v>
      </c>
      <c r="U99" s="89">
        <f t="shared" si="68"/>
        <v>0</v>
      </c>
      <c r="V99" s="90"/>
      <c r="W99" s="89">
        <f t="shared" ref="W99:X99" si="69">W73+W86</f>
        <v>0</v>
      </c>
      <c r="X99" s="89">
        <f t="shared" si="69"/>
        <v>0</v>
      </c>
      <c r="Y99" s="90"/>
      <c r="Z99" s="89">
        <f t="shared" ref="Z99:AB99" si="70">Z73+Z86</f>
        <v>0</v>
      </c>
      <c r="AA99" s="89">
        <f t="shared" si="70"/>
        <v>0</v>
      </c>
      <c r="AB99" s="89">
        <f t="shared" si="70"/>
        <v>0</v>
      </c>
    </row>
    <row r="100" spans="1:28" x14ac:dyDescent="0.2">
      <c r="A100" s="352"/>
      <c r="B100" s="79" t="s">
        <v>90</v>
      </c>
      <c r="C100" s="89">
        <f t="shared" ref="C100:O100" si="71">C74+C87</f>
        <v>0</v>
      </c>
      <c r="D100" s="89">
        <f t="shared" si="71"/>
        <v>0</v>
      </c>
      <c r="E100" s="89">
        <f t="shared" si="71"/>
        <v>0</v>
      </c>
      <c r="F100" s="89">
        <f t="shared" si="71"/>
        <v>0</v>
      </c>
      <c r="G100" s="89">
        <f t="shared" si="71"/>
        <v>0</v>
      </c>
      <c r="H100" s="89">
        <f t="shared" si="71"/>
        <v>0</v>
      </c>
      <c r="I100" s="89">
        <f t="shared" si="71"/>
        <v>0</v>
      </c>
      <c r="J100" s="89">
        <f t="shared" si="71"/>
        <v>0</v>
      </c>
      <c r="K100" s="89">
        <f t="shared" si="71"/>
        <v>0</v>
      </c>
      <c r="L100" s="89">
        <f t="shared" si="71"/>
        <v>0</v>
      </c>
      <c r="M100" s="89">
        <f t="shared" si="71"/>
        <v>0</v>
      </c>
      <c r="N100" s="89">
        <f t="shared" si="71"/>
        <v>0</v>
      </c>
      <c r="O100" s="89">
        <f t="shared" si="71"/>
        <v>0</v>
      </c>
      <c r="P100" s="90"/>
      <c r="Q100" s="89">
        <f t="shared" si="59"/>
        <v>0</v>
      </c>
      <c r="R100" s="91"/>
      <c r="S100" s="89">
        <f t="shared" ref="S100:U100" si="72">S74+S87</f>
        <v>0</v>
      </c>
      <c r="T100" s="89">
        <f t="shared" si="72"/>
        <v>0</v>
      </c>
      <c r="U100" s="89">
        <f t="shared" si="72"/>
        <v>0</v>
      </c>
      <c r="V100" s="90"/>
      <c r="W100" s="89">
        <f t="shared" ref="W100:X100" si="73">W74+W87</f>
        <v>0</v>
      </c>
      <c r="X100" s="89">
        <f t="shared" si="73"/>
        <v>0</v>
      </c>
      <c r="Y100" s="90"/>
      <c r="Z100" s="89">
        <f t="shared" ref="Z100:AB100" si="74">Z74+Z87</f>
        <v>0</v>
      </c>
      <c r="AA100" s="89">
        <f t="shared" si="74"/>
        <v>0</v>
      </c>
      <c r="AB100" s="89">
        <f t="shared" si="74"/>
        <v>0</v>
      </c>
    </row>
    <row r="101" spans="1:28" x14ac:dyDescent="0.2">
      <c r="A101" s="352"/>
      <c r="B101" s="79" t="s">
        <v>91</v>
      </c>
      <c r="C101" s="89">
        <f t="shared" ref="C101:O101" si="75">C75+C88</f>
        <v>0</v>
      </c>
      <c r="D101" s="89">
        <f t="shared" si="75"/>
        <v>0</v>
      </c>
      <c r="E101" s="89">
        <f t="shared" si="75"/>
        <v>0</v>
      </c>
      <c r="F101" s="89">
        <f t="shared" si="75"/>
        <v>0</v>
      </c>
      <c r="G101" s="89">
        <f t="shared" si="75"/>
        <v>0</v>
      </c>
      <c r="H101" s="89">
        <f t="shared" si="75"/>
        <v>0</v>
      </c>
      <c r="I101" s="89">
        <f t="shared" si="75"/>
        <v>0</v>
      </c>
      <c r="J101" s="89">
        <f t="shared" si="75"/>
        <v>0</v>
      </c>
      <c r="K101" s="89">
        <f t="shared" si="75"/>
        <v>0</v>
      </c>
      <c r="L101" s="89">
        <f t="shared" si="75"/>
        <v>0</v>
      </c>
      <c r="M101" s="89">
        <f t="shared" si="75"/>
        <v>0</v>
      </c>
      <c r="N101" s="89">
        <f t="shared" si="75"/>
        <v>0</v>
      </c>
      <c r="O101" s="89">
        <f t="shared" si="75"/>
        <v>0</v>
      </c>
      <c r="P101" s="90"/>
      <c r="Q101" s="89">
        <f t="shared" si="59"/>
        <v>0</v>
      </c>
      <c r="R101" s="91"/>
      <c r="S101" s="89">
        <f t="shared" ref="S101:U101" si="76">S75+S88</f>
        <v>0</v>
      </c>
      <c r="T101" s="89">
        <f t="shared" si="76"/>
        <v>0</v>
      </c>
      <c r="U101" s="89">
        <f t="shared" si="76"/>
        <v>0</v>
      </c>
      <c r="V101" s="90"/>
      <c r="W101" s="89">
        <f t="shared" ref="W101:X101" si="77">W75+W88</f>
        <v>0</v>
      </c>
      <c r="X101" s="89">
        <f t="shared" si="77"/>
        <v>0</v>
      </c>
      <c r="Y101" s="90"/>
      <c r="Z101" s="89">
        <f t="shared" ref="Z101:AB101" si="78">Z75+Z88</f>
        <v>0</v>
      </c>
      <c r="AA101" s="89">
        <f t="shared" si="78"/>
        <v>0</v>
      </c>
      <c r="AB101" s="89">
        <f t="shared" si="78"/>
        <v>0</v>
      </c>
    </row>
    <row r="102" spans="1:28" x14ac:dyDescent="0.2">
      <c r="A102" s="352"/>
      <c r="B102" s="79" t="s">
        <v>92</v>
      </c>
      <c r="C102" s="89">
        <f t="shared" ref="C102:O102" si="79">C76+C89</f>
        <v>0</v>
      </c>
      <c r="D102" s="89">
        <f t="shared" si="79"/>
        <v>0</v>
      </c>
      <c r="E102" s="89">
        <f t="shared" si="79"/>
        <v>0</v>
      </c>
      <c r="F102" s="89">
        <f t="shared" si="79"/>
        <v>0</v>
      </c>
      <c r="G102" s="89">
        <f t="shared" si="79"/>
        <v>0</v>
      </c>
      <c r="H102" s="89">
        <f t="shared" si="79"/>
        <v>0</v>
      </c>
      <c r="I102" s="89">
        <f t="shared" si="79"/>
        <v>0</v>
      </c>
      <c r="J102" s="89">
        <f t="shared" si="79"/>
        <v>0</v>
      </c>
      <c r="K102" s="89">
        <f t="shared" si="79"/>
        <v>0</v>
      </c>
      <c r="L102" s="89">
        <f t="shared" si="79"/>
        <v>0</v>
      </c>
      <c r="M102" s="89">
        <f t="shared" si="79"/>
        <v>0</v>
      </c>
      <c r="N102" s="89">
        <f t="shared" si="79"/>
        <v>0</v>
      </c>
      <c r="O102" s="89">
        <f t="shared" si="79"/>
        <v>0</v>
      </c>
      <c r="P102" s="90"/>
      <c r="Q102" s="89">
        <f t="shared" si="59"/>
        <v>0</v>
      </c>
      <c r="R102" s="91"/>
      <c r="S102" s="89">
        <f t="shared" ref="S102:U102" si="80">S76+S89</f>
        <v>0</v>
      </c>
      <c r="T102" s="89">
        <f t="shared" si="80"/>
        <v>0</v>
      </c>
      <c r="U102" s="89">
        <f t="shared" si="80"/>
        <v>0</v>
      </c>
      <c r="V102" s="90"/>
      <c r="W102" s="89">
        <f t="shared" ref="W102:X102" si="81">W76+W89</f>
        <v>0</v>
      </c>
      <c r="X102" s="89">
        <f t="shared" si="81"/>
        <v>0</v>
      </c>
      <c r="Y102" s="90"/>
      <c r="Z102" s="89">
        <f t="shared" ref="Z102:AB102" si="82">Z76+Z89</f>
        <v>0</v>
      </c>
      <c r="AA102" s="89">
        <f t="shared" si="82"/>
        <v>0</v>
      </c>
      <c r="AB102" s="89">
        <f t="shared" si="82"/>
        <v>0</v>
      </c>
    </row>
    <row r="103" spans="1:28" x14ac:dyDescent="0.2">
      <c r="A103" s="352"/>
      <c r="B103" s="79" t="s">
        <v>93</v>
      </c>
      <c r="C103" s="89">
        <f>C77+C90</f>
        <v>0</v>
      </c>
      <c r="D103" s="89">
        <f t="shared" ref="D103:O103" si="83">D77+D90</f>
        <v>0</v>
      </c>
      <c r="E103" s="89">
        <f t="shared" si="83"/>
        <v>0</v>
      </c>
      <c r="F103" s="89">
        <f t="shared" si="83"/>
        <v>0</v>
      </c>
      <c r="G103" s="89">
        <f t="shared" si="83"/>
        <v>0</v>
      </c>
      <c r="H103" s="89">
        <f t="shared" si="83"/>
        <v>0</v>
      </c>
      <c r="I103" s="89">
        <f t="shared" si="83"/>
        <v>0</v>
      </c>
      <c r="J103" s="89">
        <f t="shared" si="83"/>
        <v>0</v>
      </c>
      <c r="K103" s="89">
        <f t="shared" si="83"/>
        <v>0</v>
      </c>
      <c r="L103" s="89">
        <f t="shared" si="83"/>
        <v>0</v>
      </c>
      <c r="M103" s="89">
        <f t="shared" si="83"/>
        <v>0</v>
      </c>
      <c r="N103" s="89">
        <f t="shared" si="83"/>
        <v>0</v>
      </c>
      <c r="O103" s="89">
        <f t="shared" si="83"/>
        <v>0</v>
      </c>
      <c r="P103" s="90"/>
      <c r="Q103" s="89">
        <f t="shared" si="59"/>
        <v>0</v>
      </c>
      <c r="R103" s="91"/>
      <c r="S103" s="89">
        <f t="shared" ref="S103:U103" si="84">S77+S90</f>
        <v>0</v>
      </c>
      <c r="T103" s="89">
        <f t="shared" si="84"/>
        <v>0</v>
      </c>
      <c r="U103" s="89">
        <f t="shared" si="84"/>
        <v>0</v>
      </c>
      <c r="V103" s="90"/>
      <c r="W103" s="89">
        <f t="shared" ref="W103:X103" si="85">W77+W90</f>
        <v>0</v>
      </c>
      <c r="X103" s="89">
        <f t="shared" si="85"/>
        <v>0</v>
      </c>
      <c r="Y103" s="90"/>
      <c r="Z103" s="89">
        <f t="shared" ref="Z103:AB103" si="86">Z77+Z90</f>
        <v>0</v>
      </c>
      <c r="AA103" s="89">
        <f t="shared" si="86"/>
        <v>0</v>
      </c>
      <c r="AB103" s="89">
        <f t="shared" si="86"/>
        <v>0</v>
      </c>
    </row>
    <row r="104" spans="1:28" x14ac:dyDescent="0.2">
      <c r="A104" s="352"/>
      <c r="B104" s="79" t="s">
        <v>94</v>
      </c>
      <c r="C104" s="89">
        <f t="shared" ref="C104:O104" si="87">C78+C91</f>
        <v>0</v>
      </c>
      <c r="D104" s="89">
        <f t="shared" si="87"/>
        <v>0</v>
      </c>
      <c r="E104" s="89">
        <f t="shared" si="87"/>
        <v>0</v>
      </c>
      <c r="F104" s="89">
        <f t="shared" si="87"/>
        <v>0</v>
      </c>
      <c r="G104" s="89">
        <f t="shared" si="87"/>
        <v>0</v>
      </c>
      <c r="H104" s="89">
        <f t="shared" si="87"/>
        <v>0</v>
      </c>
      <c r="I104" s="89">
        <f t="shared" si="87"/>
        <v>0</v>
      </c>
      <c r="J104" s="89">
        <f t="shared" si="87"/>
        <v>0</v>
      </c>
      <c r="K104" s="89">
        <f t="shared" si="87"/>
        <v>0</v>
      </c>
      <c r="L104" s="89">
        <f t="shared" si="87"/>
        <v>0</v>
      </c>
      <c r="M104" s="89">
        <f t="shared" si="87"/>
        <v>0</v>
      </c>
      <c r="N104" s="89">
        <f t="shared" si="87"/>
        <v>0</v>
      </c>
      <c r="O104" s="89">
        <f t="shared" si="87"/>
        <v>0</v>
      </c>
      <c r="P104" s="90"/>
      <c r="Q104" s="89">
        <f t="shared" si="59"/>
        <v>0</v>
      </c>
      <c r="R104" s="91"/>
      <c r="S104" s="89">
        <f t="shared" ref="S104:U104" si="88">S78+S91</f>
        <v>0</v>
      </c>
      <c r="T104" s="89">
        <f t="shared" si="88"/>
        <v>0</v>
      </c>
      <c r="U104" s="89">
        <f t="shared" si="88"/>
        <v>0</v>
      </c>
      <c r="V104" s="90"/>
      <c r="W104" s="89">
        <f t="shared" ref="W104:X104" si="89">W78+W91</f>
        <v>0</v>
      </c>
      <c r="X104" s="89">
        <f t="shared" si="89"/>
        <v>0</v>
      </c>
      <c r="Y104" s="90"/>
      <c r="Z104" s="89">
        <f t="shared" ref="Z104:AB104" si="90">Z78+Z91</f>
        <v>0</v>
      </c>
      <c r="AA104" s="89">
        <f t="shared" si="90"/>
        <v>0</v>
      </c>
      <c r="AB104" s="89">
        <f t="shared" si="90"/>
        <v>0</v>
      </c>
    </row>
    <row r="105" spans="1:28" x14ac:dyDescent="0.2">
      <c r="A105" s="352"/>
      <c r="B105" s="79" t="s">
        <v>95</v>
      </c>
      <c r="C105" s="89">
        <f t="shared" ref="C105:O105" si="91">C79+C92</f>
        <v>0</v>
      </c>
      <c r="D105" s="89">
        <f t="shared" si="91"/>
        <v>0</v>
      </c>
      <c r="E105" s="89">
        <f t="shared" si="91"/>
        <v>0</v>
      </c>
      <c r="F105" s="89">
        <f t="shared" si="91"/>
        <v>0</v>
      </c>
      <c r="G105" s="89">
        <f t="shared" si="91"/>
        <v>0</v>
      </c>
      <c r="H105" s="89">
        <f t="shared" si="91"/>
        <v>0</v>
      </c>
      <c r="I105" s="89">
        <f t="shared" si="91"/>
        <v>0</v>
      </c>
      <c r="J105" s="89">
        <f t="shared" si="91"/>
        <v>0</v>
      </c>
      <c r="K105" s="89">
        <f t="shared" si="91"/>
        <v>0</v>
      </c>
      <c r="L105" s="89">
        <f t="shared" si="91"/>
        <v>0</v>
      </c>
      <c r="M105" s="89">
        <f t="shared" si="91"/>
        <v>0</v>
      </c>
      <c r="N105" s="89">
        <f t="shared" si="91"/>
        <v>0</v>
      </c>
      <c r="O105" s="89">
        <f t="shared" si="91"/>
        <v>0</v>
      </c>
      <c r="P105" s="90"/>
      <c r="Q105" s="89">
        <f t="shared" si="59"/>
        <v>0</v>
      </c>
      <c r="R105" s="91"/>
      <c r="S105" s="89">
        <f t="shared" ref="S105:U105" si="92">S79+S92</f>
        <v>0</v>
      </c>
      <c r="T105" s="89">
        <f t="shared" si="92"/>
        <v>0</v>
      </c>
      <c r="U105" s="89">
        <f t="shared" si="92"/>
        <v>0</v>
      </c>
      <c r="V105" s="90"/>
      <c r="W105" s="89">
        <f t="shared" ref="W105:X105" si="93">W79+W92</f>
        <v>0</v>
      </c>
      <c r="X105" s="89">
        <f t="shared" si="93"/>
        <v>0</v>
      </c>
      <c r="Y105" s="90"/>
      <c r="Z105" s="89">
        <f t="shared" ref="Z105:AB105" si="94">Z79+Z92</f>
        <v>0</v>
      </c>
      <c r="AA105" s="89">
        <f t="shared" si="94"/>
        <v>0</v>
      </c>
      <c r="AB105" s="89">
        <f t="shared" si="94"/>
        <v>0</v>
      </c>
    </row>
    <row r="106" spans="1:28" x14ac:dyDescent="0.2">
      <c r="A106" s="352"/>
      <c r="B106" s="79" t="s">
        <v>96</v>
      </c>
      <c r="C106" s="89">
        <f t="shared" ref="C106:O106" si="95">C80+C93</f>
        <v>0</v>
      </c>
      <c r="D106" s="89">
        <f t="shared" si="95"/>
        <v>0</v>
      </c>
      <c r="E106" s="89">
        <f t="shared" si="95"/>
        <v>0</v>
      </c>
      <c r="F106" s="89">
        <f t="shared" si="95"/>
        <v>0</v>
      </c>
      <c r="G106" s="89">
        <f t="shared" si="95"/>
        <v>0</v>
      </c>
      <c r="H106" s="89">
        <f t="shared" si="95"/>
        <v>0</v>
      </c>
      <c r="I106" s="89">
        <f t="shared" si="95"/>
        <v>0</v>
      </c>
      <c r="J106" s="89">
        <f t="shared" si="95"/>
        <v>0</v>
      </c>
      <c r="K106" s="89">
        <f t="shared" si="95"/>
        <v>0</v>
      </c>
      <c r="L106" s="89">
        <f t="shared" si="95"/>
        <v>0</v>
      </c>
      <c r="M106" s="89">
        <f t="shared" si="95"/>
        <v>0</v>
      </c>
      <c r="N106" s="89">
        <f t="shared" si="95"/>
        <v>0</v>
      </c>
      <c r="O106" s="89">
        <f t="shared" si="95"/>
        <v>0</v>
      </c>
      <c r="P106" s="90"/>
      <c r="Q106" s="89">
        <f t="shared" si="59"/>
        <v>0</v>
      </c>
      <c r="R106" s="91"/>
      <c r="S106" s="89">
        <f t="shared" ref="S106:U106" si="96">S80+S93</f>
        <v>0</v>
      </c>
      <c r="T106" s="89">
        <f t="shared" si="96"/>
        <v>0</v>
      </c>
      <c r="U106" s="89">
        <f t="shared" si="96"/>
        <v>0</v>
      </c>
      <c r="V106" s="90"/>
      <c r="W106" s="89">
        <f t="shared" ref="W106:X106" si="97">W80+W93</f>
        <v>0</v>
      </c>
      <c r="X106" s="89">
        <f t="shared" si="97"/>
        <v>0</v>
      </c>
      <c r="Y106" s="90"/>
      <c r="Z106" s="89">
        <f t="shared" ref="Z106:AB106" si="98">Z80+Z93</f>
        <v>0</v>
      </c>
      <c r="AA106" s="89">
        <f t="shared" si="98"/>
        <v>0</v>
      </c>
      <c r="AB106" s="89">
        <f t="shared" si="98"/>
        <v>0</v>
      </c>
    </row>
    <row r="107" spans="1:28" x14ac:dyDescent="0.2">
      <c r="A107" s="352"/>
      <c r="B107" s="79" t="s">
        <v>258</v>
      </c>
      <c r="C107" s="225">
        <f t="shared" ref="C107:AB107" si="99">C81+C94</f>
        <v>0</v>
      </c>
      <c r="D107" s="225">
        <f t="shared" si="99"/>
        <v>0</v>
      </c>
      <c r="E107" s="225">
        <f t="shared" si="99"/>
        <v>0</v>
      </c>
      <c r="F107" s="225">
        <f t="shared" si="99"/>
        <v>0</v>
      </c>
      <c r="G107" s="225">
        <f t="shared" si="99"/>
        <v>0</v>
      </c>
      <c r="H107" s="225">
        <f t="shared" si="99"/>
        <v>0</v>
      </c>
      <c r="I107" s="225">
        <f t="shared" si="99"/>
        <v>0</v>
      </c>
      <c r="J107" s="225">
        <f t="shared" si="99"/>
        <v>0</v>
      </c>
      <c r="K107" s="225">
        <f t="shared" si="99"/>
        <v>0</v>
      </c>
      <c r="L107" s="225">
        <f t="shared" si="99"/>
        <v>0</v>
      </c>
      <c r="M107" s="225">
        <f t="shared" si="99"/>
        <v>0</v>
      </c>
      <c r="N107" s="225">
        <f t="shared" si="99"/>
        <v>0</v>
      </c>
      <c r="O107" s="225">
        <f t="shared" si="99"/>
        <v>0</v>
      </c>
      <c r="P107" s="90">
        <f t="shared" si="99"/>
        <v>0</v>
      </c>
      <c r="Q107" s="225">
        <f t="shared" si="99"/>
        <v>0</v>
      </c>
      <c r="R107" s="91">
        <f t="shared" si="99"/>
        <v>0</v>
      </c>
      <c r="S107" s="225">
        <f t="shared" si="99"/>
        <v>0</v>
      </c>
      <c r="T107" s="225">
        <f t="shared" si="99"/>
        <v>0</v>
      </c>
      <c r="U107" s="225">
        <f t="shared" si="99"/>
        <v>0</v>
      </c>
      <c r="V107" s="90">
        <f t="shared" si="99"/>
        <v>0</v>
      </c>
      <c r="W107" s="225">
        <f t="shared" si="99"/>
        <v>0</v>
      </c>
      <c r="X107" s="225">
        <f t="shared" si="99"/>
        <v>0</v>
      </c>
      <c r="Y107" s="90">
        <f t="shared" si="99"/>
        <v>0</v>
      </c>
      <c r="Z107" s="225">
        <f t="shared" si="99"/>
        <v>0</v>
      </c>
      <c r="AA107" s="225">
        <f t="shared" si="99"/>
        <v>0</v>
      </c>
      <c r="AB107" s="225">
        <f t="shared" si="99"/>
        <v>0</v>
      </c>
    </row>
    <row r="108" spans="1:28" x14ac:dyDescent="0.2">
      <c r="A108" s="352"/>
      <c r="B108" s="79" t="s">
        <v>260</v>
      </c>
      <c r="C108" s="225">
        <f>C82+C95</f>
        <v>0</v>
      </c>
      <c r="D108" s="225">
        <f t="shared" ref="D108:AB108" si="100">D82+D95</f>
        <v>0</v>
      </c>
      <c r="E108" s="225">
        <f t="shared" si="100"/>
        <v>0</v>
      </c>
      <c r="F108" s="225">
        <f t="shared" si="100"/>
        <v>0</v>
      </c>
      <c r="G108" s="225">
        <f t="shared" si="100"/>
        <v>0</v>
      </c>
      <c r="H108" s="225">
        <f t="shared" si="100"/>
        <v>0</v>
      </c>
      <c r="I108" s="225">
        <f t="shared" si="100"/>
        <v>0</v>
      </c>
      <c r="J108" s="225">
        <f t="shared" si="100"/>
        <v>0</v>
      </c>
      <c r="K108" s="225">
        <f t="shared" si="100"/>
        <v>0</v>
      </c>
      <c r="L108" s="225">
        <f t="shared" si="100"/>
        <v>0</v>
      </c>
      <c r="M108" s="225">
        <f t="shared" si="100"/>
        <v>0</v>
      </c>
      <c r="N108" s="225">
        <f t="shared" si="100"/>
        <v>0</v>
      </c>
      <c r="O108" s="225">
        <f t="shared" si="100"/>
        <v>0</v>
      </c>
      <c r="P108" s="90">
        <f t="shared" si="100"/>
        <v>0</v>
      </c>
      <c r="Q108" s="225">
        <f t="shared" si="100"/>
        <v>0</v>
      </c>
      <c r="R108" s="91">
        <f t="shared" si="100"/>
        <v>0</v>
      </c>
      <c r="S108" s="225">
        <f t="shared" si="100"/>
        <v>0</v>
      </c>
      <c r="T108" s="225">
        <f t="shared" si="100"/>
        <v>0</v>
      </c>
      <c r="U108" s="225">
        <f t="shared" si="100"/>
        <v>0</v>
      </c>
      <c r="V108" s="90">
        <f t="shared" si="100"/>
        <v>0</v>
      </c>
      <c r="W108" s="225">
        <f t="shared" si="100"/>
        <v>0</v>
      </c>
      <c r="X108" s="225">
        <f t="shared" si="100"/>
        <v>0</v>
      </c>
      <c r="Y108" s="90">
        <f t="shared" si="100"/>
        <v>0</v>
      </c>
      <c r="Z108" s="225">
        <f t="shared" si="100"/>
        <v>0</v>
      </c>
      <c r="AA108" s="225">
        <f t="shared" si="100"/>
        <v>0</v>
      </c>
      <c r="AB108" s="225">
        <f t="shared" si="100"/>
        <v>0</v>
      </c>
    </row>
    <row r="109" spans="1:28" ht="13.5" thickBot="1" x14ac:dyDescent="0.25">
      <c r="A109" s="353"/>
      <c r="B109" s="230" t="s">
        <v>261</v>
      </c>
      <c r="C109" s="92">
        <f t="shared" ref="C109:AB109" si="101">C83+C96</f>
        <v>0</v>
      </c>
      <c r="D109" s="92">
        <f t="shared" si="101"/>
        <v>0</v>
      </c>
      <c r="E109" s="92">
        <f t="shared" si="101"/>
        <v>0</v>
      </c>
      <c r="F109" s="92">
        <f t="shared" si="101"/>
        <v>0</v>
      </c>
      <c r="G109" s="92">
        <f t="shared" si="101"/>
        <v>0</v>
      </c>
      <c r="H109" s="92">
        <f t="shared" si="101"/>
        <v>0</v>
      </c>
      <c r="I109" s="92">
        <f t="shared" si="101"/>
        <v>0</v>
      </c>
      <c r="J109" s="92">
        <f t="shared" si="101"/>
        <v>0</v>
      </c>
      <c r="K109" s="92">
        <f t="shared" si="101"/>
        <v>0</v>
      </c>
      <c r="L109" s="92">
        <f t="shared" si="101"/>
        <v>0</v>
      </c>
      <c r="M109" s="92">
        <f t="shared" si="101"/>
        <v>0</v>
      </c>
      <c r="N109" s="92">
        <f t="shared" si="101"/>
        <v>0</v>
      </c>
      <c r="O109" s="92">
        <f t="shared" si="101"/>
        <v>0</v>
      </c>
      <c r="P109" s="93">
        <f t="shared" si="101"/>
        <v>0</v>
      </c>
      <c r="Q109" s="92">
        <f t="shared" si="101"/>
        <v>0</v>
      </c>
      <c r="R109" s="94">
        <f t="shared" si="101"/>
        <v>0</v>
      </c>
      <c r="S109" s="92">
        <f t="shared" si="101"/>
        <v>0</v>
      </c>
      <c r="T109" s="92">
        <f t="shared" si="101"/>
        <v>0</v>
      </c>
      <c r="U109" s="92">
        <f t="shared" si="101"/>
        <v>0</v>
      </c>
      <c r="V109" s="93">
        <f t="shared" si="101"/>
        <v>0</v>
      </c>
      <c r="W109" s="92">
        <f t="shared" si="101"/>
        <v>0</v>
      </c>
      <c r="X109" s="92">
        <f t="shared" si="101"/>
        <v>0</v>
      </c>
      <c r="Y109" s="93">
        <f t="shared" si="101"/>
        <v>0</v>
      </c>
      <c r="Z109" s="92">
        <f t="shared" si="101"/>
        <v>0</v>
      </c>
      <c r="AA109" s="92">
        <f t="shared" si="101"/>
        <v>0</v>
      </c>
      <c r="AB109" s="92">
        <f t="shared" si="101"/>
        <v>0</v>
      </c>
    </row>
  </sheetData>
  <mergeCells count="27">
    <mergeCell ref="A45:A51"/>
    <mergeCell ref="A52:A58"/>
    <mergeCell ref="A59:A65"/>
    <mergeCell ref="T68:T69"/>
    <mergeCell ref="A68:A69"/>
    <mergeCell ref="B68:B69"/>
    <mergeCell ref="C68:C69"/>
    <mergeCell ref="D68:D69"/>
    <mergeCell ref="E68:F68"/>
    <mergeCell ref="O68:O69"/>
    <mergeCell ref="Q68:Q69"/>
    <mergeCell ref="A97:A109"/>
    <mergeCell ref="C3:AB3"/>
    <mergeCell ref="A6:A18"/>
    <mergeCell ref="A19:A31"/>
    <mergeCell ref="C67:AB67"/>
    <mergeCell ref="A32:A44"/>
    <mergeCell ref="U68:U69"/>
    <mergeCell ref="W68:X68"/>
    <mergeCell ref="Z68:AB68"/>
    <mergeCell ref="G68:H68"/>
    <mergeCell ref="I68:I69"/>
    <mergeCell ref="J68:M68"/>
    <mergeCell ref="N68:N69"/>
    <mergeCell ref="A71:A83"/>
    <mergeCell ref="A84:A96"/>
    <mergeCell ref="S68:S69"/>
  </mergeCells>
  <pageMargins left="0.70866141732283472" right="0.70866141732283472" top="0.74803149606299213" bottom="0.74803149606299213" header="0.31496062992125984" footer="0.31496062992125984"/>
  <pageSetup paperSize="9" scale="53" orientation="landscape" r:id="rId1"/>
  <headerFooter>
    <oddFooter>&amp;R&amp;A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249977111117893"/>
    <pageSetUpPr fitToPage="1"/>
  </sheetPr>
  <dimension ref="A1:AS109"/>
  <sheetViews>
    <sheetView zoomScaleNormal="100" zoomScaleSheetLayoutView="100" workbookViewId="0">
      <pane xSplit="2" ySplit="5" topLeftCell="C6" activePane="bottomRight" state="frozen"/>
      <selection pane="topRight"/>
      <selection pane="bottomLeft"/>
      <selection pane="bottomRight"/>
    </sheetView>
  </sheetViews>
  <sheetFormatPr defaultColWidth="9.140625" defaultRowHeight="12.75" x14ac:dyDescent="0.2"/>
  <cols>
    <col min="1" max="1" width="16.7109375" style="1" bestFit="1" customWidth="1"/>
    <col min="2" max="2" width="9" style="1" customWidth="1"/>
    <col min="3" max="4" width="9.28515625" style="3" customWidth="1"/>
    <col min="5" max="6" width="10.28515625" style="3" customWidth="1"/>
    <col min="7" max="7" width="9.7109375" style="3" customWidth="1"/>
    <col min="8" max="8" width="11.42578125" style="3" customWidth="1"/>
    <col min="9" max="10" width="9.28515625" style="3" customWidth="1"/>
    <col min="11" max="11" width="10.42578125" style="3" customWidth="1"/>
    <col min="12" max="12" width="9.28515625" style="3" customWidth="1"/>
    <col min="13" max="14" width="10.7109375" style="3" customWidth="1"/>
    <col min="15" max="15" width="9.28515625" style="3" customWidth="1"/>
    <col min="16" max="16" width="1.28515625" style="3" customWidth="1"/>
    <col min="17" max="17" width="10.85546875" style="3" customWidth="1"/>
    <col min="18" max="18" width="0.85546875" style="3" customWidth="1"/>
    <col min="19" max="21" width="9.140625" style="3"/>
    <col min="22" max="22" width="1.140625" style="3" customWidth="1"/>
    <col min="23" max="24" width="9.140625" style="3"/>
    <col min="25" max="25" width="1.140625" style="3" customWidth="1"/>
    <col min="26" max="27" width="9.28515625" style="3" bestFit="1" customWidth="1"/>
    <col min="28" max="28" width="9.7109375" style="3" customWidth="1"/>
    <col min="29" max="29" width="9.28515625" style="3" bestFit="1" customWidth="1"/>
    <col min="30" max="30" width="10" style="3" bestFit="1" customWidth="1"/>
    <col min="31" max="34" width="9.28515625" style="3" bestFit="1" customWidth="1"/>
    <col min="35" max="35" width="10.7109375" style="3" customWidth="1"/>
    <col min="36" max="36" width="9.28515625" style="3" bestFit="1" customWidth="1"/>
    <col min="37" max="37" width="1.28515625" style="3" customWidth="1"/>
    <col min="38" max="38" width="9.28515625" style="3" bestFit="1" customWidth="1"/>
    <col min="39" max="39" width="0.85546875" style="3" customWidth="1"/>
    <col min="40" max="42" width="9.140625" style="3"/>
    <col min="43" max="43" width="1.140625" style="3" customWidth="1"/>
    <col min="44" max="45" width="9.140625" style="3"/>
    <col min="46" max="16384" width="9.140625" style="1"/>
  </cols>
  <sheetData>
    <row r="1" spans="1:45" customFormat="1" x14ac:dyDescent="0.2">
      <c r="A1" s="278" t="s">
        <v>287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ustomFormat="1" x14ac:dyDescent="0.2">
      <c r="A2" s="62" t="s">
        <v>13</v>
      </c>
      <c r="B2" s="63">
        <f>Flat_file!$B$2</f>
        <v>0</v>
      </c>
      <c r="C2" s="3"/>
      <c r="D2" s="63"/>
      <c r="E2" s="2"/>
      <c r="F2" s="2"/>
      <c r="G2" s="2"/>
      <c r="H2" s="3"/>
      <c r="I2" s="3"/>
      <c r="J2" s="3"/>
      <c r="K2" s="3"/>
      <c r="L2" s="3"/>
      <c r="M2" s="3"/>
      <c r="N2" s="3"/>
      <c r="O2" s="3"/>
      <c r="P2" s="3"/>
      <c r="Q2" s="3"/>
      <c r="R2" s="3"/>
      <c r="S2" s="3"/>
      <c r="T2" s="3"/>
      <c r="U2" s="3"/>
      <c r="V2" s="3"/>
      <c r="W2" s="3"/>
      <c r="X2" s="3"/>
      <c r="Y2" s="3"/>
      <c r="Z2" s="2"/>
      <c r="AA2" s="2"/>
      <c r="AB2" s="2"/>
      <c r="AC2" s="3"/>
      <c r="AD2" s="3"/>
      <c r="AE2" s="3"/>
      <c r="AF2" s="3"/>
      <c r="AG2" s="3"/>
      <c r="AH2" s="3"/>
      <c r="AI2" s="3"/>
      <c r="AJ2" s="3"/>
      <c r="AK2" s="3"/>
      <c r="AL2" s="3"/>
      <c r="AM2" s="3"/>
      <c r="AN2" s="3"/>
      <c r="AO2" s="3"/>
      <c r="AP2" s="3"/>
      <c r="AQ2" s="3"/>
      <c r="AR2" s="3"/>
      <c r="AS2" s="2"/>
    </row>
    <row r="3" spans="1:45" customFormat="1" ht="13.5" thickBot="1" x14ac:dyDescent="0.25">
      <c r="C3" s="372" t="s">
        <v>12</v>
      </c>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
      <c r="AD3" s="3"/>
      <c r="AE3" s="3"/>
      <c r="AF3" s="3"/>
      <c r="AG3" s="3"/>
      <c r="AH3" s="3"/>
      <c r="AI3" s="3"/>
      <c r="AJ3" s="3"/>
      <c r="AK3" s="3"/>
      <c r="AL3" s="3"/>
      <c r="AM3" s="3"/>
      <c r="AN3" s="3"/>
      <c r="AO3" s="3"/>
      <c r="AP3" s="3"/>
      <c r="AQ3" s="3"/>
      <c r="AR3" s="3"/>
      <c r="AS3" s="3"/>
    </row>
    <row r="4" spans="1:45" customFormat="1" ht="79.5" customHeight="1" thickBot="1" x14ac:dyDescent="0.25">
      <c r="A4" s="129"/>
      <c r="B4" s="130" t="s">
        <v>11</v>
      </c>
      <c r="C4" s="125" t="s">
        <v>140</v>
      </c>
      <c r="D4" s="125" t="s">
        <v>136</v>
      </c>
      <c r="E4" s="73" t="s">
        <v>137</v>
      </c>
      <c r="F4" s="131" t="s">
        <v>138</v>
      </c>
      <c r="G4" s="73" t="s">
        <v>139</v>
      </c>
      <c r="H4" s="128" t="s">
        <v>141</v>
      </c>
      <c r="I4" s="125" t="s">
        <v>142</v>
      </c>
      <c r="J4" s="126" t="s">
        <v>164</v>
      </c>
      <c r="K4" s="126" t="s">
        <v>128</v>
      </c>
      <c r="L4" s="126" t="s">
        <v>129</v>
      </c>
      <c r="M4" s="126" t="s">
        <v>130</v>
      </c>
      <c r="N4" s="127" t="s">
        <v>120</v>
      </c>
      <c r="O4" s="166" t="s">
        <v>221</v>
      </c>
      <c r="P4" s="4"/>
      <c r="Q4" s="125" t="s">
        <v>169</v>
      </c>
      <c r="R4" s="4"/>
      <c r="S4" s="125" t="s">
        <v>144</v>
      </c>
      <c r="T4" s="125" t="s">
        <v>145</v>
      </c>
      <c r="U4" s="125" t="s">
        <v>8</v>
      </c>
      <c r="V4" s="4"/>
      <c r="W4" s="311" t="s">
        <v>175</v>
      </c>
      <c r="X4" s="312" t="s">
        <v>171</v>
      </c>
      <c r="Y4" s="4"/>
      <c r="Z4" s="123" t="s">
        <v>172</v>
      </c>
      <c r="AA4" s="123" t="s">
        <v>173</v>
      </c>
      <c r="AB4" s="124" t="s">
        <v>174</v>
      </c>
      <c r="AC4" s="3"/>
      <c r="AD4" s="3"/>
      <c r="AE4" s="3"/>
      <c r="AF4" s="3"/>
      <c r="AG4" s="3"/>
      <c r="AH4" s="3"/>
      <c r="AI4" s="3"/>
      <c r="AJ4" s="3"/>
      <c r="AK4" s="3"/>
      <c r="AL4" s="3"/>
      <c r="AM4" s="3"/>
      <c r="AN4" s="3"/>
      <c r="AO4" s="3"/>
      <c r="AP4" s="3"/>
      <c r="AQ4" s="3"/>
      <c r="AR4" s="3"/>
      <c r="AS4" s="3"/>
    </row>
    <row r="5" spans="1:45" customFormat="1" ht="79.5" thickBot="1" x14ac:dyDescent="0.25">
      <c r="A5" s="81" t="s">
        <v>105</v>
      </c>
      <c r="B5" s="82"/>
      <c r="C5" s="71" t="s">
        <v>106</v>
      </c>
      <c r="D5" s="71" t="s">
        <v>97</v>
      </c>
      <c r="E5" s="71" t="s">
        <v>108</v>
      </c>
      <c r="F5" s="71" t="s">
        <v>107</v>
      </c>
      <c r="G5" s="71" t="s">
        <v>109</v>
      </c>
      <c r="H5" s="71" t="s">
        <v>110</v>
      </c>
      <c r="I5" s="72" t="s">
        <v>111</v>
      </c>
      <c r="J5" s="71" t="s">
        <v>112</v>
      </c>
      <c r="K5" s="71" t="s">
        <v>113</v>
      </c>
      <c r="L5" s="71" t="s">
        <v>114</v>
      </c>
      <c r="M5" s="71" t="s">
        <v>115</v>
      </c>
      <c r="N5" s="75" t="s">
        <v>121</v>
      </c>
      <c r="O5" s="76"/>
      <c r="P5" s="72"/>
      <c r="Q5" s="73" t="str">
        <f>CONCATENATE(H5&amp;", "&amp;I5&amp;", "&amp;J5&amp;", "&amp;K5&amp;", "&amp;L5&amp;", "&amp;M5)</f>
        <v>343, 344, 353, 354, 443, 444, 453, 454, 540, 550, 560, 640, 650, 660, 740, 750, 760, 840, 850, 860</v>
      </c>
      <c r="R5" s="72"/>
      <c r="S5" s="73" t="str">
        <f>CONCATENATE(C5&amp;", "&amp;D5&amp;", "&amp;E5&amp;", "&amp;F5&amp;", "&amp;G5)</f>
        <v>010, 020, 030, 100, 242, 252, 243, 244, 253, 254, 342, 352</v>
      </c>
      <c r="T5" s="73" t="str">
        <f>CONCATENATE(H5&amp;", "&amp;I5)</f>
        <v>343, 344, 353, 354, 443, 444, 453, 454</v>
      </c>
      <c r="U5" s="73" t="str">
        <f>CONCATENATE(J5&amp;", "&amp;K5&amp;", "&amp;L5&amp;", "&amp;M5)</f>
        <v>540, 550, 560, 640, 650, 660, 740, 750, 760, 840, 850, 860</v>
      </c>
      <c r="V5" s="72"/>
      <c r="W5" s="71" t="s">
        <v>118</v>
      </c>
      <c r="X5" s="71" t="s">
        <v>119</v>
      </c>
      <c r="Y5" s="72"/>
      <c r="Z5" s="77" t="s">
        <v>122</v>
      </c>
      <c r="AA5" s="77" t="s">
        <v>123</v>
      </c>
      <c r="AB5" s="74" t="s">
        <v>124</v>
      </c>
      <c r="AC5" s="3"/>
      <c r="AD5" s="3"/>
      <c r="AE5" s="3"/>
      <c r="AF5" s="3"/>
      <c r="AG5" s="3"/>
      <c r="AH5" s="3"/>
      <c r="AI5" s="3"/>
      <c r="AJ5" s="3"/>
      <c r="AK5" s="3"/>
      <c r="AL5" s="3"/>
      <c r="AM5" s="3"/>
      <c r="AN5" s="3"/>
      <c r="AO5" s="3"/>
      <c r="AP5" s="3"/>
      <c r="AQ5" s="3"/>
      <c r="AR5" s="3"/>
      <c r="AS5" s="3"/>
    </row>
    <row r="6" spans="1:45" customFormat="1" ht="12.75" customHeight="1" x14ac:dyDescent="0.2">
      <c r="A6" s="351" t="s">
        <v>5</v>
      </c>
      <c r="B6" s="78" t="s">
        <v>87</v>
      </c>
      <c r="C6" s="86">
        <f>SUMIFS(Flat_file!$G:$G,Flat_file!$B:$B,Summary_Inactive!$B$2,Flat_file!$C:$C,"Men",Flat_file!$D:$D,"15-19",Flat_file!$E:$E,"010",Flat_file!$F:$F,"I")+SUMIFS(Flat_file!$G:$G,Flat_file!$B:$B,Summary_Inactive!$B$2,Flat_file!$C:$C,"Men",Flat_file!$D:$D,"15-19",Flat_file!$E:$E,"020",Flat_file!$F:$F,"I")+SUMIFS(Flat_file!$G:$G,Flat_file!$B:$B,Summary_Inactive!$B$2,Flat_file!$C:$C,"Men",Flat_file!$D:$D,"15-19",Flat_file!$E:$E,"030",Flat_file!$F:$F,"I")</f>
        <v>0</v>
      </c>
      <c r="D6" s="86">
        <f>SUMIFS(Flat_file!$G:$G,Flat_file!$B:$B,Summary_Inactive!$B$2,Flat_file!$C:$C,"Men",Flat_file!$D:$D,"15-19",Flat_file!$E:$E,"100",Flat_file!$F:$F,"I")</f>
        <v>0</v>
      </c>
      <c r="E6" s="86">
        <f>SUMIFS(Flat_file!$G:$G,Flat_file!$B:$B,Summary_Inactive!$B$2,Flat_file!$C:$C,"Men",Flat_file!$D:$D,"15-19",Flat_file!$E:$E,"242",Flat_file!$F:$F,"I")+SUMIFS(Flat_file!$G:$G,Flat_file!$B:$B,Summary_Inactive!$B$2,Flat_file!$C:$C,"Men",Flat_file!$D:$D,"15-19",Flat_file!$E:$E,"252",Flat_file!$F:$F,"I")</f>
        <v>0</v>
      </c>
      <c r="F6" s="86">
        <f>SUMIFS(Flat_file!$G:$G,Flat_file!$B:$B,Summary_Inactive!$B$2,Flat_file!$C:$C,"Men",Flat_file!$D:$D,"15-19",Flat_file!$E:$E,"243",Flat_file!$F:$F,"I")+SUMIFS(Flat_file!$G:$G,Flat_file!$B:$B,Summary_Inactive!$B$2,Flat_file!$C:$C,"Men",Flat_file!$D:$D,"15-19",Flat_file!$E:$E,"244",Flat_file!$F:$F,"I")+SUMIFS(Flat_file!$G:$G,Flat_file!$B:$B,Summary_Inactive!$B$2,Flat_file!$C:$C,"Men",Flat_file!$D:$D,"15-19",Flat_file!$E:$E,"253",Flat_file!$F:$F,"I")+SUMIFS(Flat_file!$G:$G,Flat_file!$B:$B,Summary_Inactive!$B$2,Flat_file!$C:$C,"Men",Flat_file!$D:$D,"15-19",Flat_file!$E:$E,"254",Flat_file!$F:$F,"I")</f>
        <v>0</v>
      </c>
      <c r="G6" s="86">
        <f>SUMIFS(Flat_file!$G:$G,Flat_file!$B:$B,Summary_Inactive!$B$2,Flat_file!$C:$C,"Men",Flat_file!$D:$D,"15-19",Flat_file!$E:$E,"342",Flat_file!$F:$F,"I")+SUMIFS(Flat_file!$G:$G,Flat_file!$B:$B,Summary_Inactive!$B$2,Flat_file!$C:$C,"Men",Flat_file!$D:$D,"15-19",Flat_file!$E:$E,"352",Flat_file!$F:$F,"I")</f>
        <v>0</v>
      </c>
      <c r="H6" s="86">
        <f>SUMIFS(Flat_file!$G:$G,Flat_file!$B:$B,Summary_Inactive!$B$2,Flat_file!$C:$C,"Men",Flat_file!$D:$D,"15-19",Flat_file!$E:$E,"343",Flat_file!$F:$F,"I")+SUMIFS(Flat_file!$G:$G,Flat_file!$B:$B,Summary_Inactive!$B$2,Flat_file!$C:$C,"Men",Flat_file!$D:$D,"15-19",Flat_file!$E:$E,"344",Flat_file!$F:$F,"I")+SUMIFS(Flat_file!$G:$G,Flat_file!$B:$B,Summary_Inactive!$B$2,Flat_file!$C:$C,"Men",Flat_file!$D:$D,"15-19",Flat_file!$E:$E,"353",Flat_file!$F:$F,"I")+SUMIFS(Flat_file!$G:$G,Flat_file!$B:$B,Summary_Inactive!$B$2,Flat_file!$C:$C,"Men",Flat_file!$D:$D,"15-19",Flat_file!$E:$E,"354",Flat_file!$F:$F,"I")</f>
        <v>0</v>
      </c>
      <c r="I6" s="86">
        <f>SUMIFS(Flat_file!$G:$G,Flat_file!$B:$B,Summary_Inactive!$B$2,Flat_file!$C:$C,"Men",Flat_file!$D:$D,"15-19",Flat_file!$E:$E,"443",Flat_file!$F:$F,"I")+SUMIFS(Flat_file!$G:$G,Flat_file!$B:$B,Summary_Inactive!$B$2,Flat_file!$C:$C,"Men",Flat_file!$D:$D,"15-19",Flat_file!$E:$E,"444",Flat_file!$F:$F,"I")+SUMIFS(Flat_file!$G:$G,Flat_file!$B:$B,Summary_Inactive!$B$2,Flat_file!$C:$C,"Men",Flat_file!$D:$D,"15-19",Flat_file!$E:$E,"453",Flat_file!$F:$F,"I")+SUMIFS(Flat_file!$G:$G,Flat_file!$B:$B,Summary_Inactive!$B$2,Flat_file!$C:$C,"Men",Flat_file!$D:$D,"15-19",Flat_file!$E:$E,"454",Flat_file!$F:$F,"I")</f>
        <v>0</v>
      </c>
      <c r="J6" s="86">
        <f>SUMIFS(Flat_file!$G:$G,Flat_file!$B:$B,Summary_Inactive!$B$2,Flat_file!$C:$C,"Men",Flat_file!$D:$D,"15-19",Flat_file!$E:$E,"540",Flat_file!$F:$F,"I")+SUMIFS(Flat_file!$G:$G,Flat_file!$B:$B,Summary_Inactive!$B$2,Flat_file!$C:$C,"Men",Flat_file!$D:$D,"15-19",Flat_file!$E:$E,"550",Flat_file!$F:$F,"I")+SUMIFS(Flat_file!$G:$G,Flat_file!$B:$B,Summary_Inactive!$B$2,Flat_file!$C:$C,"Men",Flat_file!$D:$D,"15-19",Flat_file!$E:$E,"560",Flat_file!$F:$F,"I")</f>
        <v>0</v>
      </c>
      <c r="K6" s="86">
        <f>SUMIFS(Flat_file!$G:$G,Flat_file!$B:$B,Summary_Inactive!$B$2,Flat_file!$C:$C,"Men",Flat_file!$D:$D,"15-19",Flat_file!$E:$E,"640",Flat_file!$F:$F,"I")+SUMIFS(Flat_file!$G:$G,Flat_file!$B:$B,Summary_Inactive!$B$2,Flat_file!$C:$C,"Men",Flat_file!$D:$D,"15-19",Flat_file!$E:$E,"650",Flat_file!$F:$F,"I")+SUMIFS(Flat_file!$G:$G,Flat_file!$B:$B,Summary_Inactive!$B$2,Flat_file!$C:$C,"Men",Flat_file!$D:$D,"15-19",Flat_file!$E:$E,"660",Flat_file!$F:$F,"I")</f>
        <v>0</v>
      </c>
      <c r="L6" s="86">
        <f>SUMIFS(Flat_file!$G:$G,Flat_file!$B:$B,Summary_Inactive!$B$2,Flat_file!$C:$C,"Men",Flat_file!$D:$D,"15-19",Flat_file!$E:$E,"740",Flat_file!$F:$F,"I")+SUMIFS(Flat_file!$G:$G,Flat_file!$B:$B,Summary_Inactive!$B$2,Flat_file!$C:$C,"Men",Flat_file!$D:$D,"15-19",Flat_file!$E:$E,"750",Flat_file!$F:$F,"I")+SUMIFS(Flat_file!$G:$G,Flat_file!$B:$B,Summary_Inactive!$B$2,Flat_file!$C:$C,"Men",Flat_file!$D:$D,"15-19",Flat_file!$E:$E,"760",Flat_file!$F:$F,"I")</f>
        <v>0</v>
      </c>
      <c r="M6" s="86">
        <f>SUMIFS(Flat_file!$G:$G,Flat_file!$B:$B,Summary_Inactive!$B$2,Flat_file!$C:$C,"Men",Flat_file!$D:$D,"15-19",Flat_file!$E:$E,"840",Flat_file!$F:$F,"I")+SUMIFS(Flat_file!$G:$G,Flat_file!$B:$B,Summary_Inactive!$B$2,Flat_file!$C:$C,"Men",Flat_file!$D:$D,"15-19",Flat_file!$E:$E,"850",Flat_file!$F:$F,"I")+SUMIFS(Flat_file!$G:$G,Flat_file!$B:$B,Summary_Inactive!$B$2,Flat_file!$C:$C,"Men",Flat_file!$D:$D,"15-19",Flat_file!$E:$E,"860",Flat_file!$F:$F,"I")</f>
        <v>0</v>
      </c>
      <c r="N6" s="86">
        <f>SUMIFS(Flat_file!$G:$G,Flat_file!$B:$B,Summary_Inactive!$B$2,Flat_file!$C:$C,"Men",Flat_file!$D:$D,"15-19",Flat_file!$E:$E,"999",Flat_file!$F:$F,"I")</f>
        <v>0</v>
      </c>
      <c r="O6" s="86">
        <f>SUM(C6:M6)</f>
        <v>0</v>
      </c>
      <c r="P6" s="87"/>
      <c r="Q6" s="86">
        <f>SUM(H6:M6)</f>
        <v>0</v>
      </c>
      <c r="R6" s="88"/>
      <c r="S6" s="86">
        <f>SUM(C6:G6)</f>
        <v>0</v>
      </c>
      <c r="T6" s="86">
        <f>SUM(H6:I6)</f>
        <v>0</v>
      </c>
      <c r="U6" s="86">
        <f>SUM(J6:M6)</f>
        <v>0</v>
      </c>
      <c r="V6" s="87"/>
      <c r="W6" s="86">
        <f>SUMIFS(Flat_file!$G:$G,Flat_file!$B:$B,Summary_Inactive!$B$2,Flat_file!$C:$C,"Men",Flat_file!$D:$D,"15-19",Flat_file!$E:$E,"343",Flat_file!$F:$F,"I")+SUMIFS(Flat_file!$G:$G,Flat_file!$B:$B,Summary_Inactive!$B$2,Flat_file!$C:$C,"Men",Flat_file!$D:$D,"15-19",Flat_file!$E:$E,"344",Flat_file!$F:$F,"I")+SUMIFS(Flat_file!$G:$G,Flat_file!$B:$B,Summary_Inactive!$B$2,Flat_file!$C:$C,"Men",Flat_file!$D:$D,"15-19",Flat_file!$E:$E,"443",Flat_file!$F:$F,"I")+SUMIFS(Flat_file!$G:$G,Flat_file!$B:$B,Summary_Inactive!$B$2,Flat_file!$C:$C,"Men",Flat_file!$D:$D,"15-19",Flat_file!$E:$E,"444",Flat_file!$F:$F,"I")</f>
        <v>0</v>
      </c>
      <c r="X6" s="86">
        <f>SUMIFS(Flat_file!$G:$G,Flat_file!$B:$B,Summary_Inactive!$B$2,Flat_file!$C:$C,"Men",Flat_file!$D:$D,"15-19",Flat_file!$E:$E,"353",Flat_file!$F:$F,"I")+SUMIFS(Flat_file!$G:$G,Flat_file!$B:$B,Summary_Inactive!$B$2,Flat_file!$C:$C,"Men",Flat_file!$D:$D,"15-19",Flat_file!$E:$E,"354",Flat_file!$F:$F,"I")+SUMIFS(Flat_file!$G:$G,Flat_file!$B:$B,Summary_Inactive!$B$2,Flat_file!$C:$C,"Men",Flat_file!$D:$D,"15-19",Flat_file!$E:$E,"453",Flat_file!$F:$F,"I")+SUMIFS(Flat_file!$G:$G,Flat_file!$B:$B,Summary_Inactive!$B$2,Flat_file!$C:$C,"Men",Flat_file!$D:$D,"15-19",Flat_file!$E:$E,"454",Flat_file!$F:$F,"I")</f>
        <v>0</v>
      </c>
      <c r="Y6" s="87"/>
      <c r="Z6" s="86">
        <f>SUMIFS(Flat_file!$G:$G,Flat_file!$B:$B,Summary_Inactive!$B$2,Flat_file!$C:$C,"Men",Flat_file!$D:$D,"15-19",Flat_file!$E:$E,"640",Flat_file!$F:$F,"I")+SUMIFS(Flat_file!$G:$G,Flat_file!$B:$B,Summary_Inactive!$B$2,Flat_file!$C:$C,"Men",Flat_file!$D:$D,"15-19",Flat_file!$E:$E,"740",Flat_file!$F:$F,"I")+SUMIFS(Flat_file!$G:$G,Flat_file!$B:$B,Summary_Inactive!$B$2,Flat_file!$C:$C,"Men",Flat_file!$D:$D,"15-19",Flat_file!$E:$E,"840",Flat_file!$F:$F,"I")</f>
        <v>0</v>
      </c>
      <c r="AA6" s="86">
        <f>SUMIFS(Flat_file!$G:$G,Flat_file!$B:$B,Summary_Inactive!$B$2,Flat_file!$C:$C,"Men",Flat_file!$D:$D,"15-19",Flat_file!$E:$E,"650",Flat_file!$F:$F,"I")+SUMIFS(Flat_file!$G:$G,Flat_file!$B:$B,Summary_Inactive!$B$2,Flat_file!$C:$C,"Men",Flat_file!$D:$D,"15-19",Flat_file!$E:$E,"750",Flat_file!$F:$F,"I")+SUMIFS(Flat_file!$G:$G,Flat_file!$B:$B,Summary_Inactive!$B$2,Flat_file!$C:$C,"Men",Flat_file!$D:$D,"15-19",Flat_file!$E:$E,"850",Flat_file!$F:$F,"I")</f>
        <v>0</v>
      </c>
      <c r="AB6" s="86">
        <f>SUMIFS(Flat_file!$G:$G,Flat_file!$B:$B,Summary_Inactive!$B$2,Flat_file!$C:$C,"Men",Flat_file!$D:$D,"15-19",Flat_file!$E:$E,"660",Flat_file!$F:$F,"I")+SUMIFS(Flat_file!$G:$G,Flat_file!$B:$B,Summary_Inactive!$B$2,Flat_file!$C:$C,"Men",Flat_file!$D:$D,"15-19",Flat_file!$E:$E,"760",Flat_file!$F:$F,"I")+SUMIFS(Flat_file!$G:$G,Flat_file!$B:$B,Summary_Inactive!$B$2,Flat_file!$C:$C,"Men",Flat_file!$D:$D,"15-19",Flat_file!$E:$E,"860",Flat_file!$F:$F,"I")</f>
        <v>0</v>
      </c>
      <c r="AC6" s="3"/>
      <c r="AD6" s="3"/>
      <c r="AE6" s="3"/>
      <c r="AF6" s="3"/>
      <c r="AG6" s="3"/>
      <c r="AH6" s="3"/>
      <c r="AI6" s="3"/>
      <c r="AJ6" s="3"/>
      <c r="AK6" s="3"/>
      <c r="AL6" s="3"/>
      <c r="AM6" s="3"/>
      <c r="AN6" s="3"/>
      <c r="AO6" s="3"/>
      <c r="AP6" s="3"/>
      <c r="AQ6" s="3"/>
      <c r="AR6" s="3"/>
      <c r="AS6" s="3"/>
    </row>
    <row r="7" spans="1:45" customFormat="1" x14ac:dyDescent="0.2">
      <c r="A7" s="352"/>
      <c r="B7" s="79" t="s">
        <v>88</v>
      </c>
      <c r="C7" s="89">
        <f>SUMIFS(Flat_file!$G:$G,Flat_file!$B:$B,Summary_Inactive!$B$2,Flat_file!$C:$C,"Men",Flat_file!$D:$D,"20-24",Flat_file!$E:$E,"010",Flat_file!$F:$F,"I")+SUMIFS(Flat_file!$G:$G,Flat_file!$B:$B,Summary_Inactive!$B$2,Flat_file!$C:$C,"Men",Flat_file!$D:$D,"20-24",Flat_file!$E:$E,"020",Flat_file!$F:$F,"I")+SUMIFS(Flat_file!$G:$G,Flat_file!$B:$B,Summary_Inactive!$B$2,Flat_file!$C:$C,"Men",Flat_file!$D:$D,"20-24",Flat_file!$E:$E,"030",Flat_file!$F:$F,"I")</f>
        <v>0</v>
      </c>
      <c r="D7" s="89">
        <f>SUMIFS(Flat_file!$G:$G,Flat_file!$B:$B,Summary_Inactive!$B$2,Flat_file!$C:$C,"Men",Flat_file!$D:$D,"20-24",Flat_file!$E:$E,"100",Flat_file!$F:$F,"I")</f>
        <v>0</v>
      </c>
      <c r="E7" s="89">
        <f>SUMIFS(Flat_file!$G:$G,Flat_file!$B:$B,Summary_Inactive!$B$2,Flat_file!$C:$C,"Men",Flat_file!$D:$D,"20-24",Flat_file!$E:$E,"242",Flat_file!$F:$F,"I")+SUMIFS(Flat_file!$G:$G,Flat_file!$B:$B,Summary_Inactive!$B$2,Flat_file!$C:$C,"Men",Flat_file!$D:$D,"20-24",Flat_file!$E:$E,"252",Flat_file!$F:$F,"I")</f>
        <v>0</v>
      </c>
      <c r="F7" s="89">
        <f>SUMIFS(Flat_file!$G:$G,Flat_file!$B:$B,Summary_Inactive!$B$2,Flat_file!$C:$C,"Men",Flat_file!$D:$D,"20-24",Flat_file!$E:$E,"243",Flat_file!$F:$F,"I")+SUMIFS(Flat_file!$G:$G,Flat_file!$B:$B,Summary_Inactive!$B$2,Flat_file!$C:$C,"Men",Flat_file!$D:$D,"20-24",Flat_file!$E:$E,"244",Flat_file!$F:$F,"I")+SUMIFS(Flat_file!$G:$G,Flat_file!$B:$B,Summary_Inactive!$B$2,Flat_file!$C:$C,"Men",Flat_file!$D:$D,"20-24",Flat_file!$E:$E,"253",Flat_file!$F:$F,"I")+SUMIFS(Flat_file!$G:$G,Flat_file!$B:$B,Summary_Inactive!$B$2,Flat_file!$C:$C,"Men",Flat_file!$D:$D,"20-24",Flat_file!$E:$E,"254",Flat_file!$F:$F,"I")</f>
        <v>0</v>
      </c>
      <c r="G7" s="89">
        <f>SUMIFS(Flat_file!$G:$G,Flat_file!$B:$B,Summary_Inactive!$B$2,Flat_file!$C:$C,"Men",Flat_file!$D:$D,"20-24",Flat_file!$E:$E,"342",Flat_file!$F:$F,"I")+SUMIFS(Flat_file!$G:$G,Flat_file!$B:$B,Summary_Inactive!$B$2,Flat_file!$C:$C,"Men",Flat_file!$D:$D,"20-24",Flat_file!$E:$E,"352",Flat_file!$F:$F,"I")</f>
        <v>0</v>
      </c>
      <c r="H7" s="89">
        <f>SUMIFS(Flat_file!$G:$G,Flat_file!$B:$B,Summary_Inactive!$B$2,Flat_file!$C:$C,"Men",Flat_file!$D:$D,"20-24",Flat_file!$E:$E,"343",Flat_file!$F:$F,"I")+SUMIFS(Flat_file!$G:$G,Flat_file!$B:$B,Summary_Inactive!$B$2,Flat_file!$C:$C,"Men",Flat_file!$D:$D,"20-24",Flat_file!$E:$E,"344",Flat_file!$F:$F,"I")+SUMIFS(Flat_file!$G:$G,Flat_file!$B:$B,Summary_Inactive!$B$2,Flat_file!$C:$C,"Men",Flat_file!$D:$D,"20-24",Flat_file!$E:$E,"353",Flat_file!$F:$F,"I")+SUMIFS(Flat_file!$G:$G,Flat_file!$B:$B,Summary_Inactive!$B$2,Flat_file!$C:$C,"Men",Flat_file!$D:$D,"20-24",Flat_file!$E:$E,"354",Flat_file!$F:$F,"I")</f>
        <v>0</v>
      </c>
      <c r="I7" s="89">
        <f>SUMIFS(Flat_file!$G:$G,Flat_file!$B:$B,Summary_Inactive!$B$2,Flat_file!$C:$C,"Men",Flat_file!$D:$D,"20-24",Flat_file!$E:$E,"443",Flat_file!$F:$F,"I")+SUMIFS(Flat_file!$G:$G,Flat_file!$B:$B,Summary_Inactive!$B$2,Flat_file!$C:$C,"Men",Flat_file!$D:$D,"20-24",Flat_file!$E:$E,"444",Flat_file!$F:$F,"I")+SUMIFS(Flat_file!$G:$G,Flat_file!$B:$B,Summary_Inactive!$B$2,Flat_file!$C:$C,"Men",Flat_file!$D:$D,"20-24",Flat_file!$E:$E,"453",Flat_file!$F:$F,"I")+SUMIFS(Flat_file!$G:$G,Flat_file!$B:$B,Summary_Inactive!$B$2,Flat_file!$C:$C,"Men",Flat_file!$D:$D,"20-24",Flat_file!$E:$E,"454",Flat_file!$F:$F,"I")</f>
        <v>0</v>
      </c>
      <c r="J7" s="89">
        <f>SUMIFS(Flat_file!$G:$G,Flat_file!$B:$B,Summary_Inactive!$B$2,Flat_file!$C:$C,"Men",Flat_file!$D:$D,"20-24",Flat_file!$E:$E,"540",Flat_file!$F:$F,"I")+SUMIFS(Flat_file!$G:$G,Flat_file!$B:$B,Summary_Inactive!$B$2,Flat_file!$C:$C,"Men",Flat_file!$D:$D,"20-24",Flat_file!$E:$E,"550",Flat_file!$F:$F,"I")+SUMIFS(Flat_file!$G:$G,Flat_file!$B:$B,Summary_Inactive!$B$2,Flat_file!$C:$C,"Men",Flat_file!$D:$D,"20-24",Flat_file!$E:$E,"560",Flat_file!$F:$F,"I")</f>
        <v>0</v>
      </c>
      <c r="K7" s="89">
        <f>SUMIFS(Flat_file!$G:$G,Flat_file!$B:$B,Summary_Inactive!$B$2,Flat_file!$C:$C,"Men",Flat_file!$D:$D,"20-24",Flat_file!$E:$E,"640",Flat_file!$F:$F,"I")+SUMIFS(Flat_file!$G:$G,Flat_file!$B:$B,Summary_Inactive!$B$2,Flat_file!$C:$C,"Men",Flat_file!$D:$D,"20-24",Flat_file!$E:$E,"650",Flat_file!$F:$F,"I")+SUMIFS(Flat_file!$G:$G,Flat_file!$B:$B,Summary_Inactive!$B$2,Flat_file!$C:$C,"Men",Flat_file!$D:$D,"20-24",Flat_file!$E:$E,"660",Flat_file!$F:$F,"I")</f>
        <v>0</v>
      </c>
      <c r="L7" s="89">
        <f>SUMIFS(Flat_file!$G:$G,Flat_file!$B:$B,Summary_Inactive!$B$2,Flat_file!$C:$C,"Men",Flat_file!$D:$D,"20-24",Flat_file!$E:$E,"740",Flat_file!$F:$F,"I")+SUMIFS(Flat_file!$G:$G,Flat_file!$B:$B,Summary_Inactive!$B$2,Flat_file!$C:$C,"Men",Flat_file!$D:$D,"20-24",Flat_file!$E:$E,"750",Flat_file!$F:$F,"I")+SUMIFS(Flat_file!$G:$G,Flat_file!$B:$B,Summary_Inactive!$B$2,Flat_file!$C:$C,"Men",Flat_file!$D:$D,"20-24",Flat_file!$E:$E,"760",Flat_file!$F:$F,"I")</f>
        <v>0</v>
      </c>
      <c r="M7" s="89">
        <f>SUMIFS(Flat_file!$G:$G,Flat_file!$B:$B,Summary_Inactive!$B$2,Flat_file!$C:$C,"Men",Flat_file!$D:$D,"20-24",Flat_file!$E:$E,"840",Flat_file!$F:$F,"I")+SUMIFS(Flat_file!$G:$G,Flat_file!$B:$B,Summary_Inactive!$B$2,Flat_file!$C:$C,"Men",Flat_file!$D:$D,"20-24",Flat_file!$E:$E,"850",Flat_file!$F:$F,"I")+SUMIFS(Flat_file!$G:$G,Flat_file!$B:$B,Summary_Inactive!$B$2,Flat_file!$C:$C,"Men",Flat_file!$D:$D,"20-24",Flat_file!$E:$E,"860",Flat_file!$F:$F,"I")</f>
        <v>0</v>
      </c>
      <c r="N7" s="89">
        <f>SUMIFS(Flat_file!$G:$G,Flat_file!$B:$B,Summary_Inactive!$B$2,Flat_file!$C:$C,"Men",Flat_file!$D:$D,"20-24",Flat_file!$E:$E,"999",Flat_file!$F:$F,"I")</f>
        <v>0</v>
      </c>
      <c r="O7" s="89">
        <f t="shared" ref="O7:O18" si="0">SUM(C7:M7)</f>
        <v>0</v>
      </c>
      <c r="P7" s="90"/>
      <c r="Q7" s="89">
        <f t="shared" ref="Q7:Q18" si="1">SUM(H7:M7)</f>
        <v>0</v>
      </c>
      <c r="R7" s="91"/>
      <c r="S7" s="89">
        <f t="shared" ref="S7:S18" si="2">SUM(C7:G7)</f>
        <v>0</v>
      </c>
      <c r="T7" s="89">
        <f t="shared" ref="T7:T18" si="3">SUM(H7:I7)</f>
        <v>0</v>
      </c>
      <c r="U7" s="89">
        <f t="shared" ref="U7:U18" si="4">SUM(J7:M7)</f>
        <v>0</v>
      </c>
      <c r="V7" s="90"/>
      <c r="W7" s="89">
        <f>SUMIFS(Flat_file!$G:$G,Flat_file!$B:$B,Summary_Inactive!$B$2,Flat_file!$C:$C,"Men",Flat_file!$D:$D,"20-24",Flat_file!$E:$E,"343",Flat_file!$F:$F,"I")+SUMIFS(Flat_file!$G:$G,Flat_file!$B:$B,Summary_Inactive!$B$2,Flat_file!$C:$C,"Men",Flat_file!$D:$D,"20-24",Flat_file!$E:$E,"344",Flat_file!$F:$F,"I")+SUMIFS(Flat_file!$G:$G,Flat_file!$B:$B,Summary_Inactive!$B$2,Flat_file!$C:$C,"Men",Flat_file!$D:$D,"20-24",Flat_file!$E:$E,"443",Flat_file!$F:$F,"I")+SUMIFS(Flat_file!$G:$G,Flat_file!$B:$B,Summary_Inactive!$B$2,Flat_file!$C:$C,"Men",Flat_file!$D:$D,"20-24",Flat_file!$E:$E,"444",Flat_file!$F:$F,"I")</f>
        <v>0</v>
      </c>
      <c r="X7" s="89">
        <f>SUMIFS(Flat_file!$G:$G,Flat_file!$B:$B,Summary_Inactive!$B$2,Flat_file!$C:$C,"Men",Flat_file!$D:$D,"20-24",Flat_file!$E:$E,"353",Flat_file!$F:$F,"I")+SUMIFS(Flat_file!$G:$G,Flat_file!$B:$B,Summary_Inactive!$B$2,Flat_file!$C:$C,"Men",Flat_file!$D:$D,"20-24",Flat_file!$E:$E,"354",Flat_file!$F:$F,"I")+SUMIFS(Flat_file!$G:$G,Flat_file!$B:$B,Summary_Inactive!$B$2,Flat_file!$C:$C,"Men",Flat_file!$D:$D,"20-24",Flat_file!$E:$E,"453",Flat_file!$F:$F,"I")+SUMIFS(Flat_file!$G:$G,Flat_file!$B:$B,Summary_Inactive!$B$2,Flat_file!$C:$C,"Men",Flat_file!$D:$D,"20-24",Flat_file!$E:$E,"454",Flat_file!$F:$F,"I")</f>
        <v>0</v>
      </c>
      <c r="Y7" s="90"/>
      <c r="Z7" s="89">
        <f>SUMIFS(Flat_file!$G:$G,Flat_file!$B:$B,Summary_Inactive!$B$2,Flat_file!$C:$C,"Men",Flat_file!$D:$D,"20-24",Flat_file!$E:$E,"640",Flat_file!$F:$F,"I")+SUMIFS(Flat_file!$G:$G,Flat_file!$B:$B,Summary_Inactive!$B$2,Flat_file!$C:$C,"Men",Flat_file!$D:$D,"20-24",Flat_file!$E:$E,"740",Flat_file!$F:$F,"I")+SUMIFS(Flat_file!$G:$G,Flat_file!$B:$B,Summary_Inactive!$B$2,Flat_file!$C:$C,"Men",Flat_file!$D:$D,"20-24",Flat_file!$E:$E,"840",Flat_file!$F:$F,"I")</f>
        <v>0</v>
      </c>
      <c r="AA7" s="89">
        <f>SUMIFS(Flat_file!$G:$G,Flat_file!$B:$B,Summary_Inactive!$B$2,Flat_file!$C:$C,"Men",Flat_file!$D:$D,"20-24",Flat_file!$E:$E,"650",Flat_file!$F:$F,"I")+SUMIFS(Flat_file!$G:$G,Flat_file!$B:$B,Summary_Inactive!$B$2,Flat_file!$C:$C,"Men",Flat_file!$D:$D,"20-24",Flat_file!$E:$E,"750",Flat_file!$F:$F,"I")+SUMIFS(Flat_file!$G:$G,Flat_file!$B:$B,Summary_Inactive!$B$2,Flat_file!$C:$C,"Men",Flat_file!$D:$D,"20-24",Flat_file!$E:$E,"850",Flat_file!$F:$F,"I")</f>
        <v>0</v>
      </c>
      <c r="AB7" s="89">
        <f>SUMIFS(Flat_file!$G:$G,Flat_file!$B:$B,Summary_Inactive!$B$2,Flat_file!$C:$C,"Men",Flat_file!$D:$D,"20-24",Flat_file!$E:$E,"660",Flat_file!$F:$F,"I")+SUMIFS(Flat_file!$G:$G,Flat_file!$B:$B,Summary_Inactive!$B$2,Flat_file!$C:$C,"Men",Flat_file!$D:$D,"20-24",Flat_file!$E:$E,"760",Flat_file!$F:$F,"I")+SUMIFS(Flat_file!$G:$G,Flat_file!$B:$B,Summary_Inactive!$B$2,Flat_file!$C:$C,"Men",Flat_file!$D:$D,"20-24",Flat_file!$E:$E,"860",Flat_file!$F:$F,"I")</f>
        <v>0</v>
      </c>
      <c r="AC7" s="3"/>
      <c r="AD7" s="3"/>
      <c r="AE7" s="3"/>
      <c r="AF7" s="3"/>
      <c r="AG7" s="3"/>
      <c r="AH7" s="3"/>
      <c r="AI7" s="3"/>
      <c r="AJ7" s="3"/>
      <c r="AK7" s="3"/>
      <c r="AL7" s="3"/>
      <c r="AM7" s="3"/>
      <c r="AN7" s="3"/>
      <c r="AO7" s="3"/>
      <c r="AP7" s="3"/>
      <c r="AQ7" s="3"/>
      <c r="AR7" s="3"/>
      <c r="AS7" s="3"/>
    </row>
    <row r="8" spans="1:45" customFormat="1" x14ac:dyDescent="0.2">
      <c r="A8" s="352"/>
      <c r="B8" s="79" t="s">
        <v>89</v>
      </c>
      <c r="C8" s="89">
        <f>SUMIFS(Flat_file!$G:$G,Flat_file!$B:$B,Summary_Inactive!$B$2,Flat_file!$C:$C,"Men",Flat_file!$D:$D,"25-29",Flat_file!$E:$E,"010",Flat_file!$F:$F,"I")+SUMIFS(Flat_file!$G:$G,Flat_file!$B:$B,Summary_Inactive!$B$2,Flat_file!$C:$C,"Men",Flat_file!$D:$D,"25-29",Flat_file!$E:$E,"020",Flat_file!$F:$F,"I")+SUMIFS(Flat_file!$G:$G,Flat_file!$B:$B,Summary_Inactive!$B$2,Flat_file!$C:$C,"Men",Flat_file!$D:$D,"25-29",Flat_file!$E:$E,"030",Flat_file!$F:$F,"I")</f>
        <v>0</v>
      </c>
      <c r="D8" s="89">
        <f>SUMIFS(Flat_file!$G:$G,Flat_file!$B:$B,Summary_Inactive!$B$2,Flat_file!$C:$C,"Men",Flat_file!$D:$D,"25-29",Flat_file!$E:$E,"100",Flat_file!$F:$F,"I")</f>
        <v>0</v>
      </c>
      <c r="E8" s="89">
        <f>SUMIFS(Flat_file!$G:$G,Flat_file!$B:$B,Summary_Inactive!$B$2,Flat_file!$C:$C,"Men",Flat_file!$D:$D,"25-29",Flat_file!$E:$E,"242",Flat_file!$F:$F,"I")+SUMIFS(Flat_file!$G:$G,Flat_file!$B:$B,Summary_Inactive!$B$2,Flat_file!$C:$C,"Men",Flat_file!$D:$D,"25-29",Flat_file!$E:$E,"252",Flat_file!$F:$F,"I")</f>
        <v>0</v>
      </c>
      <c r="F8" s="89">
        <f>SUMIFS(Flat_file!$G:$G,Flat_file!$B:$B,Summary_Inactive!$B$2,Flat_file!$C:$C,"Men",Flat_file!$D:$D,"25-29",Flat_file!$E:$E,"243",Flat_file!$F:$F,"I")+SUMIFS(Flat_file!$G:$G,Flat_file!$B:$B,Summary_Inactive!$B$2,Flat_file!$C:$C,"Men",Flat_file!$D:$D,"25-29",Flat_file!$E:$E,"244",Flat_file!$F:$F,"I")+SUMIFS(Flat_file!$G:$G,Flat_file!$B:$B,Summary_Inactive!$B$2,Flat_file!$C:$C,"Men",Flat_file!$D:$D,"25-29",Flat_file!$E:$E,"253",Flat_file!$F:$F,"I")+SUMIFS(Flat_file!$G:$G,Flat_file!$B:$B,Summary_Inactive!$B$2,Flat_file!$C:$C,"Men",Flat_file!$D:$D,"25-29",Flat_file!$E:$E,"254",Flat_file!$F:$F,"I")</f>
        <v>0</v>
      </c>
      <c r="G8" s="89">
        <f>SUMIFS(Flat_file!$G:$G,Flat_file!$B:$B,Summary_Inactive!$B$2,Flat_file!$C:$C,"Men",Flat_file!$D:$D,"25-29",Flat_file!$E:$E,"342",Flat_file!$F:$F,"I")+SUMIFS(Flat_file!$G:$G,Flat_file!$B:$B,Summary_Inactive!$B$2,Flat_file!$C:$C,"Men",Flat_file!$D:$D,"25-29",Flat_file!$E:$E,"352",Flat_file!$F:$F,"I")</f>
        <v>0</v>
      </c>
      <c r="H8" s="89">
        <f>SUMIFS(Flat_file!$G:$G,Flat_file!$B:$B,Summary_Inactive!$B$2,Flat_file!$C:$C,"Men",Flat_file!$D:$D,"25-29",Flat_file!$E:$E,"343",Flat_file!$F:$F,"I")+SUMIFS(Flat_file!$G:$G,Flat_file!$B:$B,Summary_Inactive!$B$2,Flat_file!$C:$C,"Men",Flat_file!$D:$D,"25-29",Flat_file!$E:$E,"344",Flat_file!$F:$F,"I")+SUMIFS(Flat_file!$G:$G,Flat_file!$B:$B,Summary_Inactive!$B$2,Flat_file!$C:$C,"Men",Flat_file!$D:$D,"25-29",Flat_file!$E:$E,"353",Flat_file!$F:$F,"I")+SUMIFS(Flat_file!$G:$G,Flat_file!$B:$B,Summary_Inactive!$B$2,Flat_file!$C:$C,"Men",Flat_file!$D:$D,"25-29",Flat_file!$E:$E,"354",Flat_file!$F:$F,"I")</f>
        <v>0</v>
      </c>
      <c r="I8" s="89">
        <f>SUMIFS(Flat_file!$G:$G,Flat_file!$B:$B,Summary_Inactive!$B$2,Flat_file!$C:$C,"Men",Flat_file!$D:$D,"25-29",Flat_file!$E:$E,"443",Flat_file!$F:$F,"I")+SUMIFS(Flat_file!$G:$G,Flat_file!$B:$B,Summary_Inactive!$B$2,Flat_file!$C:$C,"Men",Flat_file!$D:$D,"25-29",Flat_file!$E:$E,"444",Flat_file!$F:$F,"I")+SUMIFS(Flat_file!$G:$G,Flat_file!$B:$B,Summary_Inactive!$B$2,Flat_file!$C:$C,"Men",Flat_file!$D:$D,"25-29",Flat_file!$E:$E,"453",Flat_file!$F:$F,"I")+SUMIFS(Flat_file!$G:$G,Flat_file!$B:$B,Summary_Inactive!$B$2,Flat_file!$C:$C,"Men",Flat_file!$D:$D,"25-29",Flat_file!$E:$E,"454",Flat_file!$F:$F,"I")</f>
        <v>0</v>
      </c>
      <c r="J8" s="89">
        <f>SUMIFS(Flat_file!$G:$G,Flat_file!$B:$B,Summary_Inactive!$B$2,Flat_file!$C:$C,"Men",Flat_file!$D:$D,"25-29",Flat_file!$E:$E,"540",Flat_file!$F:$F,"I")+SUMIFS(Flat_file!$G:$G,Flat_file!$B:$B,Summary_Inactive!$B$2,Flat_file!$C:$C,"Men",Flat_file!$D:$D,"25-29",Flat_file!$E:$E,"550",Flat_file!$F:$F,"I")+SUMIFS(Flat_file!$G:$G,Flat_file!$B:$B,Summary_Inactive!$B$2,Flat_file!$C:$C,"Men",Flat_file!$D:$D,"25-29",Flat_file!$E:$E,"560",Flat_file!$F:$F,"I")</f>
        <v>0</v>
      </c>
      <c r="K8" s="89">
        <f>SUMIFS(Flat_file!$G:$G,Flat_file!$B:$B,Summary_Inactive!$B$2,Flat_file!$C:$C,"Men",Flat_file!$D:$D,"25-29",Flat_file!$E:$E,"640",Flat_file!$F:$F,"I")+SUMIFS(Flat_file!$G:$G,Flat_file!$B:$B,Summary_Inactive!$B$2,Flat_file!$C:$C,"Men",Flat_file!$D:$D,"25-29",Flat_file!$E:$E,"650",Flat_file!$F:$F,"I")+SUMIFS(Flat_file!$G:$G,Flat_file!$B:$B,Summary_Inactive!$B$2,Flat_file!$C:$C,"Men",Flat_file!$D:$D,"25-29",Flat_file!$E:$E,"660",Flat_file!$F:$F,"I")</f>
        <v>0</v>
      </c>
      <c r="L8" s="89">
        <f>SUMIFS(Flat_file!$G:$G,Flat_file!$B:$B,Summary_Inactive!$B$2,Flat_file!$C:$C,"Men",Flat_file!$D:$D,"25-29",Flat_file!$E:$E,"740",Flat_file!$F:$F,"I")+SUMIFS(Flat_file!$G:$G,Flat_file!$B:$B,Summary_Inactive!$B$2,Flat_file!$C:$C,"Men",Flat_file!$D:$D,"25-29",Flat_file!$E:$E,"750",Flat_file!$F:$F,"I")+SUMIFS(Flat_file!$G:$G,Flat_file!$B:$B,Summary_Inactive!$B$2,Flat_file!$C:$C,"Men",Flat_file!$D:$D,"25-29",Flat_file!$E:$E,"760",Flat_file!$F:$F,"I")</f>
        <v>0</v>
      </c>
      <c r="M8" s="89">
        <f>SUMIFS(Flat_file!$G:$G,Flat_file!$B:$B,Summary_Inactive!$B$2,Flat_file!$C:$C,"Men",Flat_file!$D:$D,"25-29",Flat_file!$E:$E,"840",Flat_file!$F:$F,"I")+SUMIFS(Flat_file!$G:$G,Flat_file!$B:$B,Summary_Inactive!$B$2,Flat_file!$C:$C,"Men",Flat_file!$D:$D,"25-29",Flat_file!$E:$E,"850",Flat_file!$F:$F,"I")+SUMIFS(Flat_file!$G:$G,Flat_file!$B:$B,Summary_Inactive!$B$2,Flat_file!$C:$C,"Men",Flat_file!$D:$D,"25-29",Flat_file!$E:$E,"860",Flat_file!$F:$F,"I")</f>
        <v>0</v>
      </c>
      <c r="N8" s="89">
        <f>SUMIFS(Flat_file!$G:$G,Flat_file!$B:$B,Summary_Inactive!$B$2,Flat_file!$C:$C,"Men",Flat_file!$D:$D,"25-29",Flat_file!$E:$E,"999",Flat_file!$F:$F,"I")</f>
        <v>0</v>
      </c>
      <c r="O8" s="89">
        <f t="shared" si="0"/>
        <v>0</v>
      </c>
      <c r="P8" s="90"/>
      <c r="Q8" s="89">
        <f t="shared" si="1"/>
        <v>0</v>
      </c>
      <c r="R8" s="91"/>
      <c r="S8" s="89">
        <f t="shared" si="2"/>
        <v>0</v>
      </c>
      <c r="T8" s="89">
        <f t="shared" si="3"/>
        <v>0</v>
      </c>
      <c r="U8" s="89">
        <f t="shared" si="4"/>
        <v>0</v>
      </c>
      <c r="V8" s="90"/>
      <c r="W8" s="89">
        <f>SUMIFS(Flat_file!$G:$G,Flat_file!$B:$B,Summary_Inactive!$B$2,Flat_file!$C:$C,"Men",Flat_file!$D:$D,"25-29",Flat_file!$E:$E,"343",Flat_file!$F:$F,"I")+SUMIFS(Flat_file!$G:$G,Flat_file!$B:$B,Summary_Inactive!$B$2,Flat_file!$C:$C,"Men",Flat_file!$D:$D,"25-29",Flat_file!$E:$E,"344",Flat_file!$F:$F,"I")+SUMIFS(Flat_file!$G:$G,Flat_file!$B:$B,Summary_Inactive!$B$2,Flat_file!$C:$C,"Men",Flat_file!$D:$D,"25-29",Flat_file!$E:$E,"443",Flat_file!$F:$F,"I")+SUMIFS(Flat_file!$G:$G,Flat_file!$B:$B,Summary_Inactive!$B$2,Flat_file!$C:$C,"Men",Flat_file!$D:$D,"25-29",Flat_file!$E:$E,"444",Flat_file!$F:$F,"I")</f>
        <v>0</v>
      </c>
      <c r="X8" s="89">
        <f>SUMIFS(Flat_file!$G:$G,Flat_file!$B:$B,Summary_Inactive!$B$2,Flat_file!$C:$C,"Men",Flat_file!$D:$D,"25-29",Flat_file!$E:$E,"353",Flat_file!$F:$F,"I")+SUMIFS(Flat_file!$G:$G,Flat_file!$B:$B,Summary_Inactive!$B$2,Flat_file!$C:$C,"Men",Flat_file!$D:$D,"25-29",Flat_file!$E:$E,"354",Flat_file!$F:$F,"I")+SUMIFS(Flat_file!$G:$G,Flat_file!$B:$B,Summary_Inactive!$B$2,Flat_file!$C:$C,"Men",Flat_file!$D:$D,"25-29",Flat_file!$E:$E,"453",Flat_file!$F:$F,"I")+SUMIFS(Flat_file!$G:$G,Flat_file!$B:$B,Summary_Inactive!$B$2,Flat_file!$C:$C,"Men",Flat_file!$D:$D,"25-29",Flat_file!$E:$E,"454",Flat_file!$F:$F,"I")</f>
        <v>0</v>
      </c>
      <c r="Y8" s="90"/>
      <c r="Z8" s="89">
        <f>SUMIFS(Flat_file!$G:$G,Flat_file!$B:$B,Summary_Inactive!$B$2,Flat_file!$C:$C,"Men",Flat_file!$D:$D,"25-29",Flat_file!$E:$E,"640",Flat_file!$F:$F,"I")+SUMIFS(Flat_file!$G:$G,Flat_file!$B:$B,Summary_Inactive!$B$2,Flat_file!$C:$C,"Men",Flat_file!$D:$D,"25-29",Flat_file!$E:$E,"740",Flat_file!$F:$F,"I")+SUMIFS(Flat_file!$G:$G,Flat_file!$B:$B,Summary_Inactive!$B$2,Flat_file!$C:$C,"Men",Flat_file!$D:$D,"25-29",Flat_file!$E:$E,"840",Flat_file!$F:$F,"I")</f>
        <v>0</v>
      </c>
      <c r="AA8" s="89">
        <f>SUMIFS(Flat_file!$G:$G,Flat_file!$B:$B,Summary_Inactive!$B$2,Flat_file!$C:$C,"Men",Flat_file!$D:$D,"25-29",Flat_file!$E:$E,"650",Flat_file!$F:$F,"I")+SUMIFS(Flat_file!$G:$G,Flat_file!$B:$B,Summary_Inactive!$B$2,Flat_file!$C:$C,"Men",Flat_file!$D:$D,"25-29",Flat_file!$E:$E,"750",Flat_file!$F:$F,"I")+SUMIFS(Flat_file!$G:$G,Flat_file!$B:$B,Summary_Inactive!$B$2,Flat_file!$C:$C,"Men",Flat_file!$D:$D,"25-29",Flat_file!$E:$E,"850",Flat_file!$F:$F,"I")</f>
        <v>0</v>
      </c>
      <c r="AB8" s="89">
        <f>SUMIFS(Flat_file!$G:$G,Flat_file!$B:$B,Summary_Inactive!$B$2,Flat_file!$C:$C,"Men",Flat_file!$D:$D,"25-29",Flat_file!$E:$E,"660",Flat_file!$F:$F,"I")+SUMIFS(Flat_file!$G:$G,Flat_file!$B:$B,Summary_Inactive!$B$2,Flat_file!$C:$C,"Men",Flat_file!$D:$D,"25-29",Flat_file!$E:$E,"760",Flat_file!$F:$F,"I")+SUMIFS(Flat_file!$G:$G,Flat_file!$B:$B,Summary_Inactive!$B$2,Flat_file!$C:$C,"Men",Flat_file!$D:$D,"25-29",Flat_file!$E:$E,"860",Flat_file!$F:$F,"I")</f>
        <v>0</v>
      </c>
      <c r="AC8" s="3"/>
      <c r="AD8" s="3"/>
      <c r="AE8" s="3"/>
      <c r="AF8" s="3"/>
      <c r="AG8" s="3"/>
      <c r="AH8" s="3"/>
      <c r="AI8" s="3"/>
      <c r="AJ8" s="3"/>
      <c r="AK8" s="3"/>
      <c r="AL8" s="3"/>
      <c r="AM8" s="3"/>
      <c r="AN8" s="3"/>
      <c r="AO8" s="3"/>
      <c r="AP8" s="3"/>
      <c r="AQ8" s="3"/>
      <c r="AR8" s="3"/>
      <c r="AS8" s="3"/>
    </row>
    <row r="9" spans="1:45" customFormat="1" x14ac:dyDescent="0.2">
      <c r="A9" s="352"/>
      <c r="B9" s="79" t="s">
        <v>90</v>
      </c>
      <c r="C9" s="89">
        <f>SUMIFS(Flat_file!$G:$G,Flat_file!$B:$B,Summary_Inactive!$B$2,Flat_file!$C:$C,"Men",Flat_file!$D:$D,"30-34",Flat_file!$E:$E,"010",Flat_file!$F:$F,"I")+SUMIFS(Flat_file!$G:$G,Flat_file!$B:$B,Summary_Inactive!$B$2,Flat_file!$C:$C,"Men",Flat_file!$D:$D,"30-34",Flat_file!$E:$E,"020",Flat_file!$F:$F,"I")+SUMIFS(Flat_file!$G:$G,Flat_file!$B:$B,Summary_Inactive!$B$2,Flat_file!$C:$C,"Men",Flat_file!$D:$D,"30-34",Flat_file!$E:$E,"030",Flat_file!$F:$F,"I")</f>
        <v>0</v>
      </c>
      <c r="D9" s="89">
        <f>SUMIFS(Flat_file!$G:$G,Flat_file!$B:$B,Summary_Inactive!$B$2,Flat_file!$C:$C,"Men",Flat_file!$D:$D,"30-34",Flat_file!$E:$E,"100",Flat_file!$F:$F,"I")</f>
        <v>0</v>
      </c>
      <c r="E9" s="89">
        <f>SUMIFS(Flat_file!$G:$G,Flat_file!$B:$B,Summary_Inactive!$B$2,Flat_file!$C:$C,"Men",Flat_file!$D:$D,"30-34",Flat_file!$E:$E,"242",Flat_file!$F:$F,"I")+SUMIFS(Flat_file!$G:$G,Flat_file!$B:$B,Summary_Inactive!$B$2,Flat_file!$C:$C,"Men",Flat_file!$D:$D,"30-34",Flat_file!$E:$E,"252",Flat_file!$F:$F,"I")</f>
        <v>0</v>
      </c>
      <c r="F9" s="89">
        <f>SUMIFS(Flat_file!$G:$G,Flat_file!$B:$B,Summary_Inactive!$B$2,Flat_file!$C:$C,"Men",Flat_file!$D:$D,"30-34",Flat_file!$E:$E,"243",Flat_file!$F:$F,"I")+SUMIFS(Flat_file!$G:$G,Flat_file!$B:$B,Summary_Inactive!$B$2,Flat_file!$C:$C,"Men",Flat_file!$D:$D,"30-34",Flat_file!$E:$E,"244",Flat_file!$F:$F,"I")+SUMIFS(Flat_file!$G:$G,Flat_file!$B:$B,Summary_Inactive!$B$2,Flat_file!$C:$C,"Men",Flat_file!$D:$D,"30-34",Flat_file!$E:$E,"253",Flat_file!$F:$F,"I")+SUMIFS(Flat_file!$G:$G,Flat_file!$B:$B,Summary_Inactive!$B$2,Flat_file!$C:$C,"Men",Flat_file!$D:$D,"30-34",Flat_file!$E:$E,"254",Flat_file!$F:$F,"I")</f>
        <v>0</v>
      </c>
      <c r="G9" s="89">
        <f>SUMIFS(Flat_file!$G:$G,Flat_file!$B:$B,Summary_Inactive!$B$2,Flat_file!$C:$C,"Men",Flat_file!$D:$D,"30-34",Flat_file!$E:$E,"342",Flat_file!$F:$F,"I")+SUMIFS(Flat_file!$G:$G,Flat_file!$B:$B,Summary_Inactive!$B$2,Flat_file!$C:$C,"Men",Flat_file!$D:$D,"30-34",Flat_file!$E:$E,"352",Flat_file!$F:$F,"I")</f>
        <v>0</v>
      </c>
      <c r="H9" s="89">
        <f>SUMIFS(Flat_file!$G:$G,Flat_file!$B:$B,Summary_Inactive!$B$2,Flat_file!$C:$C,"Men",Flat_file!$D:$D,"30-34",Flat_file!$E:$E,"343",Flat_file!$F:$F,"I")+SUMIFS(Flat_file!$G:$G,Flat_file!$B:$B,Summary_Inactive!$B$2,Flat_file!$C:$C,"Men",Flat_file!$D:$D,"30-34",Flat_file!$E:$E,"344",Flat_file!$F:$F,"I")+SUMIFS(Flat_file!$G:$G,Flat_file!$B:$B,Summary_Inactive!$B$2,Flat_file!$C:$C,"Men",Flat_file!$D:$D,"30-34",Flat_file!$E:$E,"353",Flat_file!$F:$F,"I")+SUMIFS(Flat_file!$G:$G,Flat_file!$B:$B,Summary_Inactive!$B$2,Flat_file!$C:$C,"Men",Flat_file!$D:$D,"30-34",Flat_file!$E:$E,"354",Flat_file!$F:$F,"I")</f>
        <v>0</v>
      </c>
      <c r="I9" s="89">
        <f>SUMIFS(Flat_file!$G:$G,Flat_file!$B:$B,Summary_Inactive!$B$2,Flat_file!$C:$C,"Men",Flat_file!$D:$D,"30-34",Flat_file!$E:$E,"443",Flat_file!$F:$F,"I")+SUMIFS(Flat_file!$G:$G,Flat_file!$B:$B,Summary_Inactive!$B$2,Flat_file!$C:$C,"Men",Flat_file!$D:$D,"30-34",Flat_file!$E:$E,"444",Flat_file!$F:$F,"I")+SUMIFS(Flat_file!$G:$G,Flat_file!$B:$B,Summary_Inactive!$B$2,Flat_file!$C:$C,"Men",Flat_file!$D:$D,"30-34",Flat_file!$E:$E,"453",Flat_file!$F:$F,"I")+SUMIFS(Flat_file!$G:$G,Flat_file!$B:$B,Summary_Inactive!$B$2,Flat_file!$C:$C,"Men",Flat_file!$D:$D,"30-34",Flat_file!$E:$E,"454",Flat_file!$F:$F,"I")</f>
        <v>0</v>
      </c>
      <c r="J9" s="89">
        <f>SUMIFS(Flat_file!$G:$G,Flat_file!$B:$B,Summary_Inactive!$B$2,Flat_file!$C:$C,"Men",Flat_file!$D:$D,"30-34",Flat_file!$E:$E,"540",Flat_file!$F:$F,"I")+SUMIFS(Flat_file!$G:$G,Flat_file!$B:$B,Summary_Inactive!$B$2,Flat_file!$C:$C,"Men",Flat_file!$D:$D,"30-34",Flat_file!$E:$E,"550",Flat_file!$F:$F,"I")+SUMIFS(Flat_file!$G:$G,Flat_file!$B:$B,Summary_Inactive!$B$2,Flat_file!$C:$C,"Men",Flat_file!$D:$D,"30-34",Flat_file!$E:$E,"560",Flat_file!$F:$F,"I")</f>
        <v>0</v>
      </c>
      <c r="K9" s="89">
        <f>SUMIFS(Flat_file!$G:$G,Flat_file!$B:$B,Summary_Inactive!$B$2,Flat_file!$C:$C,"Men",Flat_file!$D:$D,"30-34",Flat_file!$E:$E,"640",Flat_file!$F:$F,"I")+SUMIFS(Flat_file!$G:$G,Flat_file!$B:$B,Summary_Inactive!$B$2,Flat_file!$C:$C,"Men",Flat_file!$D:$D,"30-34",Flat_file!$E:$E,"650",Flat_file!$F:$F,"I")+SUMIFS(Flat_file!$G:$G,Flat_file!$B:$B,Summary_Inactive!$B$2,Flat_file!$C:$C,"Men",Flat_file!$D:$D,"30-34",Flat_file!$E:$E,"660",Flat_file!$F:$F,"I")</f>
        <v>0</v>
      </c>
      <c r="L9" s="89">
        <f>SUMIFS(Flat_file!$G:$G,Flat_file!$B:$B,Summary_Inactive!$B$2,Flat_file!$C:$C,"Men",Flat_file!$D:$D,"30-34",Flat_file!$E:$E,"740",Flat_file!$F:$F,"I")+SUMIFS(Flat_file!$G:$G,Flat_file!$B:$B,Summary_Inactive!$B$2,Flat_file!$C:$C,"Men",Flat_file!$D:$D,"30-34",Flat_file!$E:$E,"750",Flat_file!$F:$F,"I")+SUMIFS(Flat_file!$G:$G,Flat_file!$B:$B,Summary_Inactive!$B$2,Flat_file!$C:$C,"Men",Flat_file!$D:$D,"30-34",Flat_file!$E:$E,"760",Flat_file!$F:$F,"I")</f>
        <v>0</v>
      </c>
      <c r="M9" s="89">
        <f>SUMIFS(Flat_file!$G:$G,Flat_file!$B:$B,Summary_Inactive!$B$2,Flat_file!$C:$C,"Men",Flat_file!$D:$D,"30-34",Flat_file!$E:$E,"840",Flat_file!$F:$F,"I")+SUMIFS(Flat_file!$G:$G,Flat_file!$B:$B,Summary_Inactive!$B$2,Flat_file!$C:$C,"Men",Flat_file!$D:$D,"30-34",Flat_file!$E:$E,"850",Flat_file!$F:$F,"I")+SUMIFS(Flat_file!$G:$G,Flat_file!$B:$B,Summary_Inactive!$B$2,Flat_file!$C:$C,"Men",Flat_file!$D:$D,"30-34",Flat_file!$E:$E,"860",Flat_file!$F:$F,"I")</f>
        <v>0</v>
      </c>
      <c r="N9" s="89">
        <f>SUMIFS(Flat_file!$G:$G,Flat_file!$B:$B,Summary_Inactive!$B$2,Flat_file!$C:$C,"Men",Flat_file!$D:$D,"30-34",Flat_file!$E:$E,"999",Flat_file!$F:$F,"I")</f>
        <v>0</v>
      </c>
      <c r="O9" s="89">
        <f t="shared" si="0"/>
        <v>0</v>
      </c>
      <c r="P9" s="90"/>
      <c r="Q9" s="89">
        <f t="shared" si="1"/>
        <v>0</v>
      </c>
      <c r="R9" s="91"/>
      <c r="S9" s="89">
        <f t="shared" si="2"/>
        <v>0</v>
      </c>
      <c r="T9" s="89">
        <f t="shared" si="3"/>
        <v>0</v>
      </c>
      <c r="U9" s="89">
        <f t="shared" si="4"/>
        <v>0</v>
      </c>
      <c r="V9" s="90"/>
      <c r="W9" s="89">
        <f>SUMIFS(Flat_file!$G:$G,Flat_file!$B:$B,Summary_Inactive!$B$2,Flat_file!$C:$C,"Men",Flat_file!$D:$D,"30-34",Flat_file!$E:$E,"343",Flat_file!$F:$F,"I")+SUMIFS(Flat_file!$G:$G,Flat_file!$B:$B,Summary_Inactive!$B$2,Flat_file!$C:$C,"Men",Flat_file!$D:$D,"30-34",Flat_file!$E:$E,"344",Flat_file!$F:$F,"I")+SUMIFS(Flat_file!$G:$G,Flat_file!$B:$B,Summary_Inactive!$B$2,Flat_file!$C:$C,"Men",Flat_file!$D:$D,"30-34",Flat_file!$E:$E,"443",Flat_file!$F:$F,"I")+SUMIFS(Flat_file!$G:$G,Flat_file!$B:$B,Summary_Inactive!$B$2,Flat_file!$C:$C,"Men",Flat_file!$D:$D,"30-34",Flat_file!$E:$E,"444",Flat_file!$F:$F,"I")</f>
        <v>0</v>
      </c>
      <c r="X9" s="89">
        <f>SUMIFS(Flat_file!$G:$G,Flat_file!$B:$B,Summary_Inactive!$B$2,Flat_file!$C:$C,"Men",Flat_file!$D:$D,"30-34",Flat_file!$E:$E,"353",Flat_file!$F:$F,"I")+SUMIFS(Flat_file!$G:$G,Flat_file!$B:$B,Summary_Inactive!$B$2,Flat_file!$C:$C,"Men",Flat_file!$D:$D,"30-34",Flat_file!$E:$E,"354",Flat_file!$F:$F,"I")+SUMIFS(Flat_file!$G:$G,Flat_file!$B:$B,Summary_Inactive!$B$2,Flat_file!$C:$C,"Men",Flat_file!$D:$D,"30-34",Flat_file!$E:$E,"453",Flat_file!$F:$F,"I")+SUMIFS(Flat_file!$G:$G,Flat_file!$B:$B,Summary_Inactive!$B$2,Flat_file!$C:$C,"Men",Flat_file!$D:$D,"30-34",Flat_file!$E:$E,"454",Flat_file!$F:$F,"I")</f>
        <v>0</v>
      </c>
      <c r="Y9" s="90"/>
      <c r="Z9" s="89">
        <f>SUMIFS(Flat_file!$G:$G,Flat_file!$B:$B,Summary_Inactive!$B$2,Flat_file!$C:$C,"Men",Flat_file!$D:$D,"30-34",Flat_file!$E:$E,"640",Flat_file!$F:$F,"I")+SUMIFS(Flat_file!$G:$G,Flat_file!$B:$B,Summary_Inactive!$B$2,Flat_file!$C:$C,"Men",Flat_file!$D:$D,"30-34",Flat_file!$E:$E,"740",Flat_file!$F:$F,"I")+SUMIFS(Flat_file!$G:$G,Flat_file!$B:$B,Summary_Inactive!$B$2,Flat_file!$C:$C,"Men",Flat_file!$D:$D,"30-34",Flat_file!$E:$E,"840",Flat_file!$F:$F,"I")</f>
        <v>0</v>
      </c>
      <c r="AA9" s="89">
        <f>SUMIFS(Flat_file!$G:$G,Flat_file!$B:$B,Summary_Inactive!$B$2,Flat_file!$C:$C,"Men",Flat_file!$D:$D,"30-34",Flat_file!$E:$E,"650",Flat_file!$F:$F,"I")+SUMIFS(Flat_file!$G:$G,Flat_file!$B:$B,Summary_Inactive!$B$2,Flat_file!$C:$C,"Men",Flat_file!$D:$D,"30-34",Flat_file!$E:$E,"750",Flat_file!$F:$F,"I")+SUMIFS(Flat_file!$G:$G,Flat_file!$B:$B,Summary_Inactive!$B$2,Flat_file!$C:$C,"Men",Flat_file!$D:$D,"30-34",Flat_file!$E:$E,"850",Flat_file!$F:$F,"I")</f>
        <v>0</v>
      </c>
      <c r="AB9" s="89">
        <f>SUMIFS(Flat_file!$G:$G,Flat_file!$B:$B,Summary_Inactive!$B$2,Flat_file!$C:$C,"Men",Flat_file!$D:$D,"30-34",Flat_file!$E:$E,"660",Flat_file!$F:$F,"I")+SUMIFS(Flat_file!$G:$G,Flat_file!$B:$B,Summary_Inactive!$B$2,Flat_file!$C:$C,"Men",Flat_file!$D:$D,"30-34",Flat_file!$E:$E,"760",Flat_file!$F:$F,"I")+SUMIFS(Flat_file!$G:$G,Flat_file!$B:$B,Summary_Inactive!$B$2,Flat_file!$C:$C,"Men",Flat_file!$D:$D,"30-34",Flat_file!$E:$E,"860",Flat_file!$F:$F,"I")</f>
        <v>0</v>
      </c>
      <c r="AC9" s="3"/>
      <c r="AD9" s="3"/>
      <c r="AE9" s="3"/>
      <c r="AF9" s="3"/>
      <c r="AG9" s="3"/>
      <c r="AH9" s="3"/>
      <c r="AI9" s="3"/>
      <c r="AJ9" s="3"/>
      <c r="AK9" s="3"/>
      <c r="AL9" s="3"/>
      <c r="AM9" s="3"/>
      <c r="AN9" s="3"/>
      <c r="AO9" s="3"/>
      <c r="AP9" s="3"/>
      <c r="AQ9" s="3"/>
      <c r="AR9" s="3"/>
      <c r="AS9" s="3"/>
    </row>
    <row r="10" spans="1:45" customFormat="1" x14ac:dyDescent="0.2">
      <c r="A10" s="352"/>
      <c r="B10" s="79" t="s">
        <v>91</v>
      </c>
      <c r="C10" s="89">
        <f>SUMIFS(Flat_file!$G:$G,Flat_file!$B:$B,Summary_Inactive!$B$2,Flat_file!$C:$C,"Men",Flat_file!$D:$D,"35-39",Flat_file!$E:$E,"010",Flat_file!$F:$F,"I")+SUMIFS(Flat_file!$G:$G,Flat_file!$B:$B,Summary_Inactive!$B$2,Flat_file!$C:$C,"Men",Flat_file!$D:$D,"35-39",Flat_file!$E:$E,"020",Flat_file!$F:$F,"I")+SUMIFS(Flat_file!$G:$G,Flat_file!$B:$B,Summary_Inactive!$B$2,Flat_file!$C:$C,"Men",Flat_file!$D:$D,"35-39",Flat_file!$E:$E,"030",Flat_file!$F:$F,"I")</f>
        <v>0</v>
      </c>
      <c r="D10" s="89">
        <f>SUMIFS(Flat_file!$G:$G,Flat_file!$B:$B,Summary_Inactive!$B$2,Flat_file!$C:$C,"Men",Flat_file!$D:$D,"35-39",Flat_file!$E:$E,"100",Flat_file!$F:$F,"I")</f>
        <v>0</v>
      </c>
      <c r="E10" s="89">
        <f>SUMIFS(Flat_file!$G:$G,Flat_file!$B:$B,Summary_Inactive!$B$2,Flat_file!$C:$C,"Men",Flat_file!$D:$D,"35-39",Flat_file!$E:$E,"242",Flat_file!$F:$F,"I")+SUMIFS(Flat_file!$G:$G,Flat_file!$B:$B,Summary_Inactive!$B$2,Flat_file!$C:$C,"Men",Flat_file!$D:$D,"35-39",Flat_file!$E:$E,"252",Flat_file!$F:$F,"I")</f>
        <v>0</v>
      </c>
      <c r="F10" s="89">
        <f>SUMIFS(Flat_file!$G:$G,Flat_file!$B:$B,Summary_Inactive!$B$2,Flat_file!$C:$C,"Men",Flat_file!$D:$D,"35-39",Flat_file!$E:$E,"243",Flat_file!$F:$F,"I")+SUMIFS(Flat_file!$G:$G,Flat_file!$B:$B,Summary_Inactive!$B$2,Flat_file!$C:$C,"Men",Flat_file!$D:$D,"35-39",Flat_file!$E:$E,"244",Flat_file!$F:$F,"I")+SUMIFS(Flat_file!$G:$G,Flat_file!$B:$B,Summary_Inactive!$B$2,Flat_file!$C:$C,"Men",Flat_file!$D:$D,"35-39",Flat_file!$E:$E,"253",Flat_file!$F:$F,"I")+SUMIFS(Flat_file!$G:$G,Flat_file!$B:$B,Summary_Inactive!$B$2,Flat_file!$C:$C,"Men",Flat_file!$D:$D,"35-39",Flat_file!$E:$E,"254",Flat_file!$F:$F,"I")</f>
        <v>0</v>
      </c>
      <c r="G10" s="89">
        <f>SUMIFS(Flat_file!$G:$G,Flat_file!$B:$B,Summary_Inactive!$B$2,Flat_file!$C:$C,"Men",Flat_file!$D:$D,"35-39",Flat_file!$E:$E,"342",Flat_file!$F:$F,"I")+SUMIFS(Flat_file!$G:$G,Flat_file!$B:$B,Summary_Inactive!$B$2,Flat_file!$C:$C,"Men",Flat_file!$D:$D,"35-39",Flat_file!$E:$E,"352",Flat_file!$F:$F,"I")</f>
        <v>0</v>
      </c>
      <c r="H10" s="89">
        <f>SUMIFS(Flat_file!$G:$G,Flat_file!$B:$B,Summary_Inactive!$B$2,Flat_file!$C:$C,"Men",Flat_file!$D:$D,"35-39",Flat_file!$E:$E,"343",Flat_file!$F:$F,"I")+SUMIFS(Flat_file!$G:$G,Flat_file!$B:$B,Summary_Inactive!$B$2,Flat_file!$C:$C,"Men",Flat_file!$D:$D,"35-39",Flat_file!$E:$E,"344",Flat_file!$F:$F,"I")+SUMIFS(Flat_file!$G:$G,Flat_file!$B:$B,Summary_Inactive!$B$2,Flat_file!$C:$C,"Men",Flat_file!$D:$D,"35-39",Flat_file!$E:$E,"353",Flat_file!$F:$F,"I")+SUMIFS(Flat_file!$G:$G,Flat_file!$B:$B,Summary_Inactive!$B$2,Flat_file!$C:$C,"Men",Flat_file!$D:$D,"35-39",Flat_file!$E:$E,"354",Flat_file!$F:$F,"I")</f>
        <v>0</v>
      </c>
      <c r="I10" s="89">
        <f>SUMIFS(Flat_file!$G:$G,Flat_file!$B:$B,Summary_Inactive!$B$2,Flat_file!$C:$C,"Men",Flat_file!$D:$D,"35-39",Flat_file!$E:$E,"443",Flat_file!$F:$F,"I")+SUMIFS(Flat_file!$G:$G,Flat_file!$B:$B,Summary_Inactive!$B$2,Flat_file!$C:$C,"Men",Flat_file!$D:$D,"35-39",Flat_file!$E:$E,"444",Flat_file!$F:$F,"I")+SUMIFS(Flat_file!$G:$G,Flat_file!$B:$B,Summary_Inactive!$B$2,Flat_file!$C:$C,"Men",Flat_file!$D:$D,"35-39",Flat_file!$E:$E,"453",Flat_file!$F:$F,"I")+SUMIFS(Flat_file!$G:$G,Flat_file!$B:$B,Summary_Inactive!$B$2,Flat_file!$C:$C,"Men",Flat_file!$D:$D,"35-39",Flat_file!$E:$E,"454",Flat_file!$F:$F,"I")</f>
        <v>0</v>
      </c>
      <c r="J10" s="89">
        <f>SUMIFS(Flat_file!$G:$G,Flat_file!$B:$B,Summary_Inactive!$B$2,Flat_file!$C:$C,"Men",Flat_file!$D:$D,"35-39",Flat_file!$E:$E,"540",Flat_file!$F:$F,"I")+SUMIFS(Flat_file!$G:$G,Flat_file!$B:$B,Summary_Inactive!$B$2,Flat_file!$C:$C,"Men",Flat_file!$D:$D,"35-39",Flat_file!$E:$E,"550",Flat_file!$F:$F,"I")+SUMIFS(Flat_file!$G:$G,Flat_file!$B:$B,Summary_Inactive!$B$2,Flat_file!$C:$C,"Men",Flat_file!$D:$D,"35-39",Flat_file!$E:$E,"560",Flat_file!$F:$F,"I")</f>
        <v>0</v>
      </c>
      <c r="K10" s="89">
        <f>SUMIFS(Flat_file!$G:$G,Flat_file!$B:$B,Summary_Inactive!$B$2,Flat_file!$C:$C,"Men",Flat_file!$D:$D,"35-39",Flat_file!$E:$E,"640",Flat_file!$F:$F,"I")+SUMIFS(Flat_file!$G:$G,Flat_file!$B:$B,Summary_Inactive!$B$2,Flat_file!$C:$C,"Men",Flat_file!$D:$D,"35-39",Flat_file!$E:$E,"650",Flat_file!$F:$F,"I")+SUMIFS(Flat_file!$G:$G,Flat_file!$B:$B,Summary_Inactive!$B$2,Flat_file!$C:$C,"Men",Flat_file!$D:$D,"35-39",Flat_file!$E:$E,"660",Flat_file!$F:$F,"I")</f>
        <v>0</v>
      </c>
      <c r="L10" s="89">
        <f>SUMIFS(Flat_file!$G:$G,Flat_file!$B:$B,Summary_Inactive!$B$2,Flat_file!$C:$C,"Men",Flat_file!$D:$D,"35-39",Flat_file!$E:$E,"740",Flat_file!$F:$F,"I")+SUMIFS(Flat_file!$G:$G,Flat_file!$B:$B,Summary_Inactive!$B$2,Flat_file!$C:$C,"Men",Flat_file!$D:$D,"35-39",Flat_file!$E:$E,"750",Flat_file!$F:$F,"I")+SUMIFS(Flat_file!$G:$G,Flat_file!$B:$B,Summary_Inactive!$B$2,Flat_file!$C:$C,"Men",Flat_file!$D:$D,"35-39",Flat_file!$E:$E,"760",Flat_file!$F:$F,"I")</f>
        <v>0</v>
      </c>
      <c r="M10" s="89">
        <f>SUMIFS(Flat_file!$G:$G,Flat_file!$B:$B,Summary_Inactive!$B$2,Flat_file!$C:$C,"Men",Flat_file!$D:$D,"35-39",Flat_file!$E:$E,"840",Flat_file!$F:$F,"I")+SUMIFS(Flat_file!$G:$G,Flat_file!$B:$B,Summary_Inactive!$B$2,Flat_file!$C:$C,"Men",Flat_file!$D:$D,"35-39",Flat_file!$E:$E,"850",Flat_file!$F:$F,"I")+SUMIFS(Flat_file!$G:$G,Flat_file!$B:$B,Summary_Inactive!$B$2,Flat_file!$C:$C,"Men",Flat_file!$D:$D,"35-39",Flat_file!$E:$E,"860",Flat_file!$F:$F,"I")</f>
        <v>0</v>
      </c>
      <c r="N10" s="89">
        <f>SUMIFS(Flat_file!$G:$G,Flat_file!$B:$B,Summary_Inactive!$B$2,Flat_file!$C:$C,"Men",Flat_file!$D:$D,"35-39",Flat_file!$E:$E,"999",Flat_file!$F:$F,"I")</f>
        <v>0</v>
      </c>
      <c r="O10" s="89">
        <f t="shared" si="0"/>
        <v>0</v>
      </c>
      <c r="P10" s="90"/>
      <c r="Q10" s="89">
        <f t="shared" si="1"/>
        <v>0</v>
      </c>
      <c r="R10" s="91"/>
      <c r="S10" s="89">
        <f t="shared" si="2"/>
        <v>0</v>
      </c>
      <c r="T10" s="89">
        <f t="shared" si="3"/>
        <v>0</v>
      </c>
      <c r="U10" s="89">
        <f t="shared" si="4"/>
        <v>0</v>
      </c>
      <c r="V10" s="90"/>
      <c r="W10" s="89">
        <f>SUMIFS(Flat_file!$G:$G,Flat_file!$B:$B,Summary_Inactive!$B$2,Flat_file!$C:$C,"Men",Flat_file!$D:$D,"35-39",Flat_file!$E:$E,"343",Flat_file!$F:$F,"I")+SUMIFS(Flat_file!$G:$G,Flat_file!$B:$B,Summary_Inactive!$B$2,Flat_file!$C:$C,"Men",Flat_file!$D:$D,"35-39",Flat_file!$E:$E,"344",Flat_file!$F:$F,"I")+SUMIFS(Flat_file!$G:$G,Flat_file!$B:$B,Summary_Inactive!$B$2,Flat_file!$C:$C,"Men",Flat_file!$D:$D,"35-39",Flat_file!$E:$E,"443",Flat_file!$F:$F,"I")+SUMIFS(Flat_file!$G:$G,Flat_file!$B:$B,Summary_Inactive!$B$2,Flat_file!$C:$C,"Men",Flat_file!$D:$D,"35-39",Flat_file!$E:$E,"444",Flat_file!$F:$F,"I")</f>
        <v>0</v>
      </c>
      <c r="X10" s="89">
        <f>SUMIFS(Flat_file!$G:$G,Flat_file!$B:$B,Summary_Inactive!$B$2,Flat_file!$C:$C,"Men",Flat_file!$D:$D,"35-39",Flat_file!$E:$E,"353",Flat_file!$F:$F,"I")+SUMIFS(Flat_file!$G:$G,Flat_file!$B:$B,Summary_Inactive!$B$2,Flat_file!$C:$C,"Men",Flat_file!$D:$D,"35-39",Flat_file!$E:$E,"354",Flat_file!$F:$F,"I")+SUMIFS(Flat_file!$G:$G,Flat_file!$B:$B,Summary_Inactive!$B$2,Flat_file!$C:$C,"Men",Flat_file!$D:$D,"35-39",Flat_file!$E:$E,"453",Flat_file!$F:$F,"I")+SUMIFS(Flat_file!$G:$G,Flat_file!$B:$B,Summary_Inactive!$B$2,Flat_file!$C:$C,"Men",Flat_file!$D:$D,"35-39",Flat_file!$E:$E,"454",Flat_file!$F:$F,"I")</f>
        <v>0</v>
      </c>
      <c r="Y10" s="90"/>
      <c r="Z10" s="89">
        <f>SUMIFS(Flat_file!$G:$G,Flat_file!$B:$B,Summary_Inactive!$B$2,Flat_file!$C:$C,"Men",Flat_file!$D:$D,"35-39",Flat_file!$E:$E,"640",Flat_file!$F:$F,"I")+SUMIFS(Flat_file!$G:$G,Flat_file!$B:$B,Summary_Inactive!$B$2,Flat_file!$C:$C,"Men",Flat_file!$D:$D,"35-39",Flat_file!$E:$E,"740",Flat_file!$F:$F,"I")+SUMIFS(Flat_file!$G:$G,Flat_file!$B:$B,Summary_Inactive!$B$2,Flat_file!$C:$C,"Men",Flat_file!$D:$D,"35-39",Flat_file!$E:$E,"840",Flat_file!$F:$F,"I")</f>
        <v>0</v>
      </c>
      <c r="AA10" s="89">
        <f>SUMIFS(Flat_file!$G:$G,Flat_file!$B:$B,Summary_Inactive!$B$2,Flat_file!$C:$C,"Men",Flat_file!$D:$D,"35-39",Flat_file!$E:$E,"650",Flat_file!$F:$F,"I")+SUMIFS(Flat_file!$G:$G,Flat_file!$B:$B,Summary_Inactive!$B$2,Flat_file!$C:$C,"Men",Flat_file!$D:$D,"35-39",Flat_file!$E:$E,"750",Flat_file!$F:$F,"I")+SUMIFS(Flat_file!$G:$G,Flat_file!$B:$B,Summary_Inactive!$B$2,Flat_file!$C:$C,"Men",Flat_file!$D:$D,"35-39",Flat_file!$E:$E,"850",Flat_file!$F:$F,"I")</f>
        <v>0</v>
      </c>
      <c r="AB10" s="89">
        <f>SUMIFS(Flat_file!$G:$G,Flat_file!$B:$B,Summary_Inactive!$B$2,Flat_file!$C:$C,"Men",Flat_file!$D:$D,"35-39",Flat_file!$E:$E,"660",Flat_file!$F:$F,"I")+SUMIFS(Flat_file!$G:$G,Flat_file!$B:$B,Summary_Inactive!$B$2,Flat_file!$C:$C,"Men",Flat_file!$D:$D,"35-39",Flat_file!$E:$E,"760",Flat_file!$F:$F,"I")+SUMIFS(Flat_file!$G:$G,Flat_file!$B:$B,Summary_Inactive!$B$2,Flat_file!$C:$C,"Men",Flat_file!$D:$D,"35-39",Flat_file!$E:$E,"860",Flat_file!$F:$F,"I")</f>
        <v>0</v>
      </c>
      <c r="AC10" s="3"/>
      <c r="AD10" s="3"/>
      <c r="AE10" s="3"/>
      <c r="AF10" s="3"/>
      <c r="AG10" s="3"/>
      <c r="AH10" s="3"/>
      <c r="AI10" s="3"/>
      <c r="AJ10" s="3"/>
      <c r="AK10" s="3"/>
      <c r="AL10" s="3"/>
      <c r="AM10" s="3"/>
      <c r="AN10" s="3"/>
      <c r="AO10" s="3"/>
      <c r="AP10" s="3"/>
      <c r="AQ10" s="3"/>
      <c r="AR10" s="3"/>
      <c r="AS10" s="3"/>
    </row>
    <row r="11" spans="1:45" customFormat="1" x14ac:dyDescent="0.2">
      <c r="A11" s="352"/>
      <c r="B11" s="79" t="s">
        <v>92</v>
      </c>
      <c r="C11" s="89">
        <f>SUMIFS(Flat_file!$G:$G,Flat_file!$B:$B,Summary_Inactive!$B$2,Flat_file!$C:$C,"Men",Flat_file!$D:$D,"40-44",Flat_file!$E:$E,"010",Flat_file!$F:$F,"I")+SUMIFS(Flat_file!$G:$G,Flat_file!$B:$B,Summary_Inactive!$B$2,Flat_file!$C:$C,"Men",Flat_file!$D:$D,"40-44",Flat_file!$E:$E,"020",Flat_file!$F:$F,"I")+SUMIFS(Flat_file!$G:$G,Flat_file!$B:$B,Summary_Inactive!$B$2,Flat_file!$C:$C,"Men",Flat_file!$D:$D,"40-44",Flat_file!$E:$E,"030",Flat_file!$F:$F,"I")</f>
        <v>0</v>
      </c>
      <c r="D11" s="89">
        <f>SUMIFS(Flat_file!$G:$G,Flat_file!$B:$B,Summary_Inactive!$B$2,Flat_file!$C:$C,"Men",Flat_file!$D:$D,"40-44",Flat_file!$E:$E,"100",Flat_file!$F:$F,"I")</f>
        <v>0</v>
      </c>
      <c r="E11" s="89">
        <f>SUMIFS(Flat_file!$G:$G,Flat_file!$B:$B,Summary_Inactive!$B$2,Flat_file!$C:$C,"Men",Flat_file!$D:$D,"40-44",Flat_file!$E:$E,"242",Flat_file!$F:$F,"I")+SUMIFS(Flat_file!$G:$G,Flat_file!$B:$B,Summary_Inactive!$B$2,Flat_file!$C:$C,"Men",Flat_file!$D:$D,"40-44",Flat_file!$E:$E,"252",Flat_file!$F:$F,"I")</f>
        <v>0</v>
      </c>
      <c r="F11" s="89">
        <f>SUMIFS(Flat_file!$G:$G,Flat_file!$B:$B,Summary_Inactive!$B$2,Flat_file!$C:$C,"Men",Flat_file!$D:$D,"40-44",Flat_file!$E:$E,"243",Flat_file!$F:$F,"I")+SUMIFS(Flat_file!$G:$G,Flat_file!$B:$B,Summary_Inactive!$B$2,Flat_file!$C:$C,"Men",Flat_file!$D:$D,"40-44",Flat_file!$E:$E,"244",Flat_file!$F:$F,"I")+SUMIFS(Flat_file!$G:$G,Flat_file!$B:$B,Summary_Inactive!$B$2,Flat_file!$C:$C,"Men",Flat_file!$D:$D,"40-44",Flat_file!$E:$E,"253",Flat_file!$F:$F,"I")+SUMIFS(Flat_file!$G:$G,Flat_file!$B:$B,Summary_Inactive!$B$2,Flat_file!$C:$C,"Men",Flat_file!$D:$D,"40-44",Flat_file!$E:$E,"254",Flat_file!$F:$F,"I")</f>
        <v>0</v>
      </c>
      <c r="G11" s="89">
        <f>SUMIFS(Flat_file!$G:$G,Flat_file!$B:$B,Summary_Inactive!$B$2,Flat_file!$C:$C,"Men",Flat_file!$D:$D,"40-44",Flat_file!$E:$E,"342",Flat_file!$F:$F,"I")+SUMIFS(Flat_file!$G:$G,Flat_file!$B:$B,Summary_Inactive!$B$2,Flat_file!$C:$C,"Men",Flat_file!$D:$D,"40-44",Flat_file!$E:$E,"352",Flat_file!$F:$F,"I")</f>
        <v>0</v>
      </c>
      <c r="H11" s="89">
        <f>SUMIFS(Flat_file!$G:$G,Flat_file!$B:$B,Summary_Inactive!$B$2,Flat_file!$C:$C,"Men",Flat_file!$D:$D,"40-44",Flat_file!$E:$E,"343",Flat_file!$F:$F,"I")+SUMIFS(Flat_file!$G:$G,Flat_file!$B:$B,Summary_Inactive!$B$2,Flat_file!$C:$C,"Men",Flat_file!$D:$D,"40-44",Flat_file!$E:$E,"344",Flat_file!$F:$F,"I")+SUMIFS(Flat_file!$G:$G,Flat_file!$B:$B,Summary_Inactive!$B$2,Flat_file!$C:$C,"Men",Flat_file!$D:$D,"40-44",Flat_file!$E:$E,"353",Flat_file!$F:$F,"I")+SUMIFS(Flat_file!$G:$G,Flat_file!$B:$B,Summary_Inactive!$B$2,Flat_file!$C:$C,"Men",Flat_file!$D:$D,"40-44",Flat_file!$E:$E,"354",Flat_file!$F:$F,"I")</f>
        <v>0</v>
      </c>
      <c r="I11" s="89">
        <f>SUMIFS(Flat_file!$G:$G,Flat_file!$B:$B,Summary_Inactive!$B$2,Flat_file!$C:$C,"Men",Flat_file!$D:$D,"40-44",Flat_file!$E:$E,"443",Flat_file!$F:$F,"I")+SUMIFS(Flat_file!$G:$G,Flat_file!$B:$B,Summary_Inactive!$B$2,Flat_file!$C:$C,"Men",Flat_file!$D:$D,"40-44",Flat_file!$E:$E,"444",Flat_file!$F:$F,"I")+SUMIFS(Flat_file!$G:$G,Flat_file!$B:$B,Summary_Inactive!$B$2,Flat_file!$C:$C,"Men",Flat_file!$D:$D,"40-44",Flat_file!$E:$E,"453",Flat_file!$F:$F,"I")+SUMIFS(Flat_file!$G:$G,Flat_file!$B:$B,Summary_Inactive!$B$2,Flat_file!$C:$C,"Men",Flat_file!$D:$D,"40-44",Flat_file!$E:$E,"454",Flat_file!$F:$F,"I")</f>
        <v>0</v>
      </c>
      <c r="J11" s="89">
        <f>SUMIFS(Flat_file!$G:$G,Flat_file!$B:$B,Summary_Inactive!$B$2,Flat_file!$C:$C,"Men",Flat_file!$D:$D,"40-44",Flat_file!$E:$E,"540",Flat_file!$F:$F,"I")+SUMIFS(Flat_file!$G:$G,Flat_file!$B:$B,Summary_Inactive!$B$2,Flat_file!$C:$C,"Men",Flat_file!$D:$D,"40-44",Flat_file!$E:$E,"550",Flat_file!$F:$F,"I")+SUMIFS(Flat_file!$G:$G,Flat_file!$B:$B,Summary_Inactive!$B$2,Flat_file!$C:$C,"Men",Flat_file!$D:$D,"40-44",Flat_file!$E:$E,"560",Flat_file!$F:$F,"I")</f>
        <v>0</v>
      </c>
      <c r="K11" s="89">
        <f>SUMIFS(Flat_file!$G:$G,Flat_file!$B:$B,Summary_Inactive!$B$2,Flat_file!$C:$C,"Men",Flat_file!$D:$D,"40-44",Flat_file!$E:$E,"640",Flat_file!$F:$F,"I")+SUMIFS(Flat_file!$G:$G,Flat_file!$B:$B,Summary_Inactive!$B$2,Flat_file!$C:$C,"Men",Flat_file!$D:$D,"40-44",Flat_file!$E:$E,"650",Flat_file!$F:$F,"I")+SUMIFS(Flat_file!$G:$G,Flat_file!$B:$B,Summary_Inactive!$B$2,Flat_file!$C:$C,"Men",Flat_file!$D:$D,"40-44",Flat_file!$E:$E,"660",Flat_file!$F:$F,"I")</f>
        <v>0</v>
      </c>
      <c r="L11" s="89">
        <f>SUMIFS(Flat_file!$G:$G,Flat_file!$B:$B,Summary_Inactive!$B$2,Flat_file!$C:$C,"Men",Flat_file!$D:$D,"40-44",Flat_file!$E:$E,"740",Flat_file!$F:$F,"I")+SUMIFS(Flat_file!$G:$G,Flat_file!$B:$B,Summary_Inactive!$B$2,Flat_file!$C:$C,"Men",Flat_file!$D:$D,"40-44",Flat_file!$E:$E,"750",Flat_file!$F:$F,"I")+SUMIFS(Flat_file!$G:$G,Flat_file!$B:$B,Summary_Inactive!$B$2,Flat_file!$C:$C,"Men",Flat_file!$D:$D,"40-44",Flat_file!$E:$E,"760",Flat_file!$F:$F,"I")</f>
        <v>0</v>
      </c>
      <c r="M11" s="89">
        <f>SUMIFS(Flat_file!$G:$G,Flat_file!$B:$B,Summary_Inactive!$B$2,Flat_file!$C:$C,"Men",Flat_file!$D:$D,"40-44",Flat_file!$E:$E,"840",Flat_file!$F:$F,"I")+SUMIFS(Flat_file!$G:$G,Flat_file!$B:$B,Summary_Inactive!$B$2,Flat_file!$C:$C,"Men",Flat_file!$D:$D,"40-44",Flat_file!$E:$E,"850",Flat_file!$F:$F,"I")+SUMIFS(Flat_file!$G:$G,Flat_file!$B:$B,Summary_Inactive!$B$2,Flat_file!$C:$C,"Men",Flat_file!$D:$D,"40-44",Flat_file!$E:$E,"860",Flat_file!$F:$F,"I")</f>
        <v>0</v>
      </c>
      <c r="N11" s="89">
        <f>SUMIFS(Flat_file!$G:$G,Flat_file!$B:$B,Summary_Inactive!$B$2,Flat_file!$C:$C,"Men",Flat_file!$D:$D,"40-44",Flat_file!$E:$E,"999",Flat_file!$F:$F,"I")</f>
        <v>0</v>
      </c>
      <c r="O11" s="89">
        <f t="shared" si="0"/>
        <v>0</v>
      </c>
      <c r="P11" s="90"/>
      <c r="Q11" s="89">
        <f t="shared" si="1"/>
        <v>0</v>
      </c>
      <c r="R11" s="91"/>
      <c r="S11" s="89">
        <f t="shared" si="2"/>
        <v>0</v>
      </c>
      <c r="T11" s="89">
        <f t="shared" si="3"/>
        <v>0</v>
      </c>
      <c r="U11" s="89">
        <f t="shared" si="4"/>
        <v>0</v>
      </c>
      <c r="V11" s="90"/>
      <c r="W11" s="89">
        <f>SUMIFS(Flat_file!$G:$G,Flat_file!$B:$B,Summary_Inactive!$B$2,Flat_file!$C:$C,"Men",Flat_file!$D:$D,"40-44",Flat_file!$E:$E,"343",Flat_file!$F:$F,"I")+SUMIFS(Flat_file!$G:$G,Flat_file!$B:$B,Summary_Inactive!$B$2,Flat_file!$C:$C,"Men",Flat_file!$D:$D,"40-44",Flat_file!$E:$E,"344",Flat_file!$F:$F,"I")+SUMIFS(Flat_file!$G:$G,Flat_file!$B:$B,Summary_Inactive!$B$2,Flat_file!$C:$C,"Men",Flat_file!$D:$D,"40-44",Flat_file!$E:$E,"443",Flat_file!$F:$F,"I")+SUMIFS(Flat_file!$G:$G,Flat_file!$B:$B,Summary_Inactive!$B$2,Flat_file!$C:$C,"Men",Flat_file!$D:$D,"40-44",Flat_file!$E:$E,"444",Flat_file!$F:$F,"I")</f>
        <v>0</v>
      </c>
      <c r="X11" s="89">
        <f>SUMIFS(Flat_file!$G:$G,Flat_file!$B:$B,Summary_Inactive!$B$2,Flat_file!$C:$C,"Men",Flat_file!$D:$D,"40-44",Flat_file!$E:$E,"353",Flat_file!$F:$F,"I")+SUMIFS(Flat_file!$G:$G,Flat_file!$B:$B,Summary_Inactive!$B$2,Flat_file!$C:$C,"Men",Flat_file!$D:$D,"40-44",Flat_file!$E:$E,"354",Flat_file!$F:$F,"I")+SUMIFS(Flat_file!$G:$G,Flat_file!$B:$B,Summary_Inactive!$B$2,Flat_file!$C:$C,"Men",Flat_file!$D:$D,"40-44",Flat_file!$E:$E,"453",Flat_file!$F:$F,"I")+SUMIFS(Flat_file!$G:$G,Flat_file!$B:$B,Summary_Inactive!$B$2,Flat_file!$C:$C,"Men",Flat_file!$D:$D,"40-44",Flat_file!$E:$E,"454",Flat_file!$F:$F,"I")</f>
        <v>0</v>
      </c>
      <c r="Y11" s="90"/>
      <c r="Z11" s="89">
        <f>SUMIFS(Flat_file!$G:$G,Flat_file!$B:$B,Summary_Inactive!$B$2,Flat_file!$C:$C,"Men",Flat_file!$D:$D,"40-44",Flat_file!$E:$E,"640",Flat_file!$F:$F,"I")+SUMIFS(Flat_file!$G:$G,Flat_file!$B:$B,Summary_Inactive!$B$2,Flat_file!$C:$C,"Men",Flat_file!$D:$D,"40-44",Flat_file!$E:$E,"740",Flat_file!$F:$F,"I")+SUMIFS(Flat_file!$G:$G,Flat_file!$B:$B,Summary_Inactive!$B$2,Flat_file!$C:$C,"Men",Flat_file!$D:$D,"40-44",Flat_file!$E:$E,"840",Flat_file!$F:$F,"I")</f>
        <v>0</v>
      </c>
      <c r="AA11" s="89">
        <f>SUMIFS(Flat_file!$G:$G,Flat_file!$B:$B,Summary_Inactive!$B$2,Flat_file!$C:$C,"Men",Flat_file!$D:$D,"40-44",Flat_file!$E:$E,"650",Flat_file!$F:$F,"I")+SUMIFS(Flat_file!$G:$G,Flat_file!$B:$B,Summary_Inactive!$B$2,Flat_file!$C:$C,"Men",Flat_file!$D:$D,"40-44",Flat_file!$E:$E,"750",Flat_file!$F:$F,"I")+SUMIFS(Flat_file!$G:$G,Flat_file!$B:$B,Summary_Inactive!$B$2,Flat_file!$C:$C,"Men",Flat_file!$D:$D,"40-44",Flat_file!$E:$E,"850",Flat_file!$F:$F,"I")</f>
        <v>0</v>
      </c>
      <c r="AB11" s="89">
        <f>SUMIFS(Flat_file!$G:$G,Flat_file!$B:$B,Summary_Inactive!$B$2,Flat_file!$C:$C,"Men",Flat_file!$D:$D,"40-44",Flat_file!$E:$E,"660",Flat_file!$F:$F,"I")+SUMIFS(Flat_file!$G:$G,Flat_file!$B:$B,Summary_Inactive!$B$2,Flat_file!$C:$C,"Men",Flat_file!$D:$D,"40-44",Flat_file!$E:$E,"760",Flat_file!$F:$F,"I")+SUMIFS(Flat_file!$G:$G,Flat_file!$B:$B,Summary_Inactive!$B$2,Flat_file!$C:$C,"Men",Flat_file!$D:$D,"40-44",Flat_file!$E:$E,"860",Flat_file!$F:$F,"I")</f>
        <v>0</v>
      </c>
      <c r="AC11" s="3"/>
      <c r="AD11" s="3"/>
      <c r="AE11" s="3"/>
      <c r="AF11" s="3"/>
      <c r="AG11" s="3"/>
      <c r="AH11" s="3"/>
      <c r="AI11" s="3"/>
      <c r="AJ11" s="3"/>
      <c r="AK11" s="3"/>
      <c r="AL11" s="3"/>
      <c r="AM11" s="3"/>
      <c r="AN11" s="3"/>
      <c r="AO11" s="3"/>
      <c r="AP11" s="3"/>
      <c r="AQ11" s="3"/>
      <c r="AR11" s="3"/>
      <c r="AS11" s="3"/>
    </row>
    <row r="12" spans="1:45" customFormat="1" x14ac:dyDescent="0.2">
      <c r="A12" s="352"/>
      <c r="B12" s="79" t="s">
        <v>93</v>
      </c>
      <c r="C12" s="89">
        <f>SUMIFS(Flat_file!$G:$G,Flat_file!$B:$B,Summary_Inactive!$B$2,Flat_file!$C:$C,"Men",Flat_file!$D:$D,"45-49",Flat_file!$E:$E,"010",Flat_file!$F:$F,"I")+SUMIFS(Flat_file!$G:$G,Flat_file!$B:$B,Summary_Inactive!$B$2,Flat_file!$C:$C,"Men",Flat_file!$D:$D,"45-49",Flat_file!$E:$E,"020",Flat_file!$F:$F,"I")+SUMIFS(Flat_file!$G:$G,Flat_file!$B:$B,Summary_Inactive!$B$2,Flat_file!$C:$C,"Men",Flat_file!$D:$D,"45-49",Flat_file!$E:$E,"030",Flat_file!$F:$F,"I")</f>
        <v>0</v>
      </c>
      <c r="D12" s="89">
        <f>SUMIFS(Flat_file!$G:$G,Flat_file!$B:$B,Summary_Inactive!$B$2,Flat_file!$C:$C,"Men",Flat_file!$D:$D,"45-49",Flat_file!$E:$E,"100",Flat_file!$F:$F,"I")</f>
        <v>0</v>
      </c>
      <c r="E12" s="89">
        <f>SUMIFS(Flat_file!$G:$G,Flat_file!$B:$B,Summary_Inactive!$B$2,Flat_file!$C:$C,"Men",Flat_file!$D:$D,"45-49",Flat_file!$E:$E,"242",Flat_file!$F:$F,"I")+SUMIFS(Flat_file!$G:$G,Flat_file!$B:$B,Summary_Inactive!$B$2,Flat_file!$C:$C,"Men",Flat_file!$D:$D,"45-49",Flat_file!$E:$E,"252",Flat_file!$F:$F,"I")</f>
        <v>0</v>
      </c>
      <c r="F12" s="89">
        <f>SUMIFS(Flat_file!$G:$G,Flat_file!$B:$B,Summary_Inactive!$B$2,Flat_file!$C:$C,"Men",Flat_file!$D:$D,"45-49",Flat_file!$E:$E,"243",Flat_file!$F:$F,"I")+SUMIFS(Flat_file!$G:$G,Flat_file!$B:$B,Summary_Inactive!$B$2,Flat_file!$C:$C,"Men",Flat_file!$D:$D,"45-49",Flat_file!$E:$E,"244",Flat_file!$F:$F,"I")+SUMIFS(Flat_file!$G:$G,Flat_file!$B:$B,Summary_Inactive!$B$2,Flat_file!$C:$C,"Men",Flat_file!$D:$D,"45-49",Flat_file!$E:$E,"253",Flat_file!$F:$F,"I")+SUMIFS(Flat_file!$G:$G,Flat_file!$B:$B,Summary_Inactive!$B$2,Flat_file!$C:$C,"Men",Flat_file!$D:$D,"45-49",Flat_file!$E:$E,"254",Flat_file!$F:$F,"I")</f>
        <v>0</v>
      </c>
      <c r="G12" s="89">
        <f>SUMIFS(Flat_file!$G:$G,Flat_file!$B:$B,Summary_Inactive!$B$2,Flat_file!$C:$C,"Men",Flat_file!$D:$D,"45-49",Flat_file!$E:$E,"342",Flat_file!$F:$F,"I")+SUMIFS(Flat_file!$G:$G,Flat_file!$B:$B,Summary_Inactive!$B$2,Flat_file!$C:$C,"Men",Flat_file!$D:$D,"45-49",Flat_file!$E:$E,"352",Flat_file!$F:$F,"I")</f>
        <v>0</v>
      </c>
      <c r="H12" s="89">
        <f>SUMIFS(Flat_file!$G:$G,Flat_file!$B:$B,Summary_Inactive!$B$2,Flat_file!$C:$C,"Men",Flat_file!$D:$D,"45-49",Flat_file!$E:$E,"343",Flat_file!$F:$F,"I")+SUMIFS(Flat_file!$G:$G,Flat_file!$B:$B,Summary_Inactive!$B$2,Flat_file!$C:$C,"Men",Flat_file!$D:$D,"45-49",Flat_file!$E:$E,"344",Flat_file!$F:$F,"I")+SUMIFS(Flat_file!$G:$G,Flat_file!$B:$B,Summary_Inactive!$B$2,Flat_file!$C:$C,"Men",Flat_file!$D:$D,"45-49",Flat_file!$E:$E,"353",Flat_file!$F:$F,"I")+SUMIFS(Flat_file!$G:$G,Flat_file!$B:$B,Summary_Inactive!$B$2,Flat_file!$C:$C,"Men",Flat_file!$D:$D,"45-49",Flat_file!$E:$E,"354",Flat_file!$F:$F,"I")</f>
        <v>0</v>
      </c>
      <c r="I12" s="89">
        <f>SUMIFS(Flat_file!$G:$G,Flat_file!$B:$B,Summary_Inactive!$B$2,Flat_file!$C:$C,"Men",Flat_file!$D:$D,"45-49",Flat_file!$E:$E,"443",Flat_file!$F:$F,"I")+SUMIFS(Flat_file!$G:$G,Flat_file!$B:$B,Summary_Inactive!$B$2,Flat_file!$C:$C,"Men",Flat_file!$D:$D,"45-49",Flat_file!$E:$E,"444",Flat_file!$F:$F,"I")+SUMIFS(Flat_file!$G:$G,Flat_file!$B:$B,Summary_Inactive!$B$2,Flat_file!$C:$C,"Men",Flat_file!$D:$D,"45-49",Flat_file!$E:$E,"453",Flat_file!$F:$F,"I")+SUMIFS(Flat_file!$G:$G,Flat_file!$B:$B,Summary_Inactive!$B$2,Flat_file!$C:$C,"Men",Flat_file!$D:$D,"45-49",Flat_file!$E:$E,"454",Flat_file!$F:$F,"I")</f>
        <v>0</v>
      </c>
      <c r="J12" s="89">
        <f>SUMIFS(Flat_file!$G:$G,Flat_file!$B:$B,Summary_Inactive!$B$2,Flat_file!$C:$C,"Men",Flat_file!$D:$D,"45-49",Flat_file!$E:$E,"540",Flat_file!$F:$F,"I")+SUMIFS(Flat_file!$G:$G,Flat_file!$B:$B,Summary_Inactive!$B$2,Flat_file!$C:$C,"Men",Flat_file!$D:$D,"45-49",Flat_file!$E:$E,"550",Flat_file!$F:$F,"I")+SUMIFS(Flat_file!$G:$G,Flat_file!$B:$B,Summary_Inactive!$B$2,Flat_file!$C:$C,"Men",Flat_file!$D:$D,"45-49",Flat_file!$E:$E,"560",Flat_file!$F:$F,"I")</f>
        <v>0</v>
      </c>
      <c r="K12" s="89">
        <f>SUMIFS(Flat_file!$G:$G,Flat_file!$B:$B,Summary_Inactive!$B$2,Flat_file!$C:$C,"Men",Flat_file!$D:$D,"45-49",Flat_file!$E:$E,"640",Flat_file!$F:$F,"I")+SUMIFS(Flat_file!$G:$G,Flat_file!$B:$B,Summary_Inactive!$B$2,Flat_file!$C:$C,"Men",Flat_file!$D:$D,"45-49",Flat_file!$E:$E,"650",Flat_file!$F:$F,"I")+SUMIFS(Flat_file!$G:$G,Flat_file!$B:$B,Summary_Inactive!$B$2,Flat_file!$C:$C,"Men",Flat_file!$D:$D,"45-49",Flat_file!$E:$E,"660",Flat_file!$F:$F,"I")</f>
        <v>0</v>
      </c>
      <c r="L12" s="89">
        <f>SUMIFS(Flat_file!$G:$G,Flat_file!$B:$B,Summary_Inactive!$B$2,Flat_file!$C:$C,"Men",Flat_file!$D:$D,"45-49",Flat_file!$E:$E,"740",Flat_file!$F:$F,"I")+SUMIFS(Flat_file!$G:$G,Flat_file!$B:$B,Summary_Inactive!$B$2,Flat_file!$C:$C,"Men",Flat_file!$D:$D,"45-49",Flat_file!$E:$E,"750",Flat_file!$F:$F,"I")+SUMIFS(Flat_file!$G:$G,Flat_file!$B:$B,Summary_Inactive!$B$2,Flat_file!$C:$C,"Men",Flat_file!$D:$D,"45-49",Flat_file!$E:$E,"760",Flat_file!$F:$F,"I")</f>
        <v>0</v>
      </c>
      <c r="M12" s="89">
        <f>SUMIFS(Flat_file!$G:$G,Flat_file!$B:$B,Summary_Inactive!$B$2,Flat_file!$C:$C,"Men",Flat_file!$D:$D,"45-49",Flat_file!$E:$E,"840",Flat_file!$F:$F,"I")+SUMIFS(Flat_file!$G:$G,Flat_file!$B:$B,Summary_Inactive!$B$2,Flat_file!$C:$C,"Men",Flat_file!$D:$D,"45-49",Flat_file!$E:$E,"850",Flat_file!$F:$F,"I")+SUMIFS(Flat_file!$G:$G,Flat_file!$B:$B,Summary_Inactive!$B$2,Flat_file!$C:$C,"Men",Flat_file!$D:$D,"45-49",Flat_file!$E:$E,"860",Flat_file!$F:$F,"I")</f>
        <v>0</v>
      </c>
      <c r="N12" s="89">
        <f>SUMIFS(Flat_file!$G:$G,Flat_file!$B:$B,Summary_Inactive!$B$2,Flat_file!$C:$C,"Men",Flat_file!$D:$D,"45-49",Flat_file!$E:$E,"999",Flat_file!$F:$F,"I")</f>
        <v>0</v>
      </c>
      <c r="O12" s="89">
        <f t="shared" si="0"/>
        <v>0</v>
      </c>
      <c r="P12" s="90"/>
      <c r="Q12" s="89">
        <f t="shared" si="1"/>
        <v>0</v>
      </c>
      <c r="R12" s="91"/>
      <c r="S12" s="89">
        <f t="shared" si="2"/>
        <v>0</v>
      </c>
      <c r="T12" s="89">
        <f t="shared" si="3"/>
        <v>0</v>
      </c>
      <c r="U12" s="89">
        <f t="shared" si="4"/>
        <v>0</v>
      </c>
      <c r="V12" s="90"/>
      <c r="W12" s="89">
        <f>SUMIFS(Flat_file!$G:$G,Flat_file!$B:$B,Summary_Inactive!$B$2,Flat_file!$C:$C,"Men",Flat_file!$D:$D,"45-49",Flat_file!$E:$E,"343",Flat_file!$F:$F,"I")+SUMIFS(Flat_file!$G:$G,Flat_file!$B:$B,Summary_Inactive!$B$2,Flat_file!$C:$C,"Men",Flat_file!$D:$D,"45-49",Flat_file!$E:$E,"344",Flat_file!$F:$F,"I")+SUMIFS(Flat_file!$G:$G,Flat_file!$B:$B,Summary_Inactive!$B$2,Flat_file!$C:$C,"Men",Flat_file!$D:$D,"45-49",Flat_file!$E:$E,"443",Flat_file!$F:$F,"I")+SUMIFS(Flat_file!$G:$G,Flat_file!$B:$B,Summary_Inactive!$B$2,Flat_file!$C:$C,"Men",Flat_file!$D:$D,"45-49",Flat_file!$E:$E,"444",Flat_file!$F:$F,"I")</f>
        <v>0</v>
      </c>
      <c r="X12" s="89">
        <f>SUMIFS(Flat_file!$G:$G,Flat_file!$B:$B,Summary_Inactive!$B$2,Flat_file!$C:$C,"Men",Flat_file!$D:$D,"45-49",Flat_file!$E:$E,"353",Flat_file!$F:$F,"I")+SUMIFS(Flat_file!$G:$G,Flat_file!$B:$B,Summary_Inactive!$B$2,Flat_file!$C:$C,"Men",Flat_file!$D:$D,"45-49",Flat_file!$E:$E,"354",Flat_file!$F:$F,"I")+SUMIFS(Flat_file!$G:$G,Flat_file!$B:$B,Summary_Inactive!$B$2,Flat_file!$C:$C,"Men",Flat_file!$D:$D,"45-49",Flat_file!$E:$E,"453",Flat_file!$F:$F,"I")+SUMIFS(Flat_file!$G:$G,Flat_file!$B:$B,Summary_Inactive!$B$2,Flat_file!$C:$C,"Men",Flat_file!$D:$D,"45-49",Flat_file!$E:$E,"454",Flat_file!$F:$F,"I")</f>
        <v>0</v>
      </c>
      <c r="Y12" s="90"/>
      <c r="Z12" s="89">
        <f>SUMIFS(Flat_file!$G:$G,Flat_file!$B:$B,Summary_Inactive!$B$2,Flat_file!$C:$C,"Men",Flat_file!$D:$D,"45-49",Flat_file!$E:$E,"640",Flat_file!$F:$F,"I")+SUMIFS(Flat_file!$G:$G,Flat_file!$B:$B,Summary_Inactive!$B$2,Flat_file!$C:$C,"Men",Flat_file!$D:$D,"45-49",Flat_file!$E:$E,"740",Flat_file!$F:$F,"I")+SUMIFS(Flat_file!$G:$G,Flat_file!$B:$B,Summary_Inactive!$B$2,Flat_file!$C:$C,"Men",Flat_file!$D:$D,"45-49",Flat_file!$E:$E,"840",Flat_file!$F:$F,"I")</f>
        <v>0</v>
      </c>
      <c r="AA12" s="89">
        <f>SUMIFS(Flat_file!$G:$G,Flat_file!$B:$B,Summary_Inactive!$B$2,Flat_file!$C:$C,"Men",Flat_file!$D:$D,"45-49",Flat_file!$E:$E,"650",Flat_file!$F:$F,"I")+SUMIFS(Flat_file!$G:$G,Flat_file!$B:$B,Summary_Inactive!$B$2,Flat_file!$C:$C,"Men",Flat_file!$D:$D,"45-49",Flat_file!$E:$E,"750",Flat_file!$F:$F,"I")+SUMIFS(Flat_file!$G:$G,Flat_file!$B:$B,Summary_Inactive!$B$2,Flat_file!$C:$C,"Men",Flat_file!$D:$D,"45-49",Flat_file!$E:$E,"850",Flat_file!$F:$F,"I")</f>
        <v>0</v>
      </c>
      <c r="AB12" s="89">
        <f>SUMIFS(Flat_file!$G:$G,Flat_file!$B:$B,Summary_Inactive!$B$2,Flat_file!$C:$C,"Men",Flat_file!$D:$D,"45-49",Flat_file!$E:$E,"660",Flat_file!$F:$F,"I")+SUMIFS(Flat_file!$G:$G,Flat_file!$B:$B,Summary_Inactive!$B$2,Flat_file!$C:$C,"Men",Flat_file!$D:$D,"45-49",Flat_file!$E:$E,"760",Flat_file!$F:$F,"I")+SUMIFS(Flat_file!$G:$G,Flat_file!$B:$B,Summary_Inactive!$B$2,Flat_file!$C:$C,"Men",Flat_file!$D:$D,"45-49",Flat_file!$E:$E,"860",Flat_file!$F:$F,"I")</f>
        <v>0</v>
      </c>
      <c r="AC12" s="3"/>
      <c r="AD12" s="3"/>
      <c r="AE12" s="3"/>
      <c r="AF12" s="3"/>
      <c r="AG12" s="3"/>
      <c r="AH12" s="3"/>
      <c r="AI12" s="3"/>
      <c r="AJ12" s="3"/>
      <c r="AK12" s="3"/>
      <c r="AL12" s="3"/>
      <c r="AM12" s="3"/>
      <c r="AN12" s="3"/>
      <c r="AO12" s="3"/>
      <c r="AP12" s="3"/>
      <c r="AQ12" s="3"/>
      <c r="AR12" s="3"/>
      <c r="AS12" s="3"/>
    </row>
    <row r="13" spans="1:45" customFormat="1" x14ac:dyDescent="0.2">
      <c r="A13" s="352"/>
      <c r="B13" s="79" t="s">
        <v>94</v>
      </c>
      <c r="C13" s="89">
        <f>SUMIFS(Flat_file!$G:$G,Flat_file!$B:$B,Summary_Inactive!$B$2,Flat_file!$C:$C,"Men",Flat_file!$D:$D,"50-54",Flat_file!$E:$E,"010",Flat_file!$F:$F,"I")+SUMIFS(Flat_file!$G:$G,Flat_file!$B:$B,Summary_Inactive!$B$2,Flat_file!$C:$C,"Men",Flat_file!$D:$D,"50-54",Flat_file!$E:$E,"020",Flat_file!$F:$F,"I")+SUMIFS(Flat_file!$G:$G,Flat_file!$B:$B,Summary_Inactive!$B$2,Flat_file!$C:$C,"Men",Flat_file!$D:$D,"50-54",Flat_file!$E:$E,"030",Flat_file!$F:$F,"I")</f>
        <v>0</v>
      </c>
      <c r="D13" s="89">
        <f>SUMIFS(Flat_file!$G:$G,Flat_file!$B:$B,Summary_Inactive!$B$2,Flat_file!$C:$C,"Men",Flat_file!$D:$D,"50-54",Flat_file!$E:$E,"100",Flat_file!$F:$F,"I")</f>
        <v>0</v>
      </c>
      <c r="E13" s="89">
        <f>SUMIFS(Flat_file!$G:$G,Flat_file!$B:$B,Summary_Inactive!$B$2,Flat_file!$C:$C,"Men",Flat_file!$D:$D,"50-54",Flat_file!$E:$E,"242",Flat_file!$F:$F,"I")+SUMIFS(Flat_file!$G:$G,Flat_file!$B:$B,Summary_Inactive!$B$2,Flat_file!$C:$C,"Men",Flat_file!$D:$D,"50-54",Flat_file!$E:$E,"252",Flat_file!$F:$F,"I")</f>
        <v>0</v>
      </c>
      <c r="F13" s="89">
        <f>SUMIFS(Flat_file!$G:$G,Flat_file!$B:$B,Summary_Inactive!$B$2,Flat_file!$C:$C,"Men",Flat_file!$D:$D,"50-54",Flat_file!$E:$E,"243",Flat_file!$F:$F,"I")+SUMIFS(Flat_file!$G:$G,Flat_file!$B:$B,Summary_Inactive!$B$2,Flat_file!$C:$C,"Men",Flat_file!$D:$D,"50-54",Flat_file!$E:$E,"244",Flat_file!$F:$F,"I")+SUMIFS(Flat_file!$G:$G,Flat_file!$B:$B,Summary_Inactive!$B$2,Flat_file!$C:$C,"Men",Flat_file!$D:$D,"50-54",Flat_file!$E:$E,"253",Flat_file!$F:$F,"I")+SUMIFS(Flat_file!$G:$G,Flat_file!$B:$B,Summary_Inactive!$B$2,Flat_file!$C:$C,"Men",Flat_file!$D:$D,"50-54",Flat_file!$E:$E,"254",Flat_file!$F:$F,"I")</f>
        <v>0</v>
      </c>
      <c r="G13" s="89">
        <f>SUMIFS(Flat_file!$G:$G,Flat_file!$B:$B,Summary_Inactive!$B$2,Flat_file!$C:$C,"Men",Flat_file!$D:$D,"50-54",Flat_file!$E:$E,"342",Flat_file!$F:$F,"I")+SUMIFS(Flat_file!$G:$G,Flat_file!$B:$B,Summary_Inactive!$B$2,Flat_file!$C:$C,"Men",Flat_file!$D:$D,"50-54",Flat_file!$E:$E,"352",Flat_file!$F:$F,"I")</f>
        <v>0</v>
      </c>
      <c r="H13" s="89">
        <f>SUMIFS(Flat_file!$G:$G,Flat_file!$B:$B,Summary_Inactive!$B$2,Flat_file!$C:$C,"Men",Flat_file!$D:$D,"50-54",Flat_file!$E:$E,"343",Flat_file!$F:$F,"I")+SUMIFS(Flat_file!$G:$G,Flat_file!$B:$B,Summary_Inactive!$B$2,Flat_file!$C:$C,"Men",Flat_file!$D:$D,"50-54",Flat_file!$E:$E,"344",Flat_file!$F:$F,"I")+SUMIFS(Flat_file!$G:$G,Flat_file!$B:$B,Summary_Inactive!$B$2,Flat_file!$C:$C,"Men",Flat_file!$D:$D,"50-54",Flat_file!$E:$E,"353",Flat_file!$F:$F,"I")+SUMIFS(Flat_file!$G:$G,Flat_file!$B:$B,Summary_Inactive!$B$2,Flat_file!$C:$C,"Men",Flat_file!$D:$D,"50-54",Flat_file!$E:$E,"354",Flat_file!$F:$F,"I")</f>
        <v>0</v>
      </c>
      <c r="I13" s="89">
        <f>SUMIFS(Flat_file!$G:$G,Flat_file!$B:$B,Summary_Inactive!$B$2,Flat_file!$C:$C,"Men",Flat_file!$D:$D,"50-54",Flat_file!$E:$E,"443",Flat_file!$F:$F,"I")+SUMIFS(Flat_file!$G:$G,Flat_file!$B:$B,Summary_Inactive!$B$2,Flat_file!$C:$C,"Men",Flat_file!$D:$D,"50-54",Flat_file!$E:$E,"444",Flat_file!$F:$F,"I")+SUMIFS(Flat_file!$G:$G,Flat_file!$B:$B,Summary_Inactive!$B$2,Flat_file!$C:$C,"Men",Flat_file!$D:$D,"50-54",Flat_file!$E:$E,"453",Flat_file!$F:$F,"I")+SUMIFS(Flat_file!$G:$G,Flat_file!$B:$B,Summary_Inactive!$B$2,Flat_file!$C:$C,"Men",Flat_file!$D:$D,"50-54",Flat_file!$E:$E,"454",Flat_file!$F:$F,"I")</f>
        <v>0</v>
      </c>
      <c r="J13" s="89">
        <f>SUMIFS(Flat_file!$G:$G,Flat_file!$B:$B,Summary_Inactive!$B$2,Flat_file!$C:$C,"Men",Flat_file!$D:$D,"50-54",Flat_file!$E:$E,"540",Flat_file!$F:$F,"I")+SUMIFS(Flat_file!$G:$G,Flat_file!$B:$B,Summary_Inactive!$B$2,Flat_file!$C:$C,"Men",Flat_file!$D:$D,"50-54",Flat_file!$E:$E,"550",Flat_file!$F:$F,"I")+SUMIFS(Flat_file!$G:$G,Flat_file!$B:$B,Summary_Inactive!$B$2,Flat_file!$C:$C,"Men",Flat_file!$D:$D,"50-54",Flat_file!$E:$E,"560",Flat_file!$F:$F,"I")</f>
        <v>0</v>
      </c>
      <c r="K13" s="89">
        <f>SUMIFS(Flat_file!$G:$G,Flat_file!$B:$B,Summary_Inactive!$B$2,Flat_file!$C:$C,"Men",Flat_file!$D:$D,"50-54",Flat_file!$E:$E,"640",Flat_file!$F:$F,"I")+SUMIFS(Flat_file!$G:$G,Flat_file!$B:$B,Summary_Inactive!$B$2,Flat_file!$C:$C,"Men",Flat_file!$D:$D,"50-54",Flat_file!$E:$E,"650",Flat_file!$F:$F,"I")+SUMIFS(Flat_file!$G:$G,Flat_file!$B:$B,Summary_Inactive!$B$2,Flat_file!$C:$C,"Men",Flat_file!$D:$D,"50-54",Flat_file!$E:$E,"660",Flat_file!$F:$F,"I")</f>
        <v>0</v>
      </c>
      <c r="L13" s="89">
        <f>SUMIFS(Flat_file!$G:$G,Flat_file!$B:$B,Summary_Inactive!$B$2,Flat_file!$C:$C,"Men",Flat_file!$D:$D,"50-54",Flat_file!$E:$E,"740",Flat_file!$F:$F,"I")+SUMIFS(Flat_file!$G:$G,Flat_file!$B:$B,Summary_Inactive!$B$2,Flat_file!$C:$C,"Men",Flat_file!$D:$D,"50-54",Flat_file!$E:$E,"750",Flat_file!$F:$F,"I")+SUMIFS(Flat_file!$G:$G,Flat_file!$B:$B,Summary_Inactive!$B$2,Flat_file!$C:$C,"Men",Flat_file!$D:$D,"50-54",Flat_file!$E:$E,"760",Flat_file!$F:$F,"I")</f>
        <v>0</v>
      </c>
      <c r="M13" s="89">
        <f>SUMIFS(Flat_file!$G:$G,Flat_file!$B:$B,Summary_Inactive!$B$2,Flat_file!$C:$C,"Men",Flat_file!$D:$D,"50-54",Flat_file!$E:$E,"840",Flat_file!$F:$F,"I")+SUMIFS(Flat_file!$G:$G,Flat_file!$B:$B,Summary_Inactive!$B$2,Flat_file!$C:$C,"Men",Flat_file!$D:$D,"50-54",Flat_file!$E:$E,"850",Flat_file!$F:$F,"I")+SUMIFS(Flat_file!$G:$G,Flat_file!$B:$B,Summary_Inactive!$B$2,Flat_file!$C:$C,"Men",Flat_file!$D:$D,"50-54",Flat_file!$E:$E,"860",Flat_file!$F:$F,"I")</f>
        <v>0</v>
      </c>
      <c r="N13" s="89">
        <f>SUMIFS(Flat_file!$G:$G,Flat_file!$B:$B,Summary_Inactive!$B$2,Flat_file!$C:$C,"Men",Flat_file!$D:$D,"50-54",Flat_file!$E:$E,"999",Flat_file!$F:$F,"I")</f>
        <v>0</v>
      </c>
      <c r="O13" s="89">
        <f t="shared" si="0"/>
        <v>0</v>
      </c>
      <c r="P13" s="90"/>
      <c r="Q13" s="89">
        <f t="shared" si="1"/>
        <v>0</v>
      </c>
      <c r="R13" s="91"/>
      <c r="S13" s="89">
        <f t="shared" si="2"/>
        <v>0</v>
      </c>
      <c r="T13" s="89">
        <f t="shared" si="3"/>
        <v>0</v>
      </c>
      <c r="U13" s="89">
        <f t="shared" si="4"/>
        <v>0</v>
      </c>
      <c r="V13" s="90"/>
      <c r="W13" s="89">
        <f>SUMIFS(Flat_file!$G:$G,Flat_file!$B:$B,Summary_Inactive!$B$2,Flat_file!$C:$C,"Men",Flat_file!$D:$D,"50-54",Flat_file!$E:$E,"343",Flat_file!$F:$F,"I")+SUMIFS(Flat_file!$G:$G,Flat_file!$B:$B,Summary_Inactive!$B$2,Flat_file!$C:$C,"Men",Flat_file!$D:$D,"50-54",Flat_file!$E:$E,"344",Flat_file!$F:$F,"I")+SUMIFS(Flat_file!$G:$G,Flat_file!$B:$B,Summary_Inactive!$B$2,Flat_file!$C:$C,"Men",Flat_file!$D:$D,"50-54",Flat_file!$E:$E,"443",Flat_file!$F:$F,"I")+SUMIFS(Flat_file!$G:$G,Flat_file!$B:$B,Summary_Inactive!$B$2,Flat_file!$C:$C,"Men",Flat_file!$D:$D,"50-54",Flat_file!$E:$E,"444",Flat_file!$F:$F,"I")</f>
        <v>0</v>
      </c>
      <c r="X13" s="89">
        <f>SUMIFS(Flat_file!$G:$G,Flat_file!$B:$B,Summary_Inactive!$B$2,Flat_file!$C:$C,"Men",Flat_file!$D:$D,"50-54",Flat_file!$E:$E,"353",Flat_file!$F:$F,"I")+SUMIFS(Flat_file!$G:$G,Flat_file!$B:$B,Summary_Inactive!$B$2,Flat_file!$C:$C,"Men",Flat_file!$D:$D,"50-54",Flat_file!$E:$E,"354",Flat_file!$F:$F,"I")+SUMIFS(Flat_file!$G:$G,Flat_file!$B:$B,Summary_Inactive!$B$2,Flat_file!$C:$C,"Men",Flat_file!$D:$D,"50-54",Flat_file!$E:$E,"453",Flat_file!$F:$F,"I")+SUMIFS(Flat_file!$G:$G,Flat_file!$B:$B,Summary_Inactive!$B$2,Flat_file!$C:$C,"Men",Flat_file!$D:$D,"50-54",Flat_file!$E:$E,"454",Flat_file!$F:$F,"I")</f>
        <v>0</v>
      </c>
      <c r="Y13" s="90"/>
      <c r="Z13" s="89">
        <f>SUMIFS(Flat_file!$G:$G,Flat_file!$B:$B,Summary_Inactive!$B$2,Flat_file!$C:$C,"Men",Flat_file!$D:$D,"50-54",Flat_file!$E:$E,"640",Flat_file!$F:$F,"I")+SUMIFS(Flat_file!$G:$G,Flat_file!$B:$B,Summary_Inactive!$B$2,Flat_file!$C:$C,"Men",Flat_file!$D:$D,"50-54",Flat_file!$E:$E,"740",Flat_file!$F:$F,"I")+SUMIFS(Flat_file!$G:$G,Flat_file!$B:$B,Summary_Inactive!$B$2,Flat_file!$C:$C,"Men",Flat_file!$D:$D,"50-54",Flat_file!$E:$E,"840",Flat_file!$F:$F,"I")</f>
        <v>0</v>
      </c>
      <c r="AA13" s="89">
        <f>SUMIFS(Flat_file!$G:$G,Flat_file!$B:$B,Summary_Inactive!$B$2,Flat_file!$C:$C,"Men",Flat_file!$D:$D,"50-54",Flat_file!$E:$E,"650",Flat_file!$F:$F,"I")+SUMIFS(Flat_file!$G:$G,Flat_file!$B:$B,Summary_Inactive!$B$2,Flat_file!$C:$C,"Men",Flat_file!$D:$D,"50-54",Flat_file!$E:$E,"750",Flat_file!$F:$F,"I")+SUMIFS(Flat_file!$G:$G,Flat_file!$B:$B,Summary_Inactive!$B$2,Flat_file!$C:$C,"Men",Flat_file!$D:$D,"50-54",Flat_file!$E:$E,"850",Flat_file!$F:$F,"I")</f>
        <v>0</v>
      </c>
      <c r="AB13" s="89">
        <f>SUMIFS(Flat_file!$G:$G,Flat_file!$B:$B,Summary_Inactive!$B$2,Flat_file!$C:$C,"Men",Flat_file!$D:$D,"50-54",Flat_file!$E:$E,"660",Flat_file!$F:$F,"I")+SUMIFS(Flat_file!$G:$G,Flat_file!$B:$B,Summary_Inactive!$B$2,Flat_file!$C:$C,"Men",Flat_file!$D:$D,"50-54",Flat_file!$E:$E,"760",Flat_file!$F:$F,"I")+SUMIFS(Flat_file!$G:$G,Flat_file!$B:$B,Summary_Inactive!$B$2,Flat_file!$C:$C,"Men",Flat_file!$D:$D,"50-54",Flat_file!$E:$E,"860",Flat_file!$F:$F,"I")</f>
        <v>0</v>
      </c>
      <c r="AC13" s="3"/>
      <c r="AD13" s="3"/>
      <c r="AE13" s="3"/>
      <c r="AF13" s="3"/>
      <c r="AG13" s="3"/>
      <c r="AH13" s="3"/>
      <c r="AI13" s="3"/>
      <c r="AJ13" s="3"/>
      <c r="AK13" s="3"/>
      <c r="AL13" s="3"/>
      <c r="AM13" s="3"/>
      <c r="AN13" s="3"/>
      <c r="AO13" s="3"/>
      <c r="AP13" s="3"/>
      <c r="AQ13" s="3"/>
      <c r="AR13" s="3"/>
      <c r="AS13" s="3"/>
    </row>
    <row r="14" spans="1:45" customFormat="1" x14ac:dyDescent="0.2">
      <c r="A14" s="352"/>
      <c r="B14" s="79" t="s">
        <v>95</v>
      </c>
      <c r="C14" s="89">
        <f>SUMIFS(Flat_file!$G:$G,Flat_file!$B:$B,Summary_Inactive!$B$2,Flat_file!$C:$C,"Men",Flat_file!$D:$D,"55-59",Flat_file!$E:$E,"010",Flat_file!$F:$F,"I")+SUMIFS(Flat_file!$G:$G,Flat_file!$B:$B,Summary_Inactive!$B$2,Flat_file!$C:$C,"Men",Flat_file!$D:$D,"55-59",Flat_file!$E:$E,"020",Flat_file!$F:$F,"I")+SUMIFS(Flat_file!$G:$G,Flat_file!$B:$B,Summary_Inactive!$B$2,Flat_file!$C:$C,"Men",Flat_file!$D:$D,"55-59",Flat_file!$E:$E,"030",Flat_file!$F:$F,"I")</f>
        <v>0</v>
      </c>
      <c r="D14" s="89">
        <f>SUMIFS(Flat_file!$G:$G,Flat_file!$B:$B,Summary_Inactive!$B$2,Flat_file!$C:$C,"Men",Flat_file!$D:$D,"55-59",Flat_file!$E:$E,"100",Flat_file!$F:$F,"I")</f>
        <v>0</v>
      </c>
      <c r="E14" s="89">
        <f>SUMIFS(Flat_file!$G:$G,Flat_file!$B:$B,Summary_Inactive!$B$2,Flat_file!$C:$C,"Men",Flat_file!$D:$D,"55-59",Flat_file!$E:$E,"242",Flat_file!$F:$F,"I")+SUMIFS(Flat_file!$G:$G,Flat_file!$B:$B,Summary_Inactive!$B$2,Flat_file!$C:$C,"Men",Flat_file!$D:$D,"55-59",Flat_file!$E:$E,"252",Flat_file!$F:$F,"I")</f>
        <v>0</v>
      </c>
      <c r="F14" s="89">
        <f>SUMIFS(Flat_file!$G:$G,Flat_file!$B:$B,Summary_Inactive!$B$2,Flat_file!$C:$C,"Men",Flat_file!$D:$D,"55-59",Flat_file!$E:$E,"243",Flat_file!$F:$F,"I")+SUMIFS(Flat_file!$G:$G,Flat_file!$B:$B,Summary_Inactive!$B$2,Flat_file!$C:$C,"Men",Flat_file!$D:$D,"55-59",Flat_file!$E:$E,"244",Flat_file!$F:$F,"I")+SUMIFS(Flat_file!$G:$G,Flat_file!$B:$B,Summary_Inactive!$B$2,Flat_file!$C:$C,"Men",Flat_file!$D:$D,"55-59",Flat_file!$E:$E,"253",Flat_file!$F:$F,"I")+SUMIFS(Flat_file!$G:$G,Flat_file!$B:$B,Summary_Inactive!$B$2,Flat_file!$C:$C,"Men",Flat_file!$D:$D,"55-59",Flat_file!$E:$E,"254",Flat_file!$F:$F,"I")</f>
        <v>0</v>
      </c>
      <c r="G14" s="89">
        <f>SUMIFS(Flat_file!$G:$G,Flat_file!$B:$B,Summary_Inactive!$B$2,Flat_file!$C:$C,"Men",Flat_file!$D:$D,"55-59",Flat_file!$E:$E,"342",Flat_file!$F:$F,"I")+SUMIFS(Flat_file!$G:$G,Flat_file!$B:$B,Summary_Inactive!$B$2,Flat_file!$C:$C,"Men",Flat_file!$D:$D,"55-59",Flat_file!$E:$E,"352",Flat_file!$F:$F,"I")</f>
        <v>0</v>
      </c>
      <c r="H14" s="89">
        <f>SUMIFS(Flat_file!$G:$G,Flat_file!$B:$B,Summary_Inactive!$B$2,Flat_file!$C:$C,"Men",Flat_file!$D:$D,"55-59",Flat_file!$E:$E,"343",Flat_file!$F:$F,"I")+SUMIFS(Flat_file!$G:$G,Flat_file!$B:$B,Summary_Inactive!$B$2,Flat_file!$C:$C,"Men",Flat_file!$D:$D,"55-59",Flat_file!$E:$E,"344",Flat_file!$F:$F,"I")+SUMIFS(Flat_file!$G:$G,Flat_file!$B:$B,Summary_Inactive!$B$2,Flat_file!$C:$C,"Men",Flat_file!$D:$D,"55-59",Flat_file!$E:$E,"353",Flat_file!$F:$F,"I")+SUMIFS(Flat_file!$G:$G,Flat_file!$B:$B,Summary_Inactive!$B$2,Flat_file!$C:$C,"Men",Flat_file!$D:$D,"55-59",Flat_file!$E:$E,"354",Flat_file!$F:$F,"I")</f>
        <v>0</v>
      </c>
      <c r="I14" s="89">
        <f>SUMIFS(Flat_file!$G:$G,Flat_file!$B:$B,Summary_Inactive!$B$2,Flat_file!$C:$C,"Men",Flat_file!$D:$D,"55-59",Flat_file!$E:$E,"443",Flat_file!$F:$F,"I")+SUMIFS(Flat_file!$G:$G,Flat_file!$B:$B,Summary_Inactive!$B$2,Flat_file!$C:$C,"Men",Flat_file!$D:$D,"55-59",Flat_file!$E:$E,"444",Flat_file!$F:$F,"I")+SUMIFS(Flat_file!$G:$G,Flat_file!$B:$B,Summary_Inactive!$B$2,Flat_file!$C:$C,"Men",Flat_file!$D:$D,"55-59",Flat_file!$E:$E,"453",Flat_file!$F:$F,"I")+SUMIFS(Flat_file!$G:$G,Flat_file!$B:$B,Summary_Inactive!$B$2,Flat_file!$C:$C,"Men",Flat_file!$D:$D,"55-59",Flat_file!$E:$E,"454",Flat_file!$F:$F,"I")</f>
        <v>0</v>
      </c>
      <c r="J14" s="89">
        <f>SUMIFS(Flat_file!$G:$G,Flat_file!$B:$B,Summary_Inactive!$B$2,Flat_file!$C:$C,"Men",Flat_file!$D:$D,"55-59",Flat_file!$E:$E,"540",Flat_file!$F:$F,"I")+SUMIFS(Flat_file!$G:$G,Flat_file!$B:$B,Summary_Inactive!$B$2,Flat_file!$C:$C,"Men",Flat_file!$D:$D,"55-59",Flat_file!$E:$E,"550",Flat_file!$F:$F,"I")+SUMIFS(Flat_file!$G:$G,Flat_file!$B:$B,Summary_Inactive!$B$2,Flat_file!$C:$C,"Men",Flat_file!$D:$D,"55-59",Flat_file!$E:$E,"560",Flat_file!$F:$F,"I")</f>
        <v>0</v>
      </c>
      <c r="K14" s="89">
        <f>SUMIFS(Flat_file!$G:$G,Flat_file!$B:$B,Summary_Inactive!$B$2,Flat_file!$C:$C,"Men",Flat_file!$D:$D,"55-59",Flat_file!$E:$E,"640",Flat_file!$F:$F,"I")+SUMIFS(Flat_file!$G:$G,Flat_file!$B:$B,Summary_Inactive!$B$2,Flat_file!$C:$C,"Men",Flat_file!$D:$D,"55-59",Flat_file!$E:$E,"650",Flat_file!$F:$F,"I")+SUMIFS(Flat_file!$G:$G,Flat_file!$B:$B,Summary_Inactive!$B$2,Flat_file!$C:$C,"Men",Flat_file!$D:$D,"55-59",Flat_file!$E:$E,"660",Flat_file!$F:$F,"I")</f>
        <v>0</v>
      </c>
      <c r="L14" s="89">
        <f>SUMIFS(Flat_file!$G:$G,Flat_file!$B:$B,Summary_Inactive!$B$2,Flat_file!$C:$C,"Men",Flat_file!$D:$D,"55-59",Flat_file!$E:$E,"740",Flat_file!$F:$F,"I")+SUMIFS(Flat_file!$G:$G,Flat_file!$B:$B,Summary_Inactive!$B$2,Flat_file!$C:$C,"Men",Flat_file!$D:$D,"55-59",Flat_file!$E:$E,"750",Flat_file!$F:$F,"I")+SUMIFS(Flat_file!$G:$G,Flat_file!$B:$B,Summary_Inactive!$B$2,Flat_file!$C:$C,"Men",Flat_file!$D:$D,"55-59",Flat_file!$E:$E,"760",Flat_file!$F:$F,"I")</f>
        <v>0</v>
      </c>
      <c r="M14" s="89">
        <f>SUMIFS(Flat_file!$G:$G,Flat_file!$B:$B,Summary_Inactive!$B$2,Flat_file!$C:$C,"Men",Flat_file!$D:$D,"55-59",Flat_file!$E:$E,"840",Flat_file!$F:$F,"I")+SUMIFS(Flat_file!$G:$G,Flat_file!$B:$B,Summary_Inactive!$B$2,Flat_file!$C:$C,"Men",Flat_file!$D:$D,"55-59",Flat_file!$E:$E,"850",Flat_file!$F:$F,"I")+SUMIFS(Flat_file!$G:$G,Flat_file!$B:$B,Summary_Inactive!$B$2,Flat_file!$C:$C,"Men",Flat_file!$D:$D,"55-59",Flat_file!$E:$E,"860",Flat_file!$F:$F,"I")</f>
        <v>0</v>
      </c>
      <c r="N14" s="89">
        <f>SUMIFS(Flat_file!$G:$G,Flat_file!$B:$B,Summary_Inactive!$B$2,Flat_file!$C:$C,"Men",Flat_file!$D:$D,"55-59",Flat_file!$E:$E,"999",Flat_file!$F:$F,"I")</f>
        <v>0</v>
      </c>
      <c r="O14" s="89">
        <f t="shared" si="0"/>
        <v>0</v>
      </c>
      <c r="P14" s="90"/>
      <c r="Q14" s="89">
        <f t="shared" si="1"/>
        <v>0</v>
      </c>
      <c r="R14" s="91"/>
      <c r="S14" s="89">
        <f t="shared" si="2"/>
        <v>0</v>
      </c>
      <c r="T14" s="89">
        <f t="shared" si="3"/>
        <v>0</v>
      </c>
      <c r="U14" s="89">
        <f t="shared" si="4"/>
        <v>0</v>
      </c>
      <c r="V14" s="90"/>
      <c r="W14" s="89">
        <f>SUMIFS(Flat_file!$G:$G,Flat_file!$B:$B,Summary_Inactive!$B$2,Flat_file!$C:$C,"Men",Flat_file!$D:$D,"55-59",Flat_file!$E:$E,"343",Flat_file!$F:$F,"I")+SUMIFS(Flat_file!$G:$G,Flat_file!$B:$B,Summary_Inactive!$B$2,Flat_file!$C:$C,"Men",Flat_file!$D:$D,"55-59",Flat_file!$E:$E,"344",Flat_file!$F:$F,"I")+SUMIFS(Flat_file!$G:$G,Flat_file!$B:$B,Summary_Inactive!$B$2,Flat_file!$C:$C,"Men",Flat_file!$D:$D,"55-59",Flat_file!$E:$E,"443",Flat_file!$F:$F,"I")+SUMIFS(Flat_file!$G:$G,Flat_file!$B:$B,Summary_Inactive!$B$2,Flat_file!$C:$C,"Men",Flat_file!$D:$D,"55-59",Flat_file!$E:$E,"444",Flat_file!$F:$F,"I")</f>
        <v>0</v>
      </c>
      <c r="X14" s="89">
        <f>SUMIFS(Flat_file!$G:$G,Flat_file!$B:$B,Summary_Inactive!$B$2,Flat_file!$C:$C,"Men",Flat_file!$D:$D,"55-59",Flat_file!$E:$E,"353",Flat_file!$F:$F,"I")+SUMIFS(Flat_file!$G:$G,Flat_file!$B:$B,Summary_Inactive!$B$2,Flat_file!$C:$C,"Men",Flat_file!$D:$D,"55-59",Flat_file!$E:$E,"354",Flat_file!$F:$F,"I")+SUMIFS(Flat_file!$G:$G,Flat_file!$B:$B,Summary_Inactive!$B$2,Flat_file!$C:$C,"Men",Flat_file!$D:$D,"55-59",Flat_file!$E:$E,"453",Flat_file!$F:$F,"I")+SUMIFS(Flat_file!$G:$G,Flat_file!$B:$B,Summary_Inactive!$B$2,Flat_file!$C:$C,"Men",Flat_file!$D:$D,"55-59",Flat_file!$E:$E,"454",Flat_file!$F:$F,"I")</f>
        <v>0</v>
      </c>
      <c r="Y14" s="90"/>
      <c r="Z14" s="89">
        <f>SUMIFS(Flat_file!$G:$G,Flat_file!$B:$B,Summary_Inactive!$B$2,Flat_file!$C:$C,"Men",Flat_file!$D:$D,"55-59",Flat_file!$E:$E,"640",Flat_file!$F:$F,"I")+SUMIFS(Flat_file!$G:$G,Flat_file!$B:$B,Summary_Inactive!$B$2,Flat_file!$C:$C,"Men",Flat_file!$D:$D,"55-59",Flat_file!$E:$E,"740",Flat_file!$F:$F,"I")+SUMIFS(Flat_file!$G:$G,Flat_file!$B:$B,Summary_Inactive!$B$2,Flat_file!$C:$C,"Men",Flat_file!$D:$D,"55-59",Flat_file!$E:$E,"840",Flat_file!$F:$F,"I")</f>
        <v>0</v>
      </c>
      <c r="AA14" s="89">
        <f>SUMIFS(Flat_file!$G:$G,Flat_file!$B:$B,Summary_Inactive!$B$2,Flat_file!$C:$C,"Men",Flat_file!$D:$D,"55-59",Flat_file!$E:$E,"650",Flat_file!$F:$F,"I")+SUMIFS(Flat_file!$G:$G,Flat_file!$B:$B,Summary_Inactive!$B$2,Flat_file!$C:$C,"Men",Flat_file!$D:$D,"55-59",Flat_file!$E:$E,"750",Flat_file!$F:$F,"I")+SUMIFS(Flat_file!$G:$G,Flat_file!$B:$B,Summary_Inactive!$B$2,Flat_file!$C:$C,"Men",Flat_file!$D:$D,"55-59",Flat_file!$E:$E,"850",Flat_file!$F:$F,"I")</f>
        <v>0</v>
      </c>
      <c r="AB14" s="89">
        <f>SUMIFS(Flat_file!$G:$G,Flat_file!$B:$B,Summary_Inactive!$B$2,Flat_file!$C:$C,"Men",Flat_file!$D:$D,"55-59",Flat_file!$E:$E,"660",Flat_file!$F:$F,"I")+SUMIFS(Flat_file!$G:$G,Flat_file!$B:$B,Summary_Inactive!$B$2,Flat_file!$C:$C,"Men",Flat_file!$D:$D,"55-59",Flat_file!$E:$E,"760",Flat_file!$F:$F,"I")+SUMIFS(Flat_file!$G:$G,Flat_file!$B:$B,Summary_Inactive!$B$2,Flat_file!$C:$C,"Men",Flat_file!$D:$D,"55-59",Flat_file!$E:$E,"860",Flat_file!$F:$F,"I")</f>
        <v>0</v>
      </c>
      <c r="AC14" s="3"/>
      <c r="AD14" s="3"/>
      <c r="AE14" s="3"/>
      <c r="AF14" s="3"/>
      <c r="AG14" s="3"/>
      <c r="AH14" s="3"/>
      <c r="AI14" s="3"/>
      <c r="AJ14" s="3"/>
      <c r="AK14" s="3"/>
      <c r="AL14" s="3"/>
      <c r="AM14" s="3"/>
      <c r="AN14" s="3"/>
      <c r="AO14" s="3"/>
      <c r="AP14" s="3"/>
      <c r="AQ14" s="3"/>
      <c r="AR14" s="3"/>
      <c r="AS14" s="3"/>
    </row>
    <row r="15" spans="1:45" customFormat="1" x14ac:dyDescent="0.2">
      <c r="A15" s="352"/>
      <c r="B15" s="79" t="s">
        <v>96</v>
      </c>
      <c r="C15" s="89">
        <f>SUMIFS(Flat_file!$G:$G,Flat_file!$B:$B,Summary_Inactive!$B$2,Flat_file!$C:$C,"Men",Flat_file!$D:$D,"60-64",Flat_file!$E:$E,"010",Flat_file!$F:$F,"I")+SUMIFS(Flat_file!$G:$G,Flat_file!$B:$B,Summary_Inactive!$B$2,Flat_file!$C:$C,"Men",Flat_file!$D:$D,"60-64",Flat_file!$E:$E,"020",Flat_file!$F:$F,"I")+SUMIFS(Flat_file!$G:$G,Flat_file!$B:$B,Summary_Inactive!$B$2,Flat_file!$C:$C,"Men",Flat_file!$D:$D,"60-64",Flat_file!$E:$E,"030",Flat_file!$F:$F,"I")</f>
        <v>0</v>
      </c>
      <c r="D15" s="89">
        <f>SUMIFS(Flat_file!$G:$G,Flat_file!$B:$B,Summary_Inactive!$B$2,Flat_file!$C:$C,"Men",Flat_file!$D:$D,"60-64",Flat_file!$E:$E,"100",Flat_file!$F:$F,"I")</f>
        <v>0</v>
      </c>
      <c r="E15" s="89">
        <f>SUMIFS(Flat_file!$G:$G,Flat_file!$B:$B,Summary_Inactive!$B$2,Flat_file!$C:$C,"Men",Flat_file!$D:$D,"60-64",Flat_file!$E:$E,"242",Flat_file!$F:$F,"I")+SUMIFS(Flat_file!$G:$G,Flat_file!$B:$B,Summary_Inactive!$B$2,Flat_file!$C:$C,"Men",Flat_file!$D:$D,"60-64",Flat_file!$E:$E,"252",Flat_file!$F:$F,"I")</f>
        <v>0</v>
      </c>
      <c r="F15" s="89">
        <f>SUMIFS(Flat_file!$G:$G,Flat_file!$B:$B,Summary_Inactive!$B$2,Flat_file!$C:$C,"Men",Flat_file!$D:$D,"60-64",Flat_file!$E:$E,"243",Flat_file!$F:$F,"I")+SUMIFS(Flat_file!$G:$G,Flat_file!$B:$B,Summary_Inactive!$B$2,Flat_file!$C:$C,"Men",Flat_file!$D:$D,"60-64",Flat_file!$E:$E,"244",Flat_file!$F:$F,"I")+SUMIFS(Flat_file!$G:$G,Flat_file!$B:$B,Summary_Inactive!$B$2,Flat_file!$C:$C,"Men",Flat_file!$D:$D,"60-64",Flat_file!$E:$E,"253",Flat_file!$F:$F,"I")+SUMIFS(Flat_file!$G:$G,Flat_file!$B:$B,Summary_Inactive!$B$2,Flat_file!$C:$C,"Men",Flat_file!$D:$D,"60-64",Flat_file!$E:$E,"254",Flat_file!$F:$F,"I")</f>
        <v>0</v>
      </c>
      <c r="G15" s="89">
        <f>SUMIFS(Flat_file!$G:$G,Flat_file!$B:$B,Summary_Inactive!$B$2,Flat_file!$C:$C,"Men",Flat_file!$D:$D,"60-64",Flat_file!$E:$E,"342",Flat_file!$F:$F,"I")+SUMIFS(Flat_file!$G:$G,Flat_file!$B:$B,Summary_Inactive!$B$2,Flat_file!$C:$C,"Men",Flat_file!$D:$D,"60-64",Flat_file!$E:$E,"352",Flat_file!$F:$F,"I")</f>
        <v>0</v>
      </c>
      <c r="H15" s="89">
        <f>SUMIFS(Flat_file!$G:$G,Flat_file!$B:$B,Summary_Inactive!$B$2,Flat_file!$C:$C,"Men",Flat_file!$D:$D,"60-64",Flat_file!$E:$E,"343",Flat_file!$F:$F,"I")+SUMIFS(Flat_file!$G:$G,Flat_file!$B:$B,Summary_Inactive!$B$2,Flat_file!$C:$C,"Men",Flat_file!$D:$D,"60-64",Flat_file!$E:$E,"344",Flat_file!$F:$F,"I")+SUMIFS(Flat_file!$G:$G,Flat_file!$B:$B,Summary_Inactive!$B$2,Flat_file!$C:$C,"Men",Flat_file!$D:$D,"60-64",Flat_file!$E:$E,"353",Flat_file!$F:$F,"I")+SUMIFS(Flat_file!$G:$G,Flat_file!$B:$B,Summary_Inactive!$B$2,Flat_file!$C:$C,"Men",Flat_file!$D:$D,"60-64",Flat_file!$E:$E,"354",Flat_file!$F:$F,"I")</f>
        <v>0</v>
      </c>
      <c r="I15" s="89">
        <f>SUMIFS(Flat_file!$G:$G,Flat_file!$B:$B,Summary_Inactive!$B$2,Flat_file!$C:$C,"Men",Flat_file!$D:$D,"60-64",Flat_file!$E:$E,"443",Flat_file!$F:$F,"I")+SUMIFS(Flat_file!$G:$G,Flat_file!$B:$B,Summary_Inactive!$B$2,Flat_file!$C:$C,"Men",Flat_file!$D:$D,"60-64",Flat_file!$E:$E,"444",Flat_file!$F:$F,"I")+SUMIFS(Flat_file!$G:$G,Flat_file!$B:$B,Summary_Inactive!$B$2,Flat_file!$C:$C,"Men",Flat_file!$D:$D,"60-64",Flat_file!$E:$E,"453",Flat_file!$F:$F,"I")+SUMIFS(Flat_file!$G:$G,Flat_file!$B:$B,Summary_Inactive!$B$2,Flat_file!$C:$C,"Men",Flat_file!$D:$D,"60-64",Flat_file!$E:$E,"454",Flat_file!$F:$F,"I")</f>
        <v>0</v>
      </c>
      <c r="J15" s="89">
        <f>SUMIFS(Flat_file!$G:$G,Flat_file!$B:$B,Summary_Inactive!$B$2,Flat_file!$C:$C,"Men",Flat_file!$D:$D,"60-64",Flat_file!$E:$E,"540",Flat_file!$F:$F,"I")+SUMIFS(Flat_file!$G:$G,Flat_file!$B:$B,Summary_Inactive!$B$2,Flat_file!$C:$C,"Men",Flat_file!$D:$D,"60-64",Flat_file!$E:$E,"550",Flat_file!$F:$F,"I")+SUMIFS(Flat_file!$G:$G,Flat_file!$B:$B,Summary_Inactive!$B$2,Flat_file!$C:$C,"Men",Flat_file!$D:$D,"60-64",Flat_file!$E:$E,"560",Flat_file!$F:$F,"I")</f>
        <v>0</v>
      </c>
      <c r="K15" s="89">
        <f>SUMIFS(Flat_file!$G:$G,Flat_file!$B:$B,Summary_Inactive!$B$2,Flat_file!$C:$C,"Men",Flat_file!$D:$D,"60-64",Flat_file!$E:$E,"640",Flat_file!$F:$F,"I")+SUMIFS(Flat_file!$G:$G,Flat_file!$B:$B,Summary_Inactive!$B$2,Flat_file!$C:$C,"Men",Flat_file!$D:$D,"60-64",Flat_file!$E:$E,"650",Flat_file!$F:$F,"I")+SUMIFS(Flat_file!$G:$G,Flat_file!$B:$B,Summary_Inactive!$B$2,Flat_file!$C:$C,"Men",Flat_file!$D:$D,"60-64",Flat_file!$E:$E,"660",Flat_file!$F:$F,"I")</f>
        <v>0</v>
      </c>
      <c r="L15" s="89">
        <f>SUMIFS(Flat_file!$G:$G,Flat_file!$B:$B,Summary_Inactive!$B$2,Flat_file!$C:$C,"Men",Flat_file!$D:$D,"60-64",Flat_file!$E:$E,"740",Flat_file!$F:$F,"I")+SUMIFS(Flat_file!$G:$G,Flat_file!$B:$B,Summary_Inactive!$B$2,Flat_file!$C:$C,"Men",Flat_file!$D:$D,"60-64",Flat_file!$E:$E,"750",Flat_file!$F:$F,"I")+SUMIFS(Flat_file!$G:$G,Flat_file!$B:$B,Summary_Inactive!$B$2,Flat_file!$C:$C,"Men",Flat_file!$D:$D,"60-64",Flat_file!$E:$E,"760",Flat_file!$F:$F,"I")</f>
        <v>0</v>
      </c>
      <c r="M15" s="89">
        <f>SUMIFS(Flat_file!$G:$G,Flat_file!$B:$B,Summary_Inactive!$B$2,Flat_file!$C:$C,"Men",Flat_file!$D:$D,"60-64",Flat_file!$E:$E,"840",Flat_file!$F:$F,"I")+SUMIFS(Flat_file!$G:$G,Flat_file!$B:$B,Summary_Inactive!$B$2,Flat_file!$C:$C,"Men",Flat_file!$D:$D,"60-64",Flat_file!$E:$E,"850",Flat_file!$F:$F,"I")+SUMIFS(Flat_file!$G:$G,Flat_file!$B:$B,Summary_Inactive!$B$2,Flat_file!$C:$C,"Men",Flat_file!$D:$D,"60-64",Flat_file!$E:$E,"860",Flat_file!$F:$F,"I")</f>
        <v>0</v>
      </c>
      <c r="N15" s="89">
        <f>SUMIFS(Flat_file!$G:$G,Flat_file!$B:$B,Summary_Inactive!$B$2,Flat_file!$C:$C,"Men",Flat_file!$D:$D,"60-64",Flat_file!$E:$E,"999",Flat_file!$F:$F,"I")</f>
        <v>0</v>
      </c>
      <c r="O15" s="89">
        <f t="shared" si="0"/>
        <v>0</v>
      </c>
      <c r="P15" s="90"/>
      <c r="Q15" s="89">
        <f t="shared" si="1"/>
        <v>0</v>
      </c>
      <c r="R15" s="91"/>
      <c r="S15" s="89">
        <f t="shared" si="2"/>
        <v>0</v>
      </c>
      <c r="T15" s="89">
        <f t="shared" si="3"/>
        <v>0</v>
      </c>
      <c r="U15" s="89">
        <f t="shared" si="4"/>
        <v>0</v>
      </c>
      <c r="V15" s="90"/>
      <c r="W15" s="89">
        <f>SUMIFS(Flat_file!$G:$G,Flat_file!$B:$B,Summary_Inactive!$B$2,Flat_file!$C:$C,"Men",Flat_file!$D:$D,"60-64",Flat_file!$E:$E,"343",Flat_file!$F:$F,"I")+SUMIFS(Flat_file!$G:$G,Flat_file!$B:$B,Summary_Inactive!$B$2,Flat_file!$C:$C,"Men",Flat_file!$D:$D,"60-64",Flat_file!$E:$E,"344",Flat_file!$F:$F,"I")+SUMIFS(Flat_file!$G:$G,Flat_file!$B:$B,Summary_Inactive!$B$2,Flat_file!$C:$C,"Men",Flat_file!$D:$D,"60-64",Flat_file!$E:$E,"443",Flat_file!$F:$F,"I")+SUMIFS(Flat_file!$G:$G,Flat_file!$B:$B,Summary_Inactive!$B$2,Flat_file!$C:$C,"Men",Flat_file!$D:$D,"60-64",Flat_file!$E:$E,"444",Flat_file!$F:$F,"I")</f>
        <v>0</v>
      </c>
      <c r="X15" s="89">
        <f>SUMIFS(Flat_file!$G:$G,Flat_file!$B:$B,Summary_Inactive!$B$2,Flat_file!$C:$C,"Men",Flat_file!$D:$D,"60-64",Flat_file!$E:$E,"353",Flat_file!$F:$F,"I")+SUMIFS(Flat_file!$G:$G,Flat_file!$B:$B,Summary_Inactive!$B$2,Flat_file!$C:$C,"Men",Flat_file!$D:$D,"60-64",Flat_file!$E:$E,"354",Flat_file!$F:$F,"I")+SUMIFS(Flat_file!$G:$G,Flat_file!$B:$B,Summary_Inactive!$B$2,Flat_file!$C:$C,"Men",Flat_file!$D:$D,"60-64",Flat_file!$E:$E,"453",Flat_file!$F:$F,"I")+SUMIFS(Flat_file!$G:$G,Flat_file!$B:$B,Summary_Inactive!$B$2,Flat_file!$C:$C,"Men",Flat_file!$D:$D,"60-64",Flat_file!$E:$E,"454",Flat_file!$F:$F,"I")</f>
        <v>0</v>
      </c>
      <c r="Y15" s="90"/>
      <c r="Z15" s="89">
        <f>SUMIFS(Flat_file!$G:$G,Flat_file!$B:$B,Summary_Inactive!$B$2,Flat_file!$C:$C,"Men",Flat_file!$D:$D,"60-64",Flat_file!$E:$E,"640",Flat_file!$F:$F,"I")+SUMIFS(Flat_file!$G:$G,Flat_file!$B:$B,Summary_Inactive!$B$2,Flat_file!$C:$C,"Men",Flat_file!$D:$D,"60-64",Flat_file!$E:$E,"740",Flat_file!$F:$F,"I")+SUMIFS(Flat_file!$G:$G,Flat_file!$B:$B,Summary_Inactive!$B$2,Flat_file!$C:$C,"Men",Flat_file!$D:$D,"60-64",Flat_file!$E:$E,"840",Flat_file!$F:$F,"I")</f>
        <v>0</v>
      </c>
      <c r="AA15" s="89">
        <f>SUMIFS(Flat_file!$G:$G,Flat_file!$B:$B,Summary_Inactive!$B$2,Flat_file!$C:$C,"Men",Flat_file!$D:$D,"60-64",Flat_file!$E:$E,"650",Flat_file!$F:$F,"I")+SUMIFS(Flat_file!$G:$G,Flat_file!$B:$B,Summary_Inactive!$B$2,Flat_file!$C:$C,"Men",Flat_file!$D:$D,"60-64",Flat_file!$E:$E,"750",Flat_file!$F:$F,"I")+SUMIFS(Flat_file!$G:$G,Flat_file!$B:$B,Summary_Inactive!$B$2,Flat_file!$C:$C,"Men",Flat_file!$D:$D,"60-64",Flat_file!$E:$E,"850",Flat_file!$F:$F,"I")</f>
        <v>0</v>
      </c>
      <c r="AB15" s="89">
        <f>SUMIFS(Flat_file!$G:$G,Flat_file!$B:$B,Summary_Inactive!$B$2,Flat_file!$C:$C,"Men",Flat_file!$D:$D,"60-64",Flat_file!$E:$E,"660",Flat_file!$F:$F,"I")+SUMIFS(Flat_file!$G:$G,Flat_file!$B:$B,Summary_Inactive!$B$2,Flat_file!$C:$C,"Men",Flat_file!$D:$D,"60-64",Flat_file!$E:$E,"760",Flat_file!$F:$F,"I")+SUMIFS(Flat_file!$G:$G,Flat_file!$B:$B,Summary_Inactive!$B$2,Flat_file!$C:$C,"Men",Flat_file!$D:$D,"60-64",Flat_file!$E:$E,"860",Flat_file!$F:$F,"I")</f>
        <v>0</v>
      </c>
      <c r="AC15" s="3"/>
      <c r="AD15" s="3"/>
      <c r="AE15" s="3"/>
      <c r="AF15" s="3"/>
      <c r="AG15" s="3"/>
      <c r="AH15" s="3"/>
      <c r="AI15" s="3"/>
      <c r="AJ15" s="3"/>
      <c r="AK15" s="3"/>
      <c r="AL15" s="3"/>
      <c r="AM15" s="3"/>
      <c r="AN15" s="3"/>
      <c r="AO15" s="3"/>
      <c r="AP15" s="3"/>
      <c r="AQ15" s="3"/>
      <c r="AR15" s="3"/>
      <c r="AS15" s="3"/>
    </row>
    <row r="16" spans="1:45" customFormat="1" x14ac:dyDescent="0.2">
      <c r="A16" s="352"/>
      <c r="B16" s="79" t="s">
        <v>258</v>
      </c>
      <c r="C16" s="225">
        <f>SUMIFS(Flat_file!$G:$G,Flat_file!$B:$B,Summary_Inactive!$B$2,Flat_file!$C:$C,"Men",Flat_file!$D:$D,"65-69",Flat_file!$E:$E,"010",Flat_file!$F:$F,"I")+SUMIFS(Flat_file!$G:$G,Flat_file!$B:$B,Summary_Inactive!$B$2,Flat_file!$C:$C,"Men",Flat_file!$D:$D,"65-69",Flat_file!$E:$E,"020",Flat_file!$F:$F,"I")+SUMIFS(Flat_file!$G:$G,Flat_file!$B:$B,Summary_Inactive!$B$2,Flat_file!$C:$C,"Men",Flat_file!$D:$D,"65-69",Flat_file!$E:$E,"030",Flat_file!$F:$F,"I")</f>
        <v>0</v>
      </c>
      <c r="D16" s="225">
        <f>SUMIFS(Flat_file!$G:$G,Flat_file!$B:$B,Summary_Inactive!$B$2,Flat_file!$C:$C,"Men",Flat_file!$D:$D,"65-69",Flat_file!$E:$E,"100",Flat_file!$F:$F,"I")</f>
        <v>0</v>
      </c>
      <c r="E16" s="225">
        <f>SUMIFS(Flat_file!$G:$G,Flat_file!$B:$B,Summary_Inactive!$B$2,Flat_file!$C:$C,"Men",Flat_file!$D:$D,"65-69",Flat_file!$E:$E,"242",Flat_file!$F:$F,"I")+SUMIFS(Flat_file!$G:$G,Flat_file!$B:$B,Summary_Inactive!$B$2,Flat_file!$C:$C,"Men",Flat_file!$D:$D,"65-69",Flat_file!$E:$E,"252",Flat_file!$F:$F,"I")</f>
        <v>0</v>
      </c>
      <c r="F16" s="225">
        <f>SUMIFS(Flat_file!$G:$G,Flat_file!$B:$B,Summary_Inactive!$B$2,Flat_file!$C:$C,"Men",Flat_file!$D:$D,"65-69",Flat_file!$E:$E,"243",Flat_file!$F:$F,"I")+SUMIFS(Flat_file!$G:$G,Flat_file!$B:$B,Summary_Inactive!$B$2,Flat_file!$C:$C,"Men",Flat_file!$D:$D,"65-69",Flat_file!$E:$E,"244",Flat_file!$F:$F,"I")+SUMIFS(Flat_file!$G:$G,Flat_file!$B:$B,Summary_Inactive!$B$2,Flat_file!$C:$C,"Men",Flat_file!$D:$D,"65-69",Flat_file!$E:$E,"253",Flat_file!$F:$F,"I")+SUMIFS(Flat_file!$G:$G,Flat_file!$B:$B,Summary_Inactive!$B$2,Flat_file!$C:$C,"Men",Flat_file!$D:$D,"65-69",Flat_file!$E:$E,"254",Flat_file!$F:$F,"I")</f>
        <v>0</v>
      </c>
      <c r="G16" s="225">
        <f>SUMIFS(Flat_file!$G:$G,Flat_file!$B:$B,Summary_Inactive!$B$2,Flat_file!$C:$C,"Men",Flat_file!$D:$D,"65-69",Flat_file!$E:$E,"342",Flat_file!$F:$F,"I")+SUMIFS(Flat_file!$G:$G,Flat_file!$B:$B,Summary_Inactive!$B$2,Flat_file!$C:$C,"Men",Flat_file!$D:$D,"65-69",Flat_file!$E:$E,"352",Flat_file!$F:$F,"I")</f>
        <v>0</v>
      </c>
      <c r="H16" s="225">
        <f>SUMIFS(Flat_file!$G:$G,Flat_file!$B:$B,Summary_Inactive!$B$2,Flat_file!$C:$C,"Men",Flat_file!$D:$D,"65-69",Flat_file!$E:$E,"343",Flat_file!$F:$F,"I")+SUMIFS(Flat_file!$G:$G,Flat_file!$B:$B,Summary_Inactive!$B$2,Flat_file!$C:$C,"Men",Flat_file!$D:$D,"65-69",Flat_file!$E:$E,"344",Flat_file!$F:$F,"I")+SUMIFS(Flat_file!$G:$G,Flat_file!$B:$B,Summary_Inactive!$B$2,Flat_file!$C:$C,"Men",Flat_file!$D:$D,"65-69",Flat_file!$E:$E,"353",Flat_file!$F:$F,"I")+SUMIFS(Flat_file!$G:$G,Flat_file!$B:$B,Summary_Inactive!$B$2,Flat_file!$C:$C,"Men",Flat_file!$D:$D,"65-69",Flat_file!$E:$E,"354",Flat_file!$F:$F,"I")</f>
        <v>0</v>
      </c>
      <c r="I16" s="225">
        <f>SUMIFS(Flat_file!$G:$G,Flat_file!$B:$B,Summary_Inactive!$B$2,Flat_file!$C:$C,"Men",Flat_file!$D:$D,"65-69",Flat_file!$E:$E,"443",Flat_file!$F:$F,"I")+SUMIFS(Flat_file!$G:$G,Flat_file!$B:$B,Summary_Inactive!$B$2,Flat_file!$C:$C,"Men",Flat_file!$D:$D,"65-69",Flat_file!$E:$E,"444",Flat_file!$F:$F,"I")+SUMIFS(Flat_file!$G:$G,Flat_file!$B:$B,Summary_Inactive!$B$2,Flat_file!$C:$C,"Men",Flat_file!$D:$D,"65-69",Flat_file!$E:$E,"453",Flat_file!$F:$F,"I")+SUMIFS(Flat_file!$G:$G,Flat_file!$B:$B,Summary_Inactive!$B$2,Flat_file!$C:$C,"Men",Flat_file!$D:$D,"65-69",Flat_file!$E:$E,"454",Flat_file!$F:$F,"I")</f>
        <v>0</v>
      </c>
      <c r="J16" s="225">
        <f>SUMIFS(Flat_file!$G:$G,Flat_file!$B:$B,Summary_Inactive!$B$2,Flat_file!$C:$C,"Men",Flat_file!$D:$D,"65-69",Flat_file!$E:$E,"540",Flat_file!$F:$F,"I")+SUMIFS(Flat_file!$G:$G,Flat_file!$B:$B,Summary_Inactive!$B$2,Flat_file!$C:$C,"Men",Flat_file!$D:$D,"65-69",Flat_file!$E:$E,"550",Flat_file!$F:$F,"I")+SUMIFS(Flat_file!$G:$G,Flat_file!$B:$B,Summary_Inactive!$B$2,Flat_file!$C:$C,"Men",Flat_file!$D:$D,"65-69",Flat_file!$E:$E,"560",Flat_file!$F:$F,"I")</f>
        <v>0</v>
      </c>
      <c r="K16" s="225">
        <f>SUMIFS(Flat_file!$G:$G,Flat_file!$B:$B,Summary_Inactive!$B$2,Flat_file!$C:$C,"Men",Flat_file!$D:$D,"65-69",Flat_file!$E:$E,"640",Flat_file!$F:$F,"I")+SUMIFS(Flat_file!$G:$G,Flat_file!$B:$B,Summary_Inactive!$B$2,Flat_file!$C:$C,"Men",Flat_file!$D:$D,"65-69",Flat_file!$E:$E,"650",Flat_file!$F:$F,"I")+SUMIFS(Flat_file!$G:$G,Flat_file!$B:$B,Summary_Inactive!$B$2,Flat_file!$C:$C,"Men",Flat_file!$D:$D,"65-69",Flat_file!$E:$E,"660",Flat_file!$F:$F,"I")</f>
        <v>0</v>
      </c>
      <c r="L16" s="225">
        <f>SUMIFS(Flat_file!$G:$G,Flat_file!$B:$B,Summary_Inactive!$B$2,Flat_file!$C:$C,"Men",Flat_file!$D:$D,"65-69",Flat_file!$E:$E,"740",Flat_file!$F:$F,"I")+SUMIFS(Flat_file!$G:$G,Flat_file!$B:$B,Summary_Inactive!$B$2,Flat_file!$C:$C,"Men",Flat_file!$D:$D,"65-69",Flat_file!$E:$E,"750",Flat_file!$F:$F,"I")+SUMIFS(Flat_file!$G:$G,Flat_file!$B:$B,Summary_Inactive!$B$2,Flat_file!$C:$C,"Men",Flat_file!$D:$D,"65-69",Flat_file!$E:$E,"760",Flat_file!$F:$F,"I")</f>
        <v>0</v>
      </c>
      <c r="M16" s="225">
        <f>SUMIFS(Flat_file!$G:$G,Flat_file!$B:$B,Summary_Inactive!$B$2,Flat_file!$C:$C,"Men",Flat_file!$D:$D,"65-69",Flat_file!$E:$E,"840",Flat_file!$F:$F,"I")+SUMIFS(Flat_file!$G:$G,Flat_file!$B:$B,Summary_Inactive!$B$2,Flat_file!$C:$C,"Men",Flat_file!$D:$D,"65-69",Flat_file!$E:$E,"850",Flat_file!$F:$F,"I")+SUMIFS(Flat_file!$G:$G,Flat_file!$B:$B,Summary_Inactive!$B$2,Flat_file!$C:$C,"Men",Flat_file!$D:$D,"65-69",Flat_file!$E:$E,"860",Flat_file!$F:$F,"I")</f>
        <v>0</v>
      </c>
      <c r="N16" s="225">
        <f>SUMIFS(Flat_file!$G:$G,Flat_file!$B:$B,Summary_Inactive!$B$2,Flat_file!$C:$C,"Men",Flat_file!$D:$D,"65-69",Flat_file!$E:$E,"999",Flat_file!$F:$F,"I")</f>
        <v>0</v>
      </c>
      <c r="O16" s="225">
        <f t="shared" si="0"/>
        <v>0</v>
      </c>
      <c r="P16" s="90"/>
      <c r="Q16" s="225">
        <f t="shared" si="1"/>
        <v>0</v>
      </c>
      <c r="R16" s="91"/>
      <c r="S16" s="225">
        <f t="shared" si="2"/>
        <v>0</v>
      </c>
      <c r="T16" s="225">
        <f t="shared" si="3"/>
        <v>0</v>
      </c>
      <c r="U16" s="225">
        <f t="shared" si="4"/>
        <v>0</v>
      </c>
      <c r="V16" s="90"/>
      <c r="W16" s="225">
        <f>SUMIFS(Flat_file!$G:$G,Flat_file!$B:$B,Summary_Inactive!$B$2,Flat_file!$C:$C,"Men",Flat_file!$D:$D,"65-69",Flat_file!$E:$E,"343",Flat_file!$F:$F,"I")+SUMIFS(Flat_file!$G:$G,Flat_file!$B:$B,Summary_Inactive!$B$2,Flat_file!$C:$C,"Men",Flat_file!$D:$D,"65-69",Flat_file!$E:$E,"344",Flat_file!$F:$F,"I")+SUMIFS(Flat_file!$G:$G,Flat_file!$B:$B,Summary_Inactive!$B$2,Flat_file!$C:$C,"Men",Flat_file!$D:$D,"65-69",Flat_file!$E:$E,"443",Flat_file!$F:$F,"I")+SUMIFS(Flat_file!$G:$G,Flat_file!$B:$B,Summary_Inactive!$B$2,Flat_file!$C:$C,"Men",Flat_file!$D:$D,"65-69",Flat_file!$E:$E,"444",Flat_file!$F:$F,"I")</f>
        <v>0</v>
      </c>
      <c r="X16" s="225">
        <f>SUMIFS(Flat_file!$G:$G,Flat_file!$B:$B,Summary_Inactive!$B$2,Flat_file!$C:$C,"Men",Flat_file!$D:$D,"65-69",Flat_file!$E:$E,"353",Flat_file!$F:$F,"I")+SUMIFS(Flat_file!$G:$G,Flat_file!$B:$B,Summary_Inactive!$B$2,Flat_file!$C:$C,"Men",Flat_file!$D:$D,"65-69",Flat_file!$E:$E,"354",Flat_file!$F:$F,"I")+SUMIFS(Flat_file!$G:$G,Flat_file!$B:$B,Summary_Inactive!$B$2,Flat_file!$C:$C,"Men",Flat_file!$D:$D,"65-69",Flat_file!$E:$E,"453",Flat_file!$F:$F,"I")+SUMIFS(Flat_file!$G:$G,Flat_file!$B:$B,Summary_Inactive!$B$2,Flat_file!$C:$C,"Men",Flat_file!$D:$D,"65-69",Flat_file!$E:$E,"454",Flat_file!$F:$F,"I")</f>
        <v>0</v>
      </c>
      <c r="Y16" s="90"/>
      <c r="Z16" s="225">
        <f>SUMIFS(Flat_file!$G:$G,Flat_file!$B:$B,Summary_Inactive!$B$2,Flat_file!$C:$C,"Men",Flat_file!$D:$D,"65-69",Flat_file!$E:$E,"640",Flat_file!$F:$F,"I")+SUMIFS(Flat_file!$G:$G,Flat_file!$B:$B,Summary_Inactive!$B$2,Flat_file!$C:$C,"Men",Flat_file!$D:$D,"65-69",Flat_file!$E:$E,"740",Flat_file!$F:$F,"I")+SUMIFS(Flat_file!$G:$G,Flat_file!$B:$B,Summary_Inactive!$B$2,Flat_file!$C:$C,"Men",Flat_file!$D:$D,"65-69",Flat_file!$E:$E,"840",Flat_file!$F:$F,"I")</f>
        <v>0</v>
      </c>
      <c r="AA16" s="225">
        <f>SUMIFS(Flat_file!$G:$G,Flat_file!$B:$B,Summary_Inactive!$B$2,Flat_file!$C:$C,"Men",Flat_file!$D:$D,"65-69",Flat_file!$E:$E,"650",Flat_file!$F:$F,"I")+SUMIFS(Flat_file!$G:$G,Flat_file!$B:$B,Summary_Inactive!$B$2,Flat_file!$C:$C,"Men",Flat_file!$D:$D,"65-69",Flat_file!$E:$E,"750",Flat_file!$F:$F,"I")+SUMIFS(Flat_file!$G:$G,Flat_file!$B:$B,Summary_Inactive!$B$2,Flat_file!$C:$C,"Men",Flat_file!$D:$D,"65-69",Flat_file!$E:$E,"850",Flat_file!$F:$F,"I")</f>
        <v>0</v>
      </c>
      <c r="AB16" s="225">
        <f>SUMIFS(Flat_file!$G:$G,Flat_file!$B:$B,Summary_Inactive!$B$2,Flat_file!$C:$C,"Men",Flat_file!$D:$D,"65-69",Flat_file!$E:$E,"660",Flat_file!$F:$F,"I")+SUMIFS(Flat_file!$G:$G,Flat_file!$B:$B,Summary_Inactive!$B$2,Flat_file!$C:$C,"Men",Flat_file!$D:$D,"65-69",Flat_file!$E:$E,"760",Flat_file!$F:$F,"I")+SUMIFS(Flat_file!$G:$G,Flat_file!$B:$B,Summary_Inactive!$B$2,Flat_file!$C:$C,"Men",Flat_file!$D:$D,"65-69",Flat_file!$E:$E,"860",Flat_file!$F:$F,"I")</f>
        <v>0</v>
      </c>
      <c r="AC16" s="3"/>
      <c r="AD16" s="3"/>
      <c r="AE16" s="3"/>
      <c r="AF16" s="3"/>
      <c r="AG16" s="3"/>
      <c r="AH16" s="3"/>
      <c r="AI16" s="3"/>
      <c r="AJ16" s="3"/>
      <c r="AK16" s="3"/>
      <c r="AL16" s="3"/>
      <c r="AM16" s="3"/>
      <c r="AN16" s="3"/>
      <c r="AO16" s="3"/>
      <c r="AP16" s="3"/>
      <c r="AQ16" s="3"/>
      <c r="AR16" s="3"/>
      <c r="AS16" s="3"/>
    </row>
    <row r="17" spans="1:45" customFormat="1" x14ac:dyDescent="0.2">
      <c r="A17" s="352"/>
      <c r="B17" s="79" t="s">
        <v>260</v>
      </c>
      <c r="C17" s="225">
        <f>SUMIFS(Flat_file!$G:$G,Flat_file!$B:$B,Summary_Inactive!$B$2,Flat_file!$C:$C,"Men",Flat_file!$D:$D,"70-74",Flat_file!$E:$E,"010",Flat_file!$F:$F,"I")+SUMIFS(Flat_file!$G:$G,Flat_file!$B:$B,Summary_Inactive!$B$2,Flat_file!$C:$C,"Men",Flat_file!$D:$D,"70-74",Flat_file!$E:$E,"020",Flat_file!$F:$F,"I")+SUMIFS(Flat_file!$G:$G,Flat_file!$B:$B,Summary_Inactive!$B$2,Flat_file!$C:$C,"Men",Flat_file!$D:$D,"70-74",Flat_file!$E:$E,"030",Flat_file!$F:$F,"I")</f>
        <v>0</v>
      </c>
      <c r="D17" s="225">
        <f>SUMIFS(Flat_file!$G:$G,Flat_file!$B:$B,Summary_Inactive!$B$2,Flat_file!$C:$C,"Men",Flat_file!$D:$D,"70-74",Flat_file!$E:$E,"100",Flat_file!$F:$F,"I")</f>
        <v>0</v>
      </c>
      <c r="E17" s="225">
        <f>SUMIFS(Flat_file!$G:$G,Flat_file!$B:$B,Summary_Inactive!$B$2,Flat_file!$C:$C,"Men",Flat_file!$D:$D,"70-74",Flat_file!$E:$E,"242",Flat_file!$F:$F,"I")+SUMIFS(Flat_file!$G:$G,Flat_file!$B:$B,Summary_Inactive!$B$2,Flat_file!$C:$C,"Men",Flat_file!$D:$D,"70-74",Flat_file!$E:$E,"252",Flat_file!$F:$F,"I")</f>
        <v>0</v>
      </c>
      <c r="F17" s="225">
        <f>SUMIFS(Flat_file!$G:$G,Flat_file!$B:$B,Summary_Inactive!$B$2,Flat_file!$C:$C,"Men",Flat_file!$D:$D,"70-74",Flat_file!$E:$E,"243",Flat_file!$F:$F,"I")+SUMIFS(Flat_file!$G:$G,Flat_file!$B:$B,Summary_Inactive!$B$2,Flat_file!$C:$C,"Men",Flat_file!$D:$D,"70-74",Flat_file!$E:$E,"244",Flat_file!$F:$F,"I")+SUMIFS(Flat_file!$G:$G,Flat_file!$B:$B,Summary_Inactive!$B$2,Flat_file!$C:$C,"Men",Flat_file!$D:$D,"70-74",Flat_file!$E:$E,"253",Flat_file!$F:$F,"I")+SUMIFS(Flat_file!$G:$G,Flat_file!$B:$B,Summary_Inactive!$B$2,Flat_file!$C:$C,"Men",Flat_file!$D:$D,"70-74",Flat_file!$E:$E,"254",Flat_file!$F:$F,"I")</f>
        <v>0</v>
      </c>
      <c r="G17" s="225">
        <f>SUMIFS(Flat_file!$G:$G,Flat_file!$B:$B,Summary_Inactive!$B$2,Flat_file!$C:$C,"Men",Flat_file!$D:$D,"70-74",Flat_file!$E:$E,"342",Flat_file!$F:$F,"I")+SUMIFS(Flat_file!$G:$G,Flat_file!$B:$B,Summary_Inactive!$B$2,Flat_file!$C:$C,"Men",Flat_file!$D:$D,"70-74",Flat_file!$E:$E,"352",Flat_file!$F:$F,"I")</f>
        <v>0</v>
      </c>
      <c r="H17" s="225">
        <f>SUMIFS(Flat_file!$G:$G,Flat_file!$B:$B,Summary_Inactive!$B$2,Flat_file!$C:$C,"Men",Flat_file!$D:$D,"70-74",Flat_file!$E:$E,"343",Flat_file!$F:$F,"I")+SUMIFS(Flat_file!$G:$G,Flat_file!$B:$B,Summary_Inactive!$B$2,Flat_file!$C:$C,"Men",Flat_file!$D:$D,"70-74",Flat_file!$E:$E,"344",Flat_file!$F:$F,"I")+SUMIFS(Flat_file!$G:$G,Flat_file!$B:$B,Summary_Inactive!$B$2,Flat_file!$C:$C,"Men",Flat_file!$D:$D,"70-74",Flat_file!$E:$E,"353",Flat_file!$F:$F,"I")+SUMIFS(Flat_file!$G:$G,Flat_file!$B:$B,Summary_Inactive!$B$2,Flat_file!$C:$C,"Men",Flat_file!$D:$D,"70-74",Flat_file!$E:$E,"354",Flat_file!$F:$F,"I")</f>
        <v>0</v>
      </c>
      <c r="I17" s="225">
        <f>SUMIFS(Flat_file!$G:$G,Flat_file!$B:$B,Summary_Inactive!$B$2,Flat_file!$C:$C,"Men",Flat_file!$D:$D,"70-74",Flat_file!$E:$E,"443",Flat_file!$F:$F,"I")+SUMIFS(Flat_file!$G:$G,Flat_file!$B:$B,Summary_Inactive!$B$2,Flat_file!$C:$C,"Men",Flat_file!$D:$D,"70-74",Flat_file!$E:$E,"444",Flat_file!$F:$F,"I")+SUMIFS(Flat_file!$G:$G,Flat_file!$B:$B,Summary_Inactive!$B$2,Flat_file!$C:$C,"Men",Flat_file!$D:$D,"70-74",Flat_file!$E:$E,"453",Flat_file!$F:$F,"I")+SUMIFS(Flat_file!$G:$G,Flat_file!$B:$B,Summary_Inactive!$B$2,Flat_file!$C:$C,"Men",Flat_file!$D:$D,"70-74",Flat_file!$E:$E,"454",Flat_file!$F:$F,"I")</f>
        <v>0</v>
      </c>
      <c r="J17" s="225">
        <f>SUMIFS(Flat_file!$G:$G,Flat_file!$B:$B,Summary_Inactive!$B$2,Flat_file!$C:$C,"Men",Flat_file!$D:$D,"70-74",Flat_file!$E:$E,"540",Flat_file!$F:$F,"I")+SUMIFS(Flat_file!$G:$G,Flat_file!$B:$B,Summary_Inactive!$B$2,Flat_file!$C:$C,"Men",Flat_file!$D:$D,"70-74",Flat_file!$E:$E,"550",Flat_file!$F:$F,"I")+SUMIFS(Flat_file!$G:$G,Flat_file!$B:$B,Summary_Inactive!$B$2,Flat_file!$C:$C,"Men",Flat_file!$D:$D,"70-74",Flat_file!$E:$E,"560",Flat_file!$F:$F,"I")</f>
        <v>0</v>
      </c>
      <c r="K17" s="225">
        <f>SUMIFS(Flat_file!$G:$G,Flat_file!$B:$B,Summary_Inactive!$B$2,Flat_file!$C:$C,"Men",Flat_file!$D:$D,"70-74",Flat_file!$E:$E,"640",Flat_file!$F:$F,"I")+SUMIFS(Flat_file!$G:$G,Flat_file!$B:$B,Summary_Inactive!$B$2,Flat_file!$C:$C,"Men",Flat_file!$D:$D,"70-74",Flat_file!$E:$E,"650",Flat_file!$F:$F,"I")+SUMIFS(Flat_file!$G:$G,Flat_file!$B:$B,Summary_Inactive!$B$2,Flat_file!$C:$C,"Men",Flat_file!$D:$D,"70-74",Flat_file!$E:$E,"660",Flat_file!$F:$F,"I")</f>
        <v>0</v>
      </c>
      <c r="L17" s="225">
        <f>SUMIFS(Flat_file!$G:$G,Flat_file!$B:$B,Summary_Inactive!$B$2,Flat_file!$C:$C,"Men",Flat_file!$D:$D,"70-74",Flat_file!$E:$E,"740",Flat_file!$F:$F,"I")+SUMIFS(Flat_file!$G:$G,Flat_file!$B:$B,Summary_Inactive!$B$2,Flat_file!$C:$C,"Men",Flat_file!$D:$D,"70-74",Flat_file!$E:$E,"750",Flat_file!$F:$F,"I")+SUMIFS(Flat_file!$G:$G,Flat_file!$B:$B,Summary_Inactive!$B$2,Flat_file!$C:$C,"Men",Flat_file!$D:$D,"70-74",Flat_file!$E:$E,"760",Flat_file!$F:$F,"I")</f>
        <v>0</v>
      </c>
      <c r="M17" s="225">
        <f>SUMIFS(Flat_file!$G:$G,Flat_file!$B:$B,Summary_Inactive!$B$2,Flat_file!$C:$C,"Men",Flat_file!$D:$D,"70-74",Flat_file!$E:$E,"840",Flat_file!$F:$F,"I")+SUMIFS(Flat_file!$G:$G,Flat_file!$B:$B,Summary_Inactive!$B$2,Flat_file!$C:$C,"Men",Flat_file!$D:$D,"70-74",Flat_file!$E:$E,"850",Flat_file!$F:$F,"I")+SUMIFS(Flat_file!$G:$G,Flat_file!$B:$B,Summary_Inactive!$B$2,Flat_file!$C:$C,"Men",Flat_file!$D:$D,"70-74",Flat_file!$E:$E,"860",Flat_file!$F:$F,"I")</f>
        <v>0</v>
      </c>
      <c r="N17" s="225">
        <f>SUMIFS(Flat_file!$G:$G,Flat_file!$B:$B,Summary_Inactive!$B$2,Flat_file!$C:$C,"Men",Flat_file!$D:$D,"70-74",Flat_file!$E:$E,"999",Flat_file!$F:$F,"I")</f>
        <v>0</v>
      </c>
      <c r="O17" s="225">
        <f t="shared" si="0"/>
        <v>0</v>
      </c>
      <c r="P17" s="90"/>
      <c r="Q17" s="225">
        <f t="shared" si="1"/>
        <v>0</v>
      </c>
      <c r="R17" s="91"/>
      <c r="S17" s="225">
        <f t="shared" si="2"/>
        <v>0</v>
      </c>
      <c r="T17" s="225">
        <f t="shared" si="3"/>
        <v>0</v>
      </c>
      <c r="U17" s="225">
        <f t="shared" si="4"/>
        <v>0</v>
      </c>
      <c r="V17" s="90"/>
      <c r="W17" s="225">
        <f>SUMIFS(Flat_file!$G:$G,Flat_file!$B:$B,Summary_Inactive!$B$2,Flat_file!$C:$C,"Men",Flat_file!$D:$D,"70-74",Flat_file!$E:$E,"343",Flat_file!$F:$F,"I")+SUMIFS(Flat_file!$G:$G,Flat_file!$B:$B,Summary_Inactive!$B$2,Flat_file!$C:$C,"Men",Flat_file!$D:$D,"70-74",Flat_file!$E:$E,"344",Flat_file!$F:$F,"I")+SUMIFS(Flat_file!$G:$G,Flat_file!$B:$B,Summary_Inactive!$B$2,Flat_file!$C:$C,"Men",Flat_file!$D:$D,"70-74",Flat_file!$E:$E,"443",Flat_file!$F:$F,"I")+SUMIFS(Flat_file!$G:$G,Flat_file!$B:$B,Summary_Inactive!$B$2,Flat_file!$C:$C,"Men",Flat_file!$D:$D,"70-74",Flat_file!$E:$E,"444",Flat_file!$F:$F,"I")</f>
        <v>0</v>
      </c>
      <c r="X17" s="225">
        <f>SUMIFS(Flat_file!$G:$G,Flat_file!$B:$B,Summary_Inactive!$B$2,Flat_file!$C:$C,"Men",Flat_file!$D:$D,"70-74",Flat_file!$E:$E,"353",Flat_file!$F:$F,"I")+SUMIFS(Flat_file!$G:$G,Flat_file!$B:$B,Summary_Inactive!$B$2,Flat_file!$C:$C,"Men",Flat_file!$D:$D,"70-74",Flat_file!$E:$E,"354",Flat_file!$F:$F,"I")+SUMIFS(Flat_file!$G:$G,Flat_file!$B:$B,Summary_Inactive!$B$2,Flat_file!$C:$C,"Men",Flat_file!$D:$D,"70-74",Flat_file!$E:$E,"453",Flat_file!$F:$F,"I")+SUMIFS(Flat_file!$G:$G,Flat_file!$B:$B,Summary_Inactive!$B$2,Flat_file!$C:$C,"Men",Flat_file!$D:$D,"70-74",Flat_file!$E:$E,"454",Flat_file!$F:$F,"I")</f>
        <v>0</v>
      </c>
      <c r="Y17" s="90"/>
      <c r="Z17" s="225">
        <f>SUMIFS(Flat_file!$G:$G,Flat_file!$B:$B,Summary_Inactive!$B$2,Flat_file!$C:$C,"Men",Flat_file!$D:$D,"70-74",Flat_file!$E:$E,"640",Flat_file!$F:$F,"I")+SUMIFS(Flat_file!$G:$G,Flat_file!$B:$B,Summary_Inactive!$B$2,Flat_file!$C:$C,"Men",Flat_file!$D:$D,"70-74",Flat_file!$E:$E,"740",Flat_file!$F:$F,"I")+SUMIFS(Flat_file!$G:$G,Flat_file!$B:$B,Summary_Inactive!$B$2,Flat_file!$C:$C,"Men",Flat_file!$D:$D,"70-74",Flat_file!$E:$E,"840",Flat_file!$F:$F,"I")</f>
        <v>0</v>
      </c>
      <c r="AA17" s="225">
        <f>SUMIFS(Flat_file!$G:$G,Flat_file!$B:$B,Summary_Inactive!$B$2,Flat_file!$C:$C,"Men",Flat_file!$D:$D,"70-74",Flat_file!$E:$E,"650",Flat_file!$F:$F,"I")+SUMIFS(Flat_file!$G:$G,Flat_file!$B:$B,Summary_Inactive!$B$2,Flat_file!$C:$C,"Men",Flat_file!$D:$D,"70-74",Flat_file!$E:$E,"750",Flat_file!$F:$F,"I")+SUMIFS(Flat_file!$G:$G,Flat_file!$B:$B,Summary_Inactive!$B$2,Flat_file!$C:$C,"Men",Flat_file!$D:$D,"70-74",Flat_file!$E:$E,"850",Flat_file!$F:$F,"I")</f>
        <v>0</v>
      </c>
      <c r="AB17" s="225">
        <f>SUMIFS(Flat_file!$G:$G,Flat_file!$B:$B,Summary_Inactive!$B$2,Flat_file!$C:$C,"Men",Flat_file!$D:$D,"70-74",Flat_file!$E:$E,"660",Flat_file!$F:$F,"I")+SUMIFS(Flat_file!$G:$G,Flat_file!$B:$B,Summary_Inactive!$B$2,Flat_file!$C:$C,"Men",Flat_file!$D:$D,"70-74",Flat_file!$E:$E,"760",Flat_file!$F:$F,"I")+SUMIFS(Flat_file!$G:$G,Flat_file!$B:$B,Summary_Inactive!$B$2,Flat_file!$C:$C,"Men",Flat_file!$D:$D,"70-74",Flat_file!$E:$E,"860",Flat_file!$F:$F,"I")</f>
        <v>0</v>
      </c>
      <c r="AC17" s="3"/>
      <c r="AD17" s="3"/>
      <c r="AE17" s="3"/>
      <c r="AF17" s="3"/>
      <c r="AG17" s="3"/>
      <c r="AH17" s="3"/>
      <c r="AI17" s="3"/>
      <c r="AJ17" s="3"/>
      <c r="AK17" s="3"/>
      <c r="AL17" s="3"/>
      <c r="AM17" s="3"/>
      <c r="AN17" s="3"/>
      <c r="AO17" s="3"/>
      <c r="AP17" s="3"/>
      <c r="AQ17" s="3"/>
      <c r="AR17" s="3"/>
      <c r="AS17" s="3"/>
    </row>
    <row r="18" spans="1:45" customFormat="1" ht="13.5" thickBot="1" x14ac:dyDescent="0.25">
      <c r="A18" s="353"/>
      <c r="B18" s="80" t="s">
        <v>261</v>
      </c>
      <c r="C18" s="92">
        <f>SUMIFS(Flat_file!$G:$G,Flat_file!$B:$B,Summary_Inactive!$B$2,Flat_file!$C:$C,"Men",Flat_file!$D:$D,"75+",Flat_file!$E:$E,"010",Flat_file!$F:$F,"I")+SUMIFS(Flat_file!$G:$G,Flat_file!$B:$B,Summary_Inactive!$B$2,Flat_file!$C:$C,"Men",Flat_file!$D:$D,"75+",Flat_file!$E:$E,"020",Flat_file!$F:$F,"I")+SUMIFS(Flat_file!$G:$G,Flat_file!$B:$B,Summary_Inactive!$B$2,Flat_file!$C:$C,"Men",Flat_file!$D:$D,"75+",Flat_file!$E:$E,"030",Flat_file!$F:$F,"I")</f>
        <v>0</v>
      </c>
      <c r="D18" s="92">
        <f>SUMIFS(Flat_file!$G:$G,Flat_file!$B:$B,Summary_Inactive!$B$2,Flat_file!$C:$C,"Men",Flat_file!$D:$D,"75+",Flat_file!$E:$E,"100",Flat_file!$F:$F,"I")</f>
        <v>0</v>
      </c>
      <c r="E18" s="92">
        <f>SUMIFS(Flat_file!$G:$G,Flat_file!$B:$B,Summary_Inactive!$B$2,Flat_file!$C:$C,"Men",Flat_file!$D:$D,"75+",Flat_file!$E:$E,"242",Flat_file!$F:$F,"I")+SUMIFS(Flat_file!$G:$G,Flat_file!$B:$B,Summary_Inactive!$B$2,Flat_file!$C:$C,"Men",Flat_file!$D:$D,"75+",Flat_file!$E:$E,"252",Flat_file!$F:$F,"I")</f>
        <v>0</v>
      </c>
      <c r="F18" s="92">
        <f>SUMIFS(Flat_file!$G:$G,Flat_file!$B:$B,Summary_Inactive!$B$2,Flat_file!$C:$C,"Men",Flat_file!$D:$D,"75+",Flat_file!$E:$E,"243",Flat_file!$F:$F,"I")+SUMIFS(Flat_file!$G:$G,Flat_file!$B:$B,Summary_Inactive!$B$2,Flat_file!$C:$C,"Men",Flat_file!$D:$D,"75+",Flat_file!$E:$E,"244",Flat_file!$F:$F,"I")+SUMIFS(Flat_file!$G:$G,Flat_file!$B:$B,Summary_Inactive!$B$2,Flat_file!$C:$C,"Men",Flat_file!$D:$D,"75+",Flat_file!$E:$E,"253",Flat_file!$F:$F,"I")+SUMIFS(Flat_file!$G:$G,Flat_file!$B:$B,Summary_Inactive!$B$2,Flat_file!$C:$C,"Men",Flat_file!$D:$D,"75+",Flat_file!$E:$E,"254",Flat_file!$F:$F,"I")</f>
        <v>0</v>
      </c>
      <c r="G18" s="92">
        <f>SUMIFS(Flat_file!$G:$G,Flat_file!$B:$B,Summary_Inactive!$B$2,Flat_file!$C:$C,"Men",Flat_file!$D:$D,"75+",Flat_file!$E:$E,"342",Flat_file!$F:$F,"I")+SUMIFS(Flat_file!$G:$G,Flat_file!$B:$B,Summary_Inactive!$B$2,Flat_file!$C:$C,"Men",Flat_file!$D:$D,"75+",Flat_file!$E:$E,"352",Flat_file!$F:$F,"I")</f>
        <v>0</v>
      </c>
      <c r="H18" s="92">
        <f>SUMIFS(Flat_file!$G:$G,Flat_file!$B:$B,Summary_Inactive!$B$2,Flat_file!$C:$C,"Men",Flat_file!$D:$D,"75+",Flat_file!$E:$E,"343",Flat_file!$F:$F,"I")+SUMIFS(Flat_file!$G:$G,Flat_file!$B:$B,Summary_Inactive!$B$2,Flat_file!$C:$C,"Men",Flat_file!$D:$D,"75+",Flat_file!$E:$E,"344",Flat_file!$F:$F,"I")+SUMIFS(Flat_file!$G:$G,Flat_file!$B:$B,Summary_Inactive!$B$2,Flat_file!$C:$C,"Men",Flat_file!$D:$D,"75+",Flat_file!$E:$E,"353",Flat_file!$F:$F,"I")+SUMIFS(Flat_file!$G:$G,Flat_file!$B:$B,Summary_Inactive!$B$2,Flat_file!$C:$C,"Men",Flat_file!$D:$D,"75+",Flat_file!$E:$E,"354",Flat_file!$F:$F,"I")</f>
        <v>0</v>
      </c>
      <c r="I18" s="92">
        <f>SUMIFS(Flat_file!$G:$G,Flat_file!$B:$B,Summary_Inactive!$B$2,Flat_file!$C:$C,"Men",Flat_file!$D:$D,"75+",Flat_file!$E:$E,"443",Flat_file!$F:$F,"I")+SUMIFS(Flat_file!$G:$G,Flat_file!$B:$B,Summary_Inactive!$B$2,Flat_file!$C:$C,"Men",Flat_file!$D:$D,"75+",Flat_file!$E:$E,"444",Flat_file!$F:$F,"I")+SUMIFS(Flat_file!$G:$G,Flat_file!$B:$B,Summary_Inactive!$B$2,Flat_file!$C:$C,"Men",Flat_file!$D:$D,"75+",Flat_file!$E:$E,"453",Flat_file!$F:$F,"I")+SUMIFS(Flat_file!$G:$G,Flat_file!$B:$B,Summary_Inactive!$B$2,Flat_file!$C:$C,"Men",Flat_file!$D:$D,"75+",Flat_file!$E:$E,"454",Flat_file!$F:$F,"I")</f>
        <v>0</v>
      </c>
      <c r="J18" s="92">
        <f>SUMIFS(Flat_file!$G:$G,Flat_file!$B:$B,Summary_Inactive!$B$2,Flat_file!$C:$C,"Men",Flat_file!$D:$D,"75+",Flat_file!$E:$E,"540",Flat_file!$F:$F,"I")+SUMIFS(Flat_file!$G:$G,Flat_file!$B:$B,Summary_Inactive!$B$2,Flat_file!$C:$C,"Men",Flat_file!$D:$D,"75+",Flat_file!$E:$E,"550",Flat_file!$F:$F,"I")+SUMIFS(Flat_file!$G:$G,Flat_file!$B:$B,Summary_Inactive!$B$2,Flat_file!$C:$C,"Men",Flat_file!$D:$D,"75+",Flat_file!$E:$E,"560",Flat_file!$F:$F,"I")</f>
        <v>0</v>
      </c>
      <c r="K18" s="92">
        <f>SUMIFS(Flat_file!$G:$G,Flat_file!$B:$B,Summary_Inactive!$B$2,Flat_file!$C:$C,"Men",Flat_file!$D:$D,"75+",Flat_file!$E:$E,"640",Flat_file!$F:$F,"I")+SUMIFS(Flat_file!$G:$G,Flat_file!$B:$B,Summary_Inactive!$B$2,Flat_file!$C:$C,"Men",Flat_file!$D:$D,"75+",Flat_file!$E:$E,"650",Flat_file!$F:$F,"I")+SUMIFS(Flat_file!$G:$G,Flat_file!$B:$B,Summary_Inactive!$B$2,Flat_file!$C:$C,"Men",Flat_file!$D:$D,"75+",Flat_file!$E:$E,"660",Flat_file!$F:$F,"I")</f>
        <v>0</v>
      </c>
      <c r="L18" s="92">
        <f>SUMIFS(Flat_file!$G:$G,Flat_file!$B:$B,Summary_Inactive!$B$2,Flat_file!$C:$C,"Men",Flat_file!$D:$D,"75+",Flat_file!$E:$E,"740",Flat_file!$F:$F,"I")+SUMIFS(Flat_file!$G:$G,Flat_file!$B:$B,Summary_Inactive!$B$2,Flat_file!$C:$C,"Men",Flat_file!$D:$D,"75+",Flat_file!$E:$E,"750",Flat_file!$F:$F,"I")+SUMIFS(Flat_file!$G:$G,Flat_file!$B:$B,Summary_Inactive!$B$2,Flat_file!$C:$C,"Men",Flat_file!$D:$D,"75+",Flat_file!$E:$E,"760",Flat_file!$F:$F,"I")</f>
        <v>0</v>
      </c>
      <c r="M18" s="92">
        <f>SUMIFS(Flat_file!$G:$G,Flat_file!$B:$B,Summary_Inactive!$B$2,Flat_file!$C:$C,"Men",Flat_file!$D:$D,"75+",Flat_file!$E:$E,"840",Flat_file!$F:$F,"I")+SUMIFS(Flat_file!$G:$G,Flat_file!$B:$B,Summary_Inactive!$B$2,Flat_file!$C:$C,"Men",Flat_file!$D:$D,"75+",Flat_file!$E:$E,"850",Flat_file!$F:$F,"I")+SUMIFS(Flat_file!$G:$G,Flat_file!$B:$B,Summary_Inactive!$B$2,Flat_file!$C:$C,"Men",Flat_file!$D:$D,"75+",Flat_file!$E:$E,"860",Flat_file!$F:$F,"I")</f>
        <v>0</v>
      </c>
      <c r="N18" s="92">
        <f>SUMIFS(Flat_file!$G:$G,Flat_file!$B:$B,Summary_Inactive!$B$2,Flat_file!$C:$C,"Men",Flat_file!$D:$D,"75+",Flat_file!$E:$E,"999",Flat_file!$F:$F,"I")</f>
        <v>0</v>
      </c>
      <c r="O18" s="92">
        <f t="shared" si="0"/>
        <v>0</v>
      </c>
      <c r="P18" s="93"/>
      <c r="Q18" s="92">
        <f t="shared" si="1"/>
        <v>0</v>
      </c>
      <c r="R18" s="94"/>
      <c r="S18" s="92">
        <f t="shared" si="2"/>
        <v>0</v>
      </c>
      <c r="T18" s="92">
        <f t="shared" si="3"/>
        <v>0</v>
      </c>
      <c r="U18" s="92">
        <f t="shared" si="4"/>
        <v>0</v>
      </c>
      <c r="V18" s="93"/>
      <c r="W18" s="92">
        <f>SUMIFS(Flat_file!$G:$G,Flat_file!$B:$B,Summary_Inactive!$B$2,Flat_file!$C:$C,"Men",Flat_file!$D:$D,"75+",Flat_file!$E:$E,"343",Flat_file!$F:$F,"I")+SUMIFS(Flat_file!$G:$G,Flat_file!$B:$B,Summary_Inactive!$B$2,Flat_file!$C:$C,"Men",Flat_file!$D:$D,"75+",Flat_file!$E:$E,"344",Flat_file!$F:$F,"I")+SUMIFS(Flat_file!$G:$G,Flat_file!$B:$B,Summary_Inactive!$B$2,Flat_file!$C:$C,"Men",Flat_file!$D:$D,"75+",Flat_file!$E:$E,"443",Flat_file!$F:$F,"I")+SUMIFS(Flat_file!$G:$G,Flat_file!$B:$B,Summary_Inactive!$B$2,Flat_file!$C:$C,"Men",Flat_file!$D:$D,"75+",Flat_file!$E:$E,"444",Flat_file!$F:$F,"I")</f>
        <v>0</v>
      </c>
      <c r="X18" s="92">
        <f>SUMIFS(Flat_file!$G:$G,Flat_file!$B:$B,Summary_Inactive!$B$2,Flat_file!$C:$C,"Men",Flat_file!$D:$D,"75+",Flat_file!$E:$E,"353",Flat_file!$F:$F,"I")+SUMIFS(Flat_file!$G:$G,Flat_file!$B:$B,Summary_Inactive!$B$2,Flat_file!$C:$C,"Men",Flat_file!$D:$D,"75+",Flat_file!$E:$E,"354",Flat_file!$F:$F,"I")+SUMIFS(Flat_file!$G:$G,Flat_file!$B:$B,Summary_Inactive!$B$2,Flat_file!$C:$C,"Men",Flat_file!$D:$D,"75+",Flat_file!$E:$E,"453",Flat_file!$F:$F,"I")+SUMIFS(Flat_file!$G:$G,Flat_file!$B:$B,Summary_Inactive!$B$2,Flat_file!$C:$C,"Men",Flat_file!$D:$D,"75+",Flat_file!$E:$E,"454",Flat_file!$F:$F,"I")</f>
        <v>0</v>
      </c>
      <c r="Y18" s="93"/>
      <c r="Z18" s="92">
        <f>SUMIFS(Flat_file!$G:$G,Flat_file!$B:$B,Summary_Inactive!$B$2,Flat_file!$C:$C,"Men",Flat_file!$D:$D,"75+",Flat_file!$E:$E,"640",Flat_file!$F:$F,"I")+SUMIFS(Flat_file!$G:$G,Flat_file!$B:$B,Summary_Inactive!$B$2,Flat_file!$C:$C,"Men",Flat_file!$D:$D,"75+",Flat_file!$E:$E,"740",Flat_file!$F:$F,"I")+SUMIFS(Flat_file!$G:$G,Flat_file!$B:$B,Summary_Inactive!$B$2,Flat_file!$C:$C,"Men",Flat_file!$D:$D,"75+",Flat_file!$E:$E,"840",Flat_file!$F:$F,"I")</f>
        <v>0</v>
      </c>
      <c r="AA18" s="92">
        <f>SUMIFS(Flat_file!$G:$G,Flat_file!$B:$B,Summary_Inactive!$B$2,Flat_file!$C:$C,"Men",Flat_file!$D:$D,"75+",Flat_file!$E:$E,"650",Flat_file!$F:$F,"I")+SUMIFS(Flat_file!$G:$G,Flat_file!$B:$B,Summary_Inactive!$B$2,Flat_file!$C:$C,"Men",Flat_file!$D:$D,"75+",Flat_file!$E:$E,"750",Flat_file!$F:$F,"I")+SUMIFS(Flat_file!$G:$G,Flat_file!$B:$B,Summary_Inactive!$B$2,Flat_file!$C:$C,"Men",Flat_file!$D:$D,"75+",Flat_file!$E:$E,"850",Flat_file!$F:$F,"I")</f>
        <v>0</v>
      </c>
      <c r="AB18" s="92">
        <f>SUMIFS(Flat_file!$G:$G,Flat_file!$B:$B,Summary_Inactive!$B$2,Flat_file!$C:$C,"Men",Flat_file!$D:$D,"75+",Flat_file!$E:$E,"660",Flat_file!$F:$F,"I")+SUMIFS(Flat_file!$G:$G,Flat_file!$B:$B,Summary_Inactive!$B$2,Flat_file!$C:$C,"Men",Flat_file!$D:$D,"75+",Flat_file!$E:$E,"760",Flat_file!$F:$F,"I")+SUMIFS(Flat_file!$G:$G,Flat_file!$B:$B,Summary_Inactive!$B$2,Flat_file!$C:$C,"Men",Flat_file!$D:$D,"75+",Flat_file!$E:$E,"860",Flat_file!$F:$F,"I")</f>
        <v>0</v>
      </c>
      <c r="AC18" s="3"/>
      <c r="AD18" s="3"/>
      <c r="AE18" s="3"/>
      <c r="AF18" s="3"/>
      <c r="AG18" s="3"/>
      <c r="AH18" s="3"/>
      <c r="AI18" s="3"/>
      <c r="AJ18" s="3"/>
      <c r="AK18" s="3"/>
      <c r="AL18" s="3"/>
      <c r="AM18" s="3"/>
      <c r="AN18" s="3"/>
      <c r="AO18" s="3"/>
      <c r="AP18" s="3"/>
      <c r="AQ18" s="3"/>
      <c r="AR18" s="3"/>
      <c r="AS18" s="3"/>
    </row>
    <row r="19" spans="1:45" customFormat="1" ht="12.75" customHeight="1" x14ac:dyDescent="0.2">
      <c r="A19" s="351" t="s">
        <v>6</v>
      </c>
      <c r="B19" s="78" t="s">
        <v>87</v>
      </c>
      <c r="C19" s="86">
        <f>SUMIFS(Flat_file!$G:$G,Flat_file!$B:$B,Summary_Inactive!$B$2,Flat_file!$C:$C,"Women",Flat_file!$D:$D,"15-19",Flat_file!$E:$E,"010",Flat_file!$F:$F,"I")+SUMIFS(Flat_file!$G:$G,Flat_file!$B:$B,Summary_Inactive!$B$2,Flat_file!$C:$C,"Women",Flat_file!$D:$D,"15-19",Flat_file!$E:$E,"020",Flat_file!$F:$F,"I")+SUMIFS(Flat_file!$G:$G,Flat_file!$B:$B,Summary_Inactive!$B$2,Flat_file!$C:$C,"Women",Flat_file!$D:$D,"15-19",Flat_file!$E:$E,"030",Flat_file!$F:$F,"I")</f>
        <v>0</v>
      </c>
      <c r="D19" s="86">
        <f>SUMIFS(Flat_file!$G:$G,Flat_file!$B:$B,Summary_Inactive!$B$2,Flat_file!$C:$C,"Women",Flat_file!$D:$D,"15-19",Flat_file!$E:$E,"100",Flat_file!$F:$F,"I")</f>
        <v>0</v>
      </c>
      <c r="E19" s="86">
        <f>SUMIFS(Flat_file!$G:$G,Flat_file!$B:$B,Summary_Inactive!$B$2,Flat_file!$C:$C,"Women",Flat_file!$D:$D,"15-19",Flat_file!$E:$E,"242",Flat_file!$F:$F,"I")+SUMIFS(Flat_file!$G:$G,Flat_file!$B:$B,Summary_Inactive!$B$2,Flat_file!$C:$C,"Women",Flat_file!$D:$D,"15-19",Flat_file!$E:$E,"252",Flat_file!$F:$F,"I")</f>
        <v>0</v>
      </c>
      <c r="F19" s="86">
        <f>SUMIFS(Flat_file!$G:$G,Flat_file!$B:$B,Summary_Inactive!$B$2,Flat_file!$C:$C,"Women",Flat_file!$D:$D,"15-19",Flat_file!$E:$E,"243",Flat_file!$F:$F,"I")+SUMIFS(Flat_file!$G:$G,Flat_file!$B:$B,Summary_Inactive!$B$2,Flat_file!$C:$C,"Women",Flat_file!$D:$D,"15-19",Flat_file!$E:$E,"244",Flat_file!$F:$F,"I")+SUMIFS(Flat_file!$G:$G,Flat_file!$B:$B,Summary_Inactive!$B$2,Flat_file!$C:$C,"Women",Flat_file!$D:$D,"15-19",Flat_file!$E:$E,"253",Flat_file!$F:$F,"I")+SUMIFS(Flat_file!$G:$G,Flat_file!$B:$B,Summary_Inactive!$B$2,Flat_file!$C:$C,"Women",Flat_file!$D:$D,"15-19",Flat_file!$E:$E,"254",Flat_file!$F:$F,"I")</f>
        <v>0</v>
      </c>
      <c r="G19" s="86">
        <f>SUMIFS(Flat_file!$G:$G,Flat_file!$B:$B,Summary_Inactive!$B$2,Flat_file!$C:$C,"Women",Flat_file!$D:$D,"15-19",Flat_file!$E:$E,"342",Flat_file!$F:$F,"I")+SUMIFS(Flat_file!$G:$G,Flat_file!$B:$B,Summary_Inactive!$B$2,Flat_file!$C:$C,"Women",Flat_file!$D:$D,"15-19",Flat_file!$E:$E,"352",Flat_file!$F:$F,"I")</f>
        <v>0</v>
      </c>
      <c r="H19" s="86">
        <f>SUMIFS(Flat_file!$G:$G,Flat_file!$B:$B,Summary_Inactive!$B$2,Flat_file!$C:$C,"Women",Flat_file!$D:$D,"15-19",Flat_file!$E:$E,"343",Flat_file!$F:$F,"I")+SUMIFS(Flat_file!$G:$G,Flat_file!$B:$B,Summary_Inactive!$B$2,Flat_file!$C:$C,"Women",Flat_file!$D:$D,"15-19",Flat_file!$E:$E,"344",Flat_file!$F:$F,"I")+SUMIFS(Flat_file!$G:$G,Flat_file!$B:$B,Summary_Inactive!$B$2,Flat_file!$C:$C,"Women",Flat_file!$D:$D,"15-19",Flat_file!$E:$E,"353",Flat_file!$F:$F,"I")+SUMIFS(Flat_file!$G:$G,Flat_file!$B:$B,Summary_Inactive!$B$2,Flat_file!$C:$C,"Women",Flat_file!$D:$D,"15-19",Flat_file!$E:$E,"354",Flat_file!$F:$F,"I")</f>
        <v>0</v>
      </c>
      <c r="I19" s="86">
        <f>SUMIFS(Flat_file!$G:$G,Flat_file!$B:$B,Summary_Inactive!$B$2,Flat_file!$C:$C,"Women",Flat_file!$D:$D,"15-19",Flat_file!$E:$E,"443",Flat_file!$F:$F,"I")+SUMIFS(Flat_file!$G:$G,Flat_file!$B:$B,Summary_Inactive!$B$2,Flat_file!$C:$C,"Women",Flat_file!$D:$D,"15-19",Flat_file!$E:$E,"444",Flat_file!$F:$F,"I")+SUMIFS(Flat_file!$G:$G,Flat_file!$B:$B,Summary_Inactive!$B$2,Flat_file!$C:$C,"Women",Flat_file!$D:$D,"15-19",Flat_file!$E:$E,"453",Flat_file!$F:$F,"I")+SUMIFS(Flat_file!$G:$G,Flat_file!$B:$B,Summary_Inactive!$B$2,Flat_file!$C:$C,"Women",Flat_file!$D:$D,"15-19",Flat_file!$E:$E,"454",Flat_file!$F:$F,"I")</f>
        <v>0</v>
      </c>
      <c r="J19" s="86">
        <f>SUMIFS(Flat_file!$G:$G,Flat_file!$B:$B,Summary_Inactive!$B$2,Flat_file!$C:$C,"Women",Flat_file!$D:$D,"15-19",Flat_file!$E:$E,"540",Flat_file!$F:$F,"I")+SUMIFS(Flat_file!$G:$G,Flat_file!$B:$B,Summary_Inactive!$B$2,Flat_file!$C:$C,"Women",Flat_file!$D:$D,"15-19",Flat_file!$E:$E,"550",Flat_file!$F:$F,"I")+SUMIFS(Flat_file!$G:$G,Flat_file!$B:$B,Summary_Inactive!$B$2,Flat_file!$C:$C,"Women",Flat_file!$D:$D,"15-19",Flat_file!$E:$E,"560",Flat_file!$F:$F,"I")</f>
        <v>0</v>
      </c>
      <c r="K19" s="86">
        <f>SUMIFS(Flat_file!$G:$G,Flat_file!$B:$B,Summary_Inactive!$B$2,Flat_file!$C:$C,"Women",Flat_file!$D:$D,"15-19",Flat_file!$E:$E,"640",Flat_file!$F:$F,"I")+SUMIFS(Flat_file!$G:$G,Flat_file!$B:$B,Summary_Inactive!$B$2,Flat_file!$C:$C,"Women",Flat_file!$D:$D,"15-19",Flat_file!$E:$E,"650",Flat_file!$F:$F,"I")+SUMIFS(Flat_file!$G:$G,Flat_file!$B:$B,Summary_Inactive!$B$2,Flat_file!$C:$C,"Women",Flat_file!$D:$D,"15-19",Flat_file!$E:$E,"660",Flat_file!$F:$F,"I")</f>
        <v>0</v>
      </c>
      <c r="L19" s="86">
        <f>SUMIFS(Flat_file!$G:$G,Flat_file!$B:$B,Summary_Inactive!$B$2,Flat_file!$C:$C,"Women",Flat_file!$D:$D,"15-19",Flat_file!$E:$E,"740",Flat_file!$F:$F,"I")+SUMIFS(Flat_file!$G:$G,Flat_file!$B:$B,Summary_Inactive!$B$2,Flat_file!$C:$C,"Women",Flat_file!$D:$D,"15-19",Flat_file!$E:$E,"750",Flat_file!$F:$F,"I")+SUMIFS(Flat_file!$G:$G,Flat_file!$B:$B,Summary_Inactive!$B$2,Flat_file!$C:$C,"Women",Flat_file!$D:$D,"15-19",Flat_file!$E:$E,"760",Flat_file!$F:$F,"I")</f>
        <v>0</v>
      </c>
      <c r="M19" s="86">
        <f>SUMIFS(Flat_file!$G:$G,Flat_file!$B:$B,Summary_Inactive!$B$2,Flat_file!$C:$C,"Women",Flat_file!$D:$D,"15-19",Flat_file!$E:$E,"840",Flat_file!$F:$F,"I")+SUMIFS(Flat_file!$G:$G,Flat_file!$B:$B,Summary_Inactive!$B$2,Flat_file!$C:$C,"Women",Flat_file!$D:$D,"15-19",Flat_file!$E:$E,"850",Flat_file!$F:$F,"I")+SUMIFS(Flat_file!$G:$G,Flat_file!$B:$B,Summary_Inactive!$B$2,Flat_file!$C:$C,"Women",Flat_file!$D:$D,"15-19",Flat_file!$E:$E,"860",Flat_file!$F:$F,"I")</f>
        <v>0</v>
      </c>
      <c r="N19" s="86">
        <f>SUMIFS(Flat_file!$G:$G,Flat_file!$B:$B,Summary_Inactive!$B$2,Flat_file!$C:$C,"Women",Flat_file!$D:$D,"15-19",Flat_file!$E:$E,"999",Flat_file!$F:$F,"I")</f>
        <v>0</v>
      </c>
      <c r="O19" s="86">
        <f>SUM(C19:M19)</f>
        <v>0</v>
      </c>
      <c r="P19" s="87"/>
      <c r="Q19" s="86">
        <f>SUM(H19:M19)</f>
        <v>0</v>
      </c>
      <c r="R19" s="88"/>
      <c r="S19" s="86">
        <f>SUM(C19:G19)</f>
        <v>0</v>
      </c>
      <c r="T19" s="86">
        <f>SUM(H19:I19)</f>
        <v>0</v>
      </c>
      <c r="U19" s="86">
        <f>SUM(J19:M19)</f>
        <v>0</v>
      </c>
      <c r="V19" s="87"/>
      <c r="W19" s="86">
        <f>SUMIFS(Flat_file!$G:$G,Flat_file!$B:$B,Summary_Inactive!$B$2,Flat_file!$C:$C,"Women",Flat_file!$D:$D,"15-19",Flat_file!$E:$E,"343",Flat_file!$F:$F,"I")+SUMIFS(Flat_file!$G:$G,Flat_file!$B:$B,Summary_Inactive!$B$2,Flat_file!$C:$C,"Women",Flat_file!$D:$D,"15-19",Flat_file!$E:$E,"344",Flat_file!$F:$F,"I")+SUMIFS(Flat_file!$G:$G,Flat_file!$B:$B,Summary_Inactive!$B$2,Flat_file!$C:$C,"Women",Flat_file!$D:$D,"15-19",Flat_file!$E:$E,"443",Flat_file!$F:$F,"I")+SUMIFS(Flat_file!$G:$G,Flat_file!$B:$B,Summary_Inactive!$B$2,Flat_file!$C:$C,"Women",Flat_file!$D:$D,"15-19",Flat_file!$E:$E,"444",Flat_file!$F:$F,"I")</f>
        <v>0</v>
      </c>
      <c r="X19" s="86">
        <f>SUMIFS(Flat_file!$G:$G,Flat_file!$B:$B,Summary_Inactive!$B$2,Flat_file!$C:$C,"Women",Flat_file!$D:$D,"15-19",Flat_file!$E:$E,"353",Flat_file!$F:$F,"I")+SUMIFS(Flat_file!$G:$G,Flat_file!$B:$B,Summary_Inactive!$B$2,Flat_file!$C:$C,"Women",Flat_file!$D:$D,"15-19",Flat_file!$E:$E,"354",Flat_file!$F:$F,"I")+SUMIFS(Flat_file!$G:$G,Flat_file!$B:$B,Summary_Inactive!$B$2,Flat_file!$C:$C,"Women",Flat_file!$D:$D,"15-19",Flat_file!$E:$E,"453",Flat_file!$F:$F,"I")+SUMIFS(Flat_file!$G:$G,Flat_file!$B:$B,Summary_Inactive!$B$2,Flat_file!$C:$C,"Women",Flat_file!$D:$D,"15-19",Flat_file!$E:$E,"454",Flat_file!$F:$F,"I")</f>
        <v>0</v>
      </c>
      <c r="Y19" s="87"/>
      <c r="Z19" s="86">
        <f>SUMIFS(Flat_file!$G:$G,Flat_file!$B:$B,Summary_Inactive!$B$2,Flat_file!$C:$C,"Women",Flat_file!$D:$D,"15-19",Flat_file!$E:$E,"640",Flat_file!$F:$F,"I")+SUMIFS(Flat_file!$G:$G,Flat_file!$B:$B,Summary_Inactive!$B$2,Flat_file!$C:$C,"Women",Flat_file!$D:$D,"15-19",Flat_file!$E:$E,"740",Flat_file!$F:$F,"I")+SUMIFS(Flat_file!$G:$G,Flat_file!$B:$B,Summary_Inactive!$B$2,Flat_file!$C:$C,"Women",Flat_file!$D:$D,"15-19",Flat_file!$E:$E,"840",Flat_file!$F:$F,"I")</f>
        <v>0</v>
      </c>
      <c r="AA19" s="86">
        <f>SUMIFS(Flat_file!$G:$G,Flat_file!$B:$B,Summary_Inactive!$B$2,Flat_file!$C:$C,"Women",Flat_file!$D:$D,"15-19",Flat_file!$E:$E,"650",Flat_file!$F:$F,"I")+SUMIFS(Flat_file!$G:$G,Flat_file!$B:$B,Summary_Inactive!$B$2,Flat_file!$C:$C,"Women",Flat_file!$D:$D,"15-19",Flat_file!$E:$E,"750",Flat_file!$F:$F,"I")+SUMIFS(Flat_file!$G:$G,Flat_file!$B:$B,Summary_Inactive!$B$2,Flat_file!$C:$C,"Women",Flat_file!$D:$D,"15-19",Flat_file!$E:$E,"850",Flat_file!$F:$F,"I")</f>
        <v>0</v>
      </c>
      <c r="AB19" s="86">
        <f>SUMIFS(Flat_file!$G:$G,Flat_file!$B:$B,Summary_Inactive!$B$2,Flat_file!$C:$C,"Women",Flat_file!$D:$D,"15-19",Flat_file!$E:$E,"660",Flat_file!$F:$F,"I")+SUMIFS(Flat_file!$G:$G,Flat_file!$B:$B,Summary_Inactive!$B$2,Flat_file!$C:$C,"Women",Flat_file!$D:$D,"15-19",Flat_file!$E:$E,"760",Flat_file!$F:$F,"I")+SUMIFS(Flat_file!$G:$G,Flat_file!$B:$B,Summary_Inactive!$B$2,Flat_file!$C:$C,"Women",Flat_file!$D:$D,"15-19",Flat_file!$E:$E,"860",Flat_file!$F:$F,"I")</f>
        <v>0</v>
      </c>
      <c r="AC19" s="3"/>
      <c r="AD19" s="3"/>
      <c r="AE19" s="3"/>
      <c r="AF19" s="3"/>
      <c r="AG19" s="3"/>
      <c r="AH19" s="3"/>
      <c r="AI19" s="3"/>
      <c r="AJ19" s="3"/>
      <c r="AK19" s="3"/>
      <c r="AL19" s="3"/>
      <c r="AM19" s="3"/>
      <c r="AN19" s="3"/>
      <c r="AO19" s="3"/>
      <c r="AP19" s="3"/>
      <c r="AQ19" s="3"/>
      <c r="AR19" s="3"/>
      <c r="AS19" s="3"/>
    </row>
    <row r="20" spans="1:45" customFormat="1" x14ac:dyDescent="0.2">
      <c r="A20" s="352"/>
      <c r="B20" s="79" t="s">
        <v>88</v>
      </c>
      <c r="C20" s="89">
        <f>SUMIFS(Flat_file!$G:$G,Flat_file!$B:$B,Summary_Inactive!$B$2,Flat_file!$C:$C,"Women",Flat_file!$D:$D,"20-24",Flat_file!$E:$E,"010",Flat_file!$F:$F,"I")+SUMIFS(Flat_file!$G:$G,Flat_file!$B:$B,Summary_Inactive!$B$2,Flat_file!$C:$C,"Women",Flat_file!$D:$D,"20-24",Flat_file!$E:$E,"020",Flat_file!$F:$F,"I")+SUMIFS(Flat_file!$G:$G,Flat_file!$B:$B,Summary_Inactive!$B$2,Flat_file!$C:$C,"Women",Flat_file!$D:$D,"20-24",Flat_file!$E:$E,"030",Flat_file!$F:$F,"I")</f>
        <v>0</v>
      </c>
      <c r="D20" s="89">
        <f>SUMIFS(Flat_file!$G:$G,Flat_file!$B:$B,Summary_Inactive!$B$2,Flat_file!$C:$C,"Women",Flat_file!$D:$D,"20-24",Flat_file!$E:$E,"100",Flat_file!$F:$F,"I")</f>
        <v>0</v>
      </c>
      <c r="E20" s="89">
        <f>SUMIFS(Flat_file!$G:$G,Flat_file!$B:$B,Summary_Inactive!$B$2,Flat_file!$C:$C,"Women",Flat_file!$D:$D,"20-24",Flat_file!$E:$E,"242",Flat_file!$F:$F,"I")+SUMIFS(Flat_file!$G:$G,Flat_file!$B:$B,Summary_Inactive!$B$2,Flat_file!$C:$C,"Women",Flat_file!$D:$D,"20-24",Flat_file!$E:$E,"252",Flat_file!$F:$F,"I")</f>
        <v>0</v>
      </c>
      <c r="F20" s="89">
        <f>SUMIFS(Flat_file!$G:$G,Flat_file!$B:$B,Summary_Inactive!$B$2,Flat_file!$C:$C,"Women",Flat_file!$D:$D,"20-24",Flat_file!$E:$E,"243",Flat_file!$F:$F,"I")+SUMIFS(Flat_file!$G:$G,Flat_file!$B:$B,Summary_Inactive!$B$2,Flat_file!$C:$C,"Women",Flat_file!$D:$D,"20-24",Flat_file!$E:$E,"244",Flat_file!$F:$F,"I")+SUMIFS(Flat_file!$G:$G,Flat_file!$B:$B,Summary_Inactive!$B$2,Flat_file!$C:$C,"Women",Flat_file!$D:$D,"20-24",Flat_file!$E:$E,"253",Flat_file!$F:$F,"I")+SUMIFS(Flat_file!$G:$G,Flat_file!$B:$B,Summary_Inactive!$B$2,Flat_file!$C:$C,"Women",Flat_file!$D:$D,"20-24",Flat_file!$E:$E,"254",Flat_file!$F:$F,"I")</f>
        <v>0</v>
      </c>
      <c r="G20" s="89">
        <f>SUMIFS(Flat_file!$G:$G,Flat_file!$B:$B,Summary_Inactive!$B$2,Flat_file!$C:$C,"Women",Flat_file!$D:$D,"20-24",Flat_file!$E:$E,"342",Flat_file!$F:$F,"I")+SUMIFS(Flat_file!$G:$G,Flat_file!$B:$B,Summary_Inactive!$B$2,Flat_file!$C:$C,"Women",Flat_file!$D:$D,"20-24",Flat_file!$E:$E,"352",Flat_file!$F:$F,"I")</f>
        <v>0</v>
      </c>
      <c r="H20" s="89">
        <f>SUMIFS(Flat_file!$G:$G,Flat_file!$B:$B,Summary_Inactive!$B$2,Flat_file!$C:$C,"Women",Flat_file!$D:$D,"20-24",Flat_file!$E:$E,"343",Flat_file!$F:$F,"I")+SUMIFS(Flat_file!$G:$G,Flat_file!$B:$B,Summary_Inactive!$B$2,Flat_file!$C:$C,"Women",Flat_file!$D:$D,"20-24",Flat_file!$E:$E,"344",Flat_file!$F:$F,"I")+SUMIFS(Flat_file!$G:$G,Flat_file!$B:$B,Summary_Inactive!$B$2,Flat_file!$C:$C,"Women",Flat_file!$D:$D,"20-24",Flat_file!$E:$E,"353",Flat_file!$F:$F,"I")+SUMIFS(Flat_file!$G:$G,Flat_file!$B:$B,Summary_Inactive!$B$2,Flat_file!$C:$C,"Women",Flat_file!$D:$D,"20-24",Flat_file!$E:$E,"354",Flat_file!$F:$F,"I")</f>
        <v>0</v>
      </c>
      <c r="I20" s="89">
        <f>SUMIFS(Flat_file!$G:$G,Flat_file!$B:$B,Summary_Inactive!$B$2,Flat_file!$C:$C,"Women",Flat_file!$D:$D,"20-24",Flat_file!$E:$E,"443",Flat_file!$F:$F,"I")+SUMIFS(Flat_file!$G:$G,Flat_file!$B:$B,Summary_Inactive!$B$2,Flat_file!$C:$C,"Women",Flat_file!$D:$D,"20-24",Flat_file!$E:$E,"444",Flat_file!$F:$F,"I")+SUMIFS(Flat_file!$G:$G,Flat_file!$B:$B,Summary_Inactive!$B$2,Flat_file!$C:$C,"Women",Flat_file!$D:$D,"20-24",Flat_file!$E:$E,"453",Flat_file!$F:$F,"I")+SUMIFS(Flat_file!$G:$G,Flat_file!$B:$B,Summary_Inactive!$B$2,Flat_file!$C:$C,"Women",Flat_file!$D:$D,"20-24",Flat_file!$E:$E,"454",Flat_file!$F:$F,"I")</f>
        <v>0</v>
      </c>
      <c r="J20" s="89">
        <f>SUMIFS(Flat_file!$G:$G,Flat_file!$B:$B,Summary_Inactive!$B$2,Flat_file!$C:$C,"Women",Flat_file!$D:$D,"20-24",Flat_file!$E:$E,"540",Flat_file!$F:$F,"I")+SUMIFS(Flat_file!$G:$G,Flat_file!$B:$B,Summary_Inactive!$B$2,Flat_file!$C:$C,"Women",Flat_file!$D:$D,"20-24",Flat_file!$E:$E,"550",Flat_file!$F:$F,"I")+SUMIFS(Flat_file!$G:$G,Flat_file!$B:$B,Summary_Inactive!$B$2,Flat_file!$C:$C,"Women",Flat_file!$D:$D,"20-24",Flat_file!$E:$E,"560",Flat_file!$F:$F,"I")</f>
        <v>0</v>
      </c>
      <c r="K20" s="89">
        <f>SUMIFS(Flat_file!$G:$G,Flat_file!$B:$B,Summary_Inactive!$B$2,Flat_file!$C:$C,"Women",Flat_file!$D:$D,"20-24",Flat_file!$E:$E,"640",Flat_file!$F:$F,"I")+SUMIFS(Flat_file!$G:$G,Flat_file!$B:$B,Summary_Inactive!$B$2,Flat_file!$C:$C,"Women",Flat_file!$D:$D,"20-24",Flat_file!$E:$E,"650",Flat_file!$F:$F,"I")+SUMIFS(Flat_file!$G:$G,Flat_file!$B:$B,Summary_Inactive!$B$2,Flat_file!$C:$C,"Women",Flat_file!$D:$D,"20-24",Flat_file!$E:$E,"660",Flat_file!$F:$F,"I")</f>
        <v>0</v>
      </c>
      <c r="L20" s="89">
        <f>SUMIFS(Flat_file!$G:$G,Flat_file!$B:$B,Summary_Inactive!$B$2,Flat_file!$C:$C,"Women",Flat_file!$D:$D,"20-24",Flat_file!$E:$E,"740",Flat_file!$F:$F,"I")+SUMIFS(Flat_file!$G:$G,Flat_file!$B:$B,Summary_Inactive!$B$2,Flat_file!$C:$C,"Women",Flat_file!$D:$D,"20-24",Flat_file!$E:$E,"750",Flat_file!$F:$F,"I")+SUMIFS(Flat_file!$G:$G,Flat_file!$B:$B,Summary_Inactive!$B$2,Flat_file!$C:$C,"Women",Flat_file!$D:$D,"20-24",Flat_file!$E:$E,"760",Flat_file!$F:$F,"I")</f>
        <v>0</v>
      </c>
      <c r="M20" s="89">
        <f>SUMIFS(Flat_file!$G:$G,Flat_file!$B:$B,Summary_Inactive!$B$2,Flat_file!$C:$C,"Women",Flat_file!$D:$D,"20-24",Flat_file!$E:$E,"840",Flat_file!$F:$F,"I")+SUMIFS(Flat_file!$G:$G,Flat_file!$B:$B,Summary_Inactive!$B$2,Flat_file!$C:$C,"Women",Flat_file!$D:$D,"20-24",Flat_file!$E:$E,"850",Flat_file!$F:$F,"I")+SUMIFS(Flat_file!$G:$G,Flat_file!$B:$B,Summary_Inactive!$B$2,Flat_file!$C:$C,"Women",Flat_file!$D:$D,"20-24",Flat_file!$E:$E,"860",Flat_file!$F:$F,"I")</f>
        <v>0</v>
      </c>
      <c r="N20" s="89">
        <f>SUMIFS(Flat_file!$G:$G,Flat_file!$B:$B,Summary_Inactive!$B$2,Flat_file!$C:$C,"Women",Flat_file!$D:$D,"20-24",Flat_file!$E:$E,"999",Flat_file!$F:$F,"I")</f>
        <v>0</v>
      </c>
      <c r="O20" s="89">
        <f t="shared" ref="O20:O31" si="5">SUM(C20:M20)</f>
        <v>0</v>
      </c>
      <c r="P20" s="90"/>
      <c r="Q20" s="89">
        <f t="shared" ref="Q20:Q31" si="6">SUM(H20:M20)</f>
        <v>0</v>
      </c>
      <c r="R20" s="91"/>
      <c r="S20" s="89">
        <f t="shared" ref="S20:S31" si="7">SUM(C20:G20)</f>
        <v>0</v>
      </c>
      <c r="T20" s="89">
        <f t="shared" ref="T20:T31" si="8">SUM(H20:I20)</f>
        <v>0</v>
      </c>
      <c r="U20" s="89">
        <f t="shared" ref="U20:U31" si="9">SUM(J20:M20)</f>
        <v>0</v>
      </c>
      <c r="V20" s="90"/>
      <c r="W20" s="89">
        <f>SUMIFS(Flat_file!$G:$G,Flat_file!$B:$B,Summary_Inactive!$B$2,Flat_file!$C:$C,"Women",Flat_file!$D:$D,"20-24",Flat_file!$E:$E,"343",Flat_file!$F:$F,"I")+SUMIFS(Flat_file!$G:$G,Flat_file!$B:$B,Summary_Inactive!$B$2,Flat_file!$C:$C,"Women",Flat_file!$D:$D,"20-24",Flat_file!$E:$E,"344",Flat_file!$F:$F,"I")+SUMIFS(Flat_file!$G:$G,Flat_file!$B:$B,Summary_Inactive!$B$2,Flat_file!$C:$C,"Women",Flat_file!$D:$D,"20-24",Flat_file!$E:$E,"443",Flat_file!$F:$F,"I")+SUMIFS(Flat_file!$G:$G,Flat_file!$B:$B,Summary_Inactive!$B$2,Flat_file!$C:$C,"Women",Flat_file!$D:$D,"20-24",Flat_file!$E:$E,"444",Flat_file!$F:$F,"I")</f>
        <v>0</v>
      </c>
      <c r="X20" s="89">
        <f>SUMIFS(Flat_file!$G:$G,Flat_file!$B:$B,Summary_Inactive!$B$2,Flat_file!$C:$C,"Women",Flat_file!$D:$D,"20-24",Flat_file!$E:$E,"353",Flat_file!$F:$F,"I")+SUMIFS(Flat_file!$G:$G,Flat_file!$B:$B,Summary_Inactive!$B$2,Flat_file!$C:$C,"Women",Flat_file!$D:$D,"20-24",Flat_file!$E:$E,"354",Flat_file!$F:$F,"I")+SUMIFS(Flat_file!$G:$G,Flat_file!$B:$B,Summary_Inactive!$B$2,Flat_file!$C:$C,"Women",Flat_file!$D:$D,"20-24",Flat_file!$E:$E,"453",Flat_file!$F:$F,"I")+SUMIFS(Flat_file!$G:$G,Flat_file!$B:$B,Summary_Inactive!$B$2,Flat_file!$C:$C,"Women",Flat_file!$D:$D,"20-24",Flat_file!$E:$E,"454",Flat_file!$F:$F,"I")</f>
        <v>0</v>
      </c>
      <c r="Y20" s="90"/>
      <c r="Z20" s="89">
        <f>SUMIFS(Flat_file!$G:$G,Flat_file!$B:$B,Summary_Inactive!$B$2,Flat_file!$C:$C,"Women",Flat_file!$D:$D,"20-24",Flat_file!$E:$E,"640",Flat_file!$F:$F,"I")+SUMIFS(Flat_file!$G:$G,Flat_file!$B:$B,Summary_Inactive!$B$2,Flat_file!$C:$C,"Women",Flat_file!$D:$D,"20-24",Flat_file!$E:$E,"740",Flat_file!$F:$F,"I")+SUMIFS(Flat_file!$G:$G,Flat_file!$B:$B,Summary_Inactive!$B$2,Flat_file!$C:$C,"Women",Flat_file!$D:$D,"20-24",Flat_file!$E:$E,"840",Flat_file!$F:$F,"I")</f>
        <v>0</v>
      </c>
      <c r="AA20" s="89">
        <f>SUMIFS(Flat_file!$G:$G,Flat_file!$B:$B,Summary_Inactive!$B$2,Flat_file!$C:$C,"Women",Flat_file!$D:$D,"20-24",Flat_file!$E:$E,"650",Flat_file!$F:$F,"I")+SUMIFS(Flat_file!$G:$G,Flat_file!$B:$B,Summary_Inactive!$B$2,Flat_file!$C:$C,"Women",Flat_file!$D:$D,"20-24",Flat_file!$E:$E,"750",Flat_file!$F:$F,"I")+SUMIFS(Flat_file!$G:$G,Flat_file!$B:$B,Summary_Inactive!$B$2,Flat_file!$C:$C,"Women",Flat_file!$D:$D,"20-24",Flat_file!$E:$E,"850",Flat_file!$F:$F,"I")</f>
        <v>0</v>
      </c>
      <c r="AB20" s="89">
        <f>SUMIFS(Flat_file!$G:$G,Flat_file!$B:$B,Summary_Inactive!$B$2,Flat_file!$C:$C,"Women",Flat_file!$D:$D,"20-24",Flat_file!$E:$E,"660",Flat_file!$F:$F,"I")+SUMIFS(Flat_file!$G:$G,Flat_file!$B:$B,Summary_Inactive!$B$2,Flat_file!$C:$C,"Women",Flat_file!$D:$D,"20-24",Flat_file!$E:$E,"760",Flat_file!$F:$F,"I")+SUMIFS(Flat_file!$G:$G,Flat_file!$B:$B,Summary_Inactive!$B$2,Flat_file!$C:$C,"Women",Flat_file!$D:$D,"20-24",Flat_file!$E:$E,"860",Flat_file!$F:$F,"I")</f>
        <v>0</v>
      </c>
      <c r="AC20" s="3"/>
      <c r="AD20" s="3"/>
      <c r="AE20" s="3"/>
      <c r="AF20" s="3"/>
      <c r="AG20" s="3"/>
      <c r="AH20" s="3"/>
      <c r="AI20" s="3"/>
      <c r="AJ20" s="3"/>
      <c r="AK20" s="3"/>
      <c r="AL20" s="3"/>
      <c r="AM20" s="3"/>
      <c r="AN20" s="3"/>
      <c r="AO20" s="3"/>
      <c r="AP20" s="3"/>
      <c r="AQ20" s="3"/>
      <c r="AR20" s="3"/>
      <c r="AS20" s="3"/>
    </row>
    <row r="21" spans="1:45" customFormat="1" x14ac:dyDescent="0.2">
      <c r="A21" s="352"/>
      <c r="B21" s="79" t="s">
        <v>89</v>
      </c>
      <c r="C21" s="89">
        <f>SUMIFS(Flat_file!$G:$G,Flat_file!$B:$B,Summary_Inactive!$B$2,Flat_file!$C:$C,"Women",Flat_file!$D:$D,"25-29",Flat_file!$E:$E,"010",Flat_file!$F:$F,"I")+SUMIFS(Flat_file!$G:$G,Flat_file!$B:$B,Summary_Inactive!$B$2,Flat_file!$C:$C,"Women",Flat_file!$D:$D,"25-29",Flat_file!$E:$E,"020",Flat_file!$F:$F,"I")+SUMIFS(Flat_file!$G:$G,Flat_file!$B:$B,Summary_Inactive!$B$2,Flat_file!$C:$C,"Women",Flat_file!$D:$D,"25-29",Flat_file!$E:$E,"030",Flat_file!$F:$F,"I")</f>
        <v>0</v>
      </c>
      <c r="D21" s="89">
        <f>SUMIFS(Flat_file!$G:$G,Flat_file!$B:$B,Summary_Inactive!$B$2,Flat_file!$C:$C,"Women",Flat_file!$D:$D,"25-29",Flat_file!$E:$E,"100",Flat_file!$F:$F,"I")</f>
        <v>0</v>
      </c>
      <c r="E21" s="89">
        <f>SUMIFS(Flat_file!$G:$G,Flat_file!$B:$B,Summary_Inactive!$B$2,Flat_file!$C:$C,"Women",Flat_file!$D:$D,"25-29",Flat_file!$E:$E,"242",Flat_file!$F:$F,"I")+SUMIFS(Flat_file!$G:$G,Flat_file!$B:$B,Summary_Inactive!$B$2,Flat_file!$C:$C,"Women",Flat_file!$D:$D,"25-29",Flat_file!$E:$E,"252",Flat_file!$F:$F,"I")</f>
        <v>0</v>
      </c>
      <c r="F21" s="89">
        <f>SUMIFS(Flat_file!$G:$G,Flat_file!$B:$B,Summary_Inactive!$B$2,Flat_file!$C:$C,"Women",Flat_file!$D:$D,"25-29",Flat_file!$E:$E,"243",Flat_file!$F:$F,"I")+SUMIFS(Flat_file!$G:$G,Flat_file!$B:$B,Summary_Inactive!$B$2,Flat_file!$C:$C,"Women",Flat_file!$D:$D,"25-29",Flat_file!$E:$E,"244",Flat_file!$F:$F,"I")+SUMIFS(Flat_file!$G:$G,Flat_file!$B:$B,Summary_Inactive!$B$2,Flat_file!$C:$C,"Women",Flat_file!$D:$D,"25-29",Flat_file!$E:$E,"253",Flat_file!$F:$F,"I")+SUMIFS(Flat_file!$G:$G,Flat_file!$B:$B,Summary_Inactive!$B$2,Flat_file!$C:$C,"Women",Flat_file!$D:$D,"25-29",Flat_file!$E:$E,"254",Flat_file!$F:$F,"I")</f>
        <v>0</v>
      </c>
      <c r="G21" s="89">
        <f>SUMIFS(Flat_file!$G:$G,Flat_file!$B:$B,Summary_Inactive!$B$2,Flat_file!$C:$C,"Women",Flat_file!$D:$D,"25-29",Flat_file!$E:$E,"342",Flat_file!$F:$F,"I")+SUMIFS(Flat_file!$G:$G,Flat_file!$B:$B,Summary_Inactive!$B$2,Flat_file!$C:$C,"Women",Flat_file!$D:$D,"25-29",Flat_file!$E:$E,"352",Flat_file!$F:$F,"I")</f>
        <v>0</v>
      </c>
      <c r="H21" s="89">
        <f>SUMIFS(Flat_file!$G:$G,Flat_file!$B:$B,Summary_Inactive!$B$2,Flat_file!$C:$C,"Women",Flat_file!$D:$D,"25-29",Flat_file!$E:$E,"343",Flat_file!$F:$F,"I")+SUMIFS(Flat_file!$G:$G,Flat_file!$B:$B,Summary_Inactive!$B$2,Flat_file!$C:$C,"Women",Flat_file!$D:$D,"25-29",Flat_file!$E:$E,"344",Flat_file!$F:$F,"I")+SUMIFS(Flat_file!$G:$G,Flat_file!$B:$B,Summary_Inactive!$B$2,Flat_file!$C:$C,"Women",Flat_file!$D:$D,"25-29",Flat_file!$E:$E,"353",Flat_file!$F:$F,"I")+SUMIFS(Flat_file!$G:$G,Flat_file!$B:$B,Summary_Inactive!$B$2,Flat_file!$C:$C,"Women",Flat_file!$D:$D,"25-29",Flat_file!$E:$E,"354",Flat_file!$F:$F,"I")</f>
        <v>0</v>
      </c>
      <c r="I21" s="89">
        <f>SUMIFS(Flat_file!$G:$G,Flat_file!$B:$B,Summary_Inactive!$B$2,Flat_file!$C:$C,"Women",Flat_file!$D:$D,"25-29",Flat_file!$E:$E,"443",Flat_file!$F:$F,"I")+SUMIFS(Flat_file!$G:$G,Flat_file!$B:$B,Summary_Inactive!$B$2,Flat_file!$C:$C,"Women",Flat_file!$D:$D,"25-29",Flat_file!$E:$E,"444",Flat_file!$F:$F,"I")+SUMIFS(Flat_file!$G:$G,Flat_file!$B:$B,Summary_Inactive!$B$2,Flat_file!$C:$C,"Women",Flat_file!$D:$D,"25-29",Flat_file!$E:$E,"453",Flat_file!$F:$F,"I")+SUMIFS(Flat_file!$G:$G,Flat_file!$B:$B,Summary_Inactive!$B$2,Flat_file!$C:$C,"Women",Flat_file!$D:$D,"25-29",Flat_file!$E:$E,"454",Flat_file!$F:$F,"I")</f>
        <v>0</v>
      </c>
      <c r="J21" s="89">
        <f>SUMIFS(Flat_file!$G:$G,Flat_file!$B:$B,Summary_Inactive!$B$2,Flat_file!$C:$C,"Women",Flat_file!$D:$D,"25-29",Flat_file!$E:$E,"540",Flat_file!$F:$F,"I")+SUMIFS(Flat_file!$G:$G,Flat_file!$B:$B,Summary_Inactive!$B$2,Flat_file!$C:$C,"Women",Flat_file!$D:$D,"25-29",Flat_file!$E:$E,"550",Flat_file!$F:$F,"I")+SUMIFS(Flat_file!$G:$G,Flat_file!$B:$B,Summary_Inactive!$B$2,Flat_file!$C:$C,"Women",Flat_file!$D:$D,"25-29",Flat_file!$E:$E,"560",Flat_file!$F:$F,"I")</f>
        <v>0</v>
      </c>
      <c r="K21" s="89">
        <f>SUMIFS(Flat_file!$G:$G,Flat_file!$B:$B,Summary_Inactive!$B$2,Flat_file!$C:$C,"Women",Flat_file!$D:$D,"25-29",Flat_file!$E:$E,"640",Flat_file!$F:$F,"I")+SUMIFS(Flat_file!$G:$G,Flat_file!$B:$B,Summary_Inactive!$B$2,Flat_file!$C:$C,"Women",Flat_file!$D:$D,"25-29",Flat_file!$E:$E,"650",Flat_file!$F:$F,"I")+SUMIFS(Flat_file!$G:$G,Flat_file!$B:$B,Summary_Inactive!$B$2,Flat_file!$C:$C,"Women",Flat_file!$D:$D,"25-29",Flat_file!$E:$E,"660",Flat_file!$F:$F,"I")</f>
        <v>0</v>
      </c>
      <c r="L21" s="89">
        <f>SUMIFS(Flat_file!$G:$G,Flat_file!$B:$B,Summary_Inactive!$B$2,Flat_file!$C:$C,"Women",Flat_file!$D:$D,"25-29",Flat_file!$E:$E,"740",Flat_file!$F:$F,"I")+SUMIFS(Flat_file!$G:$G,Flat_file!$B:$B,Summary_Inactive!$B$2,Flat_file!$C:$C,"Women",Flat_file!$D:$D,"25-29",Flat_file!$E:$E,"750",Flat_file!$F:$F,"I")+SUMIFS(Flat_file!$G:$G,Flat_file!$B:$B,Summary_Inactive!$B$2,Flat_file!$C:$C,"Women",Flat_file!$D:$D,"25-29",Flat_file!$E:$E,"760",Flat_file!$F:$F,"I")</f>
        <v>0</v>
      </c>
      <c r="M21" s="89">
        <f>SUMIFS(Flat_file!$G:$G,Flat_file!$B:$B,Summary_Inactive!$B$2,Flat_file!$C:$C,"Women",Flat_file!$D:$D,"25-29",Flat_file!$E:$E,"840",Flat_file!$F:$F,"I")+SUMIFS(Flat_file!$G:$G,Flat_file!$B:$B,Summary_Inactive!$B$2,Flat_file!$C:$C,"Women",Flat_file!$D:$D,"25-29",Flat_file!$E:$E,"850",Flat_file!$F:$F,"I")+SUMIFS(Flat_file!$G:$G,Flat_file!$B:$B,Summary_Inactive!$B$2,Flat_file!$C:$C,"Women",Flat_file!$D:$D,"25-29",Flat_file!$E:$E,"860",Flat_file!$F:$F,"I")</f>
        <v>0</v>
      </c>
      <c r="N21" s="89">
        <f>SUMIFS(Flat_file!$G:$G,Flat_file!$B:$B,Summary_Inactive!$B$2,Flat_file!$C:$C,"Women",Flat_file!$D:$D,"25-29",Flat_file!$E:$E,"999",Flat_file!$F:$F,"I")</f>
        <v>0</v>
      </c>
      <c r="O21" s="89">
        <f t="shared" si="5"/>
        <v>0</v>
      </c>
      <c r="P21" s="90"/>
      <c r="Q21" s="89">
        <f t="shared" si="6"/>
        <v>0</v>
      </c>
      <c r="R21" s="91"/>
      <c r="S21" s="89">
        <f t="shared" si="7"/>
        <v>0</v>
      </c>
      <c r="T21" s="89">
        <f t="shared" si="8"/>
        <v>0</v>
      </c>
      <c r="U21" s="89">
        <f t="shared" si="9"/>
        <v>0</v>
      </c>
      <c r="V21" s="90"/>
      <c r="W21" s="89">
        <f>SUMIFS(Flat_file!$G:$G,Flat_file!$B:$B,Summary_Inactive!$B$2,Flat_file!$C:$C,"Women",Flat_file!$D:$D,"25-29",Flat_file!$E:$E,"343",Flat_file!$F:$F,"I")+SUMIFS(Flat_file!$G:$G,Flat_file!$B:$B,Summary_Inactive!$B$2,Flat_file!$C:$C,"Women",Flat_file!$D:$D,"25-29",Flat_file!$E:$E,"344",Flat_file!$F:$F,"I")+SUMIFS(Flat_file!$G:$G,Flat_file!$B:$B,Summary_Inactive!$B$2,Flat_file!$C:$C,"Women",Flat_file!$D:$D,"25-29",Flat_file!$E:$E,"443",Flat_file!$F:$F,"I")+SUMIFS(Flat_file!$G:$G,Flat_file!$B:$B,Summary_Inactive!$B$2,Flat_file!$C:$C,"Women",Flat_file!$D:$D,"25-29",Flat_file!$E:$E,"444",Flat_file!$F:$F,"I")</f>
        <v>0</v>
      </c>
      <c r="X21" s="89">
        <f>SUMIFS(Flat_file!$G:$G,Flat_file!$B:$B,Summary_Inactive!$B$2,Flat_file!$C:$C,"Women",Flat_file!$D:$D,"25-29",Flat_file!$E:$E,"353",Flat_file!$F:$F,"I")+SUMIFS(Flat_file!$G:$G,Flat_file!$B:$B,Summary_Inactive!$B$2,Flat_file!$C:$C,"Women",Flat_file!$D:$D,"25-29",Flat_file!$E:$E,"354",Flat_file!$F:$F,"I")+SUMIFS(Flat_file!$G:$G,Flat_file!$B:$B,Summary_Inactive!$B$2,Flat_file!$C:$C,"Women",Flat_file!$D:$D,"25-29",Flat_file!$E:$E,"453",Flat_file!$F:$F,"I")+SUMIFS(Flat_file!$G:$G,Flat_file!$B:$B,Summary_Inactive!$B$2,Flat_file!$C:$C,"Women",Flat_file!$D:$D,"25-29",Flat_file!$E:$E,"454",Flat_file!$F:$F,"I")</f>
        <v>0</v>
      </c>
      <c r="Y21" s="90"/>
      <c r="Z21" s="89">
        <f>SUMIFS(Flat_file!$G:$G,Flat_file!$B:$B,Summary_Inactive!$B$2,Flat_file!$C:$C,"Women",Flat_file!$D:$D,"25-29",Flat_file!$E:$E,"640",Flat_file!$F:$F,"I")+SUMIFS(Flat_file!$G:$G,Flat_file!$B:$B,Summary_Inactive!$B$2,Flat_file!$C:$C,"Women",Flat_file!$D:$D,"25-29",Flat_file!$E:$E,"740",Flat_file!$F:$F,"I")+SUMIFS(Flat_file!$G:$G,Flat_file!$B:$B,Summary_Inactive!$B$2,Flat_file!$C:$C,"Women",Flat_file!$D:$D,"25-29",Flat_file!$E:$E,"840",Flat_file!$F:$F,"I")</f>
        <v>0</v>
      </c>
      <c r="AA21" s="89">
        <f>SUMIFS(Flat_file!$G:$G,Flat_file!$B:$B,Summary_Inactive!$B$2,Flat_file!$C:$C,"Women",Flat_file!$D:$D,"25-29",Flat_file!$E:$E,"650",Flat_file!$F:$F,"I")+SUMIFS(Flat_file!$G:$G,Flat_file!$B:$B,Summary_Inactive!$B$2,Flat_file!$C:$C,"Women",Flat_file!$D:$D,"25-29",Flat_file!$E:$E,"750",Flat_file!$F:$F,"I")+SUMIFS(Flat_file!$G:$G,Flat_file!$B:$B,Summary_Inactive!$B$2,Flat_file!$C:$C,"Women",Flat_file!$D:$D,"25-29",Flat_file!$E:$E,"850",Flat_file!$F:$F,"I")</f>
        <v>0</v>
      </c>
      <c r="AB21" s="89">
        <f>SUMIFS(Flat_file!$G:$G,Flat_file!$B:$B,Summary_Inactive!$B$2,Flat_file!$C:$C,"Women",Flat_file!$D:$D,"25-29",Flat_file!$E:$E,"660",Flat_file!$F:$F,"I")+SUMIFS(Flat_file!$G:$G,Flat_file!$B:$B,Summary_Inactive!$B$2,Flat_file!$C:$C,"Women",Flat_file!$D:$D,"25-29",Flat_file!$E:$E,"760",Flat_file!$F:$F,"I")+SUMIFS(Flat_file!$G:$G,Flat_file!$B:$B,Summary_Inactive!$B$2,Flat_file!$C:$C,"Women",Flat_file!$D:$D,"25-29",Flat_file!$E:$E,"860",Flat_file!$F:$F,"I")</f>
        <v>0</v>
      </c>
      <c r="AC21" s="3"/>
      <c r="AD21" s="3"/>
      <c r="AE21" s="3"/>
      <c r="AF21" s="3"/>
      <c r="AG21" s="3"/>
      <c r="AH21" s="3"/>
      <c r="AI21" s="3"/>
      <c r="AJ21" s="3"/>
      <c r="AK21" s="3"/>
      <c r="AL21" s="3"/>
      <c r="AM21" s="3"/>
      <c r="AN21" s="3"/>
      <c r="AO21" s="3"/>
      <c r="AP21" s="3"/>
      <c r="AQ21" s="3"/>
      <c r="AR21" s="3"/>
      <c r="AS21" s="3"/>
    </row>
    <row r="22" spans="1:45" customFormat="1" x14ac:dyDescent="0.2">
      <c r="A22" s="352"/>
      <c r="B22" s="79" t="s">
        <v>90</v>
      </c>
      <c r="C22" s="89">
        <f>SUMIFS(Flat_file!$G:$G,Flat_file!$B:$B,Summary_Inactive!$B$2,Flat_file!$C:$C,"Women",Flat_file!$D:$D,"30-34",Flat_file!$E:$E,"010",Flat_file!$F:$F,"I")+SUMIFS(Flat_file!$G:$G,Flat_file!$B:$B,Summary_Inactive!$B$2,Flat_file!$C:$C,"Women",Flat_file!$D:$D,"30-34",Flat_file!$E:$E,"020",Flat_file!$F:$F,"I")+SUMIFS(Flat_file!$G:$G,Flat_file!$B:$B,Summary_Inactive!$B$2,Flat_file!$C:$C,"Women",Flat_file!$D:$D,"30-34",Flat_file!$E:$E,"030",Flat_file!$F:$F,"I")</f>
        <v>0</v>
      </c>
      <c r="D22" s="89">
        <f>SUMIFS(Flat_file!$G:$G,Flat_file!$B:$B,Summary_Inactive!$B$2,Flat_file!$C:$C,"Women",Flat_file!$D:$D,"30-34",Flat_file!$E:$E,"100",Flat_file!$F:$F,"I")</f>
        <v>0</v>
      </c>
      <c r="E22" s="89">
        <f>SUMIFS(Flat_file!$G:$G,Flat_file!$B:$B,Summary_Inactive!$B$2,Flat_file!$C:$C,"Women",Flat_file!$D:$D,"30-34",Flat_file!$E:$E,"242",Flat_file!$F:$F,"I")+SUMIFS(Flat_file!$G:$G,Flat_file!$B:$B,Summary_Inactive!$B$2,Flat_file!$C:$C,"Women",Flat_file!$D:$D,"30-34",Flat_file!$E:$E,"252",Flat_file!$F:$F,"I")</f>
        <v>0</v>
      </c>
      <c r="F22" s="89">
        <f>SUMIFS(Flat_file!$G:$G,Flat_file!$B:$B,Summary_Inactive!$B$2,Flat_file!$C:$C,"Women",Flat_file!$D:$D,"30-34",Flat_file!$E:$E,"243",Flat_file!$F:$F,"I")+SUMIFS(Flat_file!$G:$G,Flat_file!$B:$B,Summary_Inactive!$B$2,Flat_file!$C:$C,"Women",Flat_file!$D:$D,"30-34",Flat_file!$E:$E,"244",Flat_file!$F:$F,"I")+SUMIFS(Flat_file!$G:$G,Flat_file!$B:$B,Summary_Inactive!$B$2,Flat_file!$C:$C,"Women",Flat_file!$D:$D,"30-34",Flat_file!$E:$E,"253",Flat_file!$F:$F,"I")+SUMIFS(Flat_file!$G:$G,Flat_file!$B:$B,Summary_Inactive!$B$2,Flat_file!$C:$C,"Women",Flat_file!$D:$D,"30-34",Flat_file!$E:$E,"254",Flat_file!$F:$F,"I")</f>
        <v>0</v>
      </c>
      <c r="G22" s="89">
        <f>SUMIFS(Flat_file!$G:$G,Flat_file!$B:$B,Summary_Inactive!$B$2,Flat_file!$C:$C,"Women",Flat_file!$D:$D,"30-34",Flat_file!$E:$E,"342",Flat_file!$F:$F,"I")+SUMIFS(Flat_file!$G:$G,Flat_file!$B:$B,Summary_Inactive!$B$2,Flat_file!$C:$C,"Women",Flat_file!$D:$D,"30-34",Flat_file!$E:$E,"352",Flat_file!$F:$F,"I")</f>
        <v>0</v>
      </c>
      <c r="H22" s="89">
        <f>SUMIFS(Flat_file!$G:$G,Flat_file!$B:$B,Summary_Inactive!$B$2,Flat_file!$C:$C,"Women",Flat_file!$D:$D,"30-34",Flat_file!$E:$E,"343",Flat_file!$F:$F,"I")+SUMIFS(Flat_file!$G:$G,Flat_file!$B:$B,Summary_Inactive!$B$2,Flat_file!$C:$C,"Women",Flat_file!$D:$D,"30-34",Flat_file!$E:$E,"344",Flat_file!$F:$F,"I")+SUMIFS(Flat_file!$G:$G,Flat_file!$B:$B,Summary_Inactive!$B$2,Flat_file!$C:$C,"Women",Flat_file!$D:$D,"30-34",Flat_file!$E:$E,"353",Flat_file!$F:$F,"I")+SUMIFS(Flat_file!$G:$G,Flat_file!$B:$B,Summary_Inactive!$B$2,Flat_file!$C:$C,"Women",Flat_file!$D:$D,"30-34",Flat_file!$E:$E,"354",Flat_file!$F:$F,"I")</f>
        <v>0</v>
      </c>
      <c r="I22" s="89">
        <f>SUMIFS(Flat_file!$G:$G,Flat_file!$B:$B,Summary_Inactive!$B$2,Flat_file!$C:$C,"Women",Flat_file!$D:$D,"30-34",Flat_file!$E:$E,"443",Flat_file!$F:$F,"I")+SUMIFS(Flat_file!$G:$G,Flat_file!$B:$B,Summary_Inactive!$B$2,Flat_file!$C:$C,"Women",Flat_file!$D:$D,"30-34",Flat_file!$E:$E,"444",Flat_file!$F:$F,"I")+SUMIFS(Flat_file!$G:$G,Flat_file!$B:$B,Summary_Inactive!$B$2,Flat_file!$C:$C,"Women",Flat_file!$D:$D,"30-34",Flat_file!$E:$E,"453",Flat_file!$F:$F,"I")+SUMIFS(Flat_file!$G:$G,Flat_file!$B:$B,Summary_Inactive!$B$2,Flat_file!$C:$C,"Women",Flat_file!$D:$D,"30-34",Flat_file!$E:$E,"454",Flat_file!$F:$F,"I")</f>
        <v>0</v>
      </c>
      <c r="J22" s="89">
        <f>SUMIFS(Flat_file!$G:$G,Flat_file!$B:$B,Summary_Inactive!$B$2,Flat_file!$C:$C,"Women",Flat_file!$D:$D,"30-34",Flat_file!$E:$E,"540",Flat_file!$F:$F,"I")+SUMIFS(Flat_file!$G:$G,Flat_file!$B:$B,Summary_Inactive!$B$2,Flat_file!$C:$C,"Women",Flat_file!$D:$D,"30-34",Flat_file!$E:$E,"550",Flat_file!$F:$F,"I")+SUMIFS(Flat_file!$G:$G,Flat_file!$B:$B,Summary_Inactive!$B$2,Flat_file!$C:$C,"Women",Flat_file!$D:$D,"30-34",Flat_file!$E:$E,"560",Flat_file!$F:$F,"I")</f>
        <v>0</v>
      </c>
      <c r="K22" s="89">
        <f>SUMIFS(Flat_file!$G:$G,Flat_file!$B:$B,Summary_Inactive!$B$2,Flat_file!$C:$C,"Women",Flat_file!$D:$D,"30-34",Flat_file!$E:$E,"640",Flat_file!$F:$F,"I")+SUMIFS(Flat_file!$G:$G,Flat_file!$B:$B,Summary_Inactive!$B$2,Flat_file!$C:$C,"Women",Flat_file!$D:$D,"30-34",Flat_file!$E:$E,"650",Flat_file!$F:$F,"I")+SUMIFS(Flat_file!$G:$G,Flat_file!$B:$B,Summary_Inactive!$B$2,Flat_file!$C:$C,"Women",Flat_file!$D:$D,"30-34",Flat_file!$E:$E,"660",Flat_file!$F:$F,"I")</f>
        <v>0</v>
      </c>
      <c r="L22" s="89">
        <f>SUMIFS(Flat_file!$G:$G,Flat_file!$B:$B,Summary_Inactive!$B$2,Flat_file!$C:$C,"Women",Flat_file!$D:$D,"30-34",Flat_file!$E:$E,"740",Flat_file!$F:$F,"I")+SUMIFS(Flat_file!$G:$G,Flat_file!$B:$B,Summary_Inactive!$B$2,Flat_file!$C:$C,"Women",Flat_file!$D:$D,"30-34",Flat_file!$E:$E,"750",Flat_file!$F:$F,"I")+SUMIFS(Flat_file!$G:$G,Flat_file!$B:$B,Summary_Inactive!$B$2,Flat_file!$C:$C,"Women",Flat_file!$D:$D,"30-34",Flat_file!$E:$E,"760",Flat_file!$F:$F,"I")</f>
        <v>0</v>
      </c>
      <c r="M22" s="89">
        <f>SUMIFS(Flat_file!$G:$G,Flat_file!$B:$B,Summary_Inactive!$B$2,Flat_file!$C:$C,"Women",Flat_file!$D:$D,"30-34",Flat_file!$E:$E,"840",Flat_file!$F:$F,"I")+SUMIFS(Flat_file!$G:$G,Flat_file!$B:$B,Summary_Inactive!$B$2,Flat_file!$C:$C,"Women",Flat_file!$D:$D,"30-34",Flat_file!$E:$E,"850",Flat_file!$F:$F,"I")+SUMIFS(Flat_file!$G:$G,Flat_file!$B:$B,Summary_Inactive!$B$2,Flat_file!$C:$C,"Women",Flat_file!$D:$D,"30-34",Flat_file!$E:$E,"860",Flat_file!$F:$F,"I")</f>
        <v>0</v>
      </c>
      <c r="N22" s="89">
        <f>SUMIFS(Flat_file!$G:$G,Flat_file!$B:$B,Summary_Inactive!$B$2,Flat_file!$C:$C,"Women",Flat_file!$D:$D,"30-34",Flat_file!$E:$E,"999",Flat_file!$F:$F,"I")</f>
        <v>0</v>
      </c>
      <c r="O22" s="89">
        <f t="shared" si="5"/>
        <v>0</v>
      </c>
      <c r="P22" s="90"/>
      <c r="Q22" s="89">
        <f t="shared" si="6"/>
        <v>0</v>
      </c>
      <c r="R22" s="91"/>
      <c r="S22" s="89">
        <f t="shared" si="7"/>
        <v>0</v>
      </c>
      <c r="T22" s="89">
        <f t="shared" si="8"/>
        <v>0</v>
      </c>
      <c r="U22" s="89">
        <f t="shared" si="9"/>
        <v>0</v>
      </c>
      <c r="V22" s="90"/>
      <c r="W22" s="89">
        <f>SUMIFS(Flat_file!$G:$G,Flat_file!$B:$B,Summary_Inactive!$B$2,Flat_file!$C:$C,"Women",Flat_file!$D:$D,"30-34",Flat_file!$E:$E,"343",Flat_file!$F:$F,"I")+SUMIFS(Flat_file!$G:$G,Flat_file!$B:$B,Summary_Inactive!$B$2,Flat_file!$C:$C,"Women",Flat_file!$D:$D,"30-34",Flat_file!$E:$E,"344",Flat_file!$F:$F,"I")+SUMIFS(Flat_file!$G:$G,Flat_file!$B:$B,Summary_Inactive!$B$2,Flat_file!$C:$C,"Women",Flat_file!$D:$D,"30-34",Flat_file!$E:$E,"443",Flat_file!$F:$F,"I")+SUMIFS(Flat_file!$G:$G,Flat_file!$B:$B,Summary_Inactive!$B$2,Flat_file!$C:$C,"Women",Flat_file!$D:$D,"30-34",Flat_file!$E:$E,"444",Flat_file!$F:$F,"I")</f>
        <v>0</v>
      </c>
      <c r="X22" s="89">
        <f>SUMIFS(Flat_file!$G:$G,Flat_file!$B:$B,Summary_Inactive!$B$2,Flat_file!$C:$C,"Women",Flat_file!$D:$D,"30-34",Flat_file!$E:$E,"353",Flat_file!$F:$F,"I")+SUMIFS(Flat_file!$G:$G,Flat_file!$B:$B,Summary_Inactive!$B$2,Flat_file!$C:$C,"Women",Flat_file!$D:$D,"30-34",Flat_file!$E:$E,"354",Flat_file!$F:$F,"I")+SUMIFS(Flat_file!$G:$G,Flat_file!$B:$B,Summary_Inactive!$B$2,Flat_file!$C:$C,"Women",Flat_file!$D:$D,"30-34",Flat_file!$E:$E,"453",Flat_file!$F:$F,"I")+SUMIFS(Flat_file!$G:$G,Flat_file!$B:$B,Summary_Inactive!$B$2,Flat_file!$C:$C,"Women",Flat_file!$D:$D,"30-34",Flat_file!$E:$E,"454",Flat_file!$F:$F,"I")</f>
        <v>0</v>
      </c>
      <c r="Y22" s="90"/>
      <c r="Z22" s="89">
        <f>SUMIFS(Flat_file!$G:$G,Flat_file!$B:$B,Summary_Inactive!$B$2,Flat_file!$C:$C,"Women",Flat_file!$D:$D,"30-34",Flat_file!$E:$E,"640",Flat_file!$F:$F,"I")+SUMIFS(Flat_file!$G:$G,Flat_file!$B:$B,Summary_Inactive!$B$2,Flat_file!$C:$C,"Women",Flat_file!$D:$D,"30-34",Flat_file!$E:$E,"740",Flat_file!$F:$F,"I")+SUMIFS(Flat_file!$G:$G,Flat_file!$B:$B,Summary_Inactive!$B$2,Flat_file!$C:$C,"Women",Flat_file!$D:$D,"30-34",Flat_file!$E:$E,"840",Flat_file!$F:$F,"I")</f>
        <v>0</v>
      </c>
      <c r="AA22" s="89">
        <f>SUMIFS(Flat_file!$G:$G,Flat_file!$B:$B,Summary_Inactive!$B$2,Flat_file!$C:$C,"Women",Flat_file!$D:$D,"30-34",Flat_file!$E:$E,"650",Flat_file!$F:$F,"I")+SUMIFS(Flat_file!$G:$G,Flat_file!$B:$B,Summary_Inactive!$B$2,Flat_file!$C:$C,"Women",Flat_file!$D:$D,"30-34",Flat_file!$E:$E,"750",Flat_file!$F:$F,"I")+SUMIFS(Flat_file!$G:$G,Flat_file!$B:$B,Summary_Inactive!$B$2,Flat_file!$C:$C,"Women",Flat_file!$D:$D,"30-34",Flat_file!$E:$E,"850",Flat_file!$F:$F,"I")</f>
        <v>0</v>
      </c>
      <c r="AB22" s="89">
        <f>SUMIFS(Flat_file!$G:$G,Flat_file!$B:$B,Summary_Inactive!$B$2,Flat_file!$C:$C,"Women",Flat_file!$D:$D,"30-34",Flat_file!$E:$E,"660",Flat_file!$F:$F,"I")+SUMIFS(Flat_file!$G:$G,Flat_file!$B:$B,Summary_Inactive!$B$2,Flat_file!$C:$C,"Women",Flat_file!$D:$D,"30-34",Flat_file!$E:$E,"760",Flat_file!$F:$F,"I")+SUMIFS(Flat_file!$G:$G,Flat_file!$B:$B,Summary_Inactive!$B$2,Flat_file!$C:$C,"Women",Flat_file!$D:$D,"30-34",Flat_file!$E:$E,"860",Flat_file!$F:$F,"I")</f>
        <v>0</v>
      </c>
      <c r="AC22" s="3"/>
      <c r="AD22" s="3"/>
      <c r="AE22" s="3"/>
      <c r="AF22" s="3"/>
      <c r="AG22" s="3"/>
      <c r="AH22" s="3"/>
      <c r="AI22" s="3"/>
      <c r="AJ22" s="3"/>
      <c r="AK22" s="3"/>
      <c r="AL22" s="3"/>
      <c r="AM22" s="3"/>
      <c r="AN22" s="3"/>
      <c r="AO22" s="3"/>
      <c r="AP22" s="3"/>
      <c r="AQ22" s="3"/>
      <c r="AR22" s="3"/>
      <c r="AS22" s="3"/>
    </row>
    <row r="23" spans="1:45" customFormat="1" x14ac:dyDescent="0.2">
      <c r="A23" s="352"/>
      <c r="B23" s="79" t="s">
        <v>91</v>
      </c>
      <c r="C23" s="89">
        <f>SUMIFS(Flat_file!$G:$G,Flat_file!$B:$B,Summary_Inactive!$B$2,Flat_file!$C:$C,"Women",Flat_file!$D:$D,"35-39",Flat_file!$E:$E,"010",Flat_file!$F:$F,"I")+SUMIFS(Flat_file!$G:$G,Flat_file!$B:$B,Summary_Inactive!$B$2,Flat_file!$C:$C,"Women",Flat_file!$D:$D,"35-39",Flat_file!$E:$E,"020",Flat_file!$F:$F,"I")+SUMIFS(Flat_file!$G:$G,Flat_file!$B:$B,Summary_Inactive!$B$2,Flat_file!$C:$C,"Women",Flat_file!$D:$D,"35-39",Flat_file!$E:$E,"030",Flat_file!$F:$F,"I")</f>
        <v>0</v>
      </c>
      <c r="D23" s="89">
        <f>SUMIFS(Flat_file!$G:$G,Flat_file!$B:$B,Summary_Inactive!$B$2,Flat_file!$C:$C,"Women",Flat_file!$D:$D,"35-39",Flat_file!$E:$E,"100",Flat_file!$F:$F,"I")</f>
        <v>0</v>
      </c>
      <c r="E23" s="89">
        <f>SUMIFS(Flat_file!$G:$G,Flat_file!$B:$B,Summary_Inactive!$B$2,Flat_file!$C:$C,"Women",Flat_file!$D:$D,"35-39",Flat_file!$E:$E,"242",Flat_file!$F:$F,"I")+SUMIFS(Flat_file!$G:$G,Flat_file!$B:$B,Summary_Inactive!$B$2,Flat_file!$C:$C,"Women",Flat_file!$D:$D,"35-39",Flat_file!$E:$E,"252",Flat_file!$F:$F,"I")</f>
        <v>0</v>
      </c>
      <c r="F23" s="89">
        <f>SUMIFS(Flat_file!$G:$G,Flat_file!$B:$B,Summary_Inactive!$B$2,Flat_file!$C:$C,"Women",Flat_file!$D:$D,"35-39",Flat_file!$E:$E,"243",Flat_file!$F:$F,"I")+SUMIFS(Flat_file!$G:$G,Flat_file!$B:$B,Summary_Inactive!$B$2,Flat_file!$C:$C,"Women",Flat_file!$D:$D,"35-39",Flat_file!$E:$E,"244",Flat_file!$F:$F,"I")+SUMIFS(Flat_file!$G:$G,Flat_file!$B:$B,Summary_Inactive!$B$2,Flat_file!$C:$C,"Women",Flat_file!$D:$D,"35-39",Flat_file!$E:$E,"253",Flat_file!$F:$F,"I")+SUMIFS(Flat_file!$G:$G,Flat_file!$B:$B,Summary_Inactive!$B$2,Flat_file!$C:$C,"Women",Flat_file!$D:$D,"35-39",Flat_file!$E:$E,"254",Flat_file!$F:$F,"I")</f>
        <v>0</v>
      </c>
      <c r="G23" s="89">
        <f>SUMIFS(Flat_file!$G:$G,Flat_file!$B:$B,Summary_Inactive!$B$2,Flat_file!$C:$C,"Women",Flat_file!$D:$D,"35-39",Flat_file!$E:$E,"342",Flat_file!$F:$F,"I")+SUMIFS(Flat_file!$G:$G,Flat_file!$B:$B,Summary_Inactive!$B$2,Flat_file!$C:$C,"Women",Flat_file!$D:$D,"35-39",Flat_file!$E:$E,"352",Flat_file!$F:$F,"I")</f>
        <v>0</v>
      </c>
      <c r="H23" s="89">
        <f>SUMIFS(Flat_file!$G:$G,Flat_file!$B:$B,Summary_Inactive!$B$2,Flat_file!$C:$C,"Women",Flat_file!$D:$D,"35-39",Flat_file!$E:$E,"343",Flat_file!$F:$F,"I")+SUMIFS(Flat_file!$G:$G,Flat_file!$B:$B,Summary_Inactive!$B$2,Flat_file!$C:$C,"Women",Flat_file!$D:$D,"35-39",Flat_file!$E:$E,"344",Flat_file!$F:$F,"I")+SUMIFS(Flat_file!$G:$G,Flat_file!$B:$B,Summary_Inactive!$B$2,Flat_file!$C:$C,"Women",Flat_file!$D:$D,"35-39",Flat_file!$E:$E,"353",Flat_file!$F:$F,"I")+SUMIFS(Flat_file!$G:$G,Flat_file!$B:$B,Summary_Inactive!$B$2,Flat_file!$C:$C,"Women",Flat_file!$D:$D,"35-39",Flat_file!$E:$E,"354",Flat_file!$F:$F,"I")</f>
        <v>0</v>
      </c>
      <c r="I23" s="89">
        <f>SUMIFS(Flat_file!$G:$G,Flat_file!$B:$B,Summary_Inactive!$B$2,Flat_file!$C:$C,"Women",Flat_file!$D:$D,"35-39",Flat_file!$E:$E,"443",Flat_file!$F:$F,"I")+SUMIFS(Flat_file!$G:$G,Flat_file!$B:$B,Summary_Inactive!$B$2,Flat_file!$C:$C,"Women",Flat_file!$D:$D,"35-39",Flat_file!$E:$E,"444",Flat_file!$F:$F,"I")+SUMIFS(Flat_file!$G:$G,Flat_file!$B:$B,Summary_Inactive!$B$2,Flat_file!$C:$C,"Women",Flat_file!$D:$D,"35-39",Flat_file!$E:$E,"453",Flat_file!$F:$F,"I")+SUMIFS(Flat_file!$G:$G,Flat_file!$B:$B,Summary_Inactive!$B$2,Flat_file!$C:$C,"Women",Flat_file!$D:$D,"35-39",Flat_file!$E:$E,"454",Flat_file!$F:$F,"I")</f>
        <v>0</v>
      </c>
      <c r="J23" s="89">
        <f>SUMIFS(Flat_file!$G:$G,Flat_file!$B:$B,Summary_Inactive!$B$2,Flat_file!$C:$C,"Women",Flat_file!$D:$D,"35-39",Flat_file!$E:$E,"540",Flat_file!$F:$F,"I")+SUMIFS(Flat_file!$G:$G,Flat_file!$B:$B,Summary_Inactive!$B$2,Flat_file!$C:$C,"Women",Flat_file!$D:$D,"35-39",Flat_file!$E:$E,"550",Flat_file!$F:$F,"I")+SUMIFS(Flat_file!$G:$G,Flat_file!$B:$B,Summary_Inactive!$B$2,Flat_file!$C:$C,"Women",Flat_file!$D:$D,"35-39",Flat_file!$E:$E,"560",Flat_file!$F:$F,"I")</f>
        <v>0</v>
      </c>
      <c r="K23" s="89">
        <f>SUMIFS(Flat_file!$G:$G,Flat_file!$B:$B,Summary_Inactive!$B$2,Flat_file!$C:$C,"Women",Flat_file!$D:$D,"35-39",Flat_file!$E:$E,"640",Flat_file!$F:$F,"I")+SUMIFS(Flat_file!$G:$G,Flat_file!$B:$B,Summary_Inactive!$B$2,Flat_file!$C:$C,"Women",Flat_file!$D:$D,"35-39",Flat_file!$E:$E,"650",Flat_file!$F:$F,"I")+SUMIFS(Flat_file!$G:$G,Flat_file!$B:$B,Summary_Inactive!$B$2,Flat_file!$C:$C,"Women",Flat_file!$D:$D,"35-39",Flat_file!$E:$E,"660",Flat_file!$F:$F,"I")</f>
        <v>0</v>
      </c>
      <c r="L23" s="89">
        <f>SUMIFS(Flat_file!$G:$G,Flat_file!$B:$B,Summary_Inactive!$B$2,Flat_file!$C:$C,"Women",Flat_file!$D:$D,"35-39",Flat_file!$E:$E,"740",Flat_file!$F:$F,"I")+SUMIFS(Flat_file!$G:$G,Flat_file!$B:$B,Summary_Inactive!$B$2,Flat_file!$C:$C,"Women",Flat_file!$D:$D,"35-39",Flat_file!$E:$E,"750",Flat_file!$F:$F,"I")+SUMIFS(Flat_file!$G:$G,Flat_file!$B:$B,Summary_Inactive!$B$2,Flat_file!$C:$C,"Women",Flat_file!$D:$D,"35-39",Flat_file!$E:$E,"760",Flat_file!$F:$F,"I")</f>
        <v>0</v>
      </c>
      <c r="M23" s="89">
        <f>SUMIFS(Flat_file!$G:$G,Flat_file!$B:$B,Summary_Inactive!$B$2,Flat_file!$C:$C,"Women",Flat_file!$D:$D,"35-39",Flat_file!$E:$E,"840",Flat_file!$F:$F,"I")+SUMIFS(Flat_file!$G:$G,Flat_file!$B:$B,Summary_Inactive!$B$2,Flat_file!$C:$C,"Women",Flat_file!$D:$D,"35-39",Flat_file!$E:$E,"850",Flat_file!$F:$F,"I")+SUMIFS(Flat_file!$G:$G,Flat_file!$B:$B,Summary_Inactive!$B$2,Flat_file!$C:$C,"Women",Flat_file!$D:$D,"35-39",Flat_file!$E:$E,"860",Flat_file!$F:$F,"I")</f>
        <v>0</v>
      </c>
      <c r="N23" s="89">
        <f>SUMIFS(Flat_file!$G:$G,Flat_file!$B:$B,Summary_Inactive!$B$2,Flat_file!$C:$C,"Women",Flat_file!$D:$D,"35-39",Flat_file!$E:$E,"999",Flat_file!$F:$F,"I")</f>
        <v>0</v>
      </c>
      <c r="O23" s="89">
        <f t="shared" si="5"/>
        <v>0</v>
      </c>
      <c r="P23" s="90"/>
      <c r="Q23" s="89">
        <f t="shared" si="6"/>
        <v>0</v>
      </c>
      <c r="R23" s="91"/>
      <c r="S23" s="89">
        <f t="shared" si="7"/>
        <v>0</v>
      </c>
      <c r="T23" s="89">
        <f t="shared" si="8"/>
        <v>0</v>
      </c>
      <c r="U23" s="89">
        <f t="shared" si="9"/>
        <v>0</v>
      </c>
      <c r="V23" s="90"/>
      <c r="W23" s="89">
        <f>SUMIFS(Flat_file!$G:$G,Flat_file!$B:$B,Summary_Inactive!$B$2,Flat_file!$C:$C,"Women",Flat_file!$D:$D,"35-39",Flat_file!$E:$E,"343",Flat_file!$F:$F,"I")+SUMIFS(Flat_file!$G:$G,Flat_file!$B:$B,Summary_Inactive!$B$2,Flat_file!$C:$C,"Women",Flat_file!$D:$D,"35-39",Flat_file!$E:$E,"344",Flat_file!$F:$F,"I")+SUMIFS(Flat_file!$G:$G,Flat_file!$B:$B,Summary_Inactive!$B$2,Flat_file!$C:$C,"Women",Flat_file!$D:$D,"35-39",Flat_file!$E:$E,"443",Flat_file!$F:$F,"I")+SUMIFS(Flat_file!$G:$G,Flat_file!$B:$B,Summary_Inactive!$B$2,Flat_file!$C:$C,"Women",Flat_file!$D:$D,"35-39",Flat_file!$E:$E,"444",Flat_file!$F:$F,"I")</f>
        <v>0</v>
      </c>
      <c r="X23" s="89">
        <f>SUMIFS(Flat_file!$G:$G,Flat_file!$B:$B,Summary_Inactive!$B$2,Flat_file!$C:$C,"Women",Flat_file!$D:$D,"35-39",Flat_file!$E:$E,"353",Flat_file!$F:$F,"I")+SUMIFS(Flat_file!$G:$G,Flat_file!$B:$B,Summary_Inactive!$B$2,Flat_file!$C:$C,"Women",Flat_file!$D:$D,"35-39",Flat_file!$E:$E,"354",Flat_file!$F:$F,"I")+SUMIFS(Flat_file!$G:$G,Flat_file!$B:$B,Summary_Inactive!$B$2,Flat_file!$C:$C,"Women",Flat_file!$D:$D,"35-39",Flat_file!$E:$E,"453",Flat_file!$F:$F,"I")+SUMIFS(Flat_file!$G:$G,Flat_file!$B:$B,Summary_Inactive!$B$2,Flat_file!$C:$C,"Women",Flat_file!$D:$D,"35-39",Flat_file!$E:$E,"454",Flat_file!$F:$F,"I")</f>
        <v>0</v>
      </c>
      <c r="Y23" s="90"/>
      <c r="Z23" s="89">
        <f>SUMIFS(Flat_file!$G:$G,Flat_file!$B:$B,Summary_Inactive!$B$2,Flat_file!$C:$C,"Women",Flat_file!$D:$D,"35-39",Flat_file!$E:$E,"640",Flat_file!$F:$F,"I")+SUMIFS(Flat_file!$G:$G,Flat_file!$B:$B,Summary_Inactive!$B$2,Flat_file!$C:$C,"Women",Flat_file!$D:$D,"35-39",Flat_file!$E:$E,"740",Flat_file!$F:$F,"I")+SUMIFS(Flat_file!$G:$G,Flat_file!$B:$B,Summary_Inactive!$B$2,Flat_file!$C:$C,"Women",Flat_file!$D:$D,"35-39",Flat_file!$E:$E,"840",Flat_file!$F:$F,"I")</f>
        <v>0</v>
      </c>
      <c r="AA23" s="89">
        <f>SUMIFS(Flat_file!$G:$G,Flat_file!$B:$B,Summary_Inactive!$B$2,Flat_file!$C:$C,"Women",Flat_file!$D:$D,"35-39",Flat_file!$E:$E,"650",Flat_file!$F:$F,"I")+SUMIFS(Flat_file!$G:$G,Flat_file!$B:$B,Summary_Inactive!$B$2,Flat_file!$C:$C,"Women",Flat_file!$D:$D,"35-39",Flat_file!$E:$E,"750",Flat_file!$F:$F,"I")+SUMIFS(Flat_file!$G:$G,Flat_file!$B:$B,Summary_Inactive!$B$2,Flat_file!$C:$C,"Women",Flat_file!$D:$D,"35-39",Flat_file!$E:$E,"850",Flat_file!$F:$F,"I")</f>
        <v>0</v>
      </c>
      <c r="AB23" s="89">
        <f>SUMIFS(Flat_file!$G:$G,Flat_file!$B:$B,Summary_Inactive!$B$2,Flat_file!$C:$C,"Women",Flat_file!$D:$D,"35-39",Flat_file!$E:$E,"660",Flat_file!$F:$F,"I")+SUMIFS(Flat_file!$G:$G,Flat_file!$B:$B,Summary_Inactive!$B$2,Flat_file!$C:$C,"Women",Flat_file!$D:$D,"35-39",Flat_file!$E:$E,"760",Flat_file!$F:$F,"I")+SUMIFS(Flat_file!$G:$G,Flat_file!$B:$B,Summary_Inactive!$B$2,Flat_file!$C:$C,"Women",Flat_file!$D:$D,"35-39",Flat_file!$E:$E,"860",Flat_file!$F:$F,"I")</f>
        <v>0</v>
      </c>
      <c r="AC23" s="3"/>
      <c r="AD23" s="3"/>
      <c r="AE23" s="3"/>
      <c r="AF23" s="3"/>
      <c r="AG23" s="3"/>
      <c r="AH23" s="3"/>
      <c r="AI23" s="3"/>
      <c r="AJ23" s="3"/>
      <c r="AK23" s="3"/>
      <c r="AL23" s="3"/>
      <c r="AM23" s="3"/>
      <c r="AN23" s="3"/>
      <c r="AO23" s="3"/>
      <c r="AP23" s="3"/>
      <c r="AQ23" s="3"/>
      <c r="AR23" s="3"/>
      <c r="AS23" s="3"/>
    </row>
    <row r="24" spans="1:45" customFormat="1" x14ac:dyDescent="0.2">
      <c r="A24" s="352"/>
      <c r="B24" s="79" t="s">
        <v>92</v>
      </c>
      <c r="C24" s="89">
        <f>SUMIFS(Flat_file!$G:$G,Flat_file!$B:$B,Summary_Inactive!$B$2,Flat_file!$C:$C,"Women",Flat_file!$D:$D,"40-44",Flat_file!$E:$E,"010",Flat_file!$F:$F,"I")+SUMIFS(Flat_file!$G:$G,Flat_file!$B:$B,Summary_Inactive!$B$2,Flat_file!$C:$C,"Women",Flat_file!$D:$D,"40-44",Flat_file!$E:$E,"020",Flat_file!$F:$F,"I")+SUMIFS(Flat_file!$G:$G,Flat_file!$B:$B,Summary_Inactive!$B$2,Flat_file!$C:$C,"Women",Flat_file!$D:$D,"40-44",Flat_file!$E:$E,"030",Flat_file!$F:$F,"I")</f>
        <v>0</v>
      </c>
      <c r="D24" s="89">
        <f>SUMIFS(Flat_file!$G:$G,Flat_file!$B:$B,Summary_Inactive!$B$2,Flat_file!$C:$C,"Women",Flat_file!$D:$D,"40-44",Flat_file!$E:$E,"100",Flat_file!$F:$F,"I")</f>
        <v>0</v>
      </c>
      <c r="E24" s="89">
        <f>SUMIFS(Flat_file!$G:$G,Flat_file!$B:$B,Summary_Inactive!$B$2,Flat_file!$C:$C,"Women",Flat_file!$D:$D,"40-44",Flat_file!$E:$E,"242",Flat_file!$F:$F,"I")+SUMIFS(Flat_file!$G:$G,Flat_file!$B:$B,Summary_Inactive!$B$2,Flat_file!$C:$C,"Women",Flat_file!$D:$D,"40-44",Flat_file!$E:$E,"252",Flat_file!$F:$F,"I")</f>
        <v>0</v>
      </c>
      <c r="F24" s="89">
        <f>SUMIFS(Flat_file!$G:$G,Flat_file!$B:$B,Summary_Inactive!$B$2,Flat_file!$C:$C,"Women",Flat_file!$D:$D,"40-44",Flat_file!$E:$E,"243",Flat_file!$F:$F,"I")+SUMIFS(Flat_file!$G:$G,Flat_file!$B:$B,Summary_Inactive!$B$2,Flat_file!$C:$C,"Women",Flat_file!$D:$D,"40-44",Flat_file!$E:$E,"244",Flat_file!$F:$F,"I")+SUMIFS(Flat_file!$G:$G,Flat_file!$B:$B,Summary_Inactive!$B$2,Flat_file!$C:$C,"Women",Flat_file!$D:$D,"40-44",Flat_file!$E:$E,"253",Flat_file!$F:$F,"I")+SUMIFS(Flat_file!$G:$G,Flat_file!$B:$B,Summary_Inactive!$B$2,Flat_file!$C:$C,"Women",Flat_file!$D:$D,"40-44",Flat_file!$E:$E,"254",Flat_file!$F:$F,"I")</f>
        <v>0</v>
      </c>
      <c r="G24" s="89">
        <f>SUMIFS(Flat_file!$G:$G,Flat_file!$B:$B,Summary_Inactive!$B$2,Flat_file!$C:$C,"Women",Flat_file!$D:$D,"40-44",Flat_file!$E:$E,"342",Flat_file!$F:$F,"I")+SUMIFS(Flat_file!$G:$G,Flat_file!$B:$B,Summary_Inactive!$B$2,Flat_file!$C:$C,"Women",Flat_file!$D:$D,"40-44",Flat_file!$E:$E,"352",Flat_file!$F:$F,"I")</f>
        <v>0</v>
      </c>
      <c r="H24" s="89">
        <f>SUMIFS(Flat_file!$G:$G,Flat_file!$B:$B,Summary_Inactive!$B$2,Flat_file!$C:$C,"Women",Flat_file!$D:$D,"40-44",Flat_file!$E:$E,"343",Flat_file!$F:$F,"I")+SUMIFS(Flat_file!$G:$G,Flat_file!$B:$B,Summary_Inactive!$B$2,Flat_file!$C:$C,"Women",Flat_file!$D:$D,"40-44",Flat_file!$E:$E,"344",Flat_file!$F:$F,"I")+SUMIFS(Flat_file!$G:$G,Flat_file!$B:$B,Summary_Inactive!$B$2,Flat_file!$C:$C,"Women",Flat_file!$D:$D,"40-44",Flat_file!$E:$E,"353",Flat_file!$F:$F,"I")+SUMIFS(Flat_file!$G:$G,Flat_file!$B:$B,Summary_Inactive!$B$2,Flat_file!$C:$C,"Women",Flat_file!$D:$D,"40-44",Flat_file!$E:$E,"354",Flat_file!$F:$F,"I")</f>
        <v>0</v>
      </c>
      <c r="I24" s="89">
        <f>SUMIFS(Flat_file!$G:$G,Flat_file!$B:$B,Summary_Inactive!$B$2,Flat_file!$C:$C,"Women",Flat_file!$D:$D,"40-44",Flat_file!$E:$E,"443",Flat_file!$F:$F,"I")+SUMIFS(Flat_file!$G:$G,Flat_file!$B:$B,Summary_Inactive!$B$2,Flat_file!$C:$C,"Women",Flat_file!$D:$D,"40-44",Flat_file!$E:$E,"444",Flat_file!$F:$F,"I")+SUMIFS(Flat_file!$G:$G,Flat_file!$B:$B,Summary_Inactive!$B$2,Flat_file!$C:$C,"Women",Flat_file!$D:$D,"40-44",Flat_file!$E:$E,"453",Flat_file!$F:$F,"I")+SUMIFS(Flat_file!$G:$G,Flat_file!$B:$B,Summary_Inactive!$B$2,Flat_file!$C:$C,"Women",Flat_file!$D:$D,"40-44",Flat_file!$E:$E,"454",Flat_file!$F:$F,"I")</f>
        <v>0</v>
      </c>
      <c r="J24" s="89">
        <f>SUMIFS(Flat_file!$G:$G,Flat_file!$B:$B,Summary_Inactive!$B$2,Flat_file!$C:$C,"Women",Flat_file!$D:$D,"40-44",Flat_file!$E:$E,"540",Flat_file!$F:$F,"I")+SUMIFS(Flat_file!$G:$G,Flat_file!$B:$B,Summary_Inactive!$B$2,Flat_file!$C:$C,"Women",Flat_file!$D:$D,"40-44",Flat_file!$E:$E,"550",Flat_file!$F:$F,"I")+SUMIFS(Flat_file!$G:$G,Flat_file!$B:$B,Summary_Inactive!$B$2,Flat_file!$C:$C,"Women",Flat_file!$D:$D,"40-44",Flat_file!$E:$E,"560",Flat_file!$F:$F,"I")</f>
        <v>0</v>
      </c>
      <c r="K24" s="89">
        <f>SUMIFS(Flat_file!$G:$G,Flat_file!$B:$B,Summary_Inactive!$B$2,Flat_file!$C:$C,"Women",Flat_file!$D:$D,"40-44",Flat_file!$E:$E,"640",Flat_file!$F:$F,"I")+SUMIFS(Flat_file!$G:$G,Flat_file!$B:$B,Summary_Inactive!$B$2,Flat_file!$C:$C,"Women",Flat_file!$D:$D,"40-44",Flat_file!$E:$E,"650",Flat_file!$F:$F,"I")+SUMIFS(Flat_file!$G:$G,Flat_file!$B:$B,Summary_Inactive!$B$2,Flat_file!$C:$C,"Women",Flat_file!$D:$D,"40-44",Flat_file!$E:$E,"660",Flat_file!$F:$F,"I")</f>
        <v>0</v>
      </c>
      <c r="L24" s="89">
        <f>SUMIFS(Flat_file!$G:$G,Flat_file!$B:$B,Summary_Inactive!$B$2,Flat_file!$C:$C,"Women",Flat_file!$D:$D,"40-44",Flat_file!$E:$E,"740",Flat_file!$F:$F,"I")+SUMIFS(Flat_file!$G:$G,Flat_file!$B:$B,Summary_Inactive!$B$2,Flat_file!$C:$C,"Women",Flat_file!$D:$D,"40-44",Flat_file!$E:$E,"750",Flat_file!$F:$F,"I")+SUMIFS(Flat_file!$G:$G,Flat_file!$B:$B,Summary_Inactive!$B$2,Flat_file!$C:$C,"Women",Flat_file!$D:$D,"40-44",Flat_file!$E:$E,"760",Flat_file!$F:$F,"I")</f>
        <v>0</v>
      </c>
      <c r="M24" s="89">
        <f>SUMIFS(Flat_file!$G:$G,Flat_file!$B:$B,Summary_Inactive!$B$2,Flat_file!$C:$C,"Women",Flat_file!$D:$D,"40-44",Flat_file!$E:$E,"840",Flat_file!$F:$F,"I")+SUMIFS(Flat_file!$G:$G,Flat_file!$B:$B,Summary_Inactive!$B$2,Flat_file!$C:$C,"Women",Flat_file!$D:$D,"40-44",Flat_file!$E:$E,"850",Flat_file!$F:$F,"I")+SUMIFS(Flat_file!$G:$G,Flat_file!$B:$B,Summary_Inactive!$B$2,Flat_file!$C:$C,"Women",Flat_file!$D:$D,"40-44",Flat_file!$E:$E,"860",Flat_file!$F:$F,"I")</f>
        <v>0</v>
      </c>
      <c r="N24" s="89">
        <f>SUMIFS(Flat_file!$G:$G,Flat_file!$B:$B,Summary_Inactive!$B$2,Flat_file!$C:$C,"Women",Flat_file!$D:$D,"40-44",Flat_file!$E:$E,"999",Flat_file!$F:$F,"I")</f>
        <v>0</v>
      </c>
      <c r="O24" s="89">
        <f t="shared" si="5"/>
        <v>0</v>
      </c>
      <c r="P24" s="90"/>
      <c r="Q24" s="89">
        <f t="shared" si="6"/>
        <v>0</v>
      </c>
      <c r="R24" s="91"/>
      <c r="S24" s="89">
        <f t="shared" si="7"/>
        <v>0</v>
      </c>
      <c r="T24" s="89">
        <f t="shared" si="8"/>
        <v>0</v>
      </c>
      <c r="U24" s="89">
        <f t="shared" si="9"/>
        <v>0</v>
      </c>
      <c r="V24" s="90"/>
      <c r="W24" s="89">
        <f>SUMIFS(Flat_file!$G:$G,Flat_file!$B:$B,Summary_Inactive!$B$2,Flat_file!$C:$C,"Women",Flat_file!$D:$D,"40-44",Flat_file!$E:$E,"343",Flat_file!$F:$F,"I")+SUMIFS(Flat_file!$G:$G,Flat_file!$B:$B,Summary_Inactive!$B$2,Flat_file!$C:$C,"Women",Flat_file!$D:$D,"40-44",Flat_file!$E:$E,"344",Flat_file!$F:$F,"I")+SUMIFS(Flat_file!$G:$G,Flat_file!$B:$B,Summary_Inactive!$B$2,Flat_file!$C:$C,"Women",Flat_file!$D:$D,"40-44",Flat_file!$E:$E,"443",Flat_file!$F:$F,"I")+SUMIFS(Flat_file!$G:$G,Flat_file!$B:$B,Summary_Inactive!$B$2,Flat_file!$C:$C,"Women",Flat_file!$D:$D,"40-44",Flat_file!$E:$E,"444",Flat_file!$F:$F,"I")</f>
        <v>0</v>
      </c>
      <c r="X24" s="89">
        <f>SUMIFS(Flat_file!$G:$G,Flat_file!$B:$B,Summary_Inactive!$B$2,Flat_file!$C:$C,"Women",Flat_file!$D:$D,"40-44",Flat_file!$E:$E,"353",Flat_file!$F:$F,"I")+SUMIFS(Flat_file!$G:$G,Flat_file!$B:$B,Summary_Inactive!$B$2,Flat_file!$C:$C,"Women",Flat_file!$D:$D,"40-44",Flat_file!$E:$E,"354",Flat_file!$F:$F,"I")+SUMIFS(Flat_file!$G:$G,Flat_file!$B:$B,Summary_Inactive!$B$2,Flat_file!$C:$C,"Women",Flat_file!$D:$D,"40-44",Flat_file!$E:$E,"453",Flat_file!$F:$F,"I")+SUMIFS(Flat_file!$G:$G,Flat_file!$B:$B,Summary_Inactive!$B$2,Flat_file!$C:$C,"Women",Flat_file!$D:$D,"40-44",Flat_file!$E:$E,"454",Flat_file!$F:$F,"I")</f>
        <v>0</v>
      </c>
      <c r="Y24" s="90"/>
      <c r="Z24" s="89">
        <f>SUMIFS(Flat_file!$G:$G,Flat_file!$B:$B,Summary_Inactive!$B$2,Flat_file!$C:$C,"Women",Flat_file!$D:$D,"40-44",Flat_file!$E:$E,"640",Flat_file!$F:$F,"I")+SUMIFS(Flat_file!$G:$G,Flat_file!$B:$B,Summary_Inactive!$B$2,Flat_file!$C:$C,"Women",Flat_file!$D:$D,"40-44",Flat_file!$E:$E,"740",Flat_file!$F:$F,"I")+SUMIFS(Flat_file!$G:$G,Flat_file!$B:$B,Summary_Inactive!$B$2,Flat_file!$C:$C,"Women",Flat_file!$D:$D,"40-44",Flat_file!$E:$E,"840",Flat_file!$F:$F,"I")</f>
        <v>0</v>
      </c>
      <c r="AA24" s="89">
        <f>SUMIFS(Flat_file!$G:$G,Flat_file!$B:$B,Summary_Inactive!$B$2,Flat_file!$C:$C,"Women",Flat_file!$D:$D,"40-44",Flat_file!$E:$E,"650",Flat_file!$F:$F,"I")+SUMIFS(Flat_file!$G:$G,Flat_file!$B:$B,Summary_Inactive!$B$2,Flat_file!$C:$C,"Women",Flat_file!$D:$D,"40-44",Flat_file!$E:$E,"750",Flat_file!$F:$F,"I")+SUMIFS(Flat_file!$G:$G,Flat_file!$B:$B,Summary_Inactive!$B$2,Flat_file!$C:$C,"Women",Flat_file!$D:$D,"40-44",Flat_file!$E:$E,"850",Flat_file!$F:$F,"I")</f>
        <v>0</v>
      </c>
      <c r="AB24" s="89">
        <f>SUMIFS(Flat_file!$G:$G,Flat_file!$B:$B,Summary_Inactive!$B$2,Flat_file!$C:$C,"Women",Flat_file!$D:$D,"40-44",Flat_file!$E:$E,"660",Flat_file!$F:$F,"I")+SUMIFS(Flat_file!$G:$G,Flat_file!$B:$B,Summary_Inactive!$B$2,Flat_file!$C:$C,"Women",Flat_file!$D:$D,"40-44",Flat_file!$E:$E,"760",Flat_file!$F:$F,"I")+SUMIFS(Flat_file!$G:$G,Flat_file!$B:$B,Summary_Inactive!$B$2,Flat_file!$C:$C,"Women",Flat_file!$D:$D,"40-44",Flat_file!$E:$E,"860",Flat_file!$F:$F,"I")</f>
        <v>0</v>
      </c>
      <c r="AC24" s="3"/>
      <c r="AD24" s="3"/>
      <c r="AE24" s="3"/>
      <c r="AF24" s="3"/>
      <c r="AG24" s="3"/>
      <c r="AH24" s="3"/>
      <c r="AI24" s="3"/>
      <c r="AJ24" s="3"/>
      <c r="AK24" s="3"/>
      <c r="AL24" s="3"/>
      <c r="AM24" s="3"/>
      <c r="AN24" s="3"/>
      <c r="AO24" s="3"/>
      <c r="AP24" s="3"/>
      <c r="AQ24" s="3"/>
      <c r="AR24" s="3"/>
      <c r="AS24" s="3"/>
    </row>
    <row r="25" spans="1:45" customFormat="1" x14ac:dyDescent="0.2">
      <c r="A25" s="352"/>
      <c r="B25" s="79" t="s">
        <v>93</v>
      </c>
      <c r="C25" s="89">
        <f>SUMIFS(Flat_file!$G:$G,Flat_file!$B:$B,Summary_Inactive!$B$2,Flat_file!$C:$C,"Women",Flat_file!$D:$D,"45-49",Flat_file!$E:$E,"010",Flat_file!$F:$F,"I")+SUMIFS(Flat_file!$G:$G,Flat_file!$B:$B,Summary_Inactive!$B$2,Flat_file!$C:$C,"Women",Flat_file!$D:$D,"45-49",Flat_file!$E:$E,"020",Flat_file!$F:$F,"I")+SUMIFS(Flat_file!$G:$G,Flat_file!$B:$B,Summary_Inactive!$B$2,Flat_file!$C:$C,"Women",Flat_file!$D:$D,"45-49",Flat_file!$E:$E,"030",Flat_file!$F:$F,"I")</f>
        <v>0</v>
      </c>
      <c r="D25" s="89">
        <f>SUMIFS(Flat_file!$G:$G,Flat_file!$B:$B,Summary_Inactive!$B$2,Flat_file!$C:$C,"Women",Flat_file!$D:$D,"45-49",Flat_file!$E:$E,"100",Flat_file!$F:$F,"I")</f>
        <v>0</v>
      </c>
      <c r="E25" s="89">
        <f>SUMIFS(Flat_file!$G:$G,Flat_file!$B:$B,Summary_Inactive!$B$2,Flat_file!$C:$C,"Women",Flat_file!$D:$D,"45-49",Flat_file!$E:$E,"242",Flat_file!$F:$F,"I")+SUMIFS(Flat_file!$G:$G,Flat_file!$B:$B,Summary_Inactive!$B$2,Flat_file!$C:$C,"Women",Flat_file!$D:$D,"45-49",Flat_file!$E:$E,"252",Flat_file!$F:$F,"I")</f>
        <v>0</v>
      </c>
      <c r="F25" s="89">
        <f>SUMIFS(Flat_file!$G:$G,Flat_file!$B:$B,Summary_Inactive!$B$2,Flat_file!$C:$C,"Women",Flat_file!$D:$D,"45-49",Flat_file!$E:$E,"243",Flat_file!$F:$F,"I")+SUMIFS(Flat_file!$G:$G,Flat_file!$B:$B,Summary_Inactive!$B$2,Flat_file!$C:$C,"Women",Flat_file!$D:$D,"45-49",Flat_file!$E:$E,"244",Flat_file!$F:$F,"I")+SUMIFS(Flat_file!$G:$G,Flat_file!$B:$B,Summary_Inactive!$B$2,Flat_file!$C:$C,"Women",Flat_file!$D:$D,"45-49",Flat_file!$E:$E,"253",Flat_file!$F:$F,"I")+SUMIFS(Flat_file!$G:$G,Flat_file!$B:$B,Summary_Inactive!$B$2,Flat_file!$C:$C,"Women",Flat_file!$D:$D,"45-49",Flat_file!$E:$E,"254",Flat_file!$F:$F,"I")</f>
        <v>0</v>
      </c>
      <c r="G25" s="89">
        <f>SUMIFS(Flat_file!$G:$G,Flat_file!$B:$B,Summary_Inactive!$B$2,Flat_file!$C:$C,"Women",Flat_file!$D:$D,"45-49",Flat_file!$E:$E,"342",Flat_file!$F:$F,"I")+SUMIFS(Flat_file!$G:$G,Flat_file!$B:$B,Summary_Inactive!$B$2,Flat_file!$C:$C,"Women",Flat_file!$D:$D,"45-49",Flat_file!$E:$E,"352",Flat_file!$F:$F,"I")</f>
        <v>0</v>
      </c>
      <c r="H25" s="89">
        <f>SUMIFS(Flat_file!$G:$G,Flat_file!$B:$B,Summary_Inactive!$B$2,Flat_file!$C:$C,"Women",Flat_file!$D:$D,"45-49",Flat_file!$E:$E,"343",Flat_file!$F:$F,"I")+SUMIFS(Flat_file!$G:$G,Flat_file!$B:$B,Summary_Inactive!$B$2,Flat_file!$C:$C,"Women",Flat_file!$D:$D,"45-49",Flat_file!$E:$E,"344",Flat_file!$F:$F,"I")+SUMIFS(Flat_file!$G:$G,Flat_file!$B:$B,Summary_Inactive!$B$2,Flat_file!$C:$C,"Women",Flat_file!$D:$D,"45-49",Flat_file!$E:$E,"353",Flat_file!$F:$F,"I")+SUMIFS(Flat_file!$G:$G,Flat_file!$B:$B,Summary_Inactive!$B$2,Flat_file!$C:$C,"Women",Flat_file!$D:$D,"45-49",Flat_file!$E:$E,"354",Flat_file!$F:$F,"I")</f>
        <v>0</v>
      </c>
      <c r="I25" s="89">
        <f>SUMIFS(Flat_file!$G:$G,Flat_file!$B:$B,Summary_Inactive!$B$2,Flat_file!$C:$C,"Women",Flat_file!$D:$D,"45-49",Flat_file!$E:$E,"443",Flat_file!$F:$F,"I")+SUMIFS(Flat_file!$G:$G,Flat_file!$B:$B,Summary_Inactive!$B$2,Flat_file!$C:$C,"Women",Flat_file!$D:$D,"45-49",Flat_file!$E:$E,"444",Flat_file!$F:$F,"I")+SUMIFS(Flat_file!$G:$G,Flat_file!$B:$B,Summary_Inactive!$B$2,Flat_file!$C:$C,"Women",Flat_file!$D:$D,"45-49",Flat_file!$E:$E,"453",Flat_file!$F:$F,"I")+SUMIFS(Flat_file!$G:$G,Flat_file!$B:$B,Summary_Inactive!$B$2,Flat_file!$C:$C,"Women",Flat_file!$D:$D,"45-49",Flat_file!$E:$E,"454",Flat_file!$F:$F,"I")</f>
        <v>0</v>
      </c>
      <c r="J25" s="89">
        <f>SUMIFS(Flat_file!$G:$G,Flat_file!$B:$B,Summary_Inactive!$B$2,Flat_file!$C:$C,"Women",Flat_file!$D:$D,"45-49",Flat_file!$E:$E,"540",Flat_file!$F:$F,"I")+SUMIFS(Flat_file!$G:$G,Flat_file!$B:$B,Summary_Inactive!$B$2,Flat_file!$C:$C,"Women",Flat_file!$D:$D,"45-49",Flat_file!$E:$E,"550",Flat_file!$F:$F,"I")+SUMIFS(Flat_file!$G:$G,Flat_file!$B:$B,Summary_Inactive!$B$2,Flat_file!$C:$C,"Women",Flat_file!$D:$D,"45-49",Flat_file!$E:$E,"560",Flat_file!$F:$F,"I")</f>
        <v>0</v>
      </c>
      <c r="K25" s="89">
        <f>SUMIFS(Flat_file!$G:$G,Flat_file!$B:$B,Summary_Inactive!$B$2,Flat_file!$C:$C,"Women",Flat_file!$D:$D,"45-49",Flat_file!$E:$E,"640",Flat_file!$F:$F,"I")+SUMIFS(Flat_file!$G:$G,Flat_file!$B:$B,Summary_Inactive!$B$2,Flat_file!$C:$C,"Women",Flat_file!$D:$D,"45-49",Flat_file!$E:$E,"650",Flat_file!$F:$F,"I")+SUMIFS(Flat_file!$G:$G,Flat_file!$B:$B,Summary_Inactive!$B$2,Flat_file!$C:$C,"Women",Flat_file!$D:$D,"45-49",Flat_file!$E:$E,"660",Flat_file!$F:$F,"I")</f>
        <v>0</v>
      </c>
      <c r="L25" s="89">
        <f>SUMIFS(Flat_file!$G:$G,Flat_file!$B:$B,Summary_Inactive!$B$2,Flat_file!$C:$C,"Women",Flat_file!$D:$D,"45-49",Flat_file!$E:$E,"740",Flat_file!$F:$F,"I")+SUMIFS(Flat_file!$G:$G,Flat_file!$B:$B,Summary_Inactive!$B$2,Flat_file!$C:$C,"Women",Flat_file!$D:$D,"45-49",Flat_file!$E:$E,"750",Flat_file!$F:$F,"I")+SUMIFS(Flat_file!$G:$G,Flat_file!$B:$B,Summary_Inactive!$B$2,Flat_file!$C:$C,"Women",Flat_file!$D:$D,"45-49",Flat_file!$E:$E,"760",Flat_file!$F:$F,"I")</f>
        <v>0</v>
      </c>
      <c r="M25" s="89">
        <f>SUMIFS(Flat_file!$G:$G,Flat_file!$B:$B,Summary_Inactive!$B$2,Flat_file!$C:$C,"Women",Flat_file!$D:$D,"45-49",Flat_file!$E:$E,"840",Flat_file!$F:$F,"I")+SUMIFS(Flat_file!$G:$G,Flat_file!$B:$B,Summary_Inactive!$B$2,Flat_file!$C:$C,"Women",Flat_file!$D:$D,"45-49",Flat_file!$E:$E,"850",Flat_file!$F:$F,"I")+SUMIFS(Flat_file!$G:$G,Flat_file!$B:$B,Summary_Inactive!$B$2,Flat_file!$C:$C,"Women",Flat_file!$D:$D,"45-49",Flat_file!$E:$E,"860",Flat_file!$F:$F,"I")</f>
        <v>0</v>
      </c>
      <c r="N25" s="89">
        <f>SUMIFS(Flat_file!$G:$G,Flat_file!$B:$B,Summary_Inactive!$B$2,Flat_file!$C:$C,"Women",Flat_file!$D:$D,"45-49",Flat_file!$E:$E,"999",Flat_file!$F:$F,"I")</f>
        <v>0</v>
      </c>
      <c r="O25" s="89">
        <f t="shared" si="5"/>
        <v>0</v>
      </c>
      <c r="P25" s="90"/>
      <c r="Q25" s="89">
        <f t="shared" si="6"/>
        <v>0</v>
      </c>
      <c r="R25" s="91"/>
      <c r="S25" s="89">
        <f t="shared" si="7"/>
        <v>0</v>
      </c>
      <c r="T25" s="89">
        <f t="shared" si="8"/>
        <v>0</v>
      </c>
      <c r="U25" s="89">
        <f t="shared" si="9"/>
        <v>0</v>
      </c>
      <c r="V25" s="90"/>
      <c r="W25" s="89">
        <f>SUMIFS(Flat_file!$G:$G,Flat_file!$B:$B,Summary_Inactive!$B$2,Flat_file!$C:$C,"Women",Flat_file!$D:$D,"45-49",Flat_file!$E:$E,"343",Flat_file!$F:$F,"I")+SUMIFS(Flat_file!$G:$G,Flat_file!$B:$B,Summary_Inactive!$B$2,Flat_file!$C:$C,"Women",Flat_file!$D:$D,"45-49",Flat_file!$E:$E,"344",Flat_file!$F:$F,"I")+SUMIFS(Flat_file!$G:$G,Flat_file!$B:$B,Summary_Inactive!$B$2,Flat_file!$C:$C,"Women",Flat_file!$D:$D,"45-49",Flat_file!$E:$E,"443",Flat_file!$F:$F,"I")+SUMIFS(Flat_file!$G:$G,Flat_file!$B:$B,Summary_Inactive!$B$2,Flat_file!$C:$C,"Women",Flat_file!$D:$D,"45-49",Flat_file!$E:$E,"444",Flat_file!$F:$F,"I")</f>
        <v>0</v>
      </c>
      <c r="X25" s="89">
        <f>SUMIFS(Flat_file!$G:$G,Flat_file!$B:$B,Summary_Inactive!$B$2,Flat_file!$C:$C,"Women",Flat_file!$D:$D,"45-49",Flat_file!$E:$E,"353",Flat_file!$F:$F,"I")+SUMIFS(Flat_file!$G:$G,Flat_file!$B:$B,Summary_Inactive!$B$2,Flat_file!$C:$C,"Women",Flat_file!$D:$D,"45-49",Flat_file!$E:$E,"354",Flat_file!$F:$F,"I")+SUMIFS(Flat_file!$G:$G,Flat_file!$B:$B,Summary_Inactive!$B$2,Flat_file!$C:$C,"Women",Flat_file!$D:$D,"45-49",Flat_file!$E:$E,"453",Flat_file!$F:$F,"I")+SUMIFS(Flat_file!$G:$G,Flat_file!$B:$B,Summary_Inactive!$B$2,Flat_file!$C:$C,"Women",Flat_file!$D:$D,"45-49",Flat_file!$E:$E,"454",Flat_file!$F:$F,"I")</f>
        <v>0</v>
      </c>
      <c r="Y25" s="90"/>
      <c r="Z25" s="89">
        <f>SUMIFS(Flat_file!$G:$G,Flat_file!$B:$B,Summary_Inactive!$B$2,Flat_file!$C:$C,"Women",Flat_file!$D:$D,"45-49",Flat_file!$E:$E,"640",Flat_file!$F:$F,"I")+SUMIFS(Flat_file!$G:$G,Flat_file!$B:$B,Summary_Inactive!$B$2,Flat_file!$C:$C,"Women",Flat_file!$D:$D,"45-49",Flat_file!$E:$E,"740",Flat_file!$F:$F,"I")+SUMIFS(Flat_file!$G:$G,Flat_file!$B:$B,Summary_Inactive!$B$2,Flat_file!$C:$C,"Women",Flat_file!$D:$D,"45-49",Flat_file!$E:$E,"840",Flat_file!$F:$F,"I")</f>
        <v>0</v>
      </c>
      <c r="AA25" s="89">
        <f>SUMIFS(Flat_file!$G:$G,Flat_file!$B:$B,Summary_Inactive!$B$2,Flat_file!$C:$C,"Women",Flat_file!$D:$D,"45-49",Flat_file!$E:$E,"650",Flat_file!$F:$F,"I")+SUMIFS(Flat_file!$G:$G,Flat_file!$B:$B,Summary_Inactive!$B$2,Flat_file!$C:$C,"Women",Flat_file!$D:$D,"45-49",Flat_file!$E:$E,"750",Flat_file!$F:$F,"I")+SUMIFS(Flat_file!$G:$G,Flat_file!$B:$B,Summary_Inactive!$B$2,Flat_file!$C:$C,"Women",Flat_file!$D:$D,"45-49",Flat_file!$E:$E,"850",Flat_file!$F:$F,"I")</f>
        <v>0</v>
      </c>
      <c r="AB25" s="89">
        <f>SUMIFS(Flat_file!$G:$G,Flat_file!$B:$B,Summary_Inactive!$B$2,Flat_file!$C:$C,"Women",Flat_file!$D:$D,"45-49",Flat_file!$E:$E,"660",Flat_file!$F:$F,"I")+SUMIFS(Flat_file!$G:$G,Flat_file!$B:$B,Summary_Inactive!$B$2,Flat_file!$C:$C,"Women",Flat_file!$D:$D,"45-49",Flat_file!$E:$E,"760",Flat_file!$F:$F,"I")+SUMIFS(Flat_file!$G:$G,Flat_file!$B:$B,Summary_Inactive!$B$2,Flat_file!$C:$C,"Women",Flat_file!$D:$D,"45-49",Flat_file!$E:$E,"860",Flat_file!$F:$F,"I")</f>
        <v>0</v>
      </c>
      <c r="AC25" s="3"/>
      <c r="AD25" s="3"/>
      <c r="AE25" s="3"/>
      <c r="AF25" s="3"/>
      <c r="AG25" s="3"/>
      <c r="AH25" s="3"/>
      <c r="AI25" s="3"/>
      <c r="AJ25" s="3"/>
      <c r="AK25" s="3"/>
      <c r="AL25" s="3"/>
      <c r="AM25" s="3"/>
      <c r="AN25" s="3"/>
      <c r="AO25" s="3"/>
      <c r="AP25" s="3"/>
      <c r="AQ25" s="3"/>
      <c r="AR25" s="3"/>
      <c r="AS25" s="3"/>
    </row>
    <row r="26" spans="1:45" customFormat="1" x14ac:dyDescent="0.2">
      <c r="A26" s="352"/>
      <c r="B26" s="79" t="s">
        <v>94</v>
      </c>
      <c r="C26" s="89">
        <f>SUMIFS(Flat_file!$G:$G,Flat_file!$B:$B,Summary_Inactive!$B$2,Flat_file!$C:$C,"Women",Flat_file!$D:$D,"50-54",Flat_file!$E:$E,"010",Flat_file!$F:$F,"I")+SUMIFS(Flat_file!$G:$G,Flat_file!$B:$B,Summary_Inactive!$B$2,Flat_file!$C:$C,"Women",Flat_file!$D:$D,"50-54",Flat_file!$E:$E,"020",Flat_file!$F:$F,"I")+SUMIFS(Flat_file!$G:$G,Flat_file!$B:$B,Summary_Inactive!$B$2,Flat_file!$C:$C,"Women",Flat_file!$D:$D,"50-54",Flat_file!$E:$E,"030",Flat_file!$F:$F,"I")</f>
        <v>0</v>
      </c>
      <c r="D26" s="89">
        <f>SUMIFS(Flat_file!$G:$G,Flat_file!$B:$B,Summary_Inactive!$B$2,Flat_file!$C:$C,"Women",Flat_file!$D:$D,"50-54",Flat_file!$E:$E,"100",Flat_file!$F:$F,"I")</f>
        <v>0</v>
      </c>
      <c r="E26" s="89">
        <f>SUMIFS(Flat_file!$G:$G,Flat_file!$B:$B,Summary_Inactive!$B$2,Flat_file!$C:$C,"Women",Flat_file!$D:$D,"50-54",Flat_file!$E:$E,"242",Flat_file!$F:$F,"I")+SUMIFS(Flat_file!$G:$G,Flat_file!$B:$B,Summary_Inactive!$B$2,Flat_file!$C:$C,"Women",Flat_file!$D:$D,"50-54",Flat_file!$E:$E,"252",Flat_file!$F:$F,"I")</f>
        <v>0</v>
      </c>
      <c r="F26" s="89">
        <f>SUMIFS(Flat_file!$G:$G,Flat_file!$B:$B,Summary_Inactive!$B$2,Flat_file!$C:$C,"Women",Flat_file!$D:$D,"50-54",Flat_file!$E:$E,"243",Flat_file!$F:$F,"I")+SUMIFS(Flat_file!$G:$G,Flat_file!$B:$B,Summary_Inactive!$B$2,Flat_file!$C:$C,"Women",Flat_file!$D:$D,"50-54",Flat_file!$E:$E,"244",Flat_file!$F:$F,"I")+SUMIFS(Flat_file!$G:$G,Flat_file!$B:$B,Summary_Inactive!$B$2,Flat_file!$C:$C,"Women",Flat_file!$D:$D,"50-54",Flat_file!$E:$E,"253",Flat_file!$F:$F,"I")+SUMIFS(Flat_file!$G:$G,Flat_file!$B:$B,Summary_Inactive!$B$2,Flat_file!$C:$C,"Women",Flat_file!$D:$D,"50-54",Flat_file!$E:$E,"254",Flat_file!$F:$F,"I")</f>
        <v>0</v>
      </c>
      <c r="G26" s="89">
        <f>SUMIFS(Flat_file!$G:$G,Flat_file!$B:$B,Summary_Inactive!$B$2,Flat_file!$C:$C,"Women",Flat_file!$D:$D,"50-54",Flat_file!$E:$E,"342",Flat_file!$F:$F,"I")+SUMIFS(Flat_file!$G:$G,Flat_file!$B:$B,Summary_Inactive!$B$2,Flat_file!$C:$C,"Women",Flat_file!$D:$D,"50-54",Flat_file!$E:$E,"352",Flat_file!$F:$F,"I")</f>
        <v>0</v>
      </c>
      <c r="H26" s="89">
        <f>SUMIFS(Flat_file!$G:$G,Flat_file!$B:$B,Summary_Inactive!$B$2,Flat_file!$C:$C,"Women",Flat_file!$D:$D,"50-54",Flat_file!$E:$E,"343",Flat_file!$F:$F,"I")+SUMIFS(Flat_file!$G:$G,Flat_file!$B:$B,Summary_Inactive!$B$2,Flat_file!$C:$C,"Women",Flat_file!$D:$D,"50-54",Flat_file!$E:$E,"344",Flat_file!$F:$F,"I")+SUMIFS(Flat_file!$G:$G,Flat_file!$B:$B,Summary_Inactive!$B$2,Flat_file!$C:$C,"Women",Flat_file!$D:$D,"50-54",Flat_file!$E:$E,"353",Flat_file!$F:$F,"I")+SUMIFS(Flat_file!$G:$G,Flat_file!$B:$B,Summary_Inactive!$B$2,Flat_file!$C:$C,"Women",Flat_file!$D:$D,"50-54",Flat_file!$E:$E,"354",Flat_file!$F:$F,"I")</f>
        <v>0</v>
      </c>
      <c r="I26" s="89">
        <f>SUMIFS(Flat_file!$G:$G,Flat_file!$B:$B,Summary_Inactive!$B$2,Flat_file!$C:$C,"Women",Flat_file!$D:$D,"50-54",Flat_file!$E:$E,"443",Flat_file!$F:$F,"I")+SUMIFS(Flat_file!$G:$G,Flat_file!$B:$B,Summary_Inactive!$B$2,Flat_file!$C:$C,"Women",Flat_file!$D:$D,"50-54",Flat_file!$E:$E,"444",Flat_file!$F:$F,"I")+SUMIFS(Flat_file!$G:$G,Flat_file!$B:$B,Summary_Inactive!$B$2,Flat_file!$C:$C,"Women",Flat_file!$D:$D,"50-54",Flat_file!$E:$E,"453",Flat_file!$F:$F,"I")+SUMIFS(Flat_file!$G:$G,Flat_file!$B:$B,Summary_Inactive!$B$2,Flat_file!$C:$C,"Women",Flat_file!$D:$D,"50-54",Flat_file!$E:$E,"454",Flat_file!$F:$F,"I")</f>
        <v>0</v>
      </c>
      <c r="J26" s="89">
        <f>SUMIFS(Flat_file!$G:$G,Flat_file!$B:$B,Summary_Inactive!$B$2,Flat_file!$C:$C,"Women",Flat_file!$D:$D,"50-54",Flat_file!$E:$E,"540",Flat_file!$F:$F,"I")+SUMIFS(Flat_file!$G:$G,Flat_file!$B:$B,Summary_Inactive!$B$2,Flat_file!$C:$C,"Women",Flat_file!$D:$D,"50-54",Flat_file!$E:$E,"550",Flat_file!$F:$F,"I")+SUMIFS(Flat_file!$G:$G,Flat_file!$B:$B,Summary_Inactive!$B$2,Flat_file!$C:$C,"Women",Flat_file!$D:$D,"50-54",Flat_file!$E:$E,"560",Flat_file!$F:$F,"I")</f>
        <v>0</v>
      </c>
      <c r="K26" s="89">
        <f>SUMIFS(Flat_file!$G:$G,Flat_file!$B:$B,Summary_Inactive!$B$2,Flat_file!$C:$C,"Women",Flat_file!$D:$D,"50-54",Flat_file!$E:$E,"640",Flat_file!$F:$F,"I")+SUMIFS(Flat_file!$G:$G,Flat_file!$B:$B,Summary_Inactive!$B$2,Flat_file!$C:$C,"Women",Flat_file!$D:$D,"50-54",Flat_file!$E:$E,"650",Flat_file!$F:$F,"I")+SUMIFS(Flat_file!$G:$G,Flat_file!$B:$B,Summary_Inactive!$B$2,Flat_file!$C:$C,"Women",Flat_file!$D:$D,"50-54",Flat_file!$E:$E,"660",Flat_file!$F:$F,"I")</f>
        <v>0</v>
      </c>
      <c r="L26" s="89">
        <f>SUMIFS(Flat_file!$G:$G,Flat_file!$B:$B,Summary_Inactive!$B$2,Flat_file!$C:$C,"Women",Flat_file!$D:$D,"50-54",Flat_file!$E:$E,"740",Flat_file!$F:$F,"I")+SUMIFS(Flat_file!$G:$G,Flat_file!$B:$B,Summary_Inactive!$B$2,Flat_file!$C:$C,"Women",Flat_file!$D:$D,"50-54",Flat_file!$E:$E,"750",Flat_file!$F:$F,"I")+SUMIFS(Flat_file!$G:$G,Flat_file!$B:$B,Summary_Inactive!$B$2,Flat_file!$C:$C,"Women",Flat_file!$D:$D,"50-54",Flat_file!$E:$E,"760",Flat_file!$F:$F,"I")</f>
        <v>0</v>
      </c>
      <c r="M26" s="89">
        <f>SUMIFS(Flat_file!$G:$G,Flat_file!$B:$B,Summary_Inactive!$B$2,Flat_file!$C:$C,"Women",Flat_file!$D:$D,"50-54",Flat_file!$E:$E,"840",Flat_file!$F:$F,"I")+SUMIFS(Flat_file!$G:$G,Flat_file!$B:$B,Summary_Inactive!$B$2,Flat_file!$C:$C,"Women",Flat_file!$D:$D,"50-54",Flat_file!$E:$E,"850",Flat_file!$F:$F,"I")+SUMIFS(Flat_file!$G:$G,Flat_file!$B:$B,Summary_Inactive!$B$2,Flat_file!$C:$C,"Women",Flat_file!$D:$D,"50-54",Flat_file!$E:$E,"860",Flat_file!$F:$F,"I")</f>
        <v>0</v>
      </c>
      <c r="N26" s="89">
        <f>SUMIFS(Flat_file!$G:$G,Flat_file!$B:$B,Summary_Inactive!$B$2,Flat_file!$C:$C,"Women",Flat_file!$D:$D,"50-54",Flat_file!$E:$E,"999",Flat_file!$F:$F,"I")</f>
        <v>0</v>
      </c>
      <c r="O26" s="89">
        <f t="shared" si="5"/>
        <v>0</v>
      </c>
      <c r="P26" s="90"/>
      <c r="Q26" s="89">
        <f t="shared" si="6"/>
        <v>0</v>
      </c>
      <c r="R26" s="91"/>
      <c r="S26" s="89">
        <f t="shared" si="7"/>
        <v>0</v>
      </c>
      <c r="T26" s="89">
        <f t="shared" si="8"/>
        <v>0</v>
      </c>
      <c r="U26" s="89">
        <f t="shared" si="9"/>
        <v>0</v>
      </c>
      <c r="V26" s="90"/>
      <c r="W26" s="89">
        <f>SUMIFS(Flat_file!$G:$G,Flat_file!$B:$B,Summary_Inactive!$B$2,Flat_file!$C:$C,"Women",Flat_file!$D:$D,"50-54",Flat_file!$E:$E,"343",Flat_file!$F:$F,"I")+SUMIFS(Flat_file!$G:$G,Flat_file!$B:$B,Summary_Inactive!$B$2,Flat_file!$C:$C,"Women",Flat_file!$D:$D,"50-54",Flat_file!$E:$E,"344",Flat_file!$F:$F,"I")+SUMIFS(Flat_file!$G:$G,Flat_file!$B:$B,Summary_Inactive!$B$2,Flat_file!$C:$C,"Women",Flat_file!$D:$D,"50-54",Flat_file!$E:$E,"443",Flat_file!$F:$F,"I")+SUMIFS(Flat_file!$G:$G,Flat_file!$B:$B,Summary_Inactive!$B$2,Flat_file!$C:$C,"Women",Flat_file!$D:$D,"50-54",Flat_file!$E:$E,"444",Flat_file!$F:$F,"I")</f>
        <v>0</v>
      </c>
      <c r="X26" s="89">
        <f>SUMIFS(Flat_file!$G:$G,Flat_file!$B:$B,Summary_Inactive!$B$2,Flat_file!$C:$C,"Women",Flat_file!$D:$D,"50-54",Flat_file!$E:$E,"353",Flat_file!$F:$F,"I")+SUMIFS(Flat_file!$G:$G,Flat_file!$B:$B,Summary_Inactive!$B$2,Flat_file!$C:$C,"Women",Flat_file!$D:$D,"50-54",Flat_file!$E:$E,"354",Flat_file!$F:$F,"I")+SUMIFS(Flat_file!$G:$G,Flat_file!$B:$B,Summary_Inactive!$B$2,Flat_file!$C:$C,"Women",Flat_file!$D:$D,"50-54",Flat_file!$E:$E,"453",Flat_file!$F:$F,"I")+SUMIFS(Flat_file!$G:$G,Flat_file!$B:$B,Summary_Inactive!$B$2,Flat_file!$C:$C,"Women",Flat_file!$D:$D,"50-54",Flat_file!$E:$E,"454",Flat_file!$F:$F,"I")</f>
        <v>0</v>
      </c>
      <c r="Y26" s="90"/>
      <c r="Z26" s="89">
        <f>SUMIFS(Flat_file!$G:$G,Flat_file!$B:$B,Summary_Inactive!$B$2,Flat_file!$C:$C,"Women",Flat_file!$D:$D,"50-54",Flat_file!$E:$E,"640",Flat_file!$F:$F,"I")+SUMIFS(Flat_file!$G:$G,Flat_file!$B:$B,Summary_Inactive!$B$2,Flat_file!$C:$C,"Women",Flat_file!$D:$D,"50-54",Flat_file!$E:$E,"740",Flat_file!$F:$F,"I")+SUMIFS(Flat_file!$G:$G,Flat_file!$B:$B,Summary_Inactive!$B$2,Flat_file!$C:$C,"Women",Flat_file!$D:$D,"50-54",Flat_file!$E:$E,"840",Flat_file!$F:$F,"I")</f>
        <v>0</v>
      </c>
      <c r="AA26" s="89">
        <f>SUMIFS(Flat_file!$G:$G,Flat_file!$B:$B,Summary_Inactive!$B$2,Flat_file!$C:$C,"Women",Flat_file!$D:$D,"50-54",Flat_file!$E:$E,"650",Flat_file!$F:$F,"I")+SUMIFS(Flat_file!$G:$G,Flat_file!$B:$B,Summary_Inactive!$B$2,Flat_file!$C:$C,"Women",Flat_file!$D:$D,"50-54",Flat_file!$E:$E,"750",Flat_file!$F:$F,"I")+SUMIFS(Flat_file!$G:$G,Flat_file!$B:$B,Summary_Inactive!$B$2,Flat_file!$C:$C,"Women",Flat_file!$D:$D,"50-54",Flat_file!$E:$E,"850",Flat_file!$F:$F,"I")</f>
        <v>0</v>
      </c>
      <c r="AB26" s="89">
        <f>SUMIFS(Flat_file!$G:$G,Flat_file!$B:$B,Summary_Inactive!$B$2,Flat_file!$C:$C,"Women",Flat_file!$D:$D,"50-54",Flat_file!$E:$E,"660",Flat_file!$F:$F,"I")+SUMIFS(Flat_file!$G:$G,Flat_file!$B:$B,Summary_Inactive!$B$2,Flat_file!$C:$C,"Women",Flat_file!$D:$D,"50-54",Flat_file!$E:$E,"760",Flat_file!$F:$F,"I")+SUMIFS(Flat_file!$G:$G,Flat_file!$B:$B,Summary_Inactive!$B$2,Flat_file!$C:$C,"Women",Flat_file!$D:$D,"50-54",Flat_file!$E:$E,"860",Flat_file!$F:$F,"I")</f>
        <v>0</v>
      </c>
      <c r="AC26" s="3"/>
      <c r="AD26" s="3"/>
      <c r="AE26" s="3"/>
      <c r="AF26" s="3"/>
      <c r="AG26" s="3"/>
      <c r="AH26" s="3"/>
      <c r="AI26" s="3"/>
      <c r="AJ26" s="3"/>
      <c r="AK26" s="3"/>
      <c r="AL26" s="3"/>
      <c r="AM26" s="3"/>
      <c r="AN26" s="3"/>
      <c r="AO26" s="3"/>
      <c r="AP26" s="3"/>
      <c r="AQ26" s="3"/>
      <c r="AR26" s="3"/>
      <c r="AS26" s="3"/>
    </row>
    <row r="27" spans="1:45" customFormat="1" x14ac:dyDescent="0.2">
      <c r="A27" s="352"/>
      <c r="B27" s="79" t="s">
        <v>95</v>
      </c>
      <c r="C27" s="89">
        <f>SUMIFS(Flat_file!$G:$G,Flat_file!$B:$B,Summary_Inactive!$B$2,Flat_file!$C:$C,"Women",Flat_file!$D:$D,"55-59",Flat_file!$E:$E,"010",Flat_file!$F:$F,"I")+SUMIFS(Flat_file!$G:$G,Flat_file!$B:$B,Summary_Inactive!$B$2,Flat_file!$C:$C,"Women",Flat_file!$D:$D,"55-59",Flat_file!$E:$E,"020",Flat_file!$F:$F,"I")+SUMIFS(Flat_file!$G:$G,Flat_file!$B:$B,Summary_Inactive!$B$2,Flat_file!$C:$C,"Women",Flat_file!$D:$D,"55-59",Flat_file!$E:$E,"030",Flat_file!$F:$F,"I")</f>
        <v>0</v>
      </c>
      <c r="D27" s="89">
        <f>SUMIFS(Flat_file!$G:$G,Flat_file!$B:$B,Summary_Inactive!$B$2,Flat_file!$C:$C,"Women",Flat_file!$D:$D,"55-59",Flat_file!$E:$E,"100",Flat_file!$F:$F,"I")</f>
        <v>0</v>
      </c>
      <c r="E27" s="89">
        <f>SUMIFS(Flat_file!$G:$G,Flat_file!$B:$B,Summary_Inactive!$B$2,Flat_file!$C:$C,"Women",Flat_file!$D:$D,"55-59",Flat_file!$E:$E,"242",Flat_file!$F:$F,"I")+SUMIFS(Flat_file!$G:$G,Flat_file!$B:$B,Summary_Inactive!$B$2,Flat_file!$C:$C,"Women",Flat_file!$D:$D,"55-59",Flat_file!$E:$E,"252",Flat_file!$F:$F,"I")</f>
        <v>0</v>
      </c>
      <c r="F27" s="89">
        <f>SUMIFS(Flat_file!$G:$G,Flat_file!$B:$B,Summary_Inactive!$B$2,Flat_file!$C:$C,"Women",Flat_file!$D:$D,"55-59",Flat_file!$E:$E,"243",Flat_file!$F:$F,"I")+SUMIFS(Flat_file!$G:$G,Flat_file!$B:$B,Summary_Inactive!$B$2,Flat_file!$C:$C,"Women",Flat_file!$D:$D,"55-59",Flat_file!$E:$E,"244",Flat_file!$F:$F,"I")+SUMIFS(Flat_file!$G:$G,Flat_file!$B:$B,Summary_Inactive!$B$2,Flat_file!$C:$C,"Women",Flat_file!$D:$D,"55-59",Flat_file!$E:$E,"253",Flat_file!$F:$F,"I")+SUMIFS(Flat_file!$G:$G,Flat_file!$B:$B,Summary_Inactive!$B$2,Flat_file!$C:$C,"Women",Flat_file!$D:$D,"55-59",Flat_file!$E:$E,"254",Flat_file!$F:$F,"I")</f>
        <v>0</v>
      </c>
      <c r="G27" s="89">
        <f>SUMIFS(Flat_file!$G:$G,Flat_file!$B:$B,Summary_Inactive!$B$2,Flat_file!$C:$C,"Women",Flat_file!$D:$D,"55-59",Flat_file!$E:$E,"342",Flat_file!$F:$F,"I")+SUMIFS(Flat_file!$G:$G,Flat_file!$B:$B,Summary_Inactive!$B$2,Flat_file!$C:$C,"Women",Flat_file!$D:$D,"55-59",Flat_file!$E:$E,"352",Flat_file!$F:$F,"I")</f>
        <v>0</v>
      </c>
      <c r="H27" s="89">
        <f>SUMIFS(Flat_file!$G:$G,Flat_file!$B:$B,Summary_Inactive!$B$2,Flat_file!$C:$C,"Women",Flat_file!$D:$D,"55-59",Flat_file!$E:$E,"343",Flat_file!$F:$F,"I")+SUMIFS(Flat_file!$G:$G,Flat_file!$B:$B,Summary_Inactive!$B$2,Flat_file!$C:$C,"Women",Flat_file!$D:$D,"55-59",Flat_file!$E:$E,"344",Flat_file!$F:$F,"I")+SUMIFS(Flat_file!$G:$G,Flat_file!$B:$B,Summary_Inactive!$B$2,Flat_file!$C:$C,"Women",Flat_file!$D:$D,"55-59",Flat_file!$E:$E,"353",Flat_file!$F:$F,"I")+SUMIFS(Flat_file!$G:$G,Flat_file!$B:$B,Summary_Inactive!$B$2,Flat_file!$C:$C,"Women",Flat_file!$D:$D,"55-59",Flat_file!$E:$E,"354",Flat_file!$F:$F,"I")</f>
        <v>0</v>
      </c>
      <c r="I27" s="89">
        <f>SUMIFS(Flat_file!$G:$G,Flat_file!$B:$B,Summary_Inactive!$B$2,Flat_file!$C:$C,"Women",Flat_file!$D:$D,"55-59",Flat_file!$E:$E,"443",Flat_file!$F:$F,"I")+SUMIFS(Flat_file!$G:$G,Flat_file!$B:$B,Summary_Inactive!$B$2,Flat_file!$C:$C,"Women",Flat_file!$D:$D,"55-59",Flat_file!$E:$E,"444",Flat_file!$F:$F,"I")+SUMIFS(Flat_file!$G:$G,Flat_file!$B:$B,Summary_Inactive!$B$2,Flat_file!$C:$C,"Women",Flat_file!$D:$D,"55-59",Flat_file!$E:$E,"453",Flat_file!$F:$F,"I")+SUMIFS(Flat_file!$G:$G,Flat_file!$B:$B,Summary_Inactive!$B$2,Flat_file!$C:$C,"Women",Flat_file!$D:$D,"55-59",Flat_file!$E:$E,"454",Flat_file!$F:$F,"I")</f>
        <v>0</v>
      </c>
      <c r="J27" s="89">
        <f>SUMIFS(Flat_file!$G:$G,Flat_file!$B:$B,Summary_Inactive!$B$2,Flat_file!$C:$C,"Women",Flat_file!$D:$D,"55-59",Flat_file!$E:$E,"540",Flat_file!$F:$F,"I")+SUMIFS(Flat_file!$G:$G,Flat_file!$B:$B,Summary_Inactive!$B$2,Flat_file!$C:$C,"Women",Flat_file!$D:$D,"55-59",Flat_file!$E:$E,"550",Flat_file!$F:$F,"I")+SUMIFS(Flat_file!$G:$G,Flat_file!$B:$B,Summary_Inactive!$B$2,Flat_file!$C:$C,"Women",Flat_file!$D:$D,"55-59",Flat_file!$E:$E,"560",Flat_file!$F:$F,"I")</f>
        <v>0</v>
      </c>
      <c r="K27" s="89">
        <f>SUMIFS(Flat_file!$G:$G,Flat_file!$B:$B,Summary_Inactive!$B$2,Flat_file!$C:$C,"Women",Flat_file!$D:$D,"55-59",Flat_file!$E:$E,"640",Flat_file!$F:$F,"I")+SUMIFS(Flat_file!$G:$G,Flat_file!$B:$B,Summary_Inactive!$B$2,Flat_file!$C:$C,"Women",Flat_file!$D:$D,"55-59",Flat_file!$E:$E,"650",Flat_file!$F:$F,"I")+SUMIFS(Flat_file!$G:$G,Flat_file!$B:$B,Summary_Inactive!$B$2,Flat_file!$C:$C,"Women",Flat_file!$D:$D,"55-59",Flat_file!$E:$E,"660",Flat_file!$F:$F,"I")</f>
        <v>0</v>
      </c>
      <c r="L27" s="89">
        <f>SUMIFS(Flat_file!$G:$G,Flat_file!$B:$B,Summary_Inactive!$B$2,Flat_file!$C:$C,"Women",Flat_file!$D:$D,"55-59",Flat_file!$E:$E,"740",Flat_file!$F:$F,"I")+SUMIFS(Flat_file!$G:$G,Flat_file!$B:$B,Summary_Inactive!$B$2,Flat_file!$C:$C,"Women",Flat_file!$D:$D,"55-59",Flat_file!$E:$E,"750",Flat_file!$F:$F,"I")+SUMIFS(Flat_file!$G:$G,Flat_file!$B:$B,Summary_Inactive!$B$2,Flat_file!$C:$C,"Women",Flat_file!$D:$D,"55-59",Flat_file!$E:$E,"760",Flat_file!$F:$F,"I")</f>
        <v>0</v>
      </c>
      <c r="M27" s="89">
        <f>SUMIFS(Flat_file!$G:$G,Flat_file!$B:$B,Summary_Inactive!$B$2,Flat_file!$C:$C,"Women",Flat_file!$D:$D,"55-59",Flat_file!$E:$E,"840",Flat_file!$F:$F,"I")+SUMIFS(Flat_file!$G:$G,Flat_file!$B:$B,Summary_Inactive!$B$2,Flat_file!$C:$C,"Women",Flat_file!$D:$D,"55-59",Flat_file!$E:$E,"850",Flat_file!$F:$F,"I")+SUMIFS(Flat_file!$G:$G,Flat_file!$B:$B,Summary_Inactive!$B$2,Flat_file!$C:$C,"Women",Flat_file!$D:$D,"55-59",Flat_file!$E:$E,"860",Flat_file!$F:$F,"I")</f>
        <v>0</v>
      </c>
      <c r="N27" s="89">
        <f>SUMIFS(Flat_file!$G:$G,Flat_file!$B:$B,Summary_Inactive!$B$2,Flat_file!$C:$C,"Women",Flat_file!$D:$D,"55-59",Flat_file!$E:$E,"999",Flat_file!$F:$F,"I")</f>
        <v>0</v>
      </c>
      <c r="O27" s="89">
        <f t="shared" si="5"/>
        <v>0</v>
      </c>
      <c r="P27" s="90"/>
      <c r="Q27" s="89">
        <f t="shared" si="6"/>
        <v>0</v>
      </c>
      <c r="R27" s="91"/>
      <c r="S27" s="89">
        <f t="shared" si="7"/>
        <v>0</v>
      </c>
      <c r="T27" s="89">
        <f t="shared" si="8"/>
        <v>0</v>
      </c>
      <c r="U27" s="89">
        <f t="shared" si="9"/>
        <v>0</v>
      </c>
      <c r="V27" s="90"/>
      <c r="W27" s="89">
        <f>SUMIFS(Flat_file!$G:$G,Flat_file!$B:$B,Summary_Inactive!$B$2,Flat_file!$C:$C,"Women",Flat_file!$D:$D,"55-59",Flat_file!$E:$E,"343",Flat_file!$F:$F,"I")+SUMIFS(Flat_file!$G:$G,Flat_file!$B:$B,Summary_Inactive!$B$2,Flat_file!$C:$C,"Women",Flat_file!$D:$D,"55-59",Flat_file!$E:$E,"344",Flat_file!$F:$F,"I")+SUMIFS(Flat_file!$G:$G,Flat_file!$B:$B,Summary_Inactive!$B$2,Flat_file!$C:$C,"Women",Flat_file!$D:$D,"55-59",Flat_file!$E:$E,"443",Flat_file!$F:$F,"I")+SUMIFS(Flat_file!$G:$G,Flat_file!$B:$B,Summary_Inactive!$B$2,Flat_file!$C:$C,"Women",Flat_file!$D:$D,"55-59",Flat_file!$E:$E,"444",Flat_file!$F:$F,"I")</f>
        <v>0</v>
      </c>
      <c r="X27" s="89">
        <f>SUMIFS(Flat_file!$G:$G,Flat_file!$B:$B,Summary_Inactive!$B$2,Flat_file!$C:$C,"Women",Flat_file!$D:$D,"55-59",Flat_file!$E:$E,"353",Flat_file!$F:$F,"I")+SUMIFS(Flat_file!$G:$G,Flat_file!$B:$B,Summary_Inactive!$B$2,Flat_file!$C:$C,"Women",Flat_file!$D:$D,"55-59",Flat_file!$E:$E,"354",Flat_file!$F:$F,"I")+SUMIFS(Flat_file!$G:$G,Flat_file!$B:$B,Summary_Inactive!$B$2,Flat_file!$C:$C,"Women",Flat_file!$D:$D,"55-59",Flat_file!$E:$E,"453",Flat_file!$F:$F,"I")+SUMIFS(Flat_file!$G:$G,Flat_file!$B:$B,Summary_Inactive!$B$2,Flat_file!$C:$C,"Women",Flat_file!$D:$D,"55-59",Flat_file!$E:$E,"454",Flat_file!$F:$F,"I")</f>
        <v>0</v>
      </c>
      <c r="Y27" s="90"/>
      <c r="Z27" s="89">
        <f>SUMIFS(Flat_file!$G:$G,Flat_file!$B:$B,Summary_Inactive!$B$2,Flat_file!$C:$C,"Women",Flat_file!$D:$D,"55-59",Flat_file!$E:$E,"640",Flat_file!$F:$F,"I")+SUMIFS(Flat_file!$G:$G,Flat_file!$B:$B,Summary_Inactive!$B$2,Flat_file!$C:$C,"Women",Flat_file!$D:$D,"55-59",Flat_file!$E:$E,"740",Flat_file!$F:$F,"I")+SUMIFS(Flat_file!$G:$G,Flat_file!$B:$B,Summary_Inactive!$B$2,Flat_file!$C:$C,"Women",Flat_file!$D:$D,"55-59",Flat_file!$E:$E,"840",Flat_file!$F:$F,"I")</f>
        <v>0</v>
      </c>
      <c r="AA27" s="89">
        <f>SUMIFS(Flat_file!$G:$G,Flat_file!$B:$B,Summary_Inactive!$B$2,Flat_file!$C:$C,"Women",Flat_file!$D:$D,"55-59",Flat_file!$E:$E,"650",Flat_file!$F:$F,"I")+SUMIFS(Flat_file!$G:$G,Flat_file!$B:$B,Summary_Inactive!$B$2,Flat_file!$C:$C,"Women",Flat_file!$D:$D,"55-59",Flat_file!$E:$E,"750",Flat_file!$F:$F,"I")+SUMIFS(Flat_file!$G:$G,Flat_file!$B:$B,Summary_Inactive!$B$2,Flat_file!$C:$C,"Women",Flat_file!$D:$D,"55-59",Flat_file!$E:$E,"850",Flat_file!$F:$F,"I")</f>
        <v>0</v>
      </c>
      <c r="AB27" s="89">
        <f>SUMIFS(Flat_file!$G:$G,Flat_file!$B:$B,Summary_Inactive!$B$2,Flat_file!$C:$C,"Women",Flat_file!$D:$D,"55-59",Flat_file!$E:$E,"660",Flat_file!$F:$F,"I")+SUMIFS(Flat_file!$G:$G,Flat_file!$B:$B,Summary_Inactive!$B$2,Flat_file!$C:$C,"Women",Flat_file!$D:$D,"55-59",Flat_file!$E:$E,"760",Flat_file!$F:$F,"I")+SUMIFS(Flat_file!$G:$G,Flat_file!$B:$B,Summary_Inactive!$B$2,Flat_file!$C:$C,"Women",Flat_file!$D:$D,"55-59",Flat_file!$E:$E,"860",Flat_file!$F:$F,"I")</f>
        <v>0</v>
      </c>
      <c r="AC27" s="3"/>
      <c r="AD27" s="3"/>
      <c r="AE27" s="3"/>
      <c r="AF27" s="3"/>
      <c r="AG27" s="3"/>
      <c r="AH27" s="3"/>
      <c r="AI27" s="3"/>
      <c r="AJ27" s="3"/>
      <c r="AK27" s="3"/>
      <c r="AL27" s="3"/>
      <c r="AM27" s="3"/>
      <c r="AN27" s="3"/>
      <c r="AO27" s="3"/>
      <c r="AP27" s="3"/>
      <c r="AQ27" s="3"/>
      <c r="AR27" s="3"/>
      <c r="AS27" s="3"/>
    </row>
    <row r="28" spans="1:45" customFormat="1" x14ac:dyDescent="0.2">
      <c r="A28" s="352"/>
      <c r="B28" s="79" t="s">
        <v>96</v>
      </c>
      <c r="C28" s="89">
        <f>SUMIFS(Flat_file!$G:$G,Flat_file!$B:$B,Summary_Inactive!$B$2,Flat_file!$C:$C,"Women",Flat_file!$D:$D,"60-64",Flat_file!$E:$E,"010",Flat_file!$F:$F,"I")+SUMIFS(Flat_file!$G:$G,Flat_file!$B:$B,Summary_Inactive!$B$2,Flat_file!$C:$C,"Women",Flat_file!$D:$D,"60-64",Flat_file!$E:$E,"020",Flat_file!$F:$F,"I")+SUMIFS(Flat_file!$G:$G,Flat_file!$B:$B,Summary_Inactive!$B$2,Flat_file!$C:$C,"Women",Flat_file!$D:$D,"60-64",Flat_file!$E:$E,"030",Flat_file!$F:$F,"I")</f>
        <v>0</v>
      </c>
      <c r="D28" s="89">
        <f>SUMIFS(Flat_file!$G:$G,Flat_file!$B:$B,Summary_Inactive!$B$2,Flat_file!$C:$C,"Women",Flat_file!$D:$D,"60-64",Flat_file!$E:$E,"100",Flat_file!$F:$F,"I")</f>
        <v>0</v>
      </c>
      <c r="E28" s="89">
        <f>SUMIFS(Flat_file!$G:$G,Flat_file!$B:$B,Summary_Inactive!$B$2,Flat_file!$C:$C,"Women",Flat_file!$D:$D,"60-64",Flat_file!$E:$E,"242",Flat_file!$F:$F,"I")+SUMIFS(Flat_file!$G:$G,Flat_file!$B:$B,Summary_Inactive!$B$2,Flat_file!$C:$C,"Women",Flat_file!$D:$D,"60-64",Flat_file!$E:$E,"252",Flat_file!$F:$F,"I")</f>
        <v>0</v>
      </c>
      <c r="F28" s="89">
        <f>SUMIFS(Flat_file!$G:$G,Flat_file!$B:$B,Summary_Inactive!$B$2,Flat_file!$C:$C,"Women",Flat_file!$D:$D,"60-64",Flat_file!$E:$E,"243",Flat_file!$F:$F,"I")+SUMIFS(Flat_file!$G:$G,Flat_file!$B:$B,Summary_Inactive!$B$2,Flat_file!$C:$C,"Women",Flat_file!$D:$D,"60-64",Flat_file!$E:$E,"244",Flat_file!$F:$F,"I")+SUMIFS(Flat_file!$G:$G,Flat_file!$B:$B,Summary_Inactive!$B$2,Flat_file!$C:$C,"Women",Flat_file!$D:$D,"60-64",Flat_file!$E:$E,"253",Flat_file!$F:$F,"I")+SUMIFS(Flat_file!$G:$G,Flat_file!$B:$B,Summary_Inactive!$B$2,Flat_file!$C:$C,"Women",Flat_file!$D:$D,"60-64",Flat_file!$E:$E,"254",Flat_file!$F:$F,"I")</f>
        <v>0</v>
      </c>
      <c r="G28" s="89">
        <f>SUMIFS(Flat_file!$G:$G,Flat_file!$B:$B,Summary_Inactive!$B$2,Flat_file!$C:$C,"Women",Flat_file!$D:$D,"60-64",Flat_file!$E:$E,"342",Flat_file!$F:$F,"I")+SUMIFS(Flat_file!$G:$G,Flat_file!$B:$B,Summary_Inactive!$B$2,Flat_file!$C:$C,"Women",Flat_file!$D:$D,"60-64",Flat_file!$E:$E,"352",Flat_file!$F:$F,"I")</f>
        <v>0</v>
      </c>
      <c r="H28" s="89">
        <f>SUMIFS(Flat_file!$G:$G,Flat_file!$B:$B,Summary_Inactive!$B$2,Flat_file!$C:$C,"Women",Flat_file!$D:$D,"60-64",Flat_file!$E:$E,"343",Flat_file!$F:$F,"I")+SUMIFS(Flat_file!$G:$G,Flat_file!$B:$B,Summary_Inactive!$B$2,Flat_file!$C:$C,"Women",Flat_file!$D:$D,"60-64",Flat_file!$E:$E,"344",Flat_file!$F:$F,"I")+SUMIFS(Flat_file!$G:$G,Flat_file!$B:$B,Summary_Inactive!$B$2,Flat_file!$C:$C,"Women",Flat_file!$D:$D,"60-64",Flat_file!$E:$E,"353",Flat_file!$F:$F,"I")+SUMIFS(Flat_file!$G:$G,Flat_file!$B:$B,Summary_Inactive!$B$2,Flat_file!$C:$C,"Women",Flat_file!$D:$D,"60-64",Flat_file!$E:$E,"354",Flat_file!$F:$F,"I")</f>
        <v>0</v>
      </c>
      <c r="I28" s="89">
        <f>SUMIFS(Flat_file!$G:$G,Flat_file!$B:$B,Summary_Inactive!$B$2,Flat_file!$C:$C,"Women",Flat_file!$D:$D,"60-64",Flat_file!$E:$E,"443",Flat_file!$F:$F,"I")+SUMIFS(Flat_file!$G:$G,Flat_file!$B:$B,Summary_Inactive!$B$2,Flat_file!$C:$C,"Women",Flat_file!$D:$D,"60-64",Flat_file!$E:$E,"444",Flat_file!$F:$F,"I")+SUMIFS(Flat_file!$G:$G,Flat_file!$B:$B,Summary_Inactive!$B$2,Flat_file!$C:$C,"Women",Flat_file!$D:$D,"60-64",Flat_file!$E:$E,"453",Flat_file!$F:$F,"I")+SUMIFS(Flat_file!$G:$G,Flat_file!$B:$B,Summary_Inactive!$B$2,Flat_file!$C:$C,"Women",Flat_file!$D:$D,"60-64",Flat_file!$E:$E,"454",Flat_file!$F:$F,"I")</f>
        <v>0</v>
      </c>
      <c r="J28" s="89">
        <f>SUMIFS(Flat_file!$G:$G,Flat_file!$B:$B,Summary_Inactive!$B$2,Flat_file!$C:$C,"Women",Flat_file!$D:$D,"60-64",Flat_file!$E:$E,"540",Flat_file!$F:$F,"I")+SUMIFS(Flat_file!$G:$G,Flat_file!$B:$B,Summary_Inactive!$B$2,Flat_file!$C:$C,"Women",Flat_file!$D:$D,"60-64",Flat_file!$E:$E,"550",Flat_file!$F:$F,"I")+SUMIFS(Flat_file!$G:$G,Flat_file!$B:$B,Summary_Inactive!$B$2,Flat_file!$C:$C,"Women",Flat_file!$D:$D,"60-64",Flat_file!$E:$E,"560",Flat_file!$F:$F,"I")</f>
        <v>0</v>
      </c>
      <c r="K28" s="89">
        <f>SUMIFS(Flat_file!$G:$G,Flat_file!$B:$B,Summary_Inactive!$B$2,Flat_file!$C:$C,"Women",Flat_file!$D:$D,"60-64",Flat_file!$E:$E,"640",Flat_file!$F:$F,"I")+SUMIFS(Flat_file!$G:$G,Flat_file!$B:$B,Summary_Inactive!$B$2,Flat_file!$C:$C,"Women",Flat_file!$D:$D,"60-64",Flat_file!$E:$E,"650",Flat_file!$F:$F,"I")+SUMIFS(Flat_file!$G:$G,Flat_file!$B:$B,Summary_Inactive!$B$2,Flat_file!$C:$C,"Women",Flat_file!$D:$D,"60-64",Flat_file!$E:$E,"660",Flat_file!$F:$F,"I")</f>
        <v>0</v>
      </c>
      <c r="L28" s="89">
        <f>SUMIFS(Flat_file!$G:$G,Flat_file!$B:$B,Summary_Inactive!$B$2,Flat_file!$C:$C,"Women",Flat_file!$D:$D,"60-64",Flat_file!$E:$E,"740",Flat_file!$F:$F,"I")+SUMIFS(Flat_file!$G:$G,Flat_file!$B:$B,Summary_Inactive!$B$2,Flat_file!$C:$C,"Women",Flat_file!$D:$D,"60-64",Flat_file!$E:$E,"750",Flat_file!$F:$F,"I")+SUMIFS(Flat_file!$G:$G,Flat_file!$B:$B,Summary_Inactive!$B$2,Flat_file!$C:$C,"Women",Flat_file!$D:$D,"60-64",Flat_file!$E:$E,"760",Flat_file!$F:$F,"I")</f>
        <v>0</v>
      </c>
      <c r="M28" s="89">
        <f>SUMIFS(Flat_file!$G:$G,Flat_file!$B:$B,Summary_Inactive!$B$2,Flat_file!$C:$C,"Women",Flat_file!$D:$D,"60-64",Flat_file!$E:$E,"840",Flat_file!$F:$F,"I")+SUMIFS(Flat_file!$G:$G,Flat_file!$B:$B,Summary_Inactive!$B$2,Flat_file!$C:$C,"Women",Flat_file!$D:$D,"60-64",Flat_file!$E:$E,"850",Flat_file!$F:$F,"I")+SUMIFS(Flat_file!$G:$G,Flat_file!$B:$B,Summary_Inactive!$B$2,Flat_file!$C:$C,"Women",Flat_file!$D:$D,"60-64",Flat_file!$E:$E,"860",Flat_file!$F:$F,"I")</f>
        <v>0</v>
      </c>
      <c r="N28" s="89">
        <f>SUMIFS(Flat_file!$G:$G,Flat_file!$B:$B,Summary_Inactive!$B$2,Flat_file!$C:$C,"Women",Flat_file!$D:$D,"60-64",Flat_file!$E:$E,"999",Flat_file!$F:$F,"I")</f>
        <v>0</v>
      </c>
      <c r="O28" s="89">
        <f t="shared" si="5"/>
        <v>0</v>
      </c>
      <c r="P28" s="90"/>
      <c r="Q28" s="89">
        <f t="shared" si="6"/>
        <v>0</v>
      </c>
      <c r="R28" s="91"/>
      <c r="S28" s="89">
        <f t="shared" si="7"/>
        <v>0</v>
      </c>
      <c r="T28" s="89">
        <f t="shared" si="8"/>
        <v>0</v>
      </c>
      <c r="U28" s="89">
        <f t="shared" si="9"/>
        <v>0</v>
      </c>
      <c r="V28" s="90"/>
      <c r="W28" s="89">
        <f>SUMIFS(Flat_file!$G:$G,Flat_file!$B:$B,Summary_Inactive!$B$2,Flat_file!$C:$C,"Women",Flat_file!$D:$D,"60-64",Flat_file!$E:$E,"343",Flat_file!$F:$F,"I")+SUMIFS(Flat_file!$G:$G,Flat_file!$B:$B,Summary_Inactive!$B$2,Flat_file!$C:$C,"Women",Flat_file!$D:$D,"60-64",Flat_file!$E:$E,"344",Flat_file!$F:$F,"I")+SUMIFS(Flat_file!$G:$G,Flat_file!$B:$B,Summary_Inactive!$B$2,Flat_file!$C:$C,"Women",Flat_file!$D:$D,"60-64",Flat_file!$E:$E,"443",Flat_file!$F:$F,"I")+SUMIFS(Flat_file!$G:$G,Flat_file!$B:$B,Summary_Inactive!$B$2,Flat_file!$C:$C,"Women",Flat_file!$D:$D,"60-64",Flat_file!$E:$E,"444",Flat_file!$F:$F,"I")</f>
        <v>0</v>
      </c>
      <c r="X28" s="89">
        <f>SUMIFS(Flat_file!$G:$G,Flat_file!$B:$B,Summary_Inactive!$B$2,Flat_file!$C:$C,"Women",Flat_file!$D:$D,"60-64",Flat_file!$E:$E,"353",Flat_file!$F:$F,"I")+SUMIFS(Flat_file!$G:$G,Flat_file!$B:$B,Summary_Inactive!$B$2,Flat_file!$C:$C,"Women",Flat_file!$D:$D,"60-64",Flat_file!$E:$E,"354",Flat_file!$F:$F,"I")+SUMIFS(Flat_file!$G:$G,Flat_file!$B:$B,Summary_Inactive!$B$2,Flat_file!$C:$C,"Women",Flat_file!$D:$D,"60-64",Flat_file!$E:$E,"453",Flat_file!$F:$F,"I")+SUMIFS(Flat_file!$G:$G,Flat_file!$B:$B,Summary_Inactive!$B$2,Flat_file!$C:$C,"Women",Flat_file!$D:$D,"60-64",Flat_file!$E:$E,"454",Flat_file!$F:$F,"I")</f>
        <v>0</v>
      </c>
      <c r="Y28" s="90"/>
      <c r="Z28" s="89">
        <f>SUMIFS(Flat_file!$G:$G,Flat_file!$B:$B,Summary_Inactive!$B$2,Flat_file!$C:$C,"Women",Flat_file!$D:$D,"60-64",Flat_file!$E:$E,"640",Flat_file!$F:$F,"I")+SUMIFS(Flat_file!$G:$G,Flat_file!$B:$B,Summary_Inactive!$B$2,Flat_file!$C:$C,"Women",Flat_file!$D:$D,"60-64",Flat_file!$E:$E,"740",Flat_file!$F:$F,"I")+SUMIFS(Flat_file!$G:$G,Flat_file!$B:$B,Summary_Inactive!$B$2,Flat_file!$C:$C,"Women",Flat_file!$D:$D,"60-64",Flat_file!$E:$E,"840",Flat_file!$F:$F,"I")</f>
        <v>0</v>
      </c>
      <c r="AA28" s="89">
        <f>SUMIFS(Flat_file!$G:$G,Flat_file!$B:$B,Summary_Inactive!$B$2,Flat_file!$C:$C,"Women",Flat_file!$D:$D,"60-64",Flat_file!$E:$E,"650",Flat_file!$F:$F,"I")+SUMIFS(Flat_file!$G:$G,Flat_file!$B:$B,Summary_Inactive!$B$2,Flat_file!$C:$C,"Women",Flat_file!$D:$D,"60-64",Flat_file!$E:$E,"750",Flat_file!$F:$F,"I")+SUMIFS(Flat_file!$G:$G,Flat_file!$B:$B,Summary_Inactive!$B$2,Flat_file!$C:$C,"Women",Flat_file!$D:$D,"60-64",Flat_file!$E:$E,"850",Flat_file!$F:$F,"I")</f>
        <v>0</v>
      </c>
      <c r="AB28" s="89">
        <f>SUMIFS(Flat_file!$G:$G,Flat_file!$B:$B,Summary_Inactive!$B$2,Flat_file!$C:$C,"Women",Flat_file!$D:$D,"60-64",Flat_file!$E:$E,"660",Flat_file!$F:$F,"I")+SUMIFS(Flat_file!$G:$G,Flat_file!$B:$B,Summary_Inactive!$B$2,Flat_file!$C:$C,"Women",Flat_file!$D:$D,"60-64",Flat_file!$E:$E,"760",Flat_file!$F:$F,"I")+SUMIFS(Flat_file!$G:$G,Flat_file!$B:$B,Summary_Inactive!$B$2,Flat_file!$C:$C,"Women",Flat_file!$D:$D,"60-64",Flat_file!$E:$E,"860",Flat_file!$F:$F,"I")</f>
        <v>0</v>
      </c>
      <c r="AC28" s="3"/>
      <c r="AD28" s="3"/>
      <c r="AE28" s="3"/>
      <c r="AF28" s="3"/>
      <c r="AG28" s="3"/>
      <c r="AH28" s="3"/>
      <c r="AI28" s="3"/>
      <c r="AJ28" s="3"/>
      <c r="AK28" s="3"/>
      <c r="AL28" s="3"/>
      <c r="AM28" s="3"/>
      <c r="AN28" s="3"/>
      <c r="AO28" s="3"/>
      <c r="AP28" s="3"/>
      <c r="AQ28" s="3"/>
      <c r="AR28" s="3"/>
      <c r="AS28" s="3"/>
    </row>
    <row r="29" spans="1:45" customFormat="1" x14ac:dyDescent="0.2">
      <c r="A29" s="352"/>
      <c r="B29" s="79" t="s">
        <v>258</v>
      </c>
      <c r="C29" s="225">
        <f>SUMIFS(Flat_file!$G:$G,Flat_file!$B:$B,Summary_Inactive!$B$2,Flat_file!$C:$C,"Women",Flat_file!$D:$D,"65-69",Flat_file!$E:$E,"010",Flat_file!$F:$F,"I")+SUMIFS(Flat_file!$G:$G,Flat_file!$B:$B,Summary_Inactive!$B$2,Flat_file!$C:$C,"Women",Flat_file!$D:$D,"65-69",Flat_file!$E:$E,"020",Flat_file!$F:$F,"I")+SUMIFS(Flat_file!$G:$G,Flat_file!$B:$B,Summary_Inactive!$B$2,Flat_file!$C:$C,"Women",Flat_file!$D:$D,"65-69",Flat_file!$E:$E,"030",Flat_file!$F:$F,"I")</f>
        <v>0</v>
      </c>
      <c r="D29" s="225">
        <f>SUMIFS(Flat_file!$G:$G,Flat_file!$B:$B,Summary_Inactive!$B$2,Flat_file!$C:$C,"Women",Flat_file!$D:$D,"65-69",Flat_file!$E:$E,"100",Flat_file!$F:$F,"I")</f>
        <v>0</v>
      </c>
      <c r="E29" s="225">
        <f>SUMIFS(Flat_file!$G:$G,Flat_file!$B:$B,Summary_Inactive!$B$2,Flat_file!$C:$C,"Women",Flat_file!$D:$D,"65-69",Flat_file!$E:$E,"242",Flat_file!$F:$F,"I")+SUMIFS(Flat_file!$G:$G,Flat_file!$B:$B,Summary_Inactive!$B$2,Flat_file!$C:$C,"Women",Flat_file!$D:$D,"65-69",Flat_file!$E:$E,"252",Flat_file!$F:$F,"I")</f>
        <v>0</v>
      </c>
      <c r="F29" s="225">
        <f>SUMIFS(Flat_file!$G:$G,Flat_file!$B:$B,Summary_Inactive!$B$2,Flat_file!$C:$C,"Women",Flat_file!$D:$D,"65-69",Flat_file!$E:$E,"243",Flat_file!$F:$F,"I")+SUMIFS(Flat_file!$G:$G,Flat_file!$B:$B,Summary_Inactive!$B$2,Flat_file!$C:$C,"Women",Flat_file!$D:$D,"65-69",Flat_file!$E:$E,"244",Flat_file!$F:$F,"I")+SUMIFS(Flat_file!$G:$G,Flat_file!$B:$B,Summary_Inactive!$B$2,Flat_file!$C:$C,"Women",Flat_file!$D:$D,"65-69",Flat_file!$E:$E,"253",Flat_file!$F:$F,"I")+SUMIFS(Flat_file!$G:$G,Flat_file!$B:$B,Summary_Inactive!$B$2,Flat_file!$C:$C,"Women",Flat_file!$D:$D,"65-69",Flat_file!$E:$E,"254",Flat_file!$F:$F,"I")</f>
        <v>0</v>
      </c>
      <c r="G29" s="225">
        <f>SUMIFS(Flat_file!$G:$G,Flat_file!$B:$B,Summary_Inactive!$B$2,Flat_file!$C:$C,"Women",Flat_file!$D:$D,"65-69",Flat_file!$E:$E,"342",Flat_file!$F:$F,"I")+SUMIFS(Flat_file!$G:$G,Flat_file!$B:$B,Summary_Inactive!$B$2,Flat_file!$C:$C,"Women",Flat_file!$D:$D,"65-69",Flat_file!$E:$E,"352",Flat_file!$F:$F,"I")</f>
        <v>0</v>
      </c>
      <c r="H29" s="225">
        <f>SUMIFS(Flat_file!$G:$G,Flat_file!$B:$B,Summary_Inactive!$B$2,Flat_file!$C:$C,"Women",Flat_file!$D:$D,"65-69",Flat_file!$E:$E,"343",Flat_file!$F:$F,"I")+SUMIFS(Flat_file!$G:$G,Flat_file!$B:$B,Summary_Inactive!$B$2,Flat_file!$C:$C,"Women",Flat_file!$D:$D,"65-69",Flat_file!$E:$E,"344",Flat_file!$F:$F,"I")+SUMIFS(Flat_file!$G:$G,Flat_file!$B:$B,Summary_Inactive!$B$2,Flat_file!$C:$C,"Women",Flat_file!$D:$D,"65-69",Flat_file!$E:$E,"353",Flat_file!$F:$F,"I")+SUMIFS(Flat_file!$G:$G,Flat_file!$B:$B,Summary_Inactive!$B$2,Flat_file!$C:$C,"Women",Flat_file!$D:$D,"65-69",Flat_file!$E:$E,"354",Flat_file!$F:$F,"I")</f>
        <v>0</v>
      </c>
      <c r="I29" s="225">
        <f>SUMIFS(Flat_file!$G:$G,Flat_file!$B:$B,Summary_Inactive!$B$2,Flat_file!$C:$C,"Women",Flat_file!$D:$D,"65-69",Flat_file!$E:$E,"443",Flat_file!$F:$F,"I")+SUMIFS(Flat_file!$G:$G,Flat_file!$B:$B,Summary_Inactive!$B$2,Flat_file!$C:$C,"Women",Flat_file!$D:$D,"65-69",Flat_file!$E:$E,"444",Flat_file!$F:$F,"I")+SUMIFS(Flat_file!$G:$G,Flat_file!$B:$B,Summary_Inactive!$B$2,Flat_file!$C:$C,"Women",Flat_file!$D:$D,"65-69",Flat_file!$E:$E,"453",Flat_file!$F:$F,"I")+SUMIFS(Flat_file!$G:$G,Flat_file!$B:$B,Summary_Inactive!$B$2,Flat_file!$C:$C,"Women",Flat_file!$D:$D,"65-69",Flat_file!$E:$E,"454",Flat_file!$F:$F,"I")</f>
        <v>0</v>
      </c>
      <c r="J29" s="225">
        <f>SUMIFS(Flat_file!$G:$G,Flat_file!$B:$B,Summary_Inactive!$B$2,Flat_file!$C:$C,"Women",Flat_file!$D:$D,"65-69",Flat_file!$E:$E,"540",Flat_file!$F:$F,"I")+SUMIFS(Flat_file!$G:$G,Flat_file!$B:$B,Summary_Inactive!$B$2,Flat_file!$C:$C,"Women",Flat_file!$D:$D,"65-69",Flat_file!$E:$E,"550",Flat_file!$F:$F,"I")+SUMIFS(Flat_file!$G:$G,Flat_file!$B:$B,Summary_Inactive!$B$2,Flat_file!$C:$C,"Women",Flat_file!$D:$D,"65-69",Flat_file!$E:$E,"560",Flat_file!$F:$F,"I")</f>
        <v>0</v>
      </c>
      <c r="K29" s="225">
        <f>SUMIFS(Flat_file!$G:$G,Flat_file!$B:$B,Summary_Inactive!$B$2,Flat_file!$C:$C,"Women",Flat_file!$D:$D,"65-69",Flat_file!$E:$E,"640",Flat_file!$F:$F,"I")+SUMIFS(Flat_file!$G:$G,Flat_file!$B:$B,Summary_Inactive!$B$2,Flat_file!$C:$C,"Women",Flat_file!$D:$D,"65-69",Flat_file!$E:$E,"650",Flat_file!$F:$F,"I")+SUMIFS(Flat_file!$G:$G,Flat_file!$B:$B,Summary_Inactive!$B$2,Flat_file!$C:$C,"Women",Flat_file!$D:$D,"65-69",Flat_file!$E:$E,"660",Flat_file!$F:$F,"I")</f>
        <v>0</v>
      </c>
      <c r="L29" s="225">
        <f>SUMIFS(Flat_file!$G:$G,Flat_file!$B:$B,Summary_Inactive!$B$2,Flat_file!$C:$C,"Women",Flat_file!$D:$D,"65-69",Flat_file!$E:$E,"740",Flat_file!$F:$F,"I")+SUMIFS(Flat_file!$G:$G,Flat_file!$B:$B,Summary_Inactive!$B$2,Flat_file!$C:$C,"Women",Flat_file!$D:$D,"65-69",Flat_file!$E:$E,"750",Flat_file!$F:$F,"I")+SUMIFS(Flat_file!$G:$G,Flat_file!$B:$B,Summary_Inactive!$B$2,Flat_file!$C:$C,"Women",Flat_file!$D:$D,"65-69",Flat_file!$E:$E,"760",Flat_file!$F:$F,"I")</f>
        <v>0</v>
      </c>
      <c r="M29" s="225">
        <f>SUMIFS(Flat_file!$G:$G,Flat_file!$B:$B,Summary_Inactive!$B$2,Flat_file!$C:$C,"Women",Flat_file!$D:$D,"65-69",Flat_file!$E:$E,"840",Flat_file!$F:$F,"I")+SUMIFS(Flat_file!$G:$G,Flat_file!$B:$B,Summary_Inactive!$B$2,Flat_file!$C:$C,"Women",Flat_file!$D:$D,"65-69",Flat_file!$E:$E,"850",Flat_file!$F:$F,"I")+SUMIFS(Flat_file!$G:$G,Flat_file!$B:$B,Summary_Inactive!$B$2,Flat_file!$C:$C,"Women",Flat_file!$D:$D,"65-69",Flat_file!$E:$E,"860",Flat_file!$F:$F,"I")</f>
        <v>0</v>
      </c>
      <c r="N29" s="225">
        <f>SUMIFS(Flat_file!$G:$G,Flat_file!$B:$B,Summary_Inactive!$B$2,Flat_file!$C:$C,"Women",Flat_file!$D:$D,"65-69",Flat_file!$E:$E,"999",Flat_file!$F:$F,"I")</f>
        <v>0</v>
      </c>
      <c r="O29" s="225">
        <f t="shared" si="5"/>
        <v>0</v>
      </c>
      <c r="P29" s="90"/>
      <c r="Q29" s="225">
        <f t="shared" si="6"/>
        <v>0</v>
      </c>
      <c r="R29" s="91"/>
      <c r="S29" s="225">
        <f t="shared" si="7"/>
        <v>0</v>
      </c>
      <c r="T29" s="225">
        <f t="shared" si="8"/>
        <v>0</v>
      </c>
      <c r="U29" s="225">
        <f t="shared" si="9"/>
        <v>0</v>
      </c>
      <c r="V29" s="90"/>
      <c r="W29" s="225">
        <f>SUMIFS(Flat_file!$G:$G,Flat_file!$B:$B,Summary_Inactive!$B$2,Flat_file!$C:$C,"Women",Flat_file!$D:$D,"65-69",Flat_file!$E:$E,"343",Flat_file!$F:$F,"I")+SUMIFS(Flat_file!$G:$G,Flat_file!$B:$B,Summary_Inactive!$B$2,Flat_file!$C:$C,"Women",Flat_file!$D:$D,"65-69",Flat_file!$E:$E,"344",Flat_file!$F:$F,"I")+SUMIFS(Flat_file!$G:$G,Flat_file!$B:$B,Summary_Inactive!$B$2,Flat_file!$C:$C,"Women",Flat_file!$D:$D,"65-69",Flat_file!$E:$E,"443",Flat_file!$F:$F,"I")+SUMIFS(Flat_file!$G:$G,Flat_file!$B:$B,Summary_Inactive!$B$2,Flat_file!$C:$C,"Women",Flat_file!$D:$D,"65-69",Flat_file!$E:$E,"444",Flat_file!$F:$F,"I")</f>
        <v>0</v>
      </c>
      <c r="X29" s="225">
        <f>SUMIFS(Flat_file!$G:$G,Flat_file!$B:$B,Summary_Inactive!$B$2,Flat_file!$C:$C,"Women",Flat_file!$D:$D,"65-69",Flat_file!$E:$E,"353",Flat_file!$F:$F,"I")+SUMIFS(Flat_file!$G:$G,Flat_file!$B:$B,Summary_Inactive!$B$2,Flat_file!$C:$C,"Women",Flat_file!$D:$D,"65-69",Flat_file!$E:$E,"354",Flat_file!$F:$F,"I")+SUMIFS(Flat_file!$G:$G,Flat_file!$B:$B,Summary_Inactive!$B$2,Flat_file!$C:$C,"Women",Flat_file!$D:$D,"65-69",Flat_file!$E:$E,"453",Flat_file!$F:$F,"I")+SUMIFS(Flat_file!$G:$G,Flat_file!$B:$B,Summary_Inactive!$B$2,Flat_file!$C:$C,"Women",Flat_file!$D:$D,"65-69",Flat_file!$E:$E,"454",Flat_file!$F:$F,"I")</f>
        <v>0</v>
      </c>
      <c r="Y29" s="90"/>
      <c r="Z29" s="225">
        <f>SUMIFS(Flat_file!$G:$G,Flat_file!$B:$B,Summary_Inactive!$B$2,Flat_file!$C:$C,"Women",Flat_file!$D:$D,"65-69",Flat_file!$E:$E,"640",Flat_file!$F:$F,"I")+SUMIFS(Flat_file!$G:$G,Flat_file!$B:$B,Summary_Inactive!$B$2,Flat_file!$C:$C,"Women",Flat_file!$D:$D,"65-69",Flat_file!$E:$E,"740",Flat_file!$F:$F,"I")+SUMIFS(Flat_file!$G:$G,Flat_file!$B:$B,Summary_Inactive!$B$2,Flat_file!$C:$C,"Women",Flat_file!$D:$D,"65-69",Flat_file!$E:$E,"840",Flat_file!$F:$F,"I")</f>
        <v>0</v>
      </c>
      <c r="AA29" s="225">
        <f>SUMIFS(Flat_file!$G:$G,Flat_file!$B:$B,Summary_Inactive!$B$2,Flat_file!$C:$C,"Women",Flat_file!$D:$D,"65-69",Flat_file!$E:$E,"650",Flat_file!$F:$F,"I")+SUMIFS(Flat_file!$G:$G,Flat_file!$B:$B,Summary_Inactive!$B$2,Flat_file!$C:$C,"Women",Flat_file!$D:$D,"65-69",Flat_file!$E:$E,"750",Flat_file!$F:$F,"I")+SUMIFS(Flat_file!$G:$G,Flat_file!$B:$B,Summary_Inactive!$B$2,Flat_file!$C:$C,"Women",Flat_file!$D:$D,"65-69",Flat_file!$E:$E,"850",Flat_file!$F:$F,"I")</f>
        <v>0</v>
      </c>
      <c r="AB29" s="225">
        <f>SUMIFS(Flat_file!$G:$G,Flat_file!$B:$B,Summary_Inactive!$B$2,Flat_file!$C:$C,"Women",Flat_file!$D:$D,"65-69",Flat_file!$E:$E,"660",Flat_file!$F:$F,"I")+SUMIFS(Flat_file!$G:$G,Flat_file!$B:$B,Summary_Inactive!$B$2,Flat_file!$C:$C,"Women",Flat_file!$D:$D,"65-69",Flat_file!$E:$E,"760",Flat_file!$F:$F,"I")+SUMIFS(Flat_file!$G:$G,Flat_file!$B:$B,Summary_Inactive!$B$2,Flat_file!$C:$C,"Women",Flat_file!$D:$D,"65-69",Flat_file!$E:$E,"860",Flat_file!$F:$F,"I")</f>
        <v>0</v>
      </c>
      <c r="AC29" s="3"/>
      <c r="AD29" s="3"/>
      <c r="AE29" s="3"/>
      <c r="AF29" s="3"/>
      <c r="AG29" s="3"/>
      <c r="AH29" s="3"/>
      <c r="AI29" s="3"/>
      <c r="AJ29" s="3"/>
      <c r="AK29" s="3"/>
      <c r="AL29" s="3"/>
      <c r="AM29" s="3"/>
      <c r="AN29" s="3"/>
      <c r="AO29" s="3"/>
      <c r="AP29" s="3"/>
      <c r="AQ29" s="3"/>
      <c r="AR29" s="3"/>
      <c r="AS29" s="3"/>
    </row>
    <row r="30" spans="1:45" customFormat="1" x14ac:dyDescent="0.2">
      <c r="A30" s="352"/>
      <c r="B30" s="79" t="s">
        <v>260</v>
      </c>
      <c r="C30" s="225">
        <f>SUMIFS(Flat_file!$G:$G,Flat_file!$B:$B,Summary_Inactive!$B$2,Flat_file!$C:$C,"Women",Flat_file!$D:$D,"70-74",Flat_file!$E:$E,"010",Flat_file!$F:$F,"I")+SUMIFS(Flat_file!$G:$G,Flat_file!$B:$B,Summary_Inactive!$B$2,Flat_file!$C:$C,"Women",Flat_file!$D:$D,"70-74",Flat_file!$E:$E,"020",Flat_file!$F:$F,"I")+SUMIFS(Flat_file!$G:$G,Flat_file!$B:$B,Summary_Inactive!$B$2,Flat_file!$C:$C,"Women",Flat_file!$D:$D,"70-74",Flat_file!$E:$E,"030",Flat_file!$F:$F,"I")</f>
        <v>0</v>
      </c>
      <c r="D30" s="225">
        <f>SUMIFS(Flat_file!$G:$G,Flat_file!$B:$B,Summary_Inactive!$B$2,Flat_file!$C:$C,"Women",Flat_file!$D:$D,"70-74",Flat_file!$E:$E,"100",Flat_file!$F:$F,"I")</f>
        <v>0</v>
      </c>
      <c r="E30" s="225">
        <f>SUMIFS(Flat_file!$G:$G,Flat_file!$B:$B,Summary_Inactive!$B$2,Flat_file!$C:$C,"Women",Flat_file!$D:$D,"70-74",Flat_file!$E:$E,"242",Flat_file!$F:$F,"I")+SUMIFS(Flat_file!$G:$G,Flat_file!$B:$B,Summary_Inactive!$B$2,Flat_file!$C:$C,"Women",Flat_file!$D:$D,"70-74",Flat_file!$E:$E,"252",Flat_file!$F:$F,"I")</f>
        <v>0</v>
      </c>
      <c r="F30" s="225">
        <f>SUMIFS(Flat_file!$G:$G,Flat_file!$B:$B,Summary_Inactive!$B$2,Flat_file!$C:$C,"Women",Flat_file!$D:$D,"70-74",Flat_file!$E:$E,"243",Flat_file!$F:$F,"I")+SUMIFS(Flat_file!$G:$G,Flat_file!$B:$B,Summary_Inactive!$B$2,Flat_file!$C:$C,"Women",Flat_file!$D:$D,"70-74",Flat_file!$E:$E,"244",Flat_file!$F:$F,"I")+SUMIFS(Flat_file!$G:$G,Flat_file!$B:$B,Summary_Inactive!$B$2,Flat_file!$C:$C,"Women",Flat_file!$D:$D,"70-74",Flat_file!$E:$E,"253",Flat_file!$F:$F,"I")+SUMIFS(Flat_file!$G:$G,Flat_file!$B:$B,Summary_Inactive!$B$2,Flat_file!$C:$C,"Women",Flat_file!$D:$D,"70-74",Flat_file!$E:$E,"254",Flat_file!$F:$F,"I")</f>
        <v>0</v>
      </c>
      <c r="G30" s="225">
        <f>SUMIFS(Flat_file!$G:$G,Flat_file!$B:$B,Summary_Inactive!$B$2,Flat_file!$C:$C,"Women",Flat_file!$D:$D,"70-74",Flat_file!$E:$E,"342",Flat_file!$F:$F,"I")+SUMIFS(Flat_file!$G:$G,Flat_file!$B:$B,Summary_Inactive!$B$2,Flat_file!$C:$C,"Women",Flat_file!$D:$D,"70-74",Flat_file!$E:$E,"352",Flat_file!$F:$F,"I")</f>
        <v>0</v>
      </c>
      <c r="H30" s="225">
        <f>SUMIFS(Flat_file!$G:$G,Flat_file!$B:$B,Summary_Inactive!$B$2,Flat_file!$C:$C,"Women",Flat_file!$D:$D,"70-74",Flat_file!$E:$E,"343",Flat_file!$F:$F,"I")+SUMIFS(Flat_file!$G:$G,Flat_file!$B:$B,Summary_Inactive!$B$2,Flat_file!$C:$C,"Women",Flat_file!$D:$D,"70-74",Flat_file!$E:$E,"344",Flat_file!$F:$F,"I")+SUMIFS(Flat_file!$G:$G,Flat_file!$B:$B,Summary_Inactive!$B$2,Flat_file!$C:$C,"Women",Flat_file!$D:$D,"70-74",Flat_file!$E:$E,"353",Flat_file!$F:$F,"I")+SUMIFS(Flat_file!$G:$G,Flat_file!$B:$B,Summary_Inactive!$B$2,Flat_file!$C:$C,"Women",Flat_file!$D:$D,"70-74",Flat_file!$E:$E,"354",Flat_file!$F:$F,"I")</f>
        <v>0</v>
      </c>
      <c r="I30" s="225">
        <f>SUMIFS(Flat_file!$G:$G,Flat_file!$B:$B,Summary_Inactive!$B$2,Flat_file!$C:$C,"Women",Flat_file!$D:$D,"70-74",Flat_file!$E:$E,"443",Flat_file!$F:$F,"I")+SUMIFS(Flat_file!$G:$G,Flat_file!$B:$B,Summary_Inactive!$B$2,Flat_file!$C:$C,"Women",Flat_file!$D:$D,"70-74",Flat_file!$E:$E,"444",Flat_file!$F:$F,"I")+SUMIFS(Flat_file!$G:$G,Flat_file!$B:$B,Summary_Inactive!$B$2,Flat_file!$C:$C,"Women",Flat_file!$D:$D,"70-74",Flat_file!$E:$E,"453",Flat_file!$F:$F,"I")+SUMIFS(Flat_file!$G:$G,Flat_file!$B:$B,Summary_Inactive!$B$2,Flat_file!$C:$C,"Women",Flat_file!$D:$D,"70-74",Flat_file!$E:$E,"454",Flat_file!$F:$F,"I")</f>
        <v>0</v>
      </c>
      <c r="J30" s="225">
        <f>SUMIFS(Flat_file!$G:$G,Flat_file!$B:$B,Summary_Inactive!$B$2,Flat_file!$C:$C,"Women",Flat_file!$D:$D,"70-74",Flat_file!$E:$E,"540",Flat_file!$F:$F,"I")+SUMIFS(Flat_file!$G:$G,Flat_file!$B:$B,Summary_Inactive!$B$2,Flat_file!$C:$C,"Women",Flat_file!$D:$D,"70-74",Flat_file!$E:$E,"550",Flat_file!$F:$F,"I")+SUMIFS(Flat_file!$G:$G,Flat_file!$B:$B,Summary_Inactive!$B$2,Flat_file!$C:$C,"Women",Flat_file!$D:$D,"70-74",Flat_file!$E:$E,"560",Flat_file!$F:$F,"I")</f>
        <v>0</v>
      </c>
      <c r="K30" s="225">
        <f>SUMIFS(Flat_file!$G:$G,Flat_file!$B:$B,Summary_Inactive!$B$2,Flat_file!$C:$C,"Women",Flat_file!$D:$D,"70-74",Flat_file!$E:$E,"640",Flat_file!$F:$F,"I")+SUMIFS(Flat_file!$G:$G,Flat_file!$B:$B,Summary_Inactive!$B$2,Flat_file!$C:$C,"Women",Flat_file!$D:$D,"70-74",Flat_file!$E:$E,"650",Flat_file!$F:$F,"I")+SUMIFS(Flat_file!$G:$G,Flat_file!$B:$B,Summary_Inactive!$B$2,Flat_file!$C:$C,"Women",Flat_file!$D:$D,"70-74",Flat_file!$E:$E,"660",Flat_file!$F:$F,"I")</f>
        <v>0</v>
      </c>
      <c r="L30" s="225">
        <f>SUMIFS(Flat_file!$G:$G,Flat_file!$B:$B,Summary_Inactive!$B$2,Flat_file!$C:$C,"Women",Flat_file!$D:$D,"70-74",Flat_file!$E:$E,"740",Flat_file!$F:$F,"I")+SUMIFS(Flat_file!$G:$G,Flat_file!$B:$B,Summary_Inactive!$B$2,Flat_file!$C:$C,"Women",Flat_file!$D:$D,"70-74",Flat_file!$E:$E,"750",Flat_file!$F:$F,"I")+SUMIFS(Flat_file!$G:$G,Flat_file!$B:$B,Summary_Inactive!$B$2,Flat_file!$C:$C,"Women",Flat_file!$D:$D,"70-74",Flat_file!$E:$E,"760",Flat_file!$F:$F,"I")</f>
        <v>0</v>
      </c>
      <c r="M30" s="225">
        <f>SUMIFS(Flat_file!$G:$G,Flat_file!$B:$B,Summary_Inactive!$B$2,Flat_file!$C:$C,"Women",Flat_file!$D:$D,"70-74",Flat_file!$E:$E,"840",Flat_file!$F:$F,"I")+SUMIFS(Flat_file!$G:$G,Flat_file!$B:$B,Summary_Inactive!$B$2,Flat_file!$C:$C,"Women",Flat_file!$D:$D,"70-74",Flat_file!$E:$E,"850",Flat_file!$F:$F,"I")+SUMIFS(Flat_file!$G:$G,Flat_file!$B:$B,Summary_Inactive!$B$2,Flat_file!$C:$C,"Women",Flat_file!$D:$D,"70-74",Flat_file!$E:$E,"860",Flat_file!$F:$F,"I")</f>
        <v>0</v>
      </c>
      <c r="N30" s="225">
        <f>SUMIFS(Flat_file!$G:$G,Flat_file!$B:$B,Summary_Inactive!$B$2,Flat_file!$C:$C,"Women",Flat_file!$D:$D,"70-74",Flat_file!$E:$E,"999",Flat_file!$F:$F,"I")</f>
        <v>0</v>
      </c>
      <c r="O30" s="225">
        <f t="shared" si="5"/>
        <v>0</v>
      </c>
      <c r="P30" s="90"/>
      <c r="Q30" s="225">
        <f t="shared" si="6"/>
        <v>0</v>
      </c>
      <c r="R30" s="91"/>
      <c r="S30" s="225">
        <f t="shared" si="7"/>
        <v>0</v>
      </c>
      <c r="T30" s="225">
        <f t="shared" si="8"/>
        <v>0</v>
      </c>
      <c r="U30" s="225">
        <f t="shared" si="9"/>
        <v>0</v>
      </c>
      <c r="V30" s="90"/>
      <c r="W30" s="225">
        <f>SUMIFS(Flat_file!$G:$G,Flat_file!$B:$B,Summary_Inactive!$B$2,Flat_file!$C:$C,"Women",Flat_file!$D:$D,"70-74",Flat_file!$E:$E,"343",Flat_file!$F:$F,"I")+SUMIFS(Flat_file!$G:$G,Flat_file!$B:$B,Summary_Inactive!$B$2,Flat_file!$C:$C,"Women",Flat_file!$D:$D,"70-74",Flat_file!$E:$E,"344",Flat_file!$F:$F,"I")+SUMIFS(Flat_file!$G:$G,Flat_file!$B:$B,Summary_Inactive!$B$2,Flat_file!$C:$C,"Women",Flat_file!$D:$D,"70-74",Flat_file!$E:$E,"443",Flat_file!$F:$F,"I")+SUMIFS(Flat_file!$G:$G,Flat_file!$B:$B,Summary_Inactive!$B$2,Flat_file!$C:$C,"Women",Flat_file!$D:$D,"70-74",Flat_file!$E:$E,"444",Flat_file!$F:$F,"I")</f>
        <v>0</v>
      </c>
      <c r="X30" s="225">
        <f>SUMIFS(Flat_file!$G:$G,Flat_file!$B:$B,Summary_Inactive!$B$2,Flat_file!$C:$C,"Women",Flat_file!$D:$D,"70-74",Flat_file!$E:$E,"353",Flat_file!$F:$F,"I")+SUMIFS(Flat_file!$G:$G,Flat_file!$B:$B,Summary_Inactive!$B$2,Flat_file!$C:$C,"Women",Flat_file!$D:$D,"70-74",Flat_file!$E:$E,"354",Flat_file!$F:$F,"I")+SUMIFS(Flat_file!$G:$G,Flat_file!$B:$B,Summary_Inactive!$B$2,Flat_file!$C:$C,"Women",Flat_file!$D:$D,"70-74",Flat_file!$E:$E,"453",Flat_file!$F:$F,"I")+SUMIFS(Flat_file!$G:$G,Flat_file!$B:$B,Summary_Inactive!$B$2,Flat_file!$C:$C,"Women",Flat_file!$D:$D,"70-74",Flat_file!$E:$E,"454",Flat_file!$F:$F,"I")</f>
        <v>0</v>
      </c>
      <c r="Y30" s="90"/>
      <c r="Z30" s="225">
        <f>SUMIFS(Flat_file!$G:$G,Flat_file!$B:$B,Summary_Inactive!$B$2,Flat_file!$C:$C,"Women",Flat_file!$D:$D,"70-74",Flat_file!$E:$E,"640",Flat_file!$F:$F,"I")+SUMIFS(Flat_file!$G:$G,Flat_file!$B:$B,Summary_Inactive!$B$2,Flat_file!$C:$C,"Women",Flat_file!$D:$D,"70-74",Flat_file!$E:$E,"740",Flat_file!$F:$F,"I")+SUMIFS(Flat_file!$G:$G,Flat_file!$B:$B,Summary_Inactive!$B$2,Flat_file!$C:$C,"Women",Flat_file!$D:$D,"70-74",Flat_file!$E:$E,"840",Flat_file!$F:$F,"I")</f>
        <v>0</v>
      </c>
      <c r="AA30" s="225">
        <f>SUMIFS(Flat_file!$G:$G,Flat_file!$B:$B,Summary_Inactive!$B$2,Flat_file!$C:$C,"Women",Flat_file!$D:$D,"70-74",Flat_file!$E:$E,"650",Flat_file!$F:$F,"I")+SUMIFS(Flat_file!$G:$G,Flat_file!$B:$B,Summary_Inactive!$B$2,Flat_file!$C:$C,"Women",Flat_file!$D:$D,"70-74",Flat_file!$E:$E,"750",Flat_file!$F:$F,"I")+SUMIFS(Flat_file!$G:$G,Flat_file!$B:$B,Summary_Inactive!$B$2,Flat_file!$C:$C,"Women",Flat_file!$D:$D,"70-74",Flat_file!$E:$E,"850",Flat_file!$F:$F,"I")</f>
        <v>0</v>
      </c>
      <c r="AB30" s="225">
        <f>SUMIFS(Flat_file!$G:$G,Flat_file!$B:$B,Summary_Inactive!$B$2,Flat_file!$C:$C,"Women",Flat_file!$D:$D,"70-74",Flat_file!$E:$E,"660",Flat_file!$F:$F,"I")+SUMIFS(Flat_file!$G:$G,Flat_file!$B:$B,Summary_Inactive!$B$2,Flat_file!$C:$C,"Women",Flat_file!$D:$D,"70-74",Flat_file!$E:$E,"760",Flat_file!$F:$F,"I")+SUMIFS(Flat_file!$G:$G,Flat_file!$B:$B,Summary_Inactive!$B$2,Flat_file!$C:$C,"Women",Flat_file!$D:$D,"70-74",Flat_file!$E:$E,"860",Flat_file!$F:$F,"I")</f>
        <v>0</v>
      </c>
      <c r="AC30" s="3"/>
      <c r="AD30" s="3"/>
      <c r="AE30" s="3"/>
      <c r="AF30" s="3"/>
      <c r="AG30" s="3"/>
      <c r="AH30" s="3"/>
      <c r="AI30" s="3"/>
      <c r="AJ30" s="3"/>
      <c r="AK30" s="3"/>
      <c r="AL30" s="3"/>
      <c r="AM30" s="3"/>
      <c r="AN30" s="3"/>
      <c r="AO30" s="3"/>
      <c r="AP30" s="3"/>
      <c r="AQ30" s="3"/>
      <c r="AR30" s="3"/>
      <c r="AS30" s="3"/>
    </row>
    <row r="31" spans="1:45" customFormat="1" ht="13.5" thickBot="1" x14ac:dyDescent="0.25">
      <c r="A31" s="353"/>
      <c r="B31" s="80" t="s">
        <v>261</v>
      </c>
      <c r="C31" s="92">
        <f>SUMIFS(Flat_file!$G:$G,Flat_file!$B:$B,Summary_Inactive!$B$2,Flat_file!$C:$C,"Women",Flat_file!$D:$D,"75+",Flat_file!$E:$E,"010",Flat_file!$F:$F,"I")+SUMIFS(Flat_file!$G:$G,Flat_file!$B:$B,Summary_Inactive!$B$2,Flat_file!$C:$C,"Women",Flat_file!$D:$D,"75+",Flat_file!$E:$E,"020",Flat_file!$F:$F,"I")+SUMIFS(Flat_file!$G:$G,Flat_file!$B:$B,Summary_Inactive!$B$2,Flat_file!$C:$C,"Women",Flat_file!$D:$D,"75+",Flat_file!$E:$E,"030",Flat_file!$F:$F,"I")</f>
        <v>0</v>
      </c>
      <c r="D31" s="92">
        <f>SUMIFS(Flat_file!$G:$G,Flat_file!$B:$B,Summary_Inactive!$B$2,Flat_file!$C:$C,"Women",Flat_file!$D:$D,"75+",Flat_file!$E:$E,"100",Flat_file!$F:$F,"I")</f>
        <v>0</v>
      </c>
      <c r="E31" s="92">
        <f>SUMIFS(Flat_file!$G:$G,Flat_file!$B:$B,Summary_Inactive!$B$2,Flat_file!$C:$C,"Women",Flat_file!$D:$D,"75+",Flat_file!$E:$E,"242",Flat_file!$F:$F,"I")+SUMIFS(Flat_file!$G:$G,Flat_file!$B:$B,Summary_Inactive!$B$2,Flat_file!$C:$C,"Women",Flat_file!$D:$D,"75+",Flat_file!$E:$E,"252",Flat_file!$F:$F,"I")</f>
        <v>0</v>
      </c>
      <c r="F31" s="92">
        <f>SUMIFS(Flat_file!$G:$G,Flat_file!$B:$B,Summary_Inactive!$B$2,Flat_file!$C:$C,"Women",Flat_file!$D:$D,"75+",Flat_file!$E:$E,"243",Flat_file!$F:$F,"I")+SUMIFS(Flat_file!$G:$G,Flat_file!$B:$B,Summary_Inactive!$B$2,Flat_file!$C:$C,"Women",Flat_file!$D:$D,"75+",Flat_file!$E:$E,"244",Flat_file!$F:$F,"I")+SUMIFS(Flat_file!$G:$G,Flat_file!$B:$B,Summary_Inactive!$B$2,Flat_file!$C:$C,"Women",Flat_file!$D:$D,"75+",Flat_file!$E:$E,"253",Flat_file!$F:$F,"I")+SUMIFS(Flat_file!$G:$G,Flat_file!$B:$B,Summary_Inactive!$B$2,Flat_file!$C:$C,"Women",Flat_file!$D:$D,"75+",Flat_file!$E:$E,"254",Flat_file!$F:$F,"I")</f>
        <v>0</v>
      </c>
      <c r="G31" s="92">
        <f>SUMIFS(Flat_file!$G:$G,Flat_file!$B:$B,Summary_Inactive!$B$2,Flat_file!$C:$C,"Women",Flat_file!$D:$D,"75+",Flat_file!$E:$E,"342",Flat_file!$F:$F,"I")+SUMIFS(Flat_file!$G:$G,Flat_file!$B:$B,Summary_Inactive!$B$2,Flat_file!$C:$C,"Women",Flat_file!$D:$D,"75+",Flat_file!$E:$E,"352",Flat_file!$F:$F,"I")</f>
        <v>0</v>
      </c>
      <c r="H31" s="92">
        <f>SUMIFS(Flat_file!$G:$G,Flat_file!$B:$B,Summary_Inactive!$B$2,Flat_file!$C:$C,"Women",Flat_file!$D:$D,"75+",Flat_file!$E:$E,"343",Flat_file!$F:$F,"I")+SUMIFS(Flat_file!$G:$G,Flat_file!$B:$B,Summary_Inactive!$B$2,Flat_file!$C:$C,"Women",Flat_file!$D:$D,"75+",Flat_file!$E:$E,"344",Flat_file!$F:$F,"I")+SUMIFS(Flat_file!$G:$G,Flat_file!$B:$B,Summary_Inactive!$B$2,Flat_file!$C:$C,"Women",Flat_file!$D:$D,"75+",Flat_file!$E:$E,"353",Flat_file!$F:$F,"I")+SUMIFS(Flat_file!$G:$G,Flat_file!$B:$B,Summary_Inactive!$B$2,Flat_file!$C:$C,"Women",Flat_file!$D:$D,"75+",Flat_file!$E:$E,"354",Flat_file!$F:$F,"I")</f>
        <v>0</v>
      </c>
      <c r="I31" s="92">
        <f>SUMIFS(Flat_file!$G:$G,Flat_file!$B:$B,Summary_Inactive!$B$2,Flat_file!$C:$C,"Women",Flat_file!$D:$D,"75+",Flat_file!$E:$E,"443",Flat_file!$F:$F,"I")+SUMIFS(Flat_file!$G:$G,Flat_file!$B:$B,Summary_Inactive!$B$2,Flat_file!$C:$C,"Women",Flat_file!$D:$D,"75+",Flat_file!$E:$E,"444",Flat_file!$F:$F,"I")+SUMIFS(Flat_file!$G:$G,Flat_file!$B:$B,Summary_Inactive!$B$2,Flat_file!$C:$C,"Women",Flat_file!$D:$D,"75+",Flat_file!$E:$E,"453",Flat_file!$F:$F,"I")+SUMIFS(Flat_file!$G:$G,Flat_file!$B:$B,Summary_Inactive!$B$2,Flat_file!$C:$C,"Women",Flat_file!$D:$D,"75+",Flat_file!$E:$E,"454",Flat_file!$F:$F,"I")</f>
        <v>0</v>
      </c>
      <c r="J31" s="92">
        <f>SUMIFS(Flat_file!$G:$G,Flat_file!$B:$B,Summary_Inactive!$B$2,Flat_file!$C:$C,"Women",Flat_file!$D:$D,"75+",Flat_file!$E:$E,"540",Flat_file!$F:$F,"I")+SUMIFS(Flat_file!$G:$G,Flat_file!$B:$B,Summary_Inactive!$B$2,Flat_file!$C:$C,"Women",Flat_file!$D:$D,"75+",Flat_file!$E:$E,"550",Flat_file!$F:$F,"I")+SUMIFS(Flat_file!$G:$G,Flat_file!$B:$B,Summary_Inactive!$B$2,Flat_file!$C:$C,"Women",Flat_file!$D:$D,"75+",Flat_file!$E:$E,"560",Flat_file!$F:$F,"I")</f>
        <v>0</v>
      </c>
      <c r="K31" s="92">
        <f>SUMIFS(Flat_file!$G:$G,Flat_file!$B:$B,Summary_Inactive!$B$2,Flat_file!$C:$C,"Women",Flat_file!$D:$D,"75+",Flat_file!$E:$E,"640",Flat_file!$F:$F,"I")+SUMIFS(Flat_file!$G:$G,Flat_file!$B:$B,Summary_Inactive!$B$2,Flat_file!$C:$C,"Women",Flat_file!$D:$D,"75+",Flat_file!$E:$E,"650",Flat_file!$F:$F,"I")+SUMIFS(Flat_file!$G:$G,Flat_file!$B:$B,Summary_Inactive!$B$2,Flat_file!$C:$C,"Women",Flat_file!$D:$D,"75+",Flat_file!$E:$E,"660",Flat_file!$F:$F,"I")</f>
        <v>0</v>
      </c>
      <c r="L31" s="92">
        <f>SUMIFS(Flat_file!$G:$G,Flat_file!$B:$B,Summary_Inactive!$B$2,Flat_file!$C:$C,"Women",Flat_file!$D:$D,"75+",Flat_file!$E:$E,"740",Flat_file!$F:$F,"I")+SUMIFS(Flat_file!$G:$G,Flat_file!$B:$B,Summary_Inactive!$B$2,Flat_file!$C:$C,"Women",Flat_file!$D:$D,"75+",Flat_file!$E:$E,"750",Flat_file!$F:$F,"I")+SUMIFS(Flat_file!$G:$G,Flat_file!$B:$B,Summary_Inactive!$B$2,Flat_file!$C:$C,"Women",Flat_file!$D:$D,"75+",Flat_file!$E:$E,"760",Flat_file!$F:$F,"I")</f>
        <v>0</v>
      </c>
      <c r="M31" s="92">
        <f>SUMIFS(Flat_file!$G:$G,Flat_file!$B:$B,Summary_Inactive!$B$2,Flat_file!$C:$C,"Women",Flat_file!$D:$D,"75+",Flat_file!$E:$E,"840",Flat_file!$F:$F,"I")+SUMIFS(Flat_file!$G:$G,Flat_file!$B:$B,Summary_Inactive!$B$2,Flat_file!$C:$C,"Women",Flat_file!$D:$D,"75+",Flat_file!$E:$E,"850",Flat_file!$F:$F,"I")+SUMIFS(Flat_file!$G:$G,Flat_file!$B:$B,Summary_Inactive!$B$2,Flat_file!$C:$C,"Women",Flat_file!$D:$D,"75+",Flat_file!$E:$E,"860",Flat_file!$F:$F,"I")</f>
        <v>0</v>
      </c>
      <c r="N31" s="92">
        <f>SUMIFS(Flat_file!$G:$G,Flat_file!$B:$B,Summary_Inactive!$B$2,Flat_file!$C:$C,"Women",Flat_file!$D:$D,"75+",Flat_file!$E:$E,"999",Flat_file!$F:$F,"I")</f>
        <v>0</v>
      </c>
      <c r="O31" s="92">
        <f t="shared" si="5"/>
        <v>0</v>
      </c>
      <c r="P31" s="93"/>
      <c r="Q31" s="92">
        <f t="shared" si="6"/>
        <v>0</v>
      </c>
      <c r="R31" s="94"/>
      <c r="S31" s="92">
        <f t="shared" si="7"/>
        <v>0</v>
      </c>
      <c r="T31" s="92">
        <f t="shared" si="8"/>
        <v>0</v>
      </c>
      <c r="U31" s="92">
        <f t="shared" si="9"/>
        <v>0</v>
      </c>
      <c r="V31" s="93"/>
      <c r="W31" s="92">
        <f>SUMIFS(Flat_file!$G:$G,Flat_file!$B:$B,Summary_Inactive!$B$2,Flat_file!$C:$C,"Women",Flat_file!$D:$D,"75+",Flat_file!$E:$E,"343",Flat_file!$F:$F,"I")+SUMIFS(Flat_file!$G:$G,Flat_file!$B:$B,Summary_Inactive!$B$2,Flat_file!$C:$C,"Women",Flat_file!$D:$D,"75+",Flat_file!$E:$E,"344",Flat_file!$F:$F,"I")+SUMIFS(Flat_file!$G:$G,Flat_file!$B:$B,Summary_Inactive!$B$2,Flat_file!$C:$C,"Women",Flat_file!$D:$D,"75+",Flat_file!$E:$E,"443",Flat_file!$F:$F,"I")+SUMIFS(Flat_file!$G:$G,Flat_file!$B:$B,Summary_Inactive!$B$2,Flat_file!$C:$C,"Women",Flat_file!$D:$D,"75+",Flat_file!$E:$E,"444",Flat_file!$F:$F,"I")</f>
        <v>0</v>
      </c>
      <c r="X31" s="92">
        <f>SUMIFS(Flat_file!$G:$G,Flat_file!$B:$B,Summary_Inactive!$B$2,Flat_file!$C:$C,"Women",Flat_file!$D:$D,"75+",Flat_file!$E:$E,"353",Flat_file!$F:$F,"I")+SUMIFS(Flat_file!$G:$G,Flat_file!$B:$B,Summary_Inactive!$B$2,Flat_file!$C:$C,"Women",Flat_file!$D:$D,"75+",Flat_file!$E:$E,"354",Flat_file!$F:$F,"I")+SUMIFS(Flat_file!$G:$G,Flat_file!$B:$B,Summary_Inactive!$B$2,Flat_file!$C:$C,"Women",Flat_file!$D:$D,"75+",Flat_file!$E:$E,"453",Flat_file!$F:$F,"I")+SUMIFS(Flat_file!$G:$G,Flat_file!$B:$B,Summary_Inactive!$B$2,Flat_file!$C:$C,"Women",Flat_file!$D:$D,"75+",Flat_file!$E:$E,"454",Flat_file!$F:$F,"I")</f>
        <v>0</v>
      </c>
      <c r="Y31" s="93"/>
      <c r="Z31" s="92">
        <f>SUMIFS(Flat_file!$G:$G,Flat_file!$B:$B,Summary_Inactive!$B$2,Flat_file!$C:$C,"Women",Flat_file!$D:$D,"75+",Flat_file!$E:$E,"640",Flat_file!$F:$F,"I")+SUMIFS(Flat_file!$G:$G,Flat_file!$B:$B,Summary_Inactive!$B$2,Flat_file!$C:$C,"Women",Flat_file!$D:$D,"75+",Flat_file!$E:$E,"740",Flat_file!$F:$F,"I")+SUMIFS(Flat_file!$G:$G,Flat_file!$B:$B,Summary_Inactive!$B$2,Flat_file!$C:$C,"Women",Flat_file!$D:$D,"75+",Flat_file!$E:$E,"840",Flat_file!$F:$F,"I")</f>
        <v>0</v>
      </c>
      <c r="AA31" s="92">
        <f>SUMIFS(Flat_file!$G:$G,Flat_file!$B:$B,Summary_Inactive!$B$2,Flat_file!$C:$C,"Women",Flat_file!$D:$D,"75+",Flat_file!$E:$E,"650",Flat_file!$F:$F,"I")+SUMIFS(Flat_file!$G:$G,Flat_file!$B:$B,Summary_Inactive!$B$2,Flat_file!$C:$C,"Women",Flat_file!$D:$D,"75+",Flat_file!$E:$E,"750",Flat_file!$F:$F,"I")+SUMIFS(Flat_file!$G:$G,Flat_file!$B:$B,Summary_Inactive!$B$2,Flat_file!$C:$C,"Women",Flat_file!$D:$D,"75+",Flat_file!$E:$E,"850",Flat_file!$F:$F,"I")</f>
        <v>0</v>
      </c>
      <c r="AB31" s="92">
        <f>SUMIFS(Flat_file!$G:$G,Flat_file!$B:$B,Summary_Inactive!$B$2,Flat_file!$C:$C,"Women",Flat_file!$D:$D,"75+",Flat_file!$E:$E,"660",Flat_file!$F:$F,"I")+SUMIFS(Flat_file!$G:$G,Flat_file!$B:$B,Summary_Inactive!$B$2,Flat_file!$C:$C,"Women",Flat_file!$D:$D,"75+",Flat_file!$E:$E,"760",Flat_file!$F:$F,"I")+SUMIFS(Flat_file!$G:$G,Flat_file!$B:$B,Summary_Inactive!$B$2,Flat_file!$C:$C,"Women",Flat_file!$D:$D,"75+",Flat_file!$E:$E,"860",Flat_file!$F:$F,"I")</f>
        <v>0</v>
      </c>
      <c r="AC31" s="3"/>
      <c r="AD31" s="3"/>
      <c r="AE31" s="3"/>
      <c r="AF31" s="3"/>
      <c r="AG31" s="3"/>
      <c r="AH31" s="3"/>
      <c r="AI31" s="3"/>
      <c r="AJ31" s="3"/>
      <c r="AK31" s="3"/>
      <c r="AL31" s="3"/>
      <c r="AM31" s="3"/>
      <c r="AN31" s="3"/>
      <c r="AO31" s="3"/>
      <c r="AP31" s="3"/>
      <c r="AQ31" s="3"/>
      <c r="AR31" s="3"/>
      <c r="AS31" s="3"/>
    </row>
    <row r="32" spans="1:45" customFormat="1" x14ac:dyDescent="0.2">
      <c r="A32" s="351" t="s">
        <v>133</v>
      </c>
      <c r="B32" s="78" t="s">
        <v>87</v>
      </c>
      <c r="C32" s="86">
        <f t="shared" ref="C32:C41" si="10">C6+C19</f>
        <v>0</v>
      </c>
      <c r="D32" s="86">
        <f t="shared" ref="D32:O32" si="11">D6+D19</f>
        <v>0</v>
      </c>
      <c r="E32" s="86">
        <f t="shared" si="11"/>
        <v>0</v>
      </c>
      <c r="F32" s="86">
        <f t="shared" si="11"/>
        <v>0</v>
      </c>
      <c r="G32" s="86">
        <f t="shared" si="11"/>
        <v>0</v>
      </c>
      <c r="H32" s="86">
        <f t="shared" si="11"/>
        <v>0</v>
      </c>
      <c r="I32" s="86">
        <f t="shared" si="11"/>
        <v>0</v>
      </c>
      <c r="J32" s="86">
        <f t="shared" si="11"/>
        <v>0</v>
      </c>
      <c r="K32" s="86">
        <f t="shared" si="11"/>
        <v>0</v>
      </c>
      <c r="L32" s="86">
        <f t="shared" si="11"/>
        <v>0</v>
      </c>
      <c r="M32" s="86">
        <f t="shared" si="11"/>
        <v>0</v>
      </c>
      <c r="N32" s="86">
        <f t="shared" si="11"/>
        <v>0</v>
      </c>
      <c r="O32" s="86">
        <f t="shared" si="11"/>
        <v>0</v>
      </c>
      <c r="P32" s="87"/>
      <c r="Q32" s="86">
        <f t="shared" ref="Q32:Q41" si="12">Q6+Q19</f>
        <v>0</v>
      </c>
      <c r="R32" s="88"/>
      <c r="S32" s="86">
        <f t="shared" ref="S32:U41" si="13">S6+S19</f>
        <v>0</v>
      </c>
      <c r="T32" s="86">
        <f t="shared" si="13"/>
        <v>0</v>
      </c>
      <c r="U32" s="86">
        <f t="shared" si="13"/>
        <v>0</v>
      </c>
      <c r="V32" s="87"/>
      <c r="W32" s="86">
        <f t="shared" ref="W32:X41" si="14">W6+W19</f>
        <v>0</v>
      </c>
      <c r="X32" s="86">
        <f t="shared" si="14"/>
        <v>0</v>
      </c>
      <c r="Y32" s="87"/>
      <c r="Z32" s="86">
        <f t="shared" ref="Z32:AB41" si="15">Z6+Z19</f>
        <v>0</v>
      </c>
      <c r="AA32" s="86">
        <f t="shared" si="15"/>
        <v>0</v>
      </c>
      <c r="AB32" s="86">
        <f t="shared" si="15"/>
        <v>0</v>
      </c>
      <c r="AC32" s="3"/>
      <c r="AD32" s="3"/>
      <c r="AE32" s="3"/>
      <c r="AF32" s="3"/>
      <c r="AG32" s="3"/>
      <c r="AH32" s="3"/>
      <c r="AI32" s="3"/>
      <c r="AJ32" s="3"/>
      <c r="AK32" s="3"/>
      <c r="AL32" s="3"/>
      <c r="AM32" s="3"/>
      <c r="AN32" s="3"/>
      <c r="AO32" s="3"/>
      <c r="AP32" s="3"/>
      <c r="AQ32" s="3"/>
      <c r="AR32" s="3"/>
      <c r="AS32" s="3"/>
    </row>
    <row r="33" spans="1:45" customFormat="1" x14ac:dyDescent="0.2">
      <c r="A33" s="352"/>
      <c r="B33" s="79" t="s">
        <v>88</v>
      </c>
      <c r="C33" s="89">
        <f t="shared" si="10"/>
        <v>0</v>
      </c>
      <c r="D33" s="89">
        <f t="shared" ref="D33:O33" si="16">D7+D20</f>
        <v>0</v>
      </c>
      <c r="E33" s="89">
        <f t="shared" si="16"/>
        <v>0</v>
      </c>
      <c r="F33" s="89">
        <f t="shared" si="16"/>
        <v>0</v>
      </c>
      <c r="G33" s="89">
        <f t="shared" si="16"/>
        <v>0</v>
      </c>
      <c r="H33" s="89">
        <f t="shared" si="16"/>
        <v>0</v>
      </c>
      <c r="I33" s="89">
        <f t="shared" si="16"/>
        <v>0</v>
      </c>
      <c r="J33" s="89">
        <f t="shared" si="16"/>
        <v>0</v>
      </c>
      <c r="K33" s="89">
        <f t="shared" si="16"/>
        <v>0</v>
      </c>
      <c r="L33" s="89">
        <f t="shared" si="16"/>
        <v>0</v>
      </c>
      <c r="M33" s="89">
        <f t="shared" si="16"/>
        <v>0</v>
      </c>
      <c r="N33" s="89">
        <f t="shared" si="16"/>
        <v>0</v>
      </c>
      <c r="O33" s="89">
        <f t="shared" si="16"/>
        <v>0</v>
      </c>
      <c r="P33" s="90"/>
      <c r="Q33" s="89">
        <f t="shared" si="12"/>
        <v>0</v>
      </c>
      <c r="R33" s="91"/>
      <c r="S33" s="89">
        <f t="shared" si="13"/>
        <v>0</v>
      </c>
      <c r="T33" s="89">
        <f t="shared" si="13"/>
        <v>0</v>
      </c>
      <c r="U33" s="89">
        <f t="shared" si="13"/>
        <v>0</v>
      </c>
      <c r="V33" s="90"/>
      <c r="W33" s="89">
        <f t="shared" si="14"/>
        <v>0</v>
      </c>
      <c r="X33" s="89">
        <f t="shared" si="14"/>
        <v>0</v>
      </c>
      <c r="Y33" s="90"/>
      <c r="Z33" s="89">
        <f t="shared" si="15"/>
        <v>0</v>
      </c>
      <c r="AA33" s="89">
        <f t="shared" si="15"/>
        <v>0</v>
      </c>
      <c r="AB33" s="89">
        <f t="shared" si="15"/>
        <v>0</v>
      </c>
      <c r="AC33" s="3"/>
      <c r="AD33" s="3"/>
      <c r="AE33" s="3"/>
      <c r="AF33" s="3"/>
      <c r="AG33" s="3"/>
      <c r="AH33" s="3"/>
      <c r="AI33" s="3"/>
      <c r="AJ33" s="3"/>
      <c r="AK33" s="3"/>
      <c r="AL33" s="3"/>
      <c r="AM33" s="3"/>
      <c r="AN33" s="3"/>
      <c r="AO33" s="3"/>
      <c r="AP33" s="3"/>
      <c r="AQ33" s="3"/>
      <c r="AR33" s="3"/>
      <c r="AS33" s="3"/>
    </row>
    <row r="34" spans="1:45" customFormat="1" x14ac:dyDescent="0.2">
      <c r="A34" s="352"/>
      <c r="B34" s="79" t="s">
        <v>89</v>
      </c>
      <c r="C34" s="89">
        <f t="shared" si="10"/>
        <v>0</v>
      </c>
      <c r="D34" s="89">
        <f t="shared" ref="D34:O34" si="17">D8+D21</f>
        <v>0</v>
      </c>
      <c r="E34" s="89">
        <f t="shared" si="17"/>
        <v>0</v>
      </c>
      <c r="F34" s="89">
        <f t="shared" si="17"/>
        <v>0</v>
      </c>
      <c r="G34" s="89">
        <f t="shared" si="17"/>
        <v>0</v>
      </c>
      <c r="H34" s="89">
        <f t="shared" si="17"/>
        <v>0</v>
      </c>
      <c r="I34" s="89">
        <f t="shared" si="17"/>
        <v>0</v>
      </c>
      <c r="J34" s="89">
        <f t="shared" si="17"/>
        <v>0</v>
      </c>
      <c r="K34" s="89">
        <f t="shared" si="17"/>
        <v>0</v>
      </c>
      <c r="L34" s="89">
        <f t="shared" si="17"/>
        <v>0</v>
      </c>
      <c r="M34" s="89">
        <f t="shared" si="17"/>
        <v>0</v>
      </c>
      <c r="N34" s="89">
        <f t="shared" si="17"/>
        <v>0</v>
      </c>
      <c r="O34" s="89">
        <f t="shared" si="17"/>
        <v>0</v>
      </c>
      <c r="P34" s="90"/>
      <c r="Q34" s="89">
        <f t="shared" si="12"/>
        <v>0</v>
      </c>
      <c r="R34" s="91"/>
      <c r="S34" s="89">
        <f t="shared" si="13"/>
        <v>0</v>
      </c>
      <c r="T34" s="89">
        <f t="shared" si="13"/>
        <v>0</v>
      </c>
      <c r="U34" s="89">
        <f t="shared" si="13"/>
        <v>0</v>
      </c>
      <c r="V34" s="90"/>
      <c r="W34" s="89">
        <f t="shared" si="14"/>
        <v>0</v>
      </c>
      <c r="X34" s="89">
        <f t="shared" si="14"/>
        <v>0</v>
      </c>
      <c r="Y34" s="90"/>
      <c r="Z34" s="89">
        <f t="shared" si="15"/>
        <v>0</v>
      </c>
      <c r="AA34" s="89">
        <f t="shared" si="15"/>
        <v>0</v>
      </c>
      <c r="AB34" s="89">
        <f t="shared" si="15"/>
        <v>0</v>
      </c>
      <c r="AC34" s="3"/>
      <c r="AD34" s="3"/>
      <c r="AE34" s="3"/>
      <c r="AF34" s="3"/>
      <c r="AG34" s="3"/>
      <c r="AH34" s="3"/>
      <c r="AI34" s="3"/>
      <c r="AJ34" s="3"/>
      <c r="AK34" s="3"/>
      <c r="AL34" s="3"/>
      <c r="AM34" s="3"/>
      <c r="AN34" s="3"/>
      <c r="AO34" s="3"/>
      <c r="AP34" s="3"/>
      <c r="AQ34" s="3"/>
      <c r="AR34" s="3"/>
      <c r="AS34" s="3"/>
    </row>
    <row r="35" spans="1:45" customFormat="1" x14ac:dyDescent="0.2">
      <c r="A35" s="352"/>
      <c r="B35" s="79" t="s">
        <v>90</v>
      </c>
      <c r="C35" s="89">
        <f t="shared" si="10"/>
        <v>0</v>
      </c>
      <c r="D35" s="89">
        <f t="shared" ref="D35:O35" si="18">D9+D22</f>
        <v>0</v>
      </c>
      <c r="E35" s="89">
        <f t="shared" si="18"/>
        <v>0</v>
      </c>
      <c r="F35" s="89">
        <f t="shared" si="18"/>
        <v>0</v>
      </c>
      <c r="G35" s="89">
        <f t="shared" si="18"/>
        <v>0</v>
      </c>
      <c r="H35" s="89">
        <f t="shared" si="18"/>
        <v>0</v>
      </c>
      <c r="I35" s="89">
        <f t="shared" si="18"/>
        <v>0</v>
      </c>
      <c r="J35" s="89">
        <f t="shared" si="18"/>
        <v>0</v>
      </c>
      <c r="K35" s="89">
        <f t="shared" si="18"/>
        <v>0</v>
      </c>
      <c r="L35" s="89">
        <f t="shared" si="18"/>
        <v>0</v>
      </c>
      <c r="M35" s="89">
        <f t="shared" si="18"/>
        <v>0</v>
      </c>
      <c r="N35" s="89">
        <f t="shared" si="18"/>
        <v>0</v>
      </c>
      <c r="O35" s="89">
        <f t="shared" si="18"/>
        <v>0</v>
      </c>
      <c r="P35" s="90"/>
      <c r="Q35" s="89">
        <f t="shared" si="12"/>
        <v>0</v>
      </c>
      <c r="R35" s="91"/>
      <c r="S35" s="89">
        <f t="shared" si="13"/>
        <v>0</v>
      </c>
      <c r="T35" s="89">
        <f t="shared" si="13"/>
        <v>0</v>
      </c>
      <c r="U35" s="89">
        <f t="shared" si="13"/>
        <v>0</v>
      </c>
      <c r="V35" s="90"/>
      <c r="W35" s="89">
        <f t="shared" si="14"/>
        <v>0</v>
      </c>
      <c r="X35" s="89">
        <f t="shared" si="14"/>
        <v>0</v>
      </c>
      <c r="Y35" s="90"/>
      <c r="Z35" s="89">
        <f t="shared" si="15"/>
        <v>0</v>
      </c>
      <c r="AA35" s="89">
        <f t="shared" si="15"/>
        <v>0</v>
      </c>
      <c r="AB35" s="89">
        <f t="shared" si="15"/>
        <v>0</v>
      </c>
      <c r="AC35" s="3"/>
      <c r="AD35" s="3"/>
      <c r="AE35" s="3"/>
      <c r="AF35" s="3"/>
      <c r="AG35" s="3"/>
      <c r="AH35" s="3"/>
      <c r="AI35" s="3"/>
      <c r="AJ35" s="3"/>
      <c r="AK35" s="3"/>
      <c r="AL35" s="3"/>
      <c r="AM35" s="3"/>
      <c r="AN35" s="3"/>
      <c r="AO35" s="3"/>
      <c r="AP35" s="3"/>
      <c r="AQ35" s="3"/>
      <c r="AR35" s="3"/>
      <c r="AS35" s="3"/>
    </row>
    <row r="36" spans="1:45" customFormat="1" x14ac:dyDescent="0.2">
      <c r="A36" s="352"/>
      <c r="B36" s="79" t="s">
        <v>91</v>
      </c>
      <c r="C36" s="89">
        <f t="shared" si="10"/>
        <v>0</v>
      </c>
      <c r="D36" s="89">
        <f t="shared" ref="D36:O36" si="19">D10+D23</f>
        <v>0</v>
      </c>
      <c r="E36" s="89">
        <f t="shared" si="19"/>
        <v>0</v>
      </c>
      <c r="F36" s="89">
        <f t="shared" si="19"/>
        <v>0</v>
      </c>
      <c r="G36" s="89">
        <f t="shared" si="19"/>
        <v>0</v>
      </c>
      <c r="H36" s="89">
        <f t="shared" si="19"/>
        <v>0</v>
      </c>
      <c r="I36" s="89">
        <f t="shared" si="19"/>
        <v>0</v>
      </c>
      <c r="J36" s="89">
        <f t="shared" si="19"/>
        <v>0</v>
      </c>
      <c r="K36" s="89">
        <f t="shared" si="19"/>
        <v>0</v>
      </c>
      <c r="L36" s="89">
        <f t="shared" si="19"/>
        <v>0</v>
      </c>
      <c r="M36" s="89">
        <f t="shared" si="19"/>
        <v>0</v>
      </c>
      <c r="N36" s="89">
        <f t="shared" si="19"/>
        <v>0</v>
      </c>
      <c r="O36" s="89">
        <f t="shared" si="19"/>
        <v>0</v>
      </c>
      <c r="P36" s="90"/>
      <c r="Q36" s="89">
        <f t="shared" si="12"/>
        <v>0</v>
      </c>
      <c r="R36" s="91"/>
      <c r="S36" s="89">
        <f t="shared" si="13"/>
        <v>0</v>
      </c>
      <c r="T36" s="89">
        <f t="shared" si="13"/>
        <v>0</v>
      </c>
      <c r="U36" s="89">
        <f t="shared" si="13"/>
        <v>0</v>
      </c>
      <c r="V36" s="90"/>
      <c r="W36" s="89">
        <f t="shared" si="14"/>
        <v>0</v>
      </c>
      <c r="X36" s="89">
        <f t="shared" si="14"/>
        <v>0</v>
      </c>
      <c r="Y36" s="90"/>
      <c r="Z36" s="89">
        <f t="shared" si="15"/>
        <v>0</v>
      </c>
      <c r="AA36" s="89">
        <f t="shared" si="15"/>
        <v>0</v>
      </c>
      <c r="AB36" s="89">
        <f t="shared" si="15"/>
        <v>0</v>
      </c>
      <c r="AC36" s="3"/>
      <c r="AD36" s="3"/>
      <c r="AE36" s="3"/>
      <c r="AF36" s="3"/>
      <c r="AG36" s="3"/>
      <c r="AH36" s="3"/>
      <c r="AI36" s="3"/>
      <c r="AJ36" s="3"/>
      <c r="AK36" s="3"/>
      <c r="AL36" s="3"/>
      <c r="AM36" s="3"/>
      <c r="AN36" s="3"/>
      <c r="AO36" s="3"/>
      <c r="AP36" s="3"/>
      <c r="AQ36" s="3"/>
      <c r="AR36" s="3"/>
      <c r="AS36" s="3"/>
    </row>
    <row r="37" spans="1:45" customFormat="1" x14ac:dyDescent="0.2">
      <c r="A37" s="352"/>
      <c r="B37" s="79" t="s">
        <v>92</v>
      </c>
      <c r="C37" s="89">
        <f t="shared" si="10"/>
        <v>0</v>
      </c>
      <c r="D37" s="89">
        <f t="shared" ref="D37:O37" si="20">D11+D24</f>
        <v>0</v>
      </c>
      <c r="E37" s="89">
        <f t="shared" si="20"/>
        <v>0</v>
      </c>
      <c r="F37" s="89">
        <f t="shared" si="20"/>
        <v>0</v>
      </c>
      <c r="G37" s="89">
        <f t="shared" si="20"/>
        <v>0</v>
      </c>
      <c r="H37" s="89">
        <f t="shared" si="20"/>
        <v>0</v>
      </c>
      <c r="I37" s="89">
        <f t="shared" si="20"/>
        <v>0</v>
      </c>
      <c r="J37" s="89">
        <f t="shared" si="20"/>
        <v>0</v>
      </c>
      <c r="K37" s="89">
        <f t="shared" si="20"/>
        <v>0</v>
      </c>
      <c r="L37" s="89">
        <f t="shared" si="20"/>
        <v>0</v>
      </c>
      <c r="M37" s="89">
        <f t="shared" si="20"/>
        <v>0</v>
      </c>
      <c r="N37" s="89">
        <f t="shared" si="20"/>
        <v>0</v>
      </c>
      <c r="O37" s="89">
        <f t="shared" si="20"/>
        <v>0</v>
      </c>
      <c r="P37" s="90"/>
      <c r="Q37" s="89">
        <f t="shared" si="12"/>
        <v>0</v>
      </c>
      <c r="R37" s="91"/>
      <c r="S37" s="89">
        <f t="shared" si="13"/>
        <v>0</v>
      </c>
      <c r="T37" s="89">
        <f t="shared" si="13"/>
        <v>0</v>
      </c>
      <c r="U37" s="89">
        <f t="shared" si="13"/>
        <v>0</v>
      </c>
      <c r="V37" s="90"/>
      <c r="W37" s="89">
        <f t="shared" si="14"/>
        <v>0</v>
      </c>
      <c r="X37" s="89">
        <f t="shared" si="14"/>
        <v>0</v>
      </c>
      <c r="Y37" s="90"/>
      <c r="Z37" s="89">
        <f t="shared" si="15"/>
        <v>0</v>
      </c>
      <c r="AA37" s="89">
        <f t="shared" si="15"/>
        <v>0</v>
      </c>
      <c r="AB37" s="89">
        <f t="shared" si="15"/>
        <v>0</v>
      </c>
      <c r="AC37" s="3"/>
      <c r="AD37" s="3"/>
      <c r="AE37" s="3"/>
      <c r="AF37" s="3"/>
      <c r="AG37" s="3"/>
      <c r="AH37" s="3"/>
      <c r="AI37" s="3"/>
      <c r="AJ37" s="3"/>
      <c r="AK37" s="3"/>
      <c r="AL37" s="3"/>
      <c r="AM37" s="3"/>
      <c r="AN37" s="3"/>
      <c r="AO37" s="3"/>
      <c r="AP37" s="3"/>
      <c r="AQ37" s="3"/>
      <c r="AR37" s="3"/>
      <c r="AS37" s="3"/>
    </row>
    <row r="38" spans="1:45" customFormat="1" x14ac:dyDescent="0.2">
      <c r="A38" s="352"/>
      <c r="B38" s="79" t="s">
        <v>93</v>
      </c>
      <c r="C38" s="89">
        <f t="shared" si="10"/>
        <v>0</v>
      </c>
      <c r="D38" s="89">
        <f t="shared" ref="D38:O38" si="21">D12+D25</f>
        <v>0</v>
      </c>
      <c r="E38" s="89">
        <f t="shared" si="21"/>
        <v>0</v>
      </c>
      <c r="F38" s="89">
        <f t="shared" si="21"/>
        <v>0</v>
      </c>
      <c r="G38" s="89">
        <f t="shared" si="21"/>
        <v>0</v>
      </c>
      <c r="H38" s="89">
        <f t="shared" si="21"/>
        <v>0</v>
      </c>
      <c r="I38" s="89">
        <f t="shared" si="21"/>
        <v>0</v>
      </c>
      <c r="J38" s="89">
        <f t="shared" si="21"/>
        <v>0</v>
      </c>
      <c r="K38" s="89">
        <f t="shared" si="21"/>
        <v>0</v>
      </c>
      <c r="L38" s="89">
        <f t="shared" si="21"/>
        <v>0</v>
      </c>
      <c r="M38" s="89">
        <f t="shared" si="21"/>
        <v>0</v>
      </c>
      <c r="N38" s="89">
        <f t="shared" si="21"/>
        <v>0</v>
      </c>
      <c r="O38" s="89">
        <f t="shared" si="21"/>
        <v>0</v>
      </c>
      <c r="P38" s="90"/>
      <c r="Q38" s="89">
        <f t="shared" si="12"/>
        <v>0</v>
      </c>
      <c r="R38" s="91"/>
      <c r="S38" s="89">
        <f t="shared" si="13"/>
        <v>0</v>
      </c>
      <c r="T38" s="89">
        <f t="shared" si="13"/>
        <v>0</v>
      </c>
      <c r="U38" s="89">
        <f t="shared" si="13"/>
        <v>0</v>
      </c>
      <c r="V38" s="90"/>
      <c r="W38" s="89">
        <f t="shared" si="14"/>
        <v>0</v>
      </c>
      <c r="X38" s="89">
        <f t="shared" si="14"/>
        <v>0</v>
      </c>
      <c r="Y38" s="90"/>
      <c r="Z38" s="89">
        <f t="shared" si="15"/>
        <v>0</v>
      </c>
      <c r="AA38" s="89">
        <f t="shared" si="15"/>
        <v>0</v>
      </c>
      <c r="AB38" s="89">
        <f t="shared" si="15"/>
        <v>0</v>
      </c>
      <c r="AC38" s="3"/>
      <c r="AD38" s="3"/>
      <c r="AE38" s="3"/>
      <c r="AF38" s="3"/>
      <c r="AG38" s="3"/>
      <c r="AH38" s="3"/>
      <c r="AI38" s="3"/>
      <c r="AJ38" s="3"/>
      <c r="AK38" s="3"/>
      <c r="AL38" s="3"/>
      <c r="AM38" s="3"/>
      <c r="AN38" s="3"/>
      <c r="AO38" s="3"/>
      <c r="AP38" s="3"/>
      <c r="AQ38" s="3"/>
      <c r="AR38" s="3"/>
      <c r="AS38" s="3"/>
    </row>
    <row r="39" spans="1:45" customFormat="1" x14ac:dyDescent="0.2">
      <c r="A39" s="352"/>
      <c r="B39" s="79" t="s">
        <v>94</v>
      </c>
      <c r="C39" s="89">
        <f t="shared" si="10"/>
        <v>0</v>
      </c>
      <c r="D39" s="89">
        <f t="shared" ref="D39:O39" si="22">D13+D26</f>
        <v>0</v>
      </c>
      <c r="E39" s="89">
        <f t="shared" si="22"/>
        <v>0</v>
      </c>
      <c r="F39" s="89">
        <f t="shared" si="22"/>
        <v>0</v>
      </c>
      <c r="G39" s="89">
        <f t="shared" si="22"/>
        <v>0</v>
      </c>
      <c r="H39" s="89">
        <f t="shared" si="22"/>
        <v>0</v>
      </c>
      <c r="I39" s="89">
        <f t="shared" si="22"/>
        <v>0</v>
      </c>
      <c r="J39" s="89">
        <f t="shared" si="22"/>
        <v>0</v>
      </c>
      <c r="K39" s="89">
        <f t="shared" si="22"/>
        <v>0</v>
      </c>
      <c r="L39" s="89">
        <f t="shared" si="22"/>
        <v>0</v>
      </c>
      <c r="M39" s="89">
        <f t="shared" si="22"/>
        <v>0</v>
      </c>
      <c r="N39" s="89">
        <f t="shared" si="22"/>
        <v>0</v>
      </c>
      <c r="O39" s="89">
        <f t="shared" si="22"/>
        <v>0</v>
      </c>
      <c r="P39" s="90"/>
      <c r="Q39" s="89">
        <f t="shared" si="12"/>
        <v>0</v>
      </c>
      <c r="R39" s="91"/>
      <c r="S39" s="89">
        <f t="shared" si="13"/>
        <v>0</v>
      </c>
      <c r="T39" s="89">
        <f t="shared" si="13"/>
        <v>0</v>
      </c>
      <c r="U39" s="89">
        <f t="shared" si="13"/>
        <v>0</v>
      </c>
      <c r="V39" s="90"/>
      <c r="W39" s="89">
        <f t="shared" si="14"/>
        <v>0</v>
      </c>
      <c r="X39" s="89">
        <f t="shared" si="14"/>
        <v>0</v>
      </c>
      <c r="Y39" s="90"/>
      <c r="Z39" s="89">
        <f t="shared" si="15"/>
        <v>0</v>
      </c>
      <c r="AA39" s="89">
        <f t="shared" si="15"/>
        <v>0</v>
      </c>
      <c r="AB39" s="89">
        <f t="shared" si="15"/>
        <v>0</v>
      </c>
      <c r="AC39" s="3"/>
      <c r="AD39" s="3"/>
      <c r="AE39" s="3"/>
      <c r="AF39" s="3"/>
      <c r="AG39" s="3"/>
      <c r="AH39" s="3"/>
      <c r="AI39" s="3"/>
      <c r="AJ39" s="3"/>
      <c r="AK39" s="3"/>
      <c r="AL39" s="3"/>
      <c r="AM39" s="3"/>
      <c r="AN39" s="3"/>
      <c r="AO39" s="3"/>
      <c r="AP39" s="3"/>
      <c r="AQ39" s="3"/>
      <c r="AR39" s="3"/>
      <c r="AS39" s="3"/>
    </row>
    <row r="40" spans="1:45" customFormat="1" x14ac:dyDescent="0.2">
      <c r="A40" s="352"/>
      <c r="B40" s="79" t="s">
        <v>95</v>
      </c>
      <c r="C40" s="89">
        <f t="shared" si="10"/>
        <v>0</v>
      </c>
      <c r="D40" s="89">
        <f t="shared" ref="D40:O40" si="23">D14+D27</f>
        <v>0</v>
      </c>
      <c r="E40" s="89">
        <f t="shared" si="23"/>
        <v>0</v>
      </c>
      <c r="F40" s="89">
        <f t="shared" si="23"/>
        <v>0</v>
      </c>
      <c r="G40" s="89">
        <f t="shared" si="23"/>
        <v>0</v>
      </c>
      <c r="H40" s="89">
        <f t="shared" si="23"/>
        <v>0</v>
      </c>
      <c r="I40" s="89">
        <f t="shared" si="23"/>
        <v>0</v>
      </c>
      <c r="J40" s="89">
        <f t="shared" si="23"/>
        <v>0</v>
      </c>
      <c r="K40" s="89">
        <f t="shared" si="23"/>
        <v>0</v>
      </c>
      <c r="L40" s="89">
        <f t="shared" si="23"/>
        <v>0</v>
      </c>
      <c r="M40" s="89">
        <f t="shared" si="23"/>
        <v>0</v>
      </c>
      <c r="N40" s="89">
        <f t="shared" si="23"/>
        <v>0</v>
      </c>
      <c r="O40" s="89">
        <f t="shared" si="23"/>
        <v>0</v>
      </c>
      <c r="P40" s="90"/>
      <c r="Q40" s="89">
        <f t="shared" si="12"/>
        <v>0</v>
      </c>
      <c r="R40" s="91"/>
      <c r="S40" s="89">
        <f t="shared" si="13"/>
        <v>0</v>
      </c>
      <c r="T40" s="89">
        <f t="shared" si="13"/>
        <v>0</v>
      </c>
      <c r="U40" s="89">
        <f t="shared" si="13"/>
        <v>0</v>
      </c>
      <c r="V40" s="90"/>
      <c r="W40" s="89">
        <f t="shared" si="14"/>
        <v>0</v>
      </c>
      <c r="X40" s="89">
        <f t="shared" si="14"/>
        <v>0</v>
      </c>
      <c r="Y40" s="90"/>
      <c r="Z40" s="89">
        <f t="shared" si="15"/>
        <v>0</v>
      </c>
      <c r="AA40" s="89">
        <f t="shared" si="15"/>
        <v>0</v>
      </c>
      <c r="AB40" s="89">
        <f t="shared" si="15"/>
        <v>0</v>
      </c>
      <c r="AC40" s="3"/>
      <c r="AD40" s="3"/>
      <c r="AE40" s="3"/>
      <c r="AF40" s="3"/>
      <c r="AG40" s="3"/>
      <c r="AH40" s="3"/>
      <c r="AI40" s="3"/>
      <c r="AJ40" s="3"/>
      <c r="AK40" s="3"/>
      <c r="AL40" s="3"/>
      <c r="AM40" s="3"/>
      <c r="AN40" s="3"/>
      <c r="AO40" s="3"/>
      <c r="AP40" s="3"/>
      <c r="AQ40" s="3"/>
      <c r="AR40" s="3"/>
      <c r="AS40" s="3"/>
    </row>
    <row r="41" spans="1:45" customFormat="1" x14ac:dyDescent="0.2">
      <c r="A41" s="352"/>
      <c r="B41" s="79" t="s">
        <v>96</v>
      </c>
      <c r="C41" s="89">
        <f t="shared" si="10"/>
        <v>0</v>
      </c>
      <c r="D41" s="89">
        <f t="shared" ref="D41:O41" si="24">D15+D28</f>
        <v>0</v>
      </c>
      <c r="E41" s="89">
        <f t="shared" si="24"/>
        <v>0</v>
      </c>
      <c r="F41" s="89">
        <f t="shared" si="24"/>
        <v>0</v>
      </c>
      <c r="G41" s="89">
        <f t="shared" si="24"/>
        <v>0</v>
      </c>
      <c r="H41" s="89">
        <f t="shared" si="24"/>
        <v>0</v>
      </c>
      <c r="I41" s="89">
        <f t="shared" si="24"/>
        <v>0</v>
      </c>
      <c r="J41" s="89">
        <f t="shared" si="24"/>
        <v>0</v>
      </c>
      <c r="K41" s="89">
        <f t="shared" si="24"/>
        <v>0</v>
      </c>
      <c r="L41" s="89">
        <f t="shared" si="24"/>
        <v>0</v>
      </c>
      <c r="M41" s="89">
        <f t="shared" si="24"/>
        <v>0</v>
      </c>
      <c r="N41" s="89">
        <f t="shared" si="24"/>
        <v>0</v>
      </c>
      <c r="O41" s="89">
        <f t="shared" si="24"/>
        <v>0</v>
      </c>
      <c r="P41" s="90"/>
      <c r="Q41" s="89">
        <f t="shared" si="12"/>
        <v>0</v>
      </c>
      <c r="R41" s="91"/>
      <c r="S41" s="89">
        <f t="shared" si="13"/>
        <v>0</v>
      </c>
      <c r="T41" s="89">
        <f t="shared" si="13"/>
        <v>0</v>
      </c>
      <c r="U41" s="89">
        <f t="shared" si="13"/>
        <v>0</v>
      </c>
      <c r="V41" s="90"/>
      <c r="W41" s="89">
        <f t="shared" si="14"/>
        <v>0</v>
      </c>
      <c r="X41" s="89">
        <f t="shared" si="14"/>
        <v>0</v>
      </c>
      <c r="Y41" s="90"/>
      <c r="Z41" s="89">
        <f t="shared" si="15"/>
        <v>0</v>
      </c>
      <c r="AA41" s="89">
        <f t="shared" si="15"/>
        <v>0</v>
      </c>
      <c r="AB41" s="89">
        <f t="shared" si="15"/>
        <v>0</v>
      </c>
      <c r="AC41" s="3"/>
      <c r="AD41" s="3"/>
      <c r="AE41" s="3"/>
      <c r="AF41" s="3"/>
      <c r="AG41" s="3"/>
      <c r="AH41" s="3"/>
      <c r="AI41" s="3"/>
      <c r="AJ41" s="3"/>
      <c r="AK41" s="3"/>
      <c r="AL41" s="3"/>
      <c r="AM41" s="3"/>
      <c r="AN41" s="3"/>
      <c r="AO41" s="3"/>
      <c r="AP41" s="3"/>
      <c r="AQ41" s="3"/>
      <c r="AR41" s="3"/>
      <c r="AS41" s="3"/>
    </row>
    <row r="42" spans="1:45" customFormat="1" x14ac:dyDescent="0.2">
      <c r="A42" s="352"/>
      <c r="B42" s="79" t="s">
        <v>258</v>
      </c>
      <c r="C42" s="225">
        <f t="shared" ref="C42:AB42" si="25">C16+C29</f>
        <v>0</v>
      </c>
      <c r="D42" s="225">
        <f t="shared" si="25"/>
        <v>0</v>
      </c>
      <c r="E42" s="225">
        <f t="shared" si="25"/>
        <v>0</v>
      </c>
      <c r="F42" s="225">
        <f t="shared" si="25"/>
        <v>0</v>
      </c>
      <c r="G42" s="225">
        <f t="shared" si="25"/>
        <v>0</v>
      </c>
      <c r="H42" s="225">
        <f t="shared" si="25"/>
        <v>0</v>
      </c>
      <c r="I42" s="225">
        <f t="shared" si="25"/>
        <v>0</v>
      </c>
      <c r="J42" s="225">
        <f t="shared" si="25"/>
        <v>0</v>
      </c>
      <c r="K42" s="225">
        <f t="shared" si="25"/>
        <v>0</v>
      </c>
      <c r="L42" s="225">
        <f t="shared" si="25"/>
        <v>0</v>
      </c>
      <c r="M42" s="225">
        <f t="shared" si="25"/>
        <v>0</v>
      </c>
      <c r="N42" s="225">
        <f t="shared" si="25"/>
        <v>0</v>
      </c>
      <c r="O42" s="225">
        <f t="shared" si="25"/>
        <v>0</v>
      </c>
      <c r="P42" s="90">
        <f t="shared" si="25"/>
        <v>0</v>
      </c>
      <c r="Q42" s="225">
        <f t="shared" si="25"/>
        <v>0</v>
      </c>
      <c r="R42" s="91">
        <f t="shared" si="25"/>
        <v>0</v>
      </c>
      <c r="S42" s="225">
        <f t="shared" si="25"/>
        <v>0</v>
      </c>
      <c r="T42" s="225">
        <f t="shared" si="25"/>
        <v>0</v>
      </c>
      <c r="U42" s="225">
        <f t="shared" si="25"/>
        <v>0</v>
      </c>
      <c r="V42" s="90">
        <f t="shared" si="25"/>
        <v>0</v>
      </c>
      <c r="W42" s="225">
        <f t="shared" si="25"/>
        <v>0</v>
      </c>
      <c r="X42" s="225">
        <f t="shared" si="25"/>
        <v>0</v>
      </c>
      <c r="Y42" s="90">
        <f t="shared" si="25"/>
        <v>0</v>
      </c>
      <c r="Z42" s="225">
        <f t="shared" si="25"/>
        <v>0</v>
      </c>
      <c r="AA42" s="225">
        <f t="shared" si="25"/>
        <v>0</v>
      </c>
      <c r="AB42" s="225">
        <f t="shared" si="25"/>
        <v>0</v>
      </c>
      <c r="AC42" s="3"/>
      <c r="AD42" s="3"/>
      <c r="AE42" s="3"/>
      <c r="AF42" s="3"/>
      <c r="AG42" s="3"/>
      <c r="AH42" s="3"/>
      <c r="AI42" s="3"/>
      <c r="AJ42" s="3"/>
      <c r="AK42" s="3"/>
      <c r="AL42" s="3"/>
      <c r="AM42" s="3"/>
      <c r="AN42" s="3"/>
      <c r="AO42" s="3"/>
      <c r="AP42" s="3"/>
      <c r="AQ42" s="3"/>
      <c r="AR42" s="3"/>
      <c r="AS42" s="3"/>
    </row>
    <row r="43" spans="1:45" customFormat="1" x14ac:dyDescent="0.2">
      <c r="A43" s="352"/>
      <c r="B43" s="79" t="s">
        <v>260</v>
      </c>
      <c r="C43" s="225">
        <f t="shared" ref="C43:AB43" si="26">C17+C30</f>
        <v>0</v>
      </c>
      <c r="D43" s="225">
        <f t="shared" si="26"/>
        <v>0</v>
      </c>
      <c r="E43" s="225">
        <f t="shared" si="26"/>
        <v>0</v>
      </c>
      <c r="F43" s="225">
        <f t="shared" si="26"/>
        <v>0</v>
      </c>
      <c r="G43" s="225">
        <f t="shared" si="26"/>
        <v>0</v>
      </c>
      <c r="H43" s="225">
        <f t="shared" si="26"/>
        <v>0</v>
      </c>
      <c r="I43" s="225">
        <f t="shared" si="26"/>
        <v>0</v>
      </c>
      <c r="J43" s="225">
        <f t="shared" si="26"/>
        <v>0</v>
      </c>
      <c r="K43" s="225">
        <f t="shared" si="26"/>
        <v>0</v>
      </c>
      <c r="L43" s="225">
        <f t="shared" si="26"/>
        <v>0</v>
      </c>
      <c r="M43" s="225">
        <f t="shared" si="26"/>
        <v>0</v>
      </c>
      <c r="N43" s="225">
        <f t="shared" si="26"/>
        <v>0</v>
      </c>
      <c r="O43" s="225">
        <f t="shared" si="26"/>
        <v>0</v>
      </c>
      <c r="P43" s="90">
        <f t="shared" si="26"/>
        <v>0</v>
      </c>
      <c r="Q43" s="225">
        <f t="shared" si="26"/>
        <v>0</v>
      </c>
      <c r="R43" s="91">
        <f t="shared" si="26"/>
        <v>0</v>
      </c>
      <c r="S43" s="225">
        <f t="shared" si="26"/>
        <v>0</v>
      </c>
      <c r="T43" s="225">
        <f t="shared" si="26"/>
        <v>0</v>
      </c>
      <c r="U43" s="225">
        <f t="shared" si="26"/>
        <v>0</v>
      </c>
      <c r="V43" s="90">
        <f t="shared" si="26"/>
        <v>0</v>
      </c>
      <c r="W43" s="225">
        <f t="shared" si="26"/>
        <v>0</v>
      </c>
      <c r="X43" s="225">
        <f t="shared" si="26"/>
        <v>0</v>
      </c>
      <c r="Y43" s="90">
        <f t="shared" si="26"/>
        <v>0</v>
      </c>
      <c r="Z43" s="225">
        <f t="shared" si="26"/>
        <v>0</v>
      </c>
      <c r="AA43" s="225">
        <f t="shared" si="26"/>
        <v>0</v>
      </c>
      <c r="AB43" s="225">
        <f t="shared" si="26"/>
        <v>0</v>
      </c>
      <c r="AC43" s="3"/>
      <c r="AD43" s="3"/>
      <c r="AE43" s="3"/>
      <c r="AF43" s="3"/>
      <c r="AG43" s="3"/>
      <c r="AH43" s="3"/>
      <c r="AI43" s="3"/>
      <c r="AJ43" s="3"/>
      <c r="AK43" s="3"/>
      <c r="AL43" s="3"/>
      <c r="AM43" s="3"/>
      <c r="AN43" s="3"/>
      <c r="AO43" s="3"/>
      <c r="AP43" s="3"/>
      <c r="AQ43" s="3"/>
      <c r="AR43" s="3"/>
      <c r="AS43" s="3"/>
    </row>
    <row r="44" spans="1:45" customFormat="1" ht="13.5" thickBot="1" x14ac:dyDescent="0.25">
      <c r="A44" s="353"/>
      <c r="B44" s="80" t="s">
        <v>261</v>
      </c>
      <c r="C44" s="225">
        <f t="shared" ref="C44:AB44" si="27">C18+C31</f>
        <v>0</v>
      </c>
      <c r="D44" s="225">
        <f t="shared" si="27"/>
        <v>0</v>
      </c>
      <c r="E44" s="225">
        <f t="shared" si="27"/>
        <v>0</v>
      </c>
      <c r="F44" s="225">
        <f t="shared" si="27"/>
        <v>0</v>
      </c>
      <c r="G44" s="225">
        <f t="shared" si="27"/>
        <v>0</v>
      </c>
      <c r="H44" s="225">
        <f t="shared" si="27"/>
        <v>0</v>
      </c>
      <c r="I44" s="225">
        <f t="shared" si="27"/>
        <v>0</v>
      </c>
      <c r="J44" s="225">
        <f t="shared" si="27"/>
        <v>0</v>
      </c>
      <c r="K44" s="225">
        <f t="shared" si="27"/>
        <v>0</v>
      </c>
      <c r="L44" s="225">
        <f t="shared" si="27"/>
        <v>0</v>
      </c>
      <c r="M44" s="225">
        <f t="shared" si="27"/>
        <v>0</v>
      </c>
      <c r="N44" s="225">
        <f t="shared" si="27"/>
        <v>0</v>
      </c>
      <c r="O44" s="225">
        <f t="shared" si="27"/>
        <v>0</v>
      </c>
      <c r="P44" s="90">
        <f t="shared" si="27"/>
        <v>0</v>
      </c>
      <c r="Q44" s="225">
        <f t="shared" si="27"/>
        <v>0</v>
      </c>
      <c r="R44" s="91">
        <f t="shared" si="27"/>
        <v>0</v>
      </c>
      <c r="S44" s="225">
        <f t="shared" si="27"/>
        <v>0</v>
      </c>
      <c r="T44" s="225">
        <f t="shared" si="27"/>
        <v>0</v>
      </c>
      <c r="U44" s="225">
        <f t="shared" si="27"/>
        <v>0</v>
      </c>
      <c r="V44" s="90">
        <f t="shared" si="27"/>
        <v>0</v>
      </c>
      <c r="W44" s="225">
        <f t="shared" si="27"/>
        <v>0</v>
      </c>
      <c r="X44" s="225">
        <f t="shared" si="27"/>
        <v>0</v>
      </c>
      <c r="Y44" s="90">
        <f t="shared" si="27"/>
        <v>0</v>
      </c>
      <c r="Z44" s="225">
        <f t="shared" si="27"/>
        <v>0</v>
      </c>
      <c r="AA44" s="225">
        <f t="shared" si="27"/>
        <v>0</v>
      </c>
      <c r="AB44" s="225">
        <f t="shared" si="27"/>
        <v>0</v>
      </c>
      <c r="AC44" s="3"/>
      <c r="AD44" s="3"/>
      <c r="AE44" s="3"/>
      <c r="AF44" s="3"/>
      <c r="AG44" s="3"/>
      <c r="AH44" s="3"/>
      <c r="AI44" s="3"/>
      <c r="AJ44" s="3"/>
      <c r="AK44" s="3"/>
      <c r="AL44" s="3"/>
      <c r="AM44" s="3"/>
      <c r="AN44" s="3"/>
      <c r="AO44" s="3"/>
      <c r="AP44" s="3"/>
      <c r="AQ44" s="3"/>
      <c r="AR44" s="3"/>
      <c r="AS44" s="3"/>
    </row>
    <row r="45" spans="1:45" x14ac:dyDescent="0.2">
      <c r="A45" s="391" t="s">
        <v>252</v>
      </c>
      <c r="B45" s="209" t="s">
        <v>250</v>
      </c>
      <c r="C45" s="210">
        <f>SUM(C34:C41)</f>
        <v>0</v>
      </c>
      <c r="D45" s="210">
        <f t="shared" ref="D45:AB45" si="28">SUM(D34:D41)</f>
        <v>0</v>
      </c>
      <c r="E45" s="210">
        <f t="shared" si="28"/>
        <v>0</v>
      </c>
      <c r="F45" s="210">
        <f t="shared" si="28"/>
        <v>0</v>
      </c>
      <c r="G45" s="210">
        <f t="shared" si="28"/>
        <v>0</v>
      </c>
      <c r="H45" s="210">
        <f t="shared" si="28"/>
        <v>0</v>
      </c>
      <c r="I45" s="210">
        <f t="shared" si="28"/>
        <v>0</v>
      </c>
      <c r="J45" s="210">
        <f t="shared" si="28"/>
        <v>0</v>
      </c>
      <c r="K45" s="210">
        <f t="shared" si="28"/>
        <v>0</v>
      </c>
      <c r="L45" s="210">
        <f t="shared" si="28"/>
        <v>0</v>
      </c>
      <c r="M45" s="210">
        <f t="shared" si="28"/>
        <v>0</v>
      </c>
      <c r="N45" s="210">
        <f t="shared" si="28"/>
        <v>0</v>
      </c>
      <c r="O45" s="210">
        <f t="shared" si="28"/>
        <v>0</v>
      </c>
      <c r="P45" s="210">
        <f t="shared" si="28"/>
        <v>0</v>
      </c>
      <c r="Q45" s="210">
        <f t="shared" si="28"/>
        <v>0</v>
      </c>
      <c r="R45" s="210">
        <f t="shared" si="28"/>
        <v>0</v>
      </c>
      <c r="S45" s="210">
        <f t="shared" si="28"/>
        <v>0</v>
      </c>
      <c r="T45" s="210">
        <f t="shared" si="28"/>
        <v>0</v>
      </c>
      <c r="U45" s="210">
        <f t="shared" si="28"/>
        <v>0</v>
      </c>
      <c r="V45" s="210">
        <f t="shared" si="28"/>
        <v>0</v>
      </c>
      <c r="W45" s="210">
        <f t="shared" si="28"/>
        <v>0</v>
      </c>
      <c r="X45" s="210">
        <f t="shared" si="28"/>
        <v>0</v>
      </c>
      <c r="Y45" s="210">
        <f t="shared" si="28"/>
        <v>0</v>
      </c>
      <c r="Z45" s="210">
        <f t="shared" si="28"/>
        <v>0</v>
      </c>
      <c r="AA45" s="210">
        <f t="shared" si="28"/>
        <v>0</v>
      </c>
      <c r="AB45" s="210">
        <f t="shared" si="28"/>
        <v>0</v>
      </c>
      <c r="AJ45" s="1"/>
      <c r="AK45" s="1"/>
      <c r="AM45" s="1"/>
      <c r="AQ45" s="1"/>
    </row>
    <row r="46" spans="1:45" x14ac:dyDescent="0.2">
      <c r="A46" s="392"/>
      <c r="B46" s="209" t="s">
        <v>251</v>
      </c>
      <c r="C46" s="210">
        <f>SUM(C34:C35)</f>
        <v>0</v>
      </c>
      <c r="D46" s="210">
        <f t="shared" ref="D46:AB46" si="29">SUM(D34:D35)</f>
        <v>0</v>
      </c>
      <c r="E46" s="210">
        <f t="shared" si="29"/>
        <v>0</v>
      </c>
      <c r="F46" s="210">
        <f t="shared" si="29"/>
        <v>0</v>
      </c>
      <c r="G46" s="210">
        <f t="shared" si="29"/>
        <v>0</v>
      </c>
      <c r="H46" s="210">
        <f t="shared" si="29"/>
        <v>0</v>
      </c>
      <c r="I46" s="210">
        <f t="shared" si="29"/>
        <v>0</v>
      </c>
      <c r="J46" s="210">
        <f t="shared" si="29"/>
        <v>0</v>
      </c>
      <c r="K46" s="210">
        <f t="shared" si="29"/>
        <v>0</v>
      </c>
      <c r="L46" s="210">
        <f t="shared" si="29"/>
        <v>0</v>
      </c>
      <c r="M46" s="210">
        <f t="shared" si="29"/>
        <v>0</v>
      </c>
      <c r="N46" s="210">
        <f t="shared" si="29"/>
        <v>0</v>
      </c>
      <c r="O46" s="210">
        <f t="shared" si="29"/>
        <v>0</v>
      </c>
      <c r="P46" s="210">
        <f t="shared" si="29"/>
        <v>0</v>
      </c>
      <c r="Q46" s="210">
        <f t="shared" si="29"/>
        <v>0</v>
      </c>
      <c r="R46" s="210">
        <f t="shared" si="29"/>
        <v>0</v>
      </c>
      <c r="S46" s="210">
        <f t="shared" si="29"/>
        <v>0</v>
      </c>
      <c r="T46" s="210">
        <f t="shared" si="29"/>
        <v>0</v>
      </c>
      <c r="U46" s="210">
        <f t="shared" si="29"/>
        <v>0</v>
      </c>
      <c r="V46" s="210">
        <f t="shared" si="29"/>
        <v>0</v>
      </c>
      <c r="W46" s="210">
        <f t="shared" si="29"/>
        <v>0</v>
      </c>
      <c r="X46" s="210">
        <f t="shared" si="29"/>
        <v>0</v>
      </c>
      <c r="Y46" s="210">
        <f t="shared" si="29"/>
        <v>0</v>
      </c>
      <c r="Z46" s="210">
        <f t="shared" si="29"/>
        <v>0</v>
      </c>
      <c r="AA46" s="210">
        <f t="shared" si="29"/>
        <v>0</v>
      </c>
      <c r="AB46" s="210">
        <f t="shared" si="29"/>
        <v>0</v>
      </c>
      <c r="AJ46" s="1"/>
      <c r="AK46" s="1"/>
      <c r="AM46" s="1"/>
      <c r="AQ46" s="1"/>
    </row>
    <row r="47" spans="1:45" x14ac:dyDescent="0.2">
      <c r="A47" s="392"/>
      <c r="B47" s="209" t="s">
        <v>254</v>
      </c>
      <c r="C47" s="210">
        <f>SUM(C36:C37)</f>
        <v>0</v>
      </c>
      <c r="D47" s="210">
        <f t="shared" ref="D47:AB47" si="30">SUM(D36:D37)</f>
        <v>0</v>
      </c>
      <c r="E47" s="210">
        <f t="shared" si="30"/>
        <v>0</v>
      </c>
      <c r="F47" s="210">
        <f t="shared" si="30"/>
        <v>0</v>
      </c>
      <c r="G47" s="210">
        <f t="shared" si="30"/>
        <v>0</v>
      </c>
      <c r="H47" s="210">
        <f t="shared" si="30"/>
        <v>0</v>
      </c>
      <c r="I47" s="210">
        <f t="shared" si="30"/>
        <v>0</v>
      </c>
      <c r="J47" s="210">
        <f t="shared" si="30"/>
        <v>0</v>
      </c>
      <c r="K47" s="210">
        <f t="shared" si="30"/>
        <v>0</v>
      </c>
      <c r="L47" s="210">
        <f t="shared" si="30"/>
        <v>0</v>
      </c>
      <c r="M47" s="210">
        <f t="shared" si="30"/>
        <v>0</v>
      </c>
      <c r="N47" s="210">
        <f t="shared" si="30"/>
        <v>0</v>
      </c>
      <c r="O47" s="210">
        <f t="shared" si="30"/>
        <v>0</v>
      </c>
      <c r="P47" s="210">
        <f t="shared" si="30"/>
        <v>0</v>
      </c>
      <c r="Q47" s="210">
        <f t="shared" si="30"/>
        <v>0</v>
      </c>
      <c r="R47" s="210">
        <f t="shared" si="30"/>
        <v>0</v>
      </c>
      <c r="S47" s="210">
        <f t="shared" si="30"/>
        <v>0</v>
      </c>
      <c r="T47" s="210">
        <f t="shared" si="30"/>
        <v>0</v>
      </c>
      <c r="U47" s="210">
        <f t="shared" si="30"/>
        <v>0</v>
      </c>
      <c r="V47" s="210">
        <f t="shared" si="30"/>
        <v>0</v>
      </c>
      <c r="W47" s="210">
        <f t="shared" si="30"/>
        <v>0</v>
      </c>
      <c r="X47" s="210">
        <f t="shared" si="30"/>
        <v>0</v>
      </c>
      <c r="Y47" s="210">
        <f t="shared" si="30"/>
        <v>0</v>
      </c>
      <c r="Z47" s="210">
        <f t="shared" si="30"/>
        <v>0</v>
      </c>
      <c r="AA47" s="210">
        <f t="shared" si="30"/>
        <v>0</v>
      </c>
      <c r="AB47" s="210">
        <f t="shared" si="30"/>
        <v>0</v>
      </c>
      <c r="AJ47" s="1"/>
      <c r="AK47" s="1"/>
      <c r="AM47" s="1"/>
      <c r="AQ47" s="1"/>
    </row>
    <row r="48" spans="1:45" x14ac:dyDescent="0.2">
      <c r="A48" s="392"/>
      <c r="B48" s="209" t="s">
        <v>255</v>
      </c>
      <c r="C48" s="210">
        <f>SUM(C38:C39)</f>
        <v>0</v>
      </c>
      <c r="D48" s="210">
        <f t="shared" ref="D48:AB48" si="31">SUM(D38:D39)</f>
        <v>0</v>
      </c>
      <c r="E48" s="210">
        <f t="shared" si="31"/>
        <v>0</v>
      </c>
      <c r="F48" s="210">
        <f t="shared" si="31"/>
        <v>0</v>
      </c>
      <c r="G48" s="210">
        <f t="shared" si="31"/>
        <v>0</v>
      </c>
      <c r="H48" s="210">
        <f t="shared" si="31"/>
        <v>0</v>
      </c>
      <c r="I48" s="210">
        <f t="shared" si="31"/>
        <v>0</v>
      </c>
      <c r="J48" s="210">
        <f t="shared" si="31"/>
        <v>0</v>
      </c>
      <c r="K48" s="210">
        <f t="shared" si="31"/>
        <v>0</v>
      </c>
      <c r="L48" s="210">
        <f t="shared" si="31"/>
        <v>0</v>
      </c>
      <c r="M48" s="210">
        <f t="shared" si="31"/>
        <v>0</v>
      </c>
      <c r="N48" s="210">
        <f t="shared" si="31"/>
        <v>0</v>
      </c>
      <c r="O48" s="210">
        <f t="shared" si="31"/>
        <v>0</v>
      </c>
      <c r="P48" s="210">
        <f t="shared" si="31"/>
        <v>0</v>
      </c>
      <c r="Q48" s="210">
        <f t="shared" si="31"/>
        <v>0</v>
      </c>
      <c r="R48" s="210">
        <f t="shared" si="31"/>
        <v>0</v>
      </c>
      <c r="S48" s="210">
        <f t="shared" si="31"/>
        <v>0</v>
      </c>
      <c r="T48" s="210">
        <f t="shared" si="31"/>
        <v>0</v>
      </c>
      <c r="U48" s="210">
        <f t="shared" si="31"/>
        <v>0</v>
      </c>
      <c r="V48" s="210">
        <f t="shared" si="31"/>
        <v>0</v>
      </c>
      <c r="W48" s="210">
        <f t="shared" si="31"/>
        <v>0</v>
      </c>
      <c r="X48" s="210">
        <f t="shared" si="31"/>
        <v>0</v>
      </c>
      <c r="Y48" s="210">
        <f t="shared" si="31"/>
        <v>0</v>
      </c>
      <c r="Z48" s="210">
        <f t="shared" si="31"/>
        <v>0</v>
      </c>
      <c r="AA48" s="210">
        <f t="shared" si="31"/>
        <v>0</v>
      </c>
      <c r="AB48" s="210">
        <f t="shared" si="31"/>
        <v>0</v>
      </c>
      <c r="AJ48" s="1"/>
      <c r="AK48" s="1"/>
      <c r="AM48" s="1"/>
      <c r="AQ48" s="1"/>
    </row>
    <row r="49" spans="1:43" x14ac:dyDescent="0.2">
      <c r="A49" s="392"/>
      <c r="B49" s="209" t="s">
        <v>256</v>
      </c>
      <c r="C49" s="210">
        <f>SUM(C40:C41)</f>
        <v>0</v>
      </c>
      <c r="D49" s="210">
        <f t="shared" ref="D49:AB49" si="32">SUM(D40:D41)</f>
        <v>0</v>
      </c>
      <c r="E49" s="210">
        <f t="shared" si="32"/>
        <v>0</v>
      </c>
      <c r="F49" s="210">
        <f t="shared" si="32"/>
        <v>0</v>
      </c>
      <c r="G49" s="210">
        <f t="shared" si="32"/>
        <v>0</v>
      </c>
      <c r="H49" s="210">
        <f t="shared" si="32"/>
        <v>0</v>
      </c>
      <c r="I49" s="210">
        <f t="shared" si="32"/>
        <v>0</v>
      </c>
      <c r="J49" s="210">
        <f t="shared" si="32"/>
        <v>0</v>
      </c>
      <c r="K49" s="210">
        <f t="shared" si="32"/>
        <v>0</v>
      </c>
      <c r="L49" s="210">
        <f t="shared" si="32"/>
        <v>0</v>
      </c>
      <c r="M49" s="210">
        <f t="shared" si="32"/>
        <v>0</v>
      </c>
      <c r="N49" s="210">
        <f t="shared" si="32"/>
        <v>0</v>
      </c>
      <c r="O49" s="210">
        <f t="shared" si="32"/>
        <v>0</v>
      </c>
      <c r="P49" s="210">
        <f t="shared" si="32"/>
        <v>0</v>
      </c>
      <c r="Q49" s="210">
        <f t="shared" si="32"/>
        <v>0</v>
      </c>
      <c r="R49" s="210">
        <f t="shared" si="32"/>
        <v>0</v>
      </c>
      <c r="S49" s="210">
        <f t="shared" si="32"/>
        <v>0</v>
      </c>
      <c r="T49" s="210">
        <f t="shared" si="32"/>
        <v>0</v>
      </c>
      <c r="U49" s="210">
        <f t="shared" si="32"/>
        <v>0</v>
      </c>
      <c r="V49" s="210">
        <f t="shared" si="32"/>
        <v>0</v>
      </c>
      <c r="W49" s="210">
        <f t="shared" si="32"/>
        <v>0</v>
      </c>
      <c r="X49" s="210">
        <f t="shared" si="32"/>
        <v>0</v>
      </c>
      <c r="Y49" s="210">
        <f t="shared" si="32"/>
        <v>0</v>
      </c>
      <c r="Z49" s="210">
        <f t="shared" si="32"/>
        <v>0</v>
      </c>
      <c r="AA49" s="210">
        <f t="shared" si="32"/>
        <v>0</v>
      </c>
      <c r="AB49" s="210">
        <f t="shared" si="32"/>
        <v>0</v>
      </c>
      <c r="AJ49" s="1"/>
      <c r="AK49" s="1"/>
      <c r="AM49" s="1"/>
      <c r="AQ49" s="1"/>
    </row>
    <row r="50" spans="1:43" x14ac:dyDescent="0.2">
      <c r="A50" s="392"/>
      <c r="B50" s="209" t="s">
        <v>262</v>
      </c>
      <c r="C50" s="210">
        <f>SUM(C42:C43)</f>
        <v>0</v>
      </c>
      <c r="D50" s="210">
        <f t="shared" ref="D50:AB50" si="33">SUM(D42:D43)</f>
        <v>0</v>
      </c>
      <c r="E50" s="210">
        <f t="shared" si="33"/>
        <v>0</v>
      </c>
      <c r="F50" s="210">
        <f t="shared" si="33"/>
        <v>0</v>
      </c>
      <c r="G50" s="210">
        <f t="shared" si="33"/>
        <v>0</v>
      </c>
      <c r="H50" s="210">
        <f t="shared" si="33"/>
        <v>0</v>
      </c>
      <c r="I50" s="210">
        <f t="shared" si="33"/>
        <v>0</v>
      </c>
      <c r="J50" s="210">
        <f t="shared" si="33"/>
        <v>0</v>
      </c>
      <c r="K50" s="210">
        <f t="shared" si="33"/>
        <v>0</v>
      </c>
      <c r="L50" s="210">
        <f t="shared" si="33"/>
        <v>0</v>
      </c>
      <c r="M50" s="210">
        <f t="shared" si="33"/>
        <v>0</v>
      </c>
      <c r="N50" s="210">
        <f t="shared" si="33"/>
        <v>0</v>
      </c>
      <c r="O50" s="210">
        <f t="shared" si="33"/>
        <v>0</v>
      </c>
      <c r="P50" s="210">
        <f t="shared" si="33"/>
        <v>0</v>
      </c>
      <c r="Q50" s="210">
        <f t="shared" si="33"/>
        <v>0</v>
      </c>
      <c r="R50" s="210">
        <f t="shared" si="33"/>
        <v>0</v>
      </c>
      <c r="S50" s="210">
        <f t="shared" si="33"/>
        <v>0</v>
      </c>
      <c r="T50" s="210">
        <f t="shared" si="33"/>
        <v>0</v>
      </c>
      <c r="U50" s="210">
        <f t="shared" si="33"/>
        <v>0</v>
      </c>
      <c r="V50" s="210">
        <f t="shared" si="33"/>
        <v>0</v>
      </c>
      <c r="W50" s="210">
        <f t="shared" si="33"/>
        <v>0</v>
      </c>
      <c r="X50" s="210">
        <f t="shared" si="33"/>
        <v>0</v>
      </c>
      <c r="Y50" s="210">
        <f t="shared" si="33"/>
        <v>0</v>
      </c>
      <c r="Z50" s="210">
        <f t="shared" si="33"/>
        <v>0</v>
      </c>
      <c r="AA50" s="210">
        <f t="shared" si="33"/>
        <v>0</v>
      </c>
      <c r="AB50" s="210">
        <f t="shared" si="33"/>
        <v>0</v>
      </c>
      <c r="AJ50" s="1"/>
      <c r="AK50" s="1"/>
      <c r="AM50" s="1"/>
      <c r="AQ50" s="1"/>
    </row>
    <row r="51" spans="1:43" x14ac:dyDescent="0.2">
      <c r="A51" s="393"/>
      <c r="B51" s="209" t="s">
        <v>261</v>
      </c>
      <c r="C51" s="210">
        <f>SUM(C44)</f>
        <v>0</v>
      </c>
      <c r="D51" s="210">
        <f t="shared" ref="D51:AB51" si="34">SUM(D44)</f>
        <v>0</v>
      </c>
      <c r="E51" s="210">
        <f t="shared" si="34"/>
        <v>0</v>
      </c>
      <c r="F51" s="210">
        <f t="shared" si="34"/>
        <v>0</v>
      </c>
      <c r="G51" s="210">
        <f t="shared" si="34"/>
        <v>0</v>
      </c>
      <c r="H51" s="210">
        <f t="shared" si="34"/>
        <v>0</v>
      </c>
      <c r="I51" s="210">
        <f t="shared" si="34"/>
        <v>0</v>
      </c>
      <c r="J51" s="210">
        <f t="shared" si="34"/>
        <v>0</v>
      </c>
      <c r="K51" s="210">
        <f t="shared" si="34"/>
        <v>0</v>
      </c>
      <c r="L51" s="210">
        <f t="shared" si="34"/>
        <v>0</v>
      </c>
      <c r="M51" s="210">
        <f t="shared" si="34"/>
        <v>0</v>
      </c>
      <c r="N51" s="210">
        <f t="shared" si="34"/>
        <v>0</v>
      </c>
      <c r="O51" s="210">
        <f t="shared" si="34"/>
        <v>0</v>
      </c>
      <c r="P51" s="210">
        <f t="shared" si="34"/>
        <v>0</v>
      </c>
      <c r="Q51" s="210">
        <f t="shared" si="34"/>
        <v>0</v>
      </c>
      <c r="R51" s="210">
        <f t="shared" si="34"/>
        <v>0</v>
      </c>
      <c r="S51" s="210">
        <f t="shared" si="34"/>
        <v>0</v>
      </c>
      <c r="T51" s="210">
        <f t="shared" si="34"/>
        <v>0</v>
      </c>
      <c r="U51" s="210">
        <f t="shared" si="34"/>
        <v>0</v>
      </c>
      <c r="V51" s="210">
        <f t="shared" si="34"/>
        <v>0</v>
      </c>
      <c r="W51" s="210">
        <f t="shared" si="34"/>
        <v>0</v>
      </c>
      <c r="X51" s="210">
        <f t="shared" si="34"/>
        <v>0</v>
      </c>
      <c r="Y51" s="210">
        <f t="shared" si="34"/>
        <v>0</v>
      </c>
      <c r="Z51" s="210">
        <f t="shared" si="34"/>
        <v>0</v>
      </c>
      <c r="AA51" s="210">
        <f t="shared" si="34"/>
        <v>0</v>
      </c>
      <c r="AB51" s="210">
        <f t="shared" si="34"/>
        <v>0</v>
      </c>
      <c r="AJ51" s="1"/>
      <c r="AK51" s="1"/>
      <c r="AM51" s="1"/>
      <c r="AQ51" s="1"/>
    </row>
    <row r="52" spans="1:43" x14ac:dyDescent="0.2">
      <c r="A52" s="394" t="s">
        <v>5</v>
      </c>
      <c r="B52" s="209" t="s">
        <v>250</v>
      </c>
      <c r="C52" s="210">
        <f>SUM(C8:C15)</f>
        <v>0</v>
      </c>
      <c r="D52" s="210">
        <f t="shared" ref="D52:AB52" si="35">SUM(D8:D15)</f>
        <v>0</v>
      </c>
      <c r="E52" s="210">
        <f t="shared" si="35"/>
        <v>0</v>
      </c>
      <c r="F52" s="210">
        <f t="shared" si="35"/>
        <v>0</v>
      </c>
      <c r="G52" s="210">
        <f t="shared" si="35"/>
        <v>0</v>
      </c>
      <c r="H52" s="210">
        <f t="shared" si="35"/>
        <v>0</v>
      </c>
      <c r="I52" s="210">
        <f t="shared" si="35"/>
        <v>0</v>
      </c>
      <c r="J52" s="210">
        <f t="shared" si="35"/>
        <v>0</v>
      </c>
      <c r="K52" s="210">
        <f t="shared" si="35"/>
        <v>0</v>
      </c>
      <c r="L52" s="210">
        <f t="shared" si="35"/>
        <v>0</v>
      </c>
      <c r="M52" s="210">
        <f t="shared" si="35"/>
        <v>0</v>
      </c>
      <c r="N52" s="210">
        <f>SUM(N8:N15)</f>
        <v>0</v>
      </c>
      <c r="O52" s="210">
        <f t="shared" si="35"/>
        <v>0</v>
      </c>
      <c r="P52" s="210">
        <f t="shared" si="35"/>
        <v>0</v>
      </c>
      <c r="Q52" s="210">
        <f t="shared" si="35"/>
        <v>0</v>
      </c>
      <c r="R52" s="210">
        <f t="shared" si="35"/>
        <v>0</v>
      </c>
      <c r="S52" s="210">
        <f t="shared" si="35"/>
        <v>0</v>
      </c>
      <c r="T52" s="210">
        <f t="shared" si="35"/>
        <v>0</v>
      </c>
      <c r="U52" s="210">
        <f t="shared" si="35"/>
        <v>0</v>
      </c>
      <c r="V52" s="210">
        <f t="shared" si="35"/>
        <v>0</v>
      </c>
      <c r="W52" s="210">
        <f t="shared" si="35"/>
        <v>0</v>
      </c>
      <c r="X52" s="210">
        <f t="shared" si="35"/>
        <v>0</v>
      </c>
      <c r="Y52" s="210">
        <f t="shared" si="35"/>
        <v>0</v>
      </c>
      <c r="Z52" s="210">
        <f t="shared" si="35"/>
        <v>0</v>
      </c>
      <c r="AA52" s="210">
        <f t="shared" si="35"/>
        <v>0</v>
      </c>
      <c r="AB52" s="210">
        <f t="shared" si="35"/>
        <v>0</v>
      </c>
      <c r="AJ52" s="1"/>
      <c r="AK52" s="1"/>
      <c r="AM52" s="1"/>
      <c r="AQ52" s="1"/>
    </row>
    <row r="53" spans="1:43" x14ac:dyDescent="0.2">
      <c r="A53" s="395"/>
      <c r="B53" s="209" t="s">
        <v>251</v>
      </c>
      <c r="C53" s="210">
        <f>SUM(C8:C9)</f>
        <v>0</v>
      </c>
      <c r="D53" s="210">
        <f t="shared" ref="D53:AB53" si="36">SUM(D8:D9)</f>
        <v>0</v>
      </c>
      <c r="E53" s="210">
        <f t="shared" si="36"/>
        <v>0</v>
      </c>
      <c r="F53" s="210">
        <f t="shared" si="36"/>
        <v>0</v>
      </c>
      <c r="G53" s="210">
        <f t="shared" si="36"/>
        <v>0</v>
      </c>
      <c r="H53" s="210">
        <f t="shared" si="36"/>
        <v>0</v>
      </c>
      <c r="I53" s="210">
        <f t="shared" si="36"/>
        <v>0</v>
      </c>
      <c r="J53" s="210">
        <f t="shared" si="36"/>
        <v>0</v>
      </c>
      <c r="K53" s="210">
        <f t="shared" si="36"/>
        <v>0</v>
      </c>
      <c r="L53" s="210">
        <f t="shared" si="36"/>
        <v>0</v>
      </c>
      <c r="M53" s="210">
        <f t="shared" si="36"/>
        <v>0</v>
      </c>
      <c r="N53" s="210">
        <f t="shared" si="36"/>
        <v>0</v>
      </c>
      <c r="O53" s="210">
        <f t="shared" si="36"/>
        <v>0</v>
      </c>
      <c r="P53" s="210">
        <f t="shared" si="36"/>
        <v>0</v>
      </c>
      <c r="Q53" s="210">
        <f t="shared" si="36"/>
        <v>0</v>
      </c>
      <c r="R53" s="210">
        <f t="shared" si="36"/>
        <v>0</v>
      </c>
      <c r="S53" s="210">
        <f t="shared" si="36"/>
        <v>0</v>
      </c>
      <c r="T53" s="210">
        <f t="shared" si="36"/>
        <v>0</v>
      </c>
      <c r="U53" s="210">
        <f t="shared" si="36"/>
        <v>0</v>
      </c>
      <c r="V53" s="210">
        <f t="shared" si="36"/>
        <v>0</v>
      </c>
      <c r="W53" s="210">
        <f t="shared" si="36"/>
        <v>0</v>
      </c>
      <c r="X53" s="210">
        <f t="shared" si="36"/>
        <v>0</v>
      </c>
      <c r="Y53" s="210">
        <f t="shared" si="36"/>
        <v>0</v>
      </c>
      <c r="Z53" s="210">
        <f t="shared" si="36"/>
        <v>0</v>
      </c>
      <c r="AA53" s="210">
        <f t="shared" si="36"/>
        <v>0</v>
      </c>
      <c r="AB53" s="210">
        <f t="shared" si="36"/>
        <v>0</v>
      </c>
      <c r="AJ53" s="1"/>
      <c r="AK53" s="1"/>
      <c r="AM53" s="1"/>
      <c r="AQ53" s="1"/>
    </row>
    <row r="54" spans="1:43" x14ac:dyDescent="0.2">
      <c r="A54" s="395"/>
      <c r="B54" s="209" t="s">
        <v>254</v>
      </c>
      <c r="C54" s="210">
        <f>SUM(C10:C11)</f>
        <v>0</v>
      </c>
      <c r="D54" s="210">
        <f t="shared" ref="D54:AB54" si="37">SUM(D10:D11)</f>
        <v>0</v>
      </c>
      <c r="E54" s="210">
        <f t="shared" si="37"/>
        <v>0</v>
      </c>
      <c r="F54" s="210">
        <f t="shared" si="37"/>
        <v>0</v>
      </c>
      <c r="G54" s="210">
        <f t="shared" si="37"/>
        <v>0</v>
      </c>
      <c r="H54" s="210">
        <f t="shared" si="37"/>
        <v>0</v>
      </c>
      <c r="I54" s="210">
        <f t="shared" si="37"/>
        <v>0</v>
      </c>
      <c r="J54" s="210">
        <f t="shared" si="37"/>
        <v>0</v>
      </c>
      <c r="K54" s="210">
        <f t="shared" si="37"/>
        <v>0</v>
      </c>
      <c r="L54" s="210">
        <f t="shared" si="37"/>
        <v>0</v>
      </c>
      <c r="M54" s="210">
        <f t="shared" si="37"/>
        <v>0</v>
      </c>
      <c r="N54" s="210">
        <f t="shared" si="37"/>
        <v>0</v>
      </c>
      <c r="O54" s="210">
        <f t="shared" si="37"/>
        <v>0</v>
      </c>
      <c r="P54" s="210">
        <f t="shared" si="37"/>
        <v>0</v>
      </c>
      <c r="Q54" s="210">
        <f t="shared" si="37"/>
        <v>0</v>
      </c>
      <c r="R54" s="210">
        <f t="shared" si="37"/>
        <v>0</v>
      </c>
      <c r="S54" s="210">
        <f t="shared" si="37"/>
        <v>0</v>
      </c>
      <c r="T54" s="210">
        <f t="shared" si="37"/>
        <v>0</v>
      </c>
      <c r="U54" s="210">
        <f t="shared" si="37"/>
        <v>0</v>
      </c>
      <c r="V54" s="210">
        <f t="shared" si="37"/>
        <v>0</v>
      </c>
      <c r="W54" s="210">
        <f t="shared" si="37"/>
        <v>0</v>
      </c>
      <c r="X54" s="210">
        <f t="shared" si="37"/>
        <v>0</v>
      </c>
      <c r="Y54" s="210">
        <f t="shared" si="37"/>
        <v>0</v>
      </c>
      <c r="Z54" s="210">
        <f t="shared" si="37"/>
        <v>0</v>
      </c>
      <c r="AA54" s="210">
        <f t="shared" si="37"/>
        <v>0</v>
      </c>
      <c r="AB54" s="210">
        <f t="shared" si="37"/>
        <v>0</v>
      </c>
      <c r="AJ54" s="1"/>
      <c r="AK54" s="1"/>
      <c r="AM54" s="1"/>
      <c r="AQ54" s="1"/>
    </row>
    <row r="55" spans="1:43" x14ac:dyDescent="0.2">
      <c r="A55" s="395"/>
      <c r="B55" s="209" t="s">
        <v>255</v>
      </c>
      <c r="C55" s="210">
        <f>SUM(C12:C13)</f>
        <v>0</v>
      </c>
      <c r="D55" s="210">
        <f t="shared" ref="D55:AB55" si="38">SUM(D12:D13)</f>
        <v>0</v>
      </c>
      <c r="E55" s="210">
        <f t="shared" si="38"/>
        <v>0</v>
      </c>
      <c r="F55" s="210">
        <f t="shared" si="38"/>
        <v>0</v>
      </c>
      <c r="G55" s="210">
        <f t="shared" si="38"/>
        <v>0</v>
      </c>
      <c r="H55" s="210">
        <f t="shared" si="38"/>
        <v>0</v>
      </c>
      <c r="I55" s="210">
        <f t="shared" si="38"/>
        <v>0</v>
      </c>
      <c r="J55" s="210">
        <f t="shared" si="38"/>
        <v>0</v>
      </c>
      <c r="K55" s="210">
        <f t="shared" si="38"/>
        <v>0</v>
      </c>
      <c r="L55" s="210">
        <f t="shared" si="38"/>
        <v>0</v>
      </c>
      <c r="M55" s="210">
        <f t="shared" si="38"/>
        <v>0</v>
      </c>
      <c r="N55" s="210">
        <f t="shared" si="38"/>
        <v>0</v>
      </c>
      <c r="O55" s="210">
        <f t="shared" si="38"/>
        <v>0</v>
      </c>
      <c r="P55" s="210">
        <f t="shared" si="38"/>
        <v>0</v>
      </c>
      <c r="Q55" s="210">
        <f t="shared" si="38"/>
        <v>0</v>
      </c>
      <c r="R55" s="210">
        <f t="shared" si="38"/>
        <v>0</v>
      </c>
      <c r="S55" s="210">
        <f t="shared" si="38"/>
        <v>0</v>
      </c>
      <c r="T55" s="210">
        <f t="shared" si="38"/>
        <v>0</v>
      </c>
      <c r="U55" s="210">
        <f t="shared" si="38"/>
        <v>0</v>
      </c>
      <c r="V55" s="210">
        <f t="shared" si="38"/>
        <v>0</v>
      </c>
      <c r="W55" s="210">
        <f t="shared" si="38"/>
        <v>0</v>
      </c>
      <c r="X55" s="210">
        <f t="shared" si="38"/>
        <v>0</v>
      </c>
      <c r="Y55" s="210">
        <f t="shared" si="38"/>
        <v>0</v>
      </c>
      <c r="Z55" s="210">
        <f t="shared" si="38"/>
        <v>0</v>
      </c>
      <c r="AA55" s="210">
        <f t="shared" si="38"/>
        <v>0</v>
      </c>
      <c r="AB55" s="210">
        <f t="shared" si="38"/>
        <v>0</v>
      </c>
      <c r="AJ55" s="1"/>
      <c r="AK55" s="1"/>
      <c r="AM55" s="1"/>
      <c r="AQ55" s="1"/>
    </row>
    <row r="56" spans="1:43" x14ac:dyDescent="0.2">
      <c r="A56" s="395"/>
      <c r="B56" s="209" t="s">
        <v>256</v>
      </c>
      <c r="C56" s="210">
        <f>SUM(C14:C15)</f>
        <v>0</v>
      </c>
      <c r="D56" s="210">
        <f t="shared" ref="D56:AB56" si="39">SUM(D14:D15)</f>
        <v>0</v>
      </c>
      <c r="E56" s="210">
        <f t="shared" si="39"/>
        <v>0</v>
      </c>
      <c r="F56" s="210">
        <f t="shared" si="39"/>
        <v>0</v>
      </c>
      <c r="G56" s="210">
        <f t="shared" si="39"/>
        <v>0</v>
      </c>
      <c r="H56" s="210">
        <f t="shared" si="39"/>
        <v>0</v>
      </c>
      <c r="I56" s="210">
        <f t="shared" si="39"/>
        <v>0</v>
      </c>
      <c r="J56" s="210">
        <f t="shared" si="39"/>
        <v>0</v>
      </c>
      <c r="K56" s="210">
        <f t="shared" si="39"/>
        <v>0</v>
      </c>
      <c r="L56" s="210">
        <f t="shared" si="39"/>
        <v>0</v>
      </c>
      <c r="M56" s="210">
        <f t="shared" si="39"/>
        <v>0</v>
      </c>
      <c r="N56" s="210">
        <f t="shared" si="39"/>
        <v>0</v>
      </c>
      <c r="O56" s="210">
        <f t="shared" si="39"/>
        <v>0</v>
      </c>
      <c r="P56" s="210">
        <f t="shared" si="39"/>
        <v>0</v>
      </c>
      <c r="Q56" s="210">
        <f t="shared" si="39"/>
        <v>0</v>
      </c>
      <c r="R56" s="210">
        <f t="shared" si="39"/>
        <v>0</v>
      </c>
      <c r="S56" s="210">
        <f t="shared" si="39"/>
        <v>0</v>
      </c>
      <c r="T56" s="210">
        <f t="shared" si="39"/>
        <v>0</v>
      </c>
      <c r="U56" s="210">
        <f t="shared" si="39"/>
        <v>0</v>
      </c>
      <c r="V56" s="210">
        <f t="shared" si="39"/>
        <v>0</v>
      </c>
      <c r="W56" s="210">
        <f t="shared" si="39"/>
        <v>0</v>
      </c>
      <c r="X56" s="210">
        <f t="shared" si="39"/>
        <v>0</v>
      </c>
      <c r="Y56" s="210">
        <f t="shared" si="39"/>
        <v>0</v>
      </c>
      <c r="Z56" s="210">
        <f t="shared" si="39"/>
        <v>0</v>
      </c>
      <c r="AA56" s="210">
        <f t="shared" si="39"/>
        <v>0</v>
      </c>
      <c r="AB56" s="210">
        <f t="shared" si="39"/>
        <v>0</v>
      </c>
      <c r="AJ56" s="1"/>
      <c r="AK56" s="1"/>
      <c r="AM56" s="1"/>
      <c r="AQ56" s="1"/>
    </row>
    <row r="57" spans="1:43" x14ac:dyDescent="0.2">
      <c r="A57" s="395"/>
      <c r="B57" s="209" t="s">
        <v>262</v>
      </c>
      <c r="C57" s="210">
        <f>SUM(C16:C17)</f>
        <v>0</v>
      </c>
      <c r="D57" s="210">
        <f t="shared" ref="D57:AB57" si="40">SUM(D16:D17)</f>
        <v>0</v>
      </c>
      <c r="E57" s="210">
        <f t="shared" si="40"/>
        <v>0</v>
      </c>
      <c r="F57" s="210">
        <f t="shared" si="40"/>
        <v>0</v>
      </c>
      <c r="G57" s="210">
        <f t="shared" si="40"/>
        <v>0</v>
      </c>
      <c r="H57" s="210">
        <f t="shared" si="40"/>
        <v>0</v>
      </c>
      <c r="I57" s="210">
        <f t="shared" si="40"/>
        <v>0</v>
      </c>
      <c r="J57" s="210">
        <f t="shared" si="40"/>
        <v>0</v>
      </c>
      <c r="K57" s="210">
        <f t="shared" si="40"/>
        <v>0</v>
      </c>
      <c r="L57" s="210">
        <f t="shared" si="40"/>
        <v>0</v>
      </c>
      <c r="M57" s="210">
        <f t="shared" si="40"/>
        <v>0</v>
      </c>
      <c r="N57" s="210">
        <f t="shared" si="40"/>
        <v>0</v>
      </c>
      <c r="O57" s="210">
        <f t="shared" si="40"/>
        <v>0</v>
      </c>
      <c r="P57" s="210">
        <f t="shared" si="40"/>
        <v>0</v>
      </c>
      <c r="Q57" s="210">
        <f t="shared" si="40"/>
        <v>0</v>
      </c>
      <c r="R57" s="210">
        <f t="shared" si="40"/>
        <v>0</v>
      </c>
      <c r="S57" s="210">
        <f t="shared" si="40"/>
        <v>0</v>
      </c>
      <c r="T57" s="210">
        <f t="shared" si="40"/>
        <v>0</v>
      </c>
      <c r="U57" s="210">
        <f t="shared" si="40"/>
        <v>0</v>
      </c>
      <c r="V57" s="210">
        <f t="shared" si="40"/>
        <v>0</v>
      </c>
      <c r="W57" s="210">
        <f t="shared" si="40"/>
        <v>0</v>
      </c>
      <c r="X57" s="210">
        <f t="shared" si="40"/>
        <v>0</v>
      </c>
      <c r="Y57" s="210">
        <f t="shared" si="40"/>
        <v>0</v>
      </c>
      <c r="Z57" s="210">
        <f t="shared" si="40"/>
        <v>0</v>
      </c>
      <c r="AA57" s="210">
        <f t="shared" si="40"/>
        <v>0</v>
      </c>
      <c r="AB57" s="210">
        <f t="shared" si="40"/>
        <v>0</v>
      </c>
      <c r="AJ57" s="1"/>
      <c r="AK57" s="1"/>
      <c r="AM57" s="1"/>
      <c r="AQ57" s="1"/>
    </row>
    <row r="58" spans="1:43" x14ac:dyDescent="0.2">
      <c r="A58" s="396"/>
      <c r="B58" s="209" t="s">
        <v>261</v>
      </c>
      <c r="C58" s="210">
        <f>SUM(C18)</f>
        <v>0</v>
      </c>
      <c r="D58" s="210">
        <f t="shared" ref="D58:AB58" si="41">SUM(D18)</f>
        <v>0</v>
      </c>
      <c r="E58" s="210">
        <f t="shared" si="41"/>
        <v>0</v>
      </c>
      <c r="F58" s="210">
        <f t="shared" si="41"/>
        <v>0</v>
      </c>
      <c r="G58" s="210">
        <f t="shared" si="41"/>
        <v>0</v>
      </c>
      <c r="H58" s="210">
        <f t="shared" si="41"/>
        <v>0</v>
      </c>
      <c r="I58" s="210">
        <f t="shared" si="41"/>
        <v>0</v>
      </c>
      <c r="J58" s="210">
        <f t="shared" si="41"/>
        <v>0</v>
      </c>
      <c r="K58" s="210">
        <f t="shared" si="41"/>
        <v>0</v>
      </c>
      <c r="L58" s="210">
        <f t="shared" si="41"/>
        <v>0</v>
      </c>
      <c r="M58" s="210">
        <f t="shared" si="41"/>
        <v>0</v>
      </c>
      <c r="N58" s="210">
        <f t="shared" si="41"/>
        <v>0</v>
      </c>
      <c r="O58" s="210">
        <f t="shared" si="41"/>
        <v>0</v>
      </c>
      <c r="P58" s="210">
        <f t="shared" si="41"/>
        <v>0</v>
      </c>
      <c r="Q58" s="210">
        <f t="shared" si="41"/>
        <v>0</v>
      </c>
      <c r="R58" s="210">
        <f t="shared" si="41"/>
        <v>0</v>
      </c>
      <c r="S58" s="210">
        <f t="shared" si="41"/>
        <v>0</v>
      </c>
      <c r="T58" s="210">
        <f t="shared" si="41"/>
        <v>0</v>
      </c>
      <c r="U58" s="210">
        <f t="shared" si="41"/>
        <v>0</v>
      </c>
      <c r="V58" s="210">
        <f t="shared" si="41"/>
        <v>0</v>
      </c>
      <c r="W58" s="210">
        <f t="shared" si="41"/>
        <v>0</v>
      </c>
      <c r="X58" s="210">
        <f t="shared" si="41"/>
        <v>0</v>
      </c>
      <c r="Y58" s="210">
        <f t="shared" si="41"/>
        <v>0</v>
      </c>
      <c r="Z58" s="210">
        <f t="shared" si="41"/>
        <v>0</v>
      </c>
      <c r="AA58" s="210">
        <f t="shared" si="41"/>
        <v>0</v>
      </c>
      <c r="AB58" s="210">
        <f t="shared" si="41"/>
        <v>0</v>
      </c>
      <c r="AJ58" s="1"/>
      <c r="AK58" s="1"/>
      <c r="AM58" s="1"/>
      <c r="AQ58" s="1"/>
    </row>
    <row r="59" spans="1:43" x14ac:dyDescent="0.2">
      <c r="A59" s="397" t="s">
        <v>6</v>
      </c>
      <c r="B59" s="209" t="s">
        <v>250</v>
      </c>
      <c r="C59" s="210">
        <f>SUM(C21:C28)</f>
        <v>0</v>
      </c>
      <c r="D59" s="210">
        <f t="shared" ref="D59:AB59" si="42">SUM(D21:D28)</f>
        <v>0</v>
      </c>
      <c r="E59" s="210">
        <f t="shared" si="42"/>
        <v>0</v>
      </c>
      <c r="F59" s="210">
        <f t="shared" si="42"/>
        <v>0</v>
      </c>
      <c r="G59" s="210">
        <f t="shared" si="42"/>
        <v>0</v>
      </c>
      <c r="H59" s="210">
        <f t="shared" si="42"/>
        <v>0</v>
      </c>
      <c r="I59" s="210">
        <f t="shared" si="42"/>
        <v>0</v>
      </c>
      <c r="J59" s="210">
        <f t="shared" si="42"/>
        <v>0</v>
      </c>
      <c r="K59" s="210">
        <f t="shared" si="42"/>
        <v>0</v>
      </c>
      <c r="L59" s="210">
        <f t="shared" si="42"/>
        <v>0</v>
      </c>
      <c r="M59" s="210">
        <f t="shared" si="42"/>
        <v>0</v>
      </c>
      <c r="N59" s="210">
        <f t="shared" si="42"/>
        <v>0</v>
      </c>
      <c r="O59" s="210">
        <f t="shared" si="42"/>
        <v>0</v>
      </c>
      <c r="P59" s="210">
        <f t="shared" si="42"/>
        <v>0</v>
      </c>
      <c r="Q59" s="210">
        <f t="shared" si="42"/>
        <v>0</v>
      </c>
      <c r="R59" s="210">
        <f t="shared" si="42"/>
        <v>0</v>
      </c>
      <c r="S59" s="210">
        <f t="shared" si="42"/>
        <v>0</v>
      </c>
      <c r="T59" s="210">
        <f t="shared" si="42"/>
        <v>0</v>
      </c>
      <c r="U59" s="210">
        <f t="shared" si="42"/>
        <v>0</v>
      </c>
      <c r="V59" s="210">
        <f t="shared" si="42"/>
        <v>0</v>
      </c>
      <c r="W59" s="210">
        <f t="shared" si="42"/>
        <v>0</v>
      </c>
      <c r="X59" s="210">
        <f t="shared" si="42"/>
        <v>0</v>
      </c>
      <c r="Y59" s="210">
        <f t="shared" si="42"/>
        <v>0</v>
      </c>
      <c r="Z59" s="210">
        <f t="shared" si="42"/>
        <v>0</v>
      </c>
      <c r="AA59" s="210">
        <f t="shared" si="42"/>
        <v>0</v>
      </c>
      <c r="AB59" s="210">
        <f t="shared" si="42"/>
        <v>0</v>
      </c>
      <c r="AJ59" s="1"/>
      <c r="AK59" s="1"/>
      <c r="AM59" s="1"/>
      <c r="AQ59" s="1"/>
    </row>
    <row r="60" spans="1:43" x14ac:dyDescent="0.2">
      <c r="A60" s="398"/>
      <c r="B60" s="209" t="s">
        <v>251</v>
      </c>
      <c r="C60" s="210">
        <f>SUM(C21:C22)</f>
        <v>0</v>
      </c>
      <c r="D60" s="210">
        <f t="shared" ref="D60:AB60" si="43">SUM(D21:D22)</f>
        <v>0</v>
      </c>
      <c r="E60" s="210">
        <f t="shared" si="43"/>
        <v>0</v>
      </c>
      <c r="F60" s="210">
        <f t="shared" si="43"/>
        <v>0</v>
      </c>
      <c r="G60" s="210">
        <f t="shared" si="43"/>
        <v>0</v>
      </c>
      <c r="H60" s="210">
        <f t="shared" si="43"/>
        <v>0</v>
      </c>
      <c r="I60" s="210">
        <f t="shared" si="43"/>
        <v>0</v>
      </c>
      <c r="J60" s="210">
        <f t="shared" si="43"/>
        <v>0</v>
      </c>
      <c r="K60" s="210">
        <f t="shared" si="43"/>
        <v>0</v>
      </c>
      <c r="L60" s="210">
        <f t="shared" si="43"/>
        <v>0</v>
      </c>
      <c r="M60" s="210">
        <f t="shared" si="43"/>
        <v>0</v>
      </c>
      <c r="N60" s="210">
        <f t="shared" si="43"/>
        <v>0</v>
      </c>
      <c r="O60" s="210">
        <f t="shared" si="43"/>
        <v>0</v>
      </c>
      <c r="P60" s="210">
        <f t="shared" si="43"/>
        <v>0</v>
      </c>
      <c r="Q60" s="210">
        <f t="shared" si="43"/>
        <v>0</v>
      </c>
      <c r="R60" s="210">
        <f t="shared" si="43"/>
        <v>0</v>
      </c>
      <c r="S60" s="210">
        <f t="shared" si="43"/>
        <v>0</v>
      </c>
      <c r="T60" s="210">
        <f t="shared" si="43"/>
        <v>0</v>
      </c>
      <c r="U60" s="210">
        <f t="shared" si="43"/>
        <v>0</v>
      </c>
      <c r="V60" s="210">
        <f t="shared" si="43"/>
        <v>0</v>
      </c>
      <c r="W60" s="210">
        <f t="shared" si="43"/>
        <v>0</v>
      </c>
      <c r="X60" s="210">
        <f t="shared" si="43"/>
        <v>0</v>
      </c>
      <c r="Y60" s="210">
        <f t="shared" si="43"/>
        <v>0</v>
      </c>
      <c r="Z60" s="210">
        <f t="shared" si="43"/>
        <v>0</v>
      </c>
      <c r="AA60" s="210">
        <f t="shared" si="43"/>
        <v>0</v>
      </c>
      <c r="AB60" s="210">
        <f t="shared" si="43"/>
        <v>0</v>
      </c>
      <c r="AJ60" s="1"/>
      <c r="AK60" s="1"/>
      <c r="AM60" s="1"/>
      <c r="AQ60" s="1"/>
    </row>
    <row r="61" spans="1:43" x14ac:dyDescent="0.2">
      <c r="A61" s="398"/>
      <c r="B61" s="209" t="s">
        <v>254</v>
      </c>
      <c r="C61" s="210">
        <f>SUM(C23:C24)</f>
        <v>0</v>
      </c>
      <c r="D61" s="210">
        <f t="shared" ref="D61:AB61" si="44">SUM(D23:D24)</f>
        <v>0</v>
      </c>
      <c r="E61" s="210">
        <f t="shared" si="44"/>
        <v>0</v>
      </c>
      <c r="F61" s="210">
        <f t="shared" si="44"/>
        <v>0</v>
      </c>
      <c r="G61" s="210">
        <f t="shared" si="44"/>
        <v>0</v>
      </c>
      <c r="H61" s="210">
        <f t="shared" si="44"/>
        <v>0</v>
      </c>
      <c r="I61" s="210">
        <f t="shared" si="44"/>
        <v>0</v>
      </c>
      <c r="J61" s="210">
        <f t="shared" si="44"/>
        <v>0</v>
      </c>
      <c r="K61" s="210">
        <f t="shared" si="44"/>
        <v>0</v>
      </c>
      <c r="L61" s="210">
        <f t="shared" si="44"/>
        <v>0</v>
      </c>
      <c r="M61" s="210">
        <f t="shared" si="44"/>
        <v>0</v>
      </c>
      <c r="N61" s="210">
        <f t="shared" si="44"/>
        <v>0</v>
      </c>
      <c r="O61" s="210">
        <f t="shared" si="44"/>
        <v>0</v>
      </c>
      <c r="P61" s="210">
        <f t="shared" si="44"/>
        <v>0</v>
      </c>
      <c r="Q61" s="210">
        <f t="shared" si="44"/>
        <v>0</v>
      </c>
      <c r="R61" s="210">
        <f t="shared" si="44"/>
        <v>0</v>
      </c>
      <c r="S61" s="210">
        <f t="shared" si="44"/>
        <v>0</v>
      </c>
      <c r="T61" s="210">
        <f t="shared" si="44"/>
        <v>0</v>
      </c>
      <c r="U61" s="210">
        <f t="shared" si="44"/>
        <v>0</v>
      </c>
      <c r="V61" s="210">
        <f t="shared" si="44"/>
        <v>0</v>
      </c>
      <c r="W61" s="210">
        <f t="shared" si="44"/>
        <v>0</v>
      </c>
      <c r="X61" s="210">
        <f t="shared" si="44"/>
        <v>0</v>
      </c>
      <c r="Y61" s="210">
        <f t="shared" si="44"/>
        <v>0</v>
      </c>
      <c r="Z61" s="210">
        <f t="shared" si="44"/>
        <v>0</v>
      </c>
      <c r="AA61" s="210">
        <f t="shared" si="44"/>
        <v>0</v>
      </c>
      <c r="AB61" s="210">
        <f t="shared" si="44"/>
        <v>0</v>
      </c>
      <c r="AJ61" s="1"/>
      <c r="AK61" s="1"/>
      <c r="AM61" s="1"/>
      <c r="AQ61" s="1"/>
    </row>
    <row r="62" spans="1:43" x14ac:dyDescent="0.2">
      <c r="A62" s="398"/>
      <c r="B62" s="209" t="s">
        <v>255</v>
      </c>
      <c r="C62" s="210">
        <f>SUM(C25:C26)</f>
        <v>0</v>
      </c>
      <c r="D62" s="210">
        <f t="shared" ref="D62:AB62" si="45">SUM(D25:D26)</f>
        <v>0</v>
      </c>
      <c r="E62" s="210">
        <f t="shared" si="45"/>
        <v>0</v>
      </c>
      <c r="F62" s="210">
        <f t="shared" si="45"/>
        <v>0</v>
      </c>
      <c r="G62" s="210">
        <f t="shared" si="45"/>
        <v>0</v>
      </c>
      <c r="H62" s="210">
        <f t="shared" si="45"/>
        <v>0</v>
      </c>
      <c r="I62" s="210">
        <f t="shared" si="45"/>
        <v>0</v>
      </c>
      <c r="J62" s="210">
        <f t="shared" si="45"/>
        <v>0</v>
      </c>
      <c r="K62" s="210">
        <f t="shared" si="45"/>
        <v>0</v>
      </c>
      <c r="L62" s="210">
        <f t="shared" si="45"/>
        <v>0</v>
      </c>
      <c r="M62" s="210">
        <f t="shared" si="45"/>
        <v>0</v>
      </c>
      <c r="N62" s="210">
        <f t="shared" si="45"/>
        <v>0</v>
      </c>
      <c r="O62" s="210">
        <f t="shared" si="45"/>
        <v>0</v>
      </c>
      <c r="P62" s="210">
        <f t="shared" si="45"/>
        <v>0</v>
      </c>
      <c r="Q62" s="210">
        <f t="shared" si="45"/>
        <v>0</v>
      </c>
      <c r="R62" s="210">
        <f t="shared" si="45"/>
        <v>0</v>
      </c>
      <c r="S62" s="210">
        <f t="shared" si="45"/>
        <v>0</v>
      </c>
      <c r="T62" s="210">
        <f t="shared" si="45"/>
        <v>0</v>
      </c>
      <c r="U62" s="210">
        <f t="shared" si="45"/>
        <v>0</v>
      </c>
      <c r="V62" s="210">
        <f t="shared" si="45"/>
        <v>0</v>
      </c>
      <c r="W62" s="210">
        <f t="shared" si="45"/>
        <v>0</v>
      </c>
      <c r="X62" s="210">
        <f t="shared" si="45"/>
        <v>0</v>
      </c>
      <c r="Y62" s="210">
        <f t="shared" si="45"/>
        <v>0</v>
      </c>
      <c r="Z62" s="210">
        <f t="shared" si="45"/>
        <v>0</v>
      </c>
      <c r="AA62" s="210">
        <f t="shared" si="45"/>
        <v>0</v>
      </c>
      <c r="AB62" s="210">
        <f t="shared" si="45"/>
        <v>0</v>
      </c>
      <c r="AJ62" s="1"/>
      <c r="AK62" s="1"/>
      <c r="AM62" s="1"/>
      <c r="AQ62" s="1"/>
    </row>
    <row r="63" spans="1:43" x14ac:dyDescent="0.2">
      <c r="A63" s="398"/>
      <c r="B63" s="209" t="s">
        <v>256</v>
      </c>
      <c r="C63" s="210">
        <f>SUM(C27:C28)</f>
        <v>0</v>
      </c>
      <c r="D63" s="210">
        <f t="shared" ref="D63:AB63" si="46">SUM(D27:D28)</f>
        <v>0</v>
      </c>
      <c r="E63" s="210">
        <f t="shared" si="46"/>
        <v>0</v>
      </c>
      <c r="F63" s="210">
        <f t="shared" si="46"/>
        <v>0</v>
      </c>
      <c r="G63" s="210">
        <f t="shared" si="46"/>
        <v>0</v>
      </c>
      <c r="H63" s="210">
        <f t="shared" si="46"/>
        <v>0</v>
      </c>
      <c r="I63" s="210">
        <f t="shared" si="46"/>
        <v>0</v>
      </c>
      <c r="J63" s="210">
        <f t="shared" si="46"/>
        <v>0</v>
      </c>
      <c r="K63" s="210">
        <f t="shared" si="46"/>
        <v>0</v>
      </c>
      <c r="L63" s="210">
        <f t="shared" si="46"/>
        <v>0</v>
      </c>
      <c r="M63" s="210">
        <f t="shared" si="46"/>
        <v>0</v>
      </c>
      <c r="N63" s="210">
        <f t="shared" si="46"/>
        <v>0</v>
      </c>
      <c r="O63" s="210">
        <f t="shared" si="46"/>
        <v>0</v>
      </c>
      <c r="P63" s="210">
        <f t="shared" si="46"/>
        <v>0</v>
      </c>
      <c r="Q63" s="210">
        <f t="shared" si="46"/>
        <v>0</v>
      </c>
      <c r="R63" s="210">
        <f t="shared" si="46"/>
        <v>0</v>
      </c>
      <c r="S63" s="210">
        <f t="shared" si="46"/>
        <v>0</v>
      </c>
      <c r="T63" s="210">
        <f t="shared" si="46"/>
        <v>0</v>
      </c>
      <c r="U63" s="210">
        <f t="shared" si="46"/>
        <v>0</v>
      </c>
      <c r="V63" s="210">
        <f t="shared" si="46"/>
        <v>0</v>
      </c>
      <c r="W63" s="210">
        <f t="shared" si="46"/>
        <v>0</v>
      </c>
      <c r="X63" s="210">
        <f t="shared" si="46"/>
        <v>0</v>
      </c>
      <c r="Y63" s="210">
        <f t="shared" si="46"/>
        <v>0</v>
      </c>
      <c r="Z63" s="210">
        <f t="shared" si="46"/>
        <v>0</v>
      </c>
      <c r="AA63" s="210">
        <f t="shared" si="46"/>
        <v>0</v>
      </c>
      <c r="AB63" s="210">
        <f t="shared" si="46"/>
        <v>0</v>
      </c>
      <c r="AJ63" s="1"/>
      <c r="AK63" s="1"/>
      <c r="AM63" s="1"/>
      <c r="AQ63" s="1"/>
    </row>
    <row r="64" spans="1:43" x14ac:dyDescent="0.2">
      <c r="A64" s="398"/>
      <c r="B64" s="209" t="s">
        <v>262</v>
      </c>
      <c r="C64" s="210">
        <f>SUM(C29:C30)</f>
        <v>0</v>
      </c>
      <c r="D64" s="210">
        <f t="shared" ref="D64:AB64" si="47">SUM(D29:D30)</f>
        <v>0</v>
      </c>
      <c r="E64" s="210">
        <f t="shared" si="47"/>
        <v>0</v>
      </c>
      <c r="F64" s="210">
        <f t="shared" si="47"/>
        <v>0</v>
      </c>
      <c r="G64" s="210">
        <f t="shared" si="47"/>
        <v>0</v>
      </c>
      <c r="H64" s="210">
        <f t="shared" si="47"/>
        <v>0</v>
      </c>
      <c r="I64" s="210">
        <f t="shared" si="47"/>
        <v>0</v>
      </c>
      <c r="J64" s="210">
        <f t="shared" si="47"/>
        <v>0</v>
      </c>
      <c r="K64" s="210">
        <f t="shared" si="47"/>
        <v>0</v>
      </c>
      <c r="L64" s="210">
        <f t="shared" si="47"/>
        <v>0</v>
      </c>
      <c r="M64" s="210">
        <f t="shared" si="47"/>
        <v>0</v>
      </c>
      <c r="N64" s="210">
        <f t="shared" si="47"/>
        <v>0</v>
      </c>
      <c r="O64" s="210">
        <f t="shared" si="47"/>
        <v>0</v>
      </c>
      <c r="P64" s="210">
        <f t="shared" si="47"/>
        <v>0</v>
      </c>
      <c r="Q64" s="210">
        <f t="shared" si="47"/>
        <v>0</v>
      </c>
      <c r="R64" s="210">
        <f t="shared" si="47"/>
        <v>0</v>
      </c>
      <c r="S64" s="210">
        <f t="shared" si="47"/>
        <v>0</v>
      </c>
      <c r="T64" s="210">
        <f t="shared" si="47"/>
        <v>0</v>
      </c>
      <c r="U64" s="210">
        <f t="shared" si="47"/>
        <v>0</v>
      </c>
      <c r="V64" s="210">
        <f t="shared" si="47"/>
        <v>0</v>
      </c>
      <c r="W64" s="210">
        <f t="shared" si="47"/>
        <v>0</v>
      </c>
      <c r="X64" s="210">
        <f t="shared" si="47"/>
        <v>0</v>
      </c>
      <c r="Y64" s="210">
        <f t="shared" si="47"/>
        <v>0</v>
      </c>
      <c r="Z64" s="210">
        <f t="shared" si="47"/>
        <v>0</v>
      </c>
      <c r="AA64" s="210">
        <f t="shared" si="47"/>
        <v>0</v>
      </c>
      <c r="AB64" s="210">
        <f t="shared" si="47"/>
        <v>0</v>
      </c>
      <c r="AJ64" s="1"/>
      <c r="AK64" s="1"/>
      <c r="AM64" s="1"/>
      <c r="AQ64" s="1"/>
    </row>
    <row r="65" spans="1:45" x14ac:dyDescent="0.2">
      <c r="A65" s="398"/>
      <c r="B65" s="209" t="s">
        <v>261</v>
      </c>
      <c r="C65" s="210">
        <f>SUM(C31)</f>
        <v>0</v>
      </c>
      <c r="D65" s="210">
        <f t="shared" ref="D65:AB65" si="48">SUM(D31)</f>
        <v>0</v>
      </c>
      <c r="E65" s="210">
        <f t="shared" si="48"/>
        <v>0</v>
      </c>
      <c r="F65" s="210">
        <f t="shared" si="48"/>
        <v>0</v>
      </c>
      <c r="G65" s="210">
        <f t="shared" si="48"/>
        <v>0</v>
      </c>
      <c r="H65" s="210">
        <f t="shared" si="48"/>
        <v>0</v>
      </c>
      <c r="I65" s="210">
        <f t="shared" si="48"/>
        <v>0</v>
      </c>
      <c r="J65" s="210">
        <f t="shared" si="48"/>
        <v>0</v>
      </c>
      <c r="K65" s="210">
        <f t="shared" si="48"/>
        <v>0</v>
      </c>
      <c r="L65" s="210">
        <f t="shared" si="48"/>
        <v>0</v>
      </c>
      <c r="M65" s="210">
        <f t="shared" si="48"/>
        <v>0</v>
      </c>
      <c r="N65" s="210">
        <f t="shared" si="48"/>
        <v>0</v>
      </c>
      <c r="O65" s="210">
        <f t="shared" si="48"/>
        <v>0</v>
      </c>
      <c r="P65" s="210">
        <f t="shared" si="48"/>
        <v>0</v>
      </c>
      <c r="Q65" s="210">
        <f t="shared" si="48"/>
        <v>0</v>
      </c>
      <c r="R65" s="210">
        <f t="shared" si="48"/>
        <v>0</v>
      </c>
      <c r="S65" s="210">
        <f t="shared" si="48"/>
        <v>0</v>
      </c>
      <c r="T65" s="210">
        <f t="shared" si="48"/>
        <v>0</v>
      </c>
      <c r="U65" s="210">
        <f t="shared" si="48"/>
        <v>0</v>
      </c>
      <c r="V65" s="210">
        <f t="shared" si="48"/>
        <v>0</v>
      </c>
      <c r="W65" s="210">
        <f t="shared" si="48"/>
        <v>0</v>
      </c>
      <c r="X65" s="210">
        <f t="shared" si="48"/>
        <v>0</v>
      </c>
      <c r="Y65" s="210">
        <f t="shared" si="48"/>
        <v>0</v>
      </c>
      <c r="Z65" s="210">
        <f t="shared" si="48"/>
        <v>0</v>
      </c>
      <c r="AA65" s="210">
        <f t="shared" si="48"/>
        <v>0</v>
      </c>
      <c r="AB65" s="210">
        <f t="shared" si="48"/>
        <v>0</v>
      </c>
      <c r="AJ65" s="1"/>
      <c r="AK65" s="1"/>
      <c r="AM65" s="1"/>
      <c r="AQ65" s="1"/>
    </row>
    <row r="67" spans="1:45" customFormat="1" ht="13.5" thickBot="1" x14ac:dyDescent="0.25">
      <c r="C67" s="372" t="s">
        <v>131</v>
      </c>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
      <c r="AD67" s="3"/>
      <c r="AE67" s="3"/>
      <c r="AF67" s="3"/>
      <c r="AG67" s="3"/>
      <c r="AH67" s="3"/>
      <c r="AI67" s="3"/>
      <c r="AJ67" s="3"/>
      <c r="AK67" s="3"/>
      <c r="AL67" s="3"/>
      <c r="AM67" s="3"/>
      <c r="AN67" s="3"/>
      <c r="AO67" s="3"/>
      <c r="AP67" s="3"/>
      <c r="AQ67" s="3"/>
      <c r="AR67" s="3"/>
      <c r="AS67" s="3"/>
    </row>
    <row r="68" spans="1:45" customFormat="1" ht="33.75" customHeight="1" x14ac:dyDescent="0.2">
      <c r="A68" s="354"/>
      <c r="B68" s="361" t="s">
        <v>11</v>
      </c>
      <c r="C68" s="363" t="s">
        <v>125</v>
      </c>
      <c r="D68" s="363" t="s">
        <v>126</v>
      </c>
      <c r="E68" s="365" t="s">
        <v>0</v>
      </c>
      <c r="F68" s="366"/>
      <c r="G68" s="376" t="s">
        <v>1</v>
      </c>
      <c r="H68" s="377"/>
      <c r="I68" s="363" t="s">
        <v>2</v>
      </c>
      <c r="J68" s="378" t="s">
        <v>3</v>
      </c>
      <c r="K68" s="378"/>
      <c r="L68" s="378"/>
      <c r="M68" s="378"/>
      <c r="N68" s="369" t="s">
        <v>120</v>
      </c>
      <c r="O68" s="363" t="s">
        <v>221</v>
      </c>
      <c r="P68" s="4"/>
      <c r="Q68" s="363" t="s">
        <v>7</v>
      </c>
      <c r="R68" s="4"/>
      <c r="S68" s="363" t="s">
        <v>116</v>
      </c>
      <c r="T68" s="363" t="s">
        <v>117</v>
      </c>
      <c r="U68" s="363" t="s">
        <v>3</v>
      </c>
      <c r="V68" s="4"/>
      <c r="W68" s="373" t="s">
        <v>117</v>
      </c>
      <c r="X68" s="373"/>
      <c r="Y68" s="4"/>
      <c r="Z68" s="374" t="s">
        <v>104</v>
      </c>
      <c r="AA68" s="374"/>
      <c r="AB68" s="375"/>
      <c r="AC68" s="3"/>
      <c r="AD68" s="3"/>
      <c r="AE68" s="3"/>
      <c r="AF68" s="3"/>
      <c r="AG68" s="3"/>
      <c r="AH68" s="3"/>
      <c r="AI68" s="3"/>
      <c r="AJ68" s="3"/>
      <c r="AK68" s="3"/>
      <c r="AL68" s="3"/>
      <c r="AM68" s="3"/>
      <c r="AN68" s="3"/>
      <c r="AO68" s="3"/>
      <c r="AP68" s="3"/>
      <c r="AQ68" s="3"/>
      <c r="AR68" s="3"/>
      <c r="AS68" s="3"/>
    </row>
    <row r="69" spans="1:45" customFormat="1" ht="66.75" customHeight="1" thickBot="1" x14ac:dyDescent="0.25">
      <c r="A69" s="355"/>
      <c r="B69" s="362"/>
      <c r="C69" s="364"/>
      <c r="D69" s="364"/>
      <c r="E69" s="68" t="s">
        <v>98</v>
      </c>
      <c r="F69" s="68" t="s">
        <v>100</v>
      </c>
      <c r="G69" s="64" t="s">
        <v>98</v>
      </c>
      <c r="H69" s="68" t="s">
        <v>100</v>
      </c>
      <c r="I69" s="371"/>
      <c r="J69" s="68" t="s">
        <v>127</v>
      </c>
      <c r="K69" s="68" t="s">
        <v>128</v>
      </c>
      <c r="L69" s="68" t="s">
        <v>129</v>
      </c>
      <c r="M69" s="68" t="s">
        <v>130</v>
      </c>
      <c r="N69" s="370"/>
      <c r="O69" s="371"/>
      <c r="P69" s="65"/>
      <c r="Q69" s="364"/>
      <c r="R69" s="65"/>
      <c r="S69" s="364"/>
      <c r="T69" s="364"/>
      <c r="U69" s="364"/>
      <c r="V69" s="65"/>
      <c r="W69" s="68" t="s">
        <v>9</v>
      </c>
      <c r="X69" s="68" t="s">
        <v>10</v>
      </c>
      <c r="Y69" s="65"/>
      <c r="Z69" s="69" t="s">
        <v>101</v>
      </c>
      <c r="AA69" s="69" t="s">
        <v>102</v>
      </c>
      <c r="AB69" s="70" t="s">
        <v>103</v>
      </c>
      <c r="AC69" s="3"/>
      <c r="AD69" s="3"/>
      <c r="AE69" s="3"/>
      <c r="AF69" s="3"/>
      <c r="AG69" s="3"/>
      <c r="AH69" s="3"/>
      <c r="AI69" s="3"/>
      <c r="AJ69" s="3"/>
      <c r="AK69" s="3"/>
      <c r="AL69" s="3"/>
      <c r="AM69" s="3"/>
      <c r="AN69" s="3"/>
      <c r="AO69" s="3"/>
      <c r="AP69" s="3"/>
      <c r="AQ69" s="3"/>
      <c r="AR69" s="3"/>
      <c r="AS69" s="3"/>
    </row>
    <row r="70" spans="1:45" customFormat="1" ht="87" hidden="1" customHeight="1" thickBot="1" x14ac:dyDescent="0.25">
      <c r="A70" s="81" t="s">
        <v>105</v>
      </c>
      <c r="B70" s="82"/>
      <c r="C70" s="71" t="s">
        <v>106</v>
      </c>
      <c r="D70" s="71" t="s">
        <v>97</v>
      </c>
      <c r="E70" s="71" t="s">
        <v>108</v>
      </c>
      <c r="F70" s="71" t="s">
        <v>107</v>
      </c>
      <c r="G70" s="71" t="s">
        <v>109</v>
      </c>
      <c r="H70" s="71" t="s">
        <v>110</v>
      </c>
      <c r="I70" s="72" t="s">
        <v>111</v>
      </c>
      <c r="J70" s="71" t="s">
        <v>112</v>
      </c>
      <c r="K70" s="71" t="s">
        <v>113</v>
      </c>
      <c r="L70" s="71" t="s">
        <v>114</v>
      </c>
      <c r="M70" s="71" t="s">
        <v>115</v>
      </c>
      <c r="N70" s="75" t="s">
        <v>121</v>
      </c>
      <c r="O70" s="76"/>
      <c r="P70" s="72"/>
      <c r="Q70" s="73" t="str">
        <f>CONCATENATE(H70&amp;", "&amp;I70&amp;", "&amp;J70&amp;", "&amp;K70&amp;", "&amp;L70&amp;", "&amp;M70)</f>
        <v>343, 344, 353, 354, 443, 444, 453, 454, 540, 550, 560, 640, 650, 660, 740, 750, 760, 840, 850, 860</v>
      </c>
      <c r="R70" s="72"/>
      <c r="S70" s="73" t="str">
        <f>CONCATENATE(C70&amp;", "&amp;D70&amp;", "&amp;E70&amp;", "&amp;F70&amp;", "&amp;G70)</f>
        <v>010, 020, 030, 100, 242, 252, 243, 244, 253, 254, 342, 352</v>
      </c>
      <c r="T70" s="73" t="str">
        <f>CONCATENATE(H70&amp;", "&amp;I70)</f>
        <v>343, 344, 353, 354, 443, 444, 453, 454</v>
      </c>
      <c r="U70" s="73" t="str">
        <f>CONCATENATE(J70&amp;", "&amp;K70&amp;", "&amp;L70&amp;", "&amp;M70)</f>
        <v>540, 550, 560, 640, 650, 660, 740, 750, 760, 840, 850, 860</v>
      </c>
      <c r="V70" s="72"/>
      <c r="W70" s="71" t="s">
        <v>118</v>
      </c>
      <c r="X70" s="71" t="s">
        <v>119</v>
      </c>
      <c r="Y70" s="72"/>
      <c r="Z70" s="77" t="s">
        <v>122</v>
      </c>
      <c r="AA70" s="77" t="s">
        <v>123</v>
      </c>
      <c r="AB70" s="74" t="s">
        <v>124</v>
      </c>
      <c r="AC70" s="3"/>
      <c r="AD70" s="3"/>
      <c r="AE70" s="3"/>
      <c r="AF70" s="3"/>
      <c r="AG70" s="3"/>
      <c r="AH70" s="3"/>
      <c r="AI70" s="3"/>
      <c r="AJ70" s="3"/>
      <c r="AK70" s="3"/>
      <c r="AL70" s="3"/>
      <c r="AM70" s="3"/>
      <c r="AN70" s="3"/>
      <c r="AO70" s="3"/>
      <c r="AP70" s="3"/>
      <c r="AQ70" s="3"/>
      <c r="AR70" s="3"/>
      <c r="AS70" s="3"/>
    </row>
    <row r="71" spans="1:45" customFormat="1" ht="12.75" customHeight="1" x14ac:dyDescent="0.2">
      <c r="A71" s="351" t="s">
        <v>5</v>
      </c>
      <c r="B71" s="78" t="s">
        <v>87</v>
      </c>
      <c r="C71" s="86">
        <f>SUMIFS(Flat_file!$H:$H,Flat_file!$B:$B,Summary_Inactive!$B$2,Flat_file!$C:$C,"Men",Flat_file!$D:$D,"15-19",Flat_file!$E:$E,"010",Flat_file!$F:$F,"I")+SUMIFS(Flat_file!$H:$H,Flat_file!$B:$B,Summary_Inactive!$B$2,Flat_file!$C:$C,"Men",Flat_file!$D:$D,"15-19",Flat_file!$E:$E,"020",Flat_file!$F:$F,"I")+SUMIFS(Flat_file!$H:$H,Flat_file!$B:$B,Summary_Inactive!$B$2,Flat_file!$C:$C,"Men",Flat_file!$D:$D,"15-19",Flat_file!$E:$E,"030",Flat_file!$F:$F,"I")</f>
        <v>0</v>
      </c>
      <c r="D71" s="86">
        <f>SUMIFS(Flat_file!$H:$H,Flat_file!$B:$B,Summary_Inactive!$B$2,Flat_file!$C:$C,"Men",Flat_file!$D:$D,"15-19",Flat_file!$E:$E,"100",Flat_file!$F:$F,"I")</f>
        <v>0</v>
      </c>
      <c r="E71" s="86">
        <f>SUMIFS(Flat_file!$H:$H,Flat_file!$B:$B,Summary_Inactive!$B$2,Flat_file!$C:$C,"Men",Flat_file!$D:$D,"15-19",Flat_file!$E:$E,"242",Flat_file!$F:$F,"I")+SUMIFS(Flat_file!$H:$H,Flat_file!$B:$B,Summary_Inactive!$B$2,Flat_file!$C:$C,"Men",Flat_file!$D:$D,"15-19",Flat_file!$E:$E,"252",Flat_file!$F:$F,"I")</f>
        <v>0</v>
      </c>
      <c r="F71" s="86">
        <f>SUMIFS(Flat_file!$H:$H,Flat_file!$B:$B,Summary_Inactive!$B$2,Flat_file!$C:$C,"Men",Flat_file!$D:$D,"15-19",Flat_file!$E:$E,"243",Flat_file!$F:$F,"I")+SUMIFS(Flat_file!$H:$H,Flat_file!$B:$B,Summary_Inactive!$B$2,Flat_file!$C:$C,"Men",Flat_file!$D:$D,"15-19",Flat_file!$E:$E,"244",Flat_file!$F:$F,"I")+SUMIFS(Flat_file!$H:$H,Flat_file!$B:$B,Summary_Inactive!$B$2,Flat_file!$C:$C,"Men",Flat_file!$D:$D,"15-19",Flat_file!$E:$E,"253",Flat_file!$F:$F,"I")+SUMIFS(Flat_file!$H:$H,Flat_file!$B:$B,Summary_Inactive!$B$2,Flat_file!$C:$C,"Men",Flat_file!$D:$D,"15-19",Flat_file!$E:$E,"254",Flat_file!$F:$F,"I")</f>
        <v>0</v>
      </c>
      <c r="G71" s="86">
        <f>SUMIFS(Flat_file!$H:$H,Flat_file!$B:$B,Summary_Inactive!$B$2,Flat_file!$C:$C,"Men",Flat_file!$D:$D,"15-19",Flat_file!$E:$E,"342",Flat_file!$F:$F,"I")+SUMIFS(Flat_file!$H:$H,Flat_file!$B:$B,Summary_Inactive!$B$2,Flat_file!$C:$C,"Men",Flat_file!$D:$D,"15-19",Flat_file!$E:$E,"352",Flat_file!$F:$F,"I")</f>
        <v>0</v>
      </c>
      <c r="H71" s="86">
        <f>SUMIFS(Flat_file!$H:$H,Flat_file!$B:$B,Summary_Inactive!$B$2,Flat_file!$C:$C,"Men",Flat_file!$D:$D,"15-19",Flat_file!$E:$E,"343",Flat_file!$F:$F,"I")+SUMIFS(Flat_file!$H:$H,Flat_file!$B:$B,Summary_Inactive!$B$2,Flat_file!$C:$C,"Men",Flat_file!$D:$D,"15-19",Flat_file!$E:$E,"344",Flat_file!$F:$F,"I")+SUMIFS(Flat_file!$H:$H,Flat_file!$B:$B,Summary_Inactive!$B$2,Flat_file!$C:$C,"Men",Flat_file!$D:$D,"15-19",Flat_file!$E:$E,"353",Flat_file!$F:$F,"I")+SUMIFS(Flat_file!$H:$H,Flat_file!$B:$B,Summary_Inactive!$B$2,Flat_file!$C:$C,"Men",Flat_file!$D:$D,"15-19",Flat_file!$E:$E,"354",Flat_file!$F:$F,"I")</f>
        <v>0</v>
      </c>
      <c r="I71" s="86">
        <f>SUMIFS(Flat_file!$H:$H,Flat_file!$B:$B,Summary_Inactive!$B$2,Flat_file!$C:$C,"Men",Flat_file!$D:$D,"15-19",Flat_file!$E:$E,"443",Flat_file!$F:$F,"I")+SUMIFS(Flat_file!$H:$H,Flat_file!$B:$B,Summary_Inactive!$B$2,Flat_file!$C:$C,"Men",Flat_file!$D:$D,"15-19",Flat_file!$E:$E,"444",Flat_file!$F:$F,"I")+SUMIFS(Flat_file!$H:$H,Flat_file!$B:$B,Summary_Inactive!$B$2,Flat_file!$C:$C,"Men",Flat_file!$D:$D,"15-19",Flat_file!$E:$E,"453",Flat_file!$F:$F,"I")+SUMIFS(Flat_file!$H:$H,Flat_file!$B:$B,Summary_Inactive!$B$2,Flat_file!$C:$C,"Men",Flat_file!$D:$D,"15-19",Flat_file!$E:$E,"454",Flat_file!$F:$F,"I")</f>
        <v>0</v>
      </c>
      <c r="J71" s="86">
        <f>SUMIFS(Flat_file!$H:$H,Flat_file!$B:$B,Summary_Inactive!$B$2,Flat_file!$C:$C,"Men",Flat_file!$D:$D,"15-19",Flat_file!$E:$E,"540",Flat_file!$F:$F,"I")+SUMIFS(Flat_file!$H:$H,Flat_file!$B:$B,Summary_Inactive!$B$2,Flat_file!$C:$C,"Men",Flat_file!$D:$D,"15-19",Flat_file!$E:$E,"550",Flat_file!$F:$F,"I")+SUMIFS(Flat_file!$H:$H,Flat_file!$B:$B,Summary_Inactive!$B$2,Flat_file!$C:$C,"Men",Flat_file!$D:$D,"15-19",Flat_file!$E:$E,"560",Flat_file!$F:$F,"I")</f>
        <v>0</v>
      </c>
      <c r="K71" s="86">
        <f>SUMIFS(Flat_file!$H:$H,Flat_file!$B:$B,Summary_Inactive!$B$2,Flat_file!$C:$C,"Men",Flat_file!$D:$D,"15-19",Flat_file!$E:$E,"640",Flat_file!$F:$F,"I")+SUMIFS(Flat_file!$H:$H,Flat_file!$B:$B,Summary_Inactive!$B$2,Flat_file!$C:$C,"Men",Flat_file!$D:$D,"15-19",Flat_file!$E:$E,"650",Flat_file!$F:$F,"I")+SUMIFS(Flat_file!$H:$H,Flat_file!$B:$B,Summary_Inactive!$B$2,Flat_file!$C:$C,"Men",Flat_file!$D:$D,"15-19",Flat_file!$E:$E,"660",Flat_file!$F:$F,"I")</f>
        <v>0</v>
      </c>
      <c r="L71" s="86">
        <f>SUMIFS(Flat_file!$H:$H,Flat_file!$B:$B,Summary_Inactive!$B$2,Flat_file!$C:$C,"Men",Flat_file!$D:$D,"15-19",Flat_file!$E:$E,"740",Flat_file!$F:$F,"I")+SUMIFS(Flat_file!$H:$H,Flat_file!$B:$B,Summary_Inactive!$B$2,Flat_file!$C:$C,"Men",Flat_file!$D:$D,"15-19",Flat_file!$E:$E,"750",Flat_file!$F:$F,"I")+SUMIFS(Flat_file!$H:$H,Flat_file!$B:$B,Summary_Inactive!$B$2,Flat_file!$C:$C,"Men",Flat_file!$D:$D,"15-19",Flat_file!$E:$E,"760",Flat_file!$F:$F,"I")</f>
        <v>0</v>
      </c>
      <c r="M71" s="86">
        <f>SUMIFS(Flat_file!$H:$H,Flat_file!$B:$B,Summary_Inactive!$B$2,Flat_file!$C:$C,"Men",Flat_file!$D:$D,"15-19",Flat_file!$E:$E,"840",Flat_file!$F:$F,"I")+SUMIFS(Flat_file!$H:$H,Flat_file!$B:$B,Summary_Inactive!$B$2,Flat_file!$C:$C,"Men",Flat_file!$D:$D,"15-19",Flat_file!$E:$E,"850",Flat_file!$F:$F,"I")+SUMIFS(Flat_file!$H:$H,Flat_file!$B:$B,Summary_Inactive!$B$2,Flat_file!$C:$C,"Men",Flat_file!$D:$D,"15-19",Flat_file!$E:$E,"860",Flat_file!$F:$F,"I")</f>
        <v>0</v>
      </c>
      <c r="N71" s="86">
        <f>SUMIFS(Flat_file!$H:$H,Flat_file!$B:$B,Summary_Inactive!$B$2,Flat_file!$C:$C,"Men",Flat_file!$D:$D,"15-19",Flat_file!$E:$E,"999",Flat_file!$F:$F,"I")</f>
        <v>0</v>
      </c>
      <c r="O71" s="86">
        <f>SUM(C71:M71)</f>
        <v>0</v>
      </c>
      <c r="P71" s="87"/>
      <c r="Q71" s="86">
        <f>SUM(H71:M71)</f>
        <v>0</v>
      </c>
      <c r="R71" s="88"/>
      <c r="S71" s="86">
        <f>SUM(C71:G71)</f>
        <v>0</v>
      </c>
      <c r="T71" s="86">
        <f>SUM(H71:I71)</f>
        <v>0</v>
      </c>
      <c r="U71" s="86">
        <f>SUM(J71:M71)</f>
        <v>0</v>
      </c>
      <c r="V71" s="87"/>
      <c r="W71" s="86">
        <f>SUMIFS(Flat_file!$H:$H,Flat_file!$B:$B,Summary_Inactive!$B$2,Flat_file!$C:$C,"Men",Flat_file!$D:$D,"15-19",Flat_file!$E:$E,"343",Flat_file!$F:$F,"I")+SUMIFS(Flat_file!$H:$H,Flat_file!$B:$B,Summary_Inactive!$B$2,Flat_file!$C:$C,"Men",Flat_file!$D:$D,"15-19",Flat_file!$E:$E,"344",Flat_file!$F:$F,"I")+SUMIFS(Flat_file!$H:$H,Flat_file!$B:$B,Summary_Inactive!$B$2,Flat_file!$C:$C,"Men",Flat_file!$D:$D,"15-19",Flat_file!$E:$E,"443",Flat_file!$F:$F,"I")+SUMIFS(Flat_file!$H:$H,Flat_file!$B:$B,Summary_Inactive!$B$2,Flat_file!$C:$C,"Men",Flat_file!$D:$D,"15-19",Flat_file!$E:$E,"444",Flat_file!$F:$F,"I")</f>
        <v>0</v>
      </c>
      <c r="X71" s="86">
        <f>SUMIFS(Flat_file!$H:$H,Flat_file!$B:$B,Summary_Inactive!$B$2,Flat_file!$C:$C,"Men",Flat_file!$D:$D,"15-19",Flat_file!$E:$E,"353",Flat_file!$F:$F,"I")+SUMIFS(Flat_file!$H:$H,Flat_file!$B:$B,Summary_Inactive!$B$2,Flat_file!$C:$C,"Men",Flat_file!$D:$D,"15-19",Flat_file!$E:$E,"354",Flat_file!$F:$F,"I")+SUMIFS(Flat_file!$H:$H,Flat_file!$B:$B,Summary_Inactive!$B$2,Flat_file!$C:$C,"Men",Flat_file!$D:$D,"15-19",Flat_file!$E:$E,"453",Flat_file!$F:$F,"I")+SUMIFS(Flat_file!$H:$H,Flat_file!$B:$B,Summary_Inactive!$B$2,Flat_file!$C:$C,"Men",Flat_file!$D:$D,"15-19",Flat_file!$E:$E,"454",Flat_file!$F:$F,"I")</f>
        <v>0</v>
      </c>
      <c r="Y71" s="87"/>
      <c r="Z71" s="86">
        <f>SUMIFS(Flat_file!$H:$H,Flat_file!$B:$B,Summary_Inactive!$B$2,Flat_file!$C:$C,"Men",Flat_file!$D:$D,"15-19",Flat_file!$E:$E,"640",Flat_file!$F:$F,"I")+SUMIFS(Flat_file!$H:$H,Flat_file!$B:$B,Summary_Inactive!$B$2,Flat_file!$C:$C,"Men",Flat_file!$D:$D,"15-19",Flat_file!$E:$E,"740",Flat_file!$F:$F,"I")+SUMIFS(Flat_file!$H:$H,Flat_file!$B:$B,Summary_Inactive!$B$2,Flat_file!$C:$C,"Men",Flat_file!$D:$D,"15-19",Flat_file!$E:$E,"840",Flat_file!$F:$F,"I")</f>
        <v>0</v>
      </c>
      <c r="AA71" s="86">
        <f>SUMIFS(Flat_file!$H:$H,Flat_file!$B:$B,Summary_Inactive!$B$2,Flat_file!$C:$C,"Men",Flat_file!$D:$D,"15-19",Flat_file!$E:$E,"650",Flat_file!$F:$F,"I")+SUMIFS(Flat_file!$H:$H,Flat_file!$B:$B,Summary_Inactive!$B$2,Flat_file!$C:$C,"Men",Flat_file!$D:$D,"15-19",Flat_file!$E:$E,"750",Flat_file!$F:$F,"I")+SUMIFS(Flat_file!$H:$H,Flat_file!$B:$B,Summary_Inactive!$B$2,Flat_file!$C:$C,"Men",Flat_file!$D:$D,"15-19",Flat_file!$E:$E,"850",Flat_file!$F:$F,"I")</f>
        <v>0</v>
      </c>
      <c r="AB71" s="86">
        <f>SUMIFS(Flat_file!$H:$H,Flat_file!$B:$B,Summary_Inactive!$B$2,Flat_file!$C:$C,"Men",Flat_file!$D:$D,"15-19",Flat_file!$E:$E,"660",Flat_file!$F:$F,"I")+SUMIFS(Flat_file!$H:$H,Flat_file!$B:$B,Summary_Inactive!$B$2,Flat_file!$C:$C,"Men",Flat_file!$D:$D,"15-19",Flat_file!$E:$E,"760",Flat_file!$F:$F,"I")+SUMIFS(Flat_file!$H:$H,Flat_file!$B:$B,Summary_Inactive!$B$2,Flat_file!$C:$C,"Men",Flat_file!$D:$D,"15-19",Flat_file!$E:$E,"860",Flat_file!$F:$F,"I")</f>
        <v>0</v>
      </c>
      <c r="AC71" s="3"/>
      <c r="AD71" s="3"/>
      <c r="AE71" s="3"/>
      <c r="AF71" s="3"/>
      <c r="AG71" s="3"/>
      <c r="AH71" s="3"/>
      <c r="AI71" s="3"/>
      <c r="AJ71" s="3"/>
      <c r="AK71" s="3"/>
      <c r="AL71" s="3"/>
      <c r="AM71" s="3"/>
      <c r="AN71" s="3"/>
      <c r="AO71" s="3"/>
      <c r="AP71" s="3"/>
      <c r="AQ71" s="3"/>
      <c r="AR71" s="3"/>
      <c r="AS71" s="3"/>
    </row>
    <row r="72" spans="1:45" customFormat="1" x14ac:dyDescent="0.2">
      <c r="A72" s="352"/>
      <c r="B72" s="79" t="s">
        <v>88</v>
      </c>
      <c r="C72" s="89">
        <f>SUMIFS(Flat_file!$H:$H,Flat_file!$B:$B,Summary_Inactive!$B$2,Flat_file!$C:$C,"Men",Flat_file!$D:$D,"20-24",Flat_file!$E:$E,"010",Flat_file!$F:$F,"I")+SUMIFS(Flat_file!$H:$H,Flat_file!$B:$B,Summary_Inactive!$B$2,Flat_file!$C:$C,"Men",Flat_file!$D:$D,"20-24",Flat_file!$E:$E,"020",Flat_file!$F:$F,"I")+SUMIFS(Flat_file!$H:$H,Flat_file!$B:$B,Summary_Inactive!$B$2,Flat_file!$C:$C,"Men",Flat_file!$D:$D,"20-24",Flat_file!$E:$E,"030",Flat_file!$F:$F,"I")</f>
        <v>0</v>
      </c>
      <c r="D72" s="89">
        <f>SUMIFS(Flat_file!$H:$H,Flat_file!$B:$B,Summary_Inactive!$B$2,Flat_file!$C:$C,"Men",Flat_file!$D:$D,"20-24",Flat_file!$E:$E,"100",Flat_file!$F:$F,"I")</f>
        <v>0</v>
      </c>
      <c r="E72" s="89">
        <f>SUMIFS(Flat_file!$H:$H,Flat_file!$B:$B,Summary_Inactive!$B$2,Flat_file!$C:$C,"Men",Flat_file!$D:$D,"20-24",Flat_file!$E:$E,"242",Flat_file!$F:$F,"I")+SUMIFS(Flat_file!$H:$H,Flat_file!$B:$B,Summary_Inactive!$B$2,Flat_file!$C:$C,"Men",Flat_file!$D:$D,"20-24",Flat_file!$E:$E,"252",Flat_file!$F:$F,"I")</f>
        <v>0</v>
      </c>
      <c r="F72" s="89">
        <f>SUMIFS(Flat_file!$H:$H,Flat_file!$B:$B,Summary_Inactive!$B$2,Flat_file!$C:$C,"Men",Flat_file!$D:$D,"20-24",Flat_file!$E:$E,"243",Flat_file!$F:$F,"I")+SUMIFS(Flat_file!$H:$H,Flat_file!$B:$B,Summary_Inactive!$B$2,Flat_file!$C:$C,"Men",Flat_file!$D:$D,"20-24",Flat_file!$E:$E,"244",Flat_file!$F:$F,"I")+SUMIFS(Flat_file!$H:$H,Flat_file!$B:$B,Summary_Inactive!$B$2,Flat_file!$C:$C,"Men",Flat_file!$D:$D,"20-24",Flat_file!$E:$E,"253",Flat_file!$F:$F,"I")+SUMIFS(Flat_file!$H:$H,Flat_file!$B:$B,Summary_Inactive!$B$2,Flat_file!$C:$C,"Men",Flat_file!$D:$D,"20-24",Flat_file!$E:$E,"254",Flat_file!$F:$F,"I")</f>
        <v>0</v>
      </c>
      <c r="G72" s="89">
        <f>SUMIFS(Flat_file!$H:$H,Flat_file!$B:$B,Summary_Inactive!$B$2,Flat_file!$C:$C,"Men",Flat_file!$D:$D,"20-24",Flat_file!$E:$E,"342",Flat_file!$F:$F,"I")+SUMIFS(Flat_file!$H:$H,Flat_file!$B:$B,Summary_Inactive!$B$2,Flat_file!$C:$C,"Men",Flat_file!$D:$D,"20-24",Flat_file!$E:$E,"352",Flat_file!$F:$F,"I")</f>
        <v>0</v>
      </c>
      <c r="H72" s="89">
        <f>SUMIFS(Flat_file!$H:$H,Flat_file!$B:$B,Summary_Inactive!$B$2,Flat_file!$C:$C,"Men",Flat_file!$D:$D,"20-24",Flat_file!$E:$E,"343",Flat_file!$F:$F,"I")+SUMIFS(Flat_file!$H:$H,Flat_file!$B:$B,Summary_Inactive!$B$2,Flat_file!$C:$C,"Men",Flat_file!$D:$D,"20-24",Flat_file!$E:$E,"344",Flat_file!$F:$F,"I")+SUMIFS(Flat_file!$H:$H,Flat_file!$B:$B,Summary_Inactive!$B$2,Flat_file!$C:$C,"Men",Flat_file!$D:$D,"20-24",Flat_file!$E:$E,"353",Flat_file!$F:$F,"I")+SUMIFS(Flat_file!$H:$H,Flat_file!$B:$B,Summary_Inactive!$B$2,Flat_file!$C:$C,"Men",Flat_file!$D:$D,"20-24",Flat_file!$E:$E,"354",Flat_file!$F:$F,"I")</f>
        <v>0</v>
      </c>
      <c r="I72" s="89">
        <f>SUMIFS(Flat_file!$H:$H,Flat_file!$B:$B,Summary_Inactive!$B$2,Flat_file!$C:$C,"Men",Flat_file!$D:$D,"20-24",Flat_file!$E:$E,"443",Flat_file!$F:$F,"I")+SUMIFS(Flat_file!$H:$H,Flat_file!$B:$B,Summary_Inactive!$B$2,Flat_file!$C:$C,"Men",Flat_file!$D:$D,"20-24",Flat_file!$E:$E,"444",Flat_file!$F:$F,"I")+SUMIFS(Flat_file!$H:$H,Flat_file!$B:$B,Summary_Inactive!$B$2,Flat_file!$C:$C,"Men",Flat_file!$D:$D,"20-24",Flat_file!$E:$E,"453",Flat_file!$F:$F,"I")+SUMIFS(Flat_file!$H:$H,Flat_file!$B:$B,Summary_Inactive!$B$2,Flat_file!$C:$C,"Men",Flat_file!$D:$D,"20-24",Flat_file!$E:$E,"454",Flat_file!$F:$F,"I")</f>
        <v>0</v>
      </c>
      <c r="J72" s="89">
        <f>SUMIFS(Flat_file!$H:$H,Flat_file!$B:$B,Summary_Inactive!$B$2,Flat_file!$C:$C,"Men",Flat_file!$D:$D,"20-24",Flat_file!$E:$E,"540",Flat_file!$F:$F,"I")+SUMIFS(Flat_file!$H:$H,Flat_file!$B:$B,Summary_Inactive!$B$2,Flat_file!$C:$C,"Men",Flat_file!$D:$D,"20-24",Flat_file!$E:$E,"550",Flat_file!$F:$F,"I")+SUMIFS(Flat_file!$H:$H,Flat_file!$B:$B,Summary_Inactive!$B$2,Flat_file!$C:$C,"Men",Flat_file!$D:$D,"20-24",Flat_file!$E:$E,"560",Flat_file!$F:$F,"I")</f>
        <v>0</v>
      </c>
      <c r="K72" s="89">
        <f>SUMIFS(Flat_file!$H:$H,Flat_file!$B:$B,Summary_Inactive!$B$2,Flat_file!$C:$C,"Men",Flat_file!$D:$D,"20-24",Flat_file!$E:$E,"640",Flat_file!$F:$F,"I")+SUMIFS(Flat_file!$H:$H,Flat_file!$B:$B,Summary_Inactive!$B$2,Flat_file!$C:$C,"Men",Flat_file!$D:$D,"20-24",Flat_file!$E:$E,"650",Flat_file!$F:$F,"I")+SUMIFS(Flat_file!$H:$H,Flat_file!$B:$B,Summary_Inactive!$B$2,Flat_file!$C:$C,"Men",Flat_file!$D:$D,"20-24",Flat_file!$E:$E,"660",Flat_file!$F:$F,"I")</f>
        <v>0</v>
      </c>
      <c r="L72" s="89">
        <f>SUMIFS(Flat_file!$H:$H,Flat_file!$B:$B,Summary_Inactive!$B$2,Flat_file!$C:$C,"Men",Flat_file!$D:$D,"20-24",Flat_file!$E:$E,"740",Flat_file!$F:$F,"I")+SUMIFS(Flat_file!$H:$H,Flat_file!$B:$B,Summary_Inactive!$B$2,Flat_file!$C:$C,"Men",Flat_file!$D:$D,"20-24",Flat_file!$E:$E,"750",Flat_file!$F:$F,"I")+SUMIFS(Flat_file!$H:$H,Flat_file!$B:$B,Summary_Inactive!$B$2,Flat_file!$C:$C,"Men",Flat_file!$D:$D,"20-24",Flat_file!$E:$E,"760",Flat_file!$F:$F,"I")</f>
        <v>0</v>
      </c>
      <c r="M72" s="89">
        <f>SUMIFS(Flat_file!$H:$H,Flat_file!$B:$B,Summary_Inactive!$B$2,Flat_file!$C:$C,"Men",Flat_file!$D:$D,"20-24",Flat_file!$E:$E,"840",Flat_file!$F:$F,"I")+SUMIFS(Flat_file!$H:$H,Flat_file!$B:$B,Summary_Inactive!$B$2,Flat_file!$C:$C,"Men",Flat_file!$D:$D,"20-24",Flat_file!$E:$E,"850",Flat_file!$F:$F,"I")+SUMIFS(Flat_file!$H:$H,Flat_file!$B:$B,Summary_Inactive!$B$2,Flat_file!$C:$C,"Men",Flat_file!$D:$D,"20-24",Flat_file!$E:$E,"860",Flat_file!$F:$F,"I")</f>
        <v>0</v>
      </c>
      <c r="N72" s="89">
        <f>SUMIFS(Flat_file!$H:$H,Flat_file!$B:$B,Summary_Inactive!$B$2,Flat_file!$C:$C,"Men",Flat_file!$D:$D,"20-24",Flat_file!$E:$E,"999",Flat_file!$F:$F,"I")</f>
        <v>0</v>
      </c>
      <c r="O72" s="89">
        <f t="shared" ref="O72:O83" si="49">SUM(C72:M72)</f>
        <v>0</v>
      </c>
      <c r="P72" s="90"/>
      <c r="Q72" s="89">
        <f t="shared" ref="Q72:Q83" si="50">SUM(H72:M72)</f>
        <v>0</v>
      </c>
      <c r="R72" s="91"/>
      <c r="S72" s="89">
        <f t="shared" ref="S72:S83" si="51">SUM(C72:G72)</f>
        <v>0</v>
      </c>
      <c r="T72" s="89">
        <f t="shared" ref="T72:T83" si="52">SUM(H72:I72)</f>
        <v>0</v>
      </c>
      <c r="U72" s="89">
        <f t="shared" ref="U72:U83" si="53">SUM(J72:M72)</f>
        <v>0</v>
      </c>
      <c r="V72" s="90"/>
      <c r="W72" s="89">
        <f>SUMIFS(Flat_file!$H:$H,Flat_file!$B:$B,Summary_Inactive!$B$2,Flat_file!$C:$C,"Men",Flat_file!$D:$D,"20-24",Flat_file!$E:$E,"343",Flat_file!$F:$F,"I")+SUMIFS(Flat_file!$H:$H,Flat_file!$B:$B,Summary_Inactive!$B$2,Flat_file!$C:$C,"Men",Flat_file!$D:$D,"20-24",Flat_file!$E:$E,"344",Flat_file!$F:$F,"I")+SUMIFS(Flat_file!$H:$H,Flat_file!$B:$B,Summary_Inactive!$B$2,Flat_file!$C:$C,"Men",Flat_file!$D:$D,"20-24",Flat_file!$E:$E,"443",Flat_file!$F:$F,"I")+SUMIFS(Flat_file!$H:$H,Flat_file!$B:$B,Summary_Inactive!$B$2,Flat_file!$C:$C,"Men",Flat_file!$D:$D,"20-24",Flat_file!$E:$E,"444",Flat_file!$F:$F,"I")</f>
        <v>0</v>
      </c>
      <c r="X72" s="89">
        <f>SUMIFS(Flat_file!$H:$H,Flat_file!$B:$B,Summary_Inactive!$B$2,Flat_file!$C:$C,"Men",Flat_file!$D:$D,"20-24",Flat_file!$E:$E,"353",Flat_file!$F:$F,"I")+SUMIFS(Flat_file!$H:$H,Flat_file!$B:$B,Summary_Inactive!$B$2,Flat_file!$C:$C,"Men",Flat_file!$D:$D,"20-24",Flat_file!$E:$E,"354",Flat_file!$F:$F,"I")+SUMIFS(Flat_file!$H:$H,Flat_file!$B:$B,Summary_Inactive!$B$2,Flat_file!$C:$C,"Men",Flat_file!$D:$D,"20-24",Flat_file!$E:$E,"453",Flat_file!$F:$F,"I")+SUMIFS(Flat_file!$H:$H,Flat_file!$B:$B,Summary_Inactive!$B$2,Flat_file!$C:$C,"Men",Flat_file!$D:$D,"20-24",Flat_file!$E:$E,"454",Flat_file!$F:$F,"I")</f>
        <v>0</v>
      </c>
      <c r="Y72" s="90"/>
      <c r="Z72" s="89">
        <f>SUMIFS(Flat_file!$H:$H,Flat_file!$B:$B,Summary_Inactive!$B$2,Flat_file!$C:$C,"Men",Flat_file!$D:$D,"20-24",Flat_file!$E:$E,"640",Flat_file!$F:$F,"I")+SUMIFS(Flat_file!$H:$H,Flat_file!$B:$B,Summary_Inactive!$B$2,Flat_file!$C:$C,"Men",Flat_file!$D:$D,"20-24",Flat_file!$E:$E,"740",Flat_file!$F:$F,"I")+SUMIFS(Flat_file!$H:$H,Flat_file!$B:$B,Summary_Inactive!$B$2,Flat_file!$C:$C,"Men",Flat_file!$D:$D,"20-24",Flat_file!$E:$E,"840",Flat_file!$F:$F,"I")</f>
        <v>0</v>
      </c>
      <c r="AA72" s="89">
        <f>SUMIFS(Flat_file!$H:$H,Flat_file!$B:$B,Summary_Inactive!$B$2,Flat_file!$C:$C,"Men",Flat_file!$D:$D,"20-24",Flat_file!$E:$E,"650",Flat_file!$F:$F,"I")+SUMIFS(Flat_file!$H:$H,Flat_file!$B:$B,Summary_Inactive!$B$2,Flat_file!$C:$C,"Men",Flat_file!$D:$D,"20-24",Flat_file!$E:$E,"750",Flat_file!$F:$F,"I")+SUMIFS(Flat_file!$H:$H,Flat_file!$B:$B,Summary_Inactive!$B$2,Flat_file!$C:$C,"Men",Flat_file!$D:$D,"20-24",Flat_file!$E:$E,"850",Flat_file!$F:$F,"I")</f>
        <v>0</v>
      </c>
      <c r="AB72" s="89">
        <f>SUMIFS(Flat_file!$H:$H,Flat_file!$B:$B,Summary_Inactive!$B$2,Flat_file!$C:$C,"Men",Flat_file!$D:$D,"20-24",Flat_file!$E:$E,"660",Flat_file!$F:$F,"I")+SUMIFS(Flat_file!$H:$H,Flat_file!$B:$B,Summary_Inactive!$B$2,Flat_file!$C:$C,"Men",Flat_file!$D:$D,"20-24",Flat_file!$E:$E,"760",Flat_file!$F:$F,"I")+SUMIFS(Flat_file!$H:$H,Flat_file!$B:$B,Summary_Inactive!$B$2,Flat_file!$C:$C,"Men",Flat_file!$D:$D,"20-24",Flat_file!$E:$E,"860",Flat_file!$F:$F,"I")</f>
        <v>0</v>
      </c>
      <c r="AC72" s="3"/>
      <c r="AD72" s="3"/>
      <c r="AE72" s="3"/>
      <c r="AF72" s="3"/>
      <c r="AG72" s="3"/>
      <c r="AH72" s="3"/>
      <c r="AI72" s="3"/>
      <c r="AJ72" s="3"/>
      <c r="AK72" s="3"/>
      <c r="AL72" s="3"/>
      <c r="AM72" s="3"/>
      <c r="AN72" s="3"/>
      <c r="AO72" s="3"/>
      <c r="AP72" s="3"/>
      <c r="AQ72" s="3"/>
      <c r="AR72" s="3"/>
      <c r="AS72" s="3"/>
    </row>
    <row r="73" spans="1:45" customFormat="1" x14ac:dyDescent="0.2">
      <c r="A73" s="352"/>
      <c r="B73" s="79" t="s">
        <v>89</v>
      </c>
      <c r="C73" s="89">
        <f>SUMIFS(Flat_file!$H:$H,Flat_file!$B:$B,Summary_Inactive!$B$2,Flat_file!$C:$C,"Men",Flat_file!$D:$D,"25-29",Flat_file!$E:$E,"010",Flat_file!$F:$F,"I")+SUMIFS(Flat_file!$H:$H,Flat_file!$B:$B,Summary_Inactive!$B$2,Flat_file!$C:$C,"Men",Flat_file!$D:$D,"25-29",Flat_file!$E:$E,"020",Flat_file!$F:$F,"I")+SUMIFS(Flat_file!$H:$H,Flat_file!$B:$B,Summary_Inactive!$B$2,Flat_file!$C:$C,"Men",Flat_file!$D:$D,"25-29",Flat_file!$E:$E,"030",Flat_file!$F:$F,"I")</f>
        <v>0</v>
      </c>
      <c r="D73" s="89">
        <f>SUMIFS(Flat_file!$H:$H,Flat_file!$B:$B,Summary_Inactive!$B$2,Flat_file!$C:$C,"Men",Flat_file!$D:$D,"25-29",Flat_file!$E:$E,"100",Flat_file!$F:$F,"I")</f>
        <v>0</v>
      </c>
      <c r="E73" s="89">
        <f>SUMIFS(Flat_file!$H:$H,Flat_file!$B:$B,Summary_Inactive!$B$2,Flat_file!$C:$C,"Men",Flat_file!$D:$D,"25-29",Flat_file!$E:$E,"242",Flat_file!$F:$F,"I")+SUMIFS(Flat_file!$H:$H,Flat_file!$B:$B,Summary_Inactive!$B$2,Flat_file!$C:$C,"Men",Flat_file!$D:$D,"25-29",Flat_file!$E:$E,"252",Flat_file!$F:$F,"I")</f>
        <v>0</v>
      </c>
      <c r="F73" s="89">
        <f>SUMIFS(Flat_file!$H:$H,Flat_file!$B:$B,Summary_Inactive!$B$2,Flat_file!$C:$C,"Men",Flat_file!$D:$D,"25-29",Flat_file!$E:$E,"243",Flat_file!$F:$F,"I")+SUMIFS(Flat_file!$H:$H,Flat_file!$B:$B,Summary_Inactive!$B$2,Flat_file!$C:$C,"Men",Flat_file!$D:$D,"25-29",Flat_file!$E:$E,"244",Flat_file!$F:$F,"I")+SUMIFS(Flat_file!$H:$H,Flat_file!$B:$B,Summary_Inactive!$B$2,Flat_file!$C:$C,"Men",Flat_file!$D:$D,"25-29",Flat_file!$E:$E,"253",Flat_file!$F:$F,"I")+SUMIFS(Flat_file!$H:$H,Flat_file!$B:$B,Summary_Inactive!$B$2,Flat_file!$C:$C,"Men",Flat_file!$D:$D,"25-29",Flat_file!$E:$E,"254",Flat_file!$F:$F,"I")</f>
        <v>0</v>
      </c>
      <c r="G73" s="89">
        <f>SUMIFS(Flat_file!$H:$H,Flat_file!$B:$B,Summary_Inactive!$B$2,Flat_file!$C:$C,"Men",Flat_file!$D:$D,"25-29",Flat_file!$E:$E,"342",Flat_file!$F:$F,"I")+SUMIFS(Flat_file!$H:$H,Flat_file!$B:$B,Summary_Inactive!$B$2,Flat_file!$C:$C,"Men",Flat_file!$D:$D,"25-29",Flat_file!$E:$E,"352",Flat_file!$F:$F,"I")</f>
        <v>0</v>
      </c>
      <c r="H73" s="89">
        <f>SUMIFS(Flat_file!$H:$H,Flat_file!$B:$B,Summary_Inactive!$B$2,Flat_file!$C:$C,"Men",Flat_file!$D:$D,"25-29",Flat_file!$E:$E,"343",Flat_file!$F:$F,"I")+SUMIFS(Flat_file!$H:$H,Flat_file!$B:$B,Summary_Inactive!$B$2,Flat_file!$C:$C,"Men",Flat_file!$D:$D,"25-29",Flat_file!$E:$E,"344",Flat_file!$F:$F,"I")+SUMIFS(Flat_file!$H:$H,Flat_file!$B:$B,Summary_Inactive!$B$2,Flat_file!$C:$C,"Men",Flat_file!$D:$D,"25-29",Flat_file!$E:$E,"353",Flat_file!$F:$F,"I")+SUMIFS(Flat_file!$H:$H,Flat_file!$B:$B,Summary_Inactive!$B$2,Flat_file!$C:$C,"Men",Flat_file!$D:$D,"25-29",Flat_file!$E:$E,"354",Flat_file!$F:$F,"I")</f>
        <v>0</v>
      </c>
      <c r="I73" s="89">
        <f>SUMIFS(Flat_file!$H:$H,Flat_file!$B:$B,Summary_Inactive!$B$2,Flat_file!$C:$C,"Men",Flat_file!$D:$D,"25-29",Flat_file!$E:$E,"443",Flat_file!$F:$F,"I")+SUMIFS(Flat_file!$H:$H,Flat_file!$B:$B,Summary_Inactive!$B$2,Flat_file!$C:$C,"Men",Flat_file!$D:$D,"25-29",Flat_file!$E:$E,"444",Flat_file!$F:$F,"I")+SUMIFS(Flat_file!$H:$H,Flat_file!$B:$B,Summary_Inactive!$B$2,Flat_file!$C:$C,"Men",Flat_file!$D:$D,"25-29",Flat_file!$E:$E,"453",Flat_file!$F:$F,"I")+SUMIFS(Flat_file!$H:$H,Flat_file!$B:$B,Summary_Inactive!$B$2,Flat_file!$C:$C,"Men",Flat_file!$D:$D,"25-29",Flat_file!$E:$E,"454",Flat_file!$F:$F,"I")</f>
        <v>0</v>
      </c>
      <c r="J73" s="89">
        <f>SUMIFS(Flat_file!$H:$H,Flat_file!$B:$B,Summary_Inactive!$B$2,Flat_file!$C:$C,"Men",Flat_file!$D:$D,"25-29",Flat_file!$E:$E,"540",Flat_file!$F:$F,"I")+SUMIFS(Flat_file!$H:$H,Flat_file!$B:$B,Summary_Inactive!$B$2,Flat_file!$C:$C,"Men",Flat_file!$D:$D,"25-29",Flat_file!$E:$E,"550",Flat_file!$F:$F,"I")+SUMIFS(Flat_file!$H:$H,Flat_file!$B:$B,Summary_Inactive!$B$2,Flat_file!$C:$C,"Men",Flat_file!$D:$D,"25-29",Flat_file!$E:$E,"560",Flat_file!$F:$F,"I")</f>
        <v>0</v>
      </c>
      <c r="K73" s="89">
        <f>SUMIFS(Flat_file!$H:$H,Flat_file!$B:$B,Summary_Inactive!$B$2,Flat_file!$C:$C,"Men",Flat_file!$D:$D,"25-29",Flat_file!$E:$E,"640",Flat_file!$F:$F,"I")+SUMIFS(Flat_file!$H:$H,Flat_file!$B:$B,Summary_Inactive!$B$2,Flat_file!$C:$C,"Men",Flat_file!$D:$D,"25-29",Flat_file!$E:$E,"650",Flat_file!$F:$F,"I")+SUMIFS(Flat_file!$H:$H,Flat_file!$B:$B,Summary_Inactive!$B$2,Flat_file!$C:$C,"Men",Flat_file!$D:$D,"25-29",Flat_file!$E:$E,"660",Flat_file!$F:$F,"I")</f>
        <v>0</v>
      </c>
      <c r="L73" s="89">
        <f>SUMIFS(Flat_file!$H:$H,Flat_file!$B:$B,Summary_Inactive!$B$2,Flat_file!$C:$C,"Men",Flat_file!$D:$D,"25-29",Flat_file!$E:$E,"740",Flat_file!$F:$F,"I")+SUMIFS(Flat_file!$H:$H,Flat_file!$B:$B,Summary_Inactive!$B$2,Flat_file!$C:$C,"Men",Flat_file!$D:$D,"25-29",Flat_file!$E:$E,"750",Flat_file!$F:$F,"I")+SUMIFS(Flat_file!$H:$H,Flat_file!$B:$B,Summary_Inactive!$B$2,Flat_file!$C:$C,"Men",Flat_file!$D:$D,"25-29",Flat_file!$E:$E,"760",Flat_file!$F:$F,"I")</f>
        <v>0</v>
      </c>
      <c r="M73" s="89">
        <f>SUMIFS(Flat_file!$H:$H,Flat_file!$B:$B,Summary_Inactive!$B$2,Flat_file!$C:$C,"Men",Flat_file!$D:$D,"25-29",Flat_file!$E:$E,"840",Flat_file!$F:$F,"I")+SUMIFS(Flat_file!$H:$H,Flat_file!$B:$B,Summary_Inactive!$B$2,Flat_file!$C:$C,"Men",Flat_file!$D:$D,"25-29",Flat_file!$E:$E,"850",Flat_file!$F:$F,"I")+SUMIFS(Flat_file!$H:$H,Flat_file!$B:$B,Summary_Inactive!$B$2,Flat_file!$C:$C,"Men",Flat_file!$D:$D,"25-29",Flat_file!$E:$E,"860",Flat_file!$F:$F,"I")</f>
        <v>0</v>
      </c>
      <c r="N73" s="89">
        <f>SUMIFS(Flat_file!$H:$H,Flat_file!$B:$B,Summary_Inactive!$B$2,Flat_file!$C:$C,"Men",Flat_file!$D:$D,"25-29",Flat_file!$E:$E,"999",Flat_file!$F:$F,"I")</f>
        <v>0</v>
      </c>
      <c r="O73" s="89">
        <f t="shared" si="49"/>
        <v>0</v>
      </c>
      <c r="P73" s="90"/>
      <c r="Q73" s="89">
        <f t="shared" si="50"/>
        <v>0</v>
      </c>
      <c r="R73" s="91"/>
      <c r="S73" s="89">
        <f t="shared" si="51"/>
        <v>0</v>
      </c>
      <c r="T73" s="89">
        <f t="shared" si="52"/>
        <v>0</v>
      </c>
      <c r="U73" s="89">
        <f t="shared" si="53"/>
        <v>0</v>
      </c>
      <c r="V73" s="90"/>
      <c r="W73" s="89">
        <f>SUMIFS(Flat_file!$H:$H,Flat_file!$B:$B,Summary_Inactive!$B$2,Flat_file!$C:$C,"Men",Flat_file!$D:$D,"25-29",Flat_file!$E:$E,"343",Flat_file!$F:$F,"I")+SUMIFS(Flat_file!$H:$H,Flat_file!$B:$B,Summary_Inactive!$B$2,Flat_file!$C:$C,"Men",Flat_file!$D:$D,"25-29",Flat_file!$E:$E,"344",Flat_file!$F:$F,"I")+SUMIFS(Flat_file!$H:$H,Flat_file!$B:$B,Summary_Inactive!$B$2,Flat_file!$C:$C,"Men",Flat_file!$D:$D,"25-29",Flat_file!$E:$E,"443",Flat_file!$F:$F,"I")+SUMIFS(Flat_file!$H:$H,Flat_file!$B:$B,Summary_Inactive!$B$2,Flat_file!$C:$C,"Men",Flat_file!$D:$D,"25-29",Flat_file!$E:$E,"444",Flat_file!$F:$F,"I")</f>
        <v>0</v>
      </c>
      <c r="X73" s="89">
        <f>SUMIFS(Flat_file!$H:$H,Flat_file!$B:$B,Summary_Inactive!$B$2,Flat_file!$C:$C,"Men",Flat_file!$D:$D,"25-29",Flat_file!$E:$E,"353",Flat_file!$F:$F,"I")+SUMIFS(Flat_file!$H:$H,Flat_file!$B:$B,Summary_Inactive!$B$2,Flat_file!$C:$C,"Men",Flat_file!$D:$D,"25-29",Flat_file!$E:$E,"354",Flat_file!$F:$F,"I")+SUMIFS(Flat_file!$H:$H,Flat_file!$B:$B,Summary_Inactive!$B$2,Flat_file!$C:$C,"Men",Flat_file!$D:$D,"25-29",Flat_file!$E:$E,"453",Flat_file!$F:$F,"I")+SUMIFS(Flat_file!$H:$H,Flat_file!$B:$B,Summary_Inactive!$B$2,Flat_file!$C:$C,"Men",Flat_file!$D:$D,"25-29",Flat_file!$E:$E,"454",Flat_file!$F:$F,"I")</f>
        <v>0</v>
      </c>
      <c r="Y73" s="90"/>
      <c r="Z73" s="89">
        <f>SUMIFS(Flat_file!$H:$H,Flat_file!$B:$B,Summary_Inactive!$B$2,Flat_file!$C:$C,"Men",Flat_file!$D:$D,"25-29",Flat_file!$E:$E,"640",Flat_file!$F:$F,"I")+SUMIFS(Flat_file!$H:$H,Flat_file!$B:$B,Summary_Inactive!$B$2,Flat_file!$C:$C,"Men",Flat_file!$D:$D,"25-29",Flat_file!$E:$E,"740",Flat_file!$F:$F,"I")+SUMIFS(Flat_file!$H:$H,Flat_file!$B:$B,Summary_Inactive!$B$2,Flat_file!$C:$C,"Men",Flat_file!$D:$D,"25-29",Flat_file!$E:$E,"840",Flat_file!$F:$F,"I")</f>
        <v>0</v>
      </c>
      <c r="AA73" s="89">
        <f>SUMIFS(Flat_file!$H:$H,Flat_file!$B:$B,Summary_Inactive!$B$2,Flat_file!$C:$C,"Men",Flat_file!$D:$D,"25-29",Flat_file!$E:$E,"650",Flat_file!$F:$F,"I")+SUMIFS(Flat_file!$H:$H,Flat_file!$B:$B,Summary_Inactive!$B$2,Flat_file!$C:$C,"Men",Flat_file!$D:$D,"25-29",Flat_file!$E:$E,"750",Flat_file!$F:$F,"I")+SUMIFS(Flat_file!$H:$H,Flat_file!$B:$B,Summary_Inactive!$B$2,Flat_file!$C:$C,"Men",Flat_file!$D:$D,"25-29",Flat_file!$E:$E,"850",Flat_file!$F:$F,"I")</f>
        <v>0</v>
      </c>
      <c r="AB73" s="89">
        <f>SUMIFS(Flat_file!$H:$H,Flat_file!$B:$B,Summary_Inactive!$B$2,Flat_file!$C:$C,"Men",Flat_file!$D:$D,"25-29",Flat_file!$E:$E,"660",Flat_file!$F:$F,"I")+SUMIFS(Flat_file!$H:$H,Flat_file!$B:$B,Summary_Inactive!$B$2,Flat_file!$C:$C,"Men",Flat_file!$D:$D,"25-29",Flat_file!$E:$E,"760",Flat_file!$F:$F,"I")+SUMIFS(Flat_file!$H:$H,Flat_file!$B:$B,Summary_Inactive!$B$2,Flat_file!$C:$C,"Men",Flat_file!$D:$D,"25-29",Flat_file!$E:$E,"860",Flat_file!$F:$F,"I")</f>
        <v>0</v>
      </c>
      <c r="AC73" s="3"/>
      <c r="AD73" s="3"/>
      <c r="AE73" s="3"/>
      <c r="AF73" s="3"/>
      <c r="AG73" s="3"/>
      <c r="AH73" s="3"/>
      <c r="AI73" s="3"/>
      <c r="AJ73" s="3"/>
      <c r="AK73" s="3"/>
      <c r="AL73" s="3"/>
      <c r="AM73" s="3"/>
      <c r="AN73" s="3"/>
      <c r="AO73" s="3"/>
      <c r="AP73" s="3"/>
      <c r="AQ73" s="3"/>
      <c r="AR73" s="3"/>
      <c r="AS73" s="3"/>
    </row>
    <row r="74" spans="1:45" customFormat="1" x14ac:dyDescent="0.2">
      <c r="A74" s="352"/>
      <c r="B74" s="79" t="s">
        <v>90</v>
      </c>
      <c r="C74" s="89">
        <f>SUMIFS(Flat_file!$H:$H,Flat_file!$B:$B,Summary_Inactive!$B$2,Flat_file!$C:$C,"Men",Flat_file!$D:$D,"30-34",Flat_file!$E:$E,"010",Flat_file!$F:$F,"I")+SUMIFS(Flat_file!$H:$H,Flat_file!$B:$B,Summary_Inactive!$B$2,Flat_file!$C:$C,"Men",Flat_file!$D:$D,"30-34",Flat_file!$E:$E,"020",Flat_file!$F:$F,"I")+SUMIFS(Flat_file!$H:$H,Flat_file!$B:$B,Summary_Inactive!$B$2,Flat_file!$C:$C,"Men",Flat_file!$D:$D,"30-34",Flat_file!$E:$E,"030",Flat_file!$F:$F,"I")</f>
        <v>0</v>
      </c>
      <c r="D74" s="89">
        <f>SUMIFS(Flat_file!$H:$H,Flat_file!$B:$B,Summary_Inactive!$B$2,Flat_file!$C:$C,"Men",Flat_file!$D:$D,"30-34",Flat_file!$E:$E,"100",Flat_file!$F:$F,"I")</f>
        <v>0</v>
      </c>
      <c r="E74" s="89">
        <f>SUMIFS(Flat_file!$H:$H,Flat_file!$B:$B,Summary_Inactive!$B$2,Flat_file!$C:$C,"Men",Flat_file!$D:$D,"30-34",Flat_file!$E:$E,"242",Flat_file!$F:$F,"I")+SUMIFS(Flat_file!$H:$H,Flat_file!$B:$B,Summary_Inactive!$B$2,Flat_file!$C:$C,"Men",Flat_file!$D:$D,"30-34",Flat_file!$E:$E,"252",Flat_file!$F:$F,"I")</f>
        <v>0</v>
      </c>
      <c r="F74" s="89">
        <f>SUMIFS(Flat_file!$H:$H,Flat_file!$B:$B,Summary_Inactive!$B$2,Flat_file!$C:$C,"Men",Flat_file!$D:$D,"30-34",Flat_file!$E:$E,"243",Flat_file!$F:$F,"I")+SUMIFS(Flat_file!$H:$H,Flat_file!$B:$B,Summary_Inactive!$B$2,Flat_file!$C:$C,"Men",Flat_file!$D:$D,"30-34",Flat_file!$E:$E,"244",Flat_file!$F:$F,"I")+SUMIFS(Flat_file!$H:$H,Flat_file!$B:$B,Summary_Inactive!$B$2,Flat_file!$C:$C,"Men",Flat_file!$D:$D,"30-34",Flat_file!$E:$E,"253",Flat_file!$F:$F,"I")+SUMIFS(Flat_file!$H:$H,Flat_file!$B:$B,Summary_Inactive!$B$2,Flat_file!$C:$C,"Men",Flat_file!$D:$D,"30-34",Flat_file!$E:$E,"254",Flat_file!$F:$F,"I")</f>
        <v>0</v>
      </c>
      <c r="G74" s="89">
        <f>SUMIFS(Flat_file!$H:$H,Flat_file!$B:$B,Summary_Inactive!$B$2,Flat_file!$C:$C,"Men",Flat_file!$D:$D,"30-34",Flat_file!$E:$E,"342",Flat_file!$F:$F,"I")+SUMIFS(Flat_file!$H:$H,Flat_file!$B:$B,Summary_Inactive!$B$2,Flat_file!$C:$C,"Men",Flat_file!$D:$D,"30-34",Flat_file!$E:$E,"352",Flat_file!$F:$F,"I")</f>
        <v>0</v>
      </c>
      <c r="H74" s="89">
        <f>SUMIFS(Flat_file!$H:$H,Flat_file!$B:$B,Summary_Inactive!$B$2,Flat_file!$C:$C,"Men",Flat_file!$D:$D,"30-34",Flat_file!$E:$E,"343",Flat_file!$F:$F,"I")+SUMIFS(Flat_file!$H:$H,Flat_file!$B:$B,Summary_Inactive!$B$2,Flat_file!$C:$C,"Men",Flat_file!$D:$D,"30-34",Flat_file!$E:$E,"344",Flat_file!$F:$F,"I")+SUMIFS(Flat_file!$H:$H,Flat_file!$B:$B,Summary_Inactive!$B$2,Flat_file!$C:$C,"Men",Flat_file!$D:$D,"30-34",Flat_file!$E:$E,"353",Flat_file!$F:$F,"I")+SUMIFS(Flat_file!$H:$H,Flat_file!$B:$B,Summary_Inactive!$B$2,Flat_file!$C:$C,"Men",Flat_file!$D:$D,"30-34",Flat_file!$E:$E,"354",Flat_file!$F:$F,"I")</f>
        <v>0</v>
      </c>
      <c r="I74" s="89">
        <f>SUMIFS(Flat_file!$H:$H,Flat_file!$B:$B,Summary_Inactive!$B$2,Flat_file!$C:$C,"Men",Flat_file!$D:$D,"30-34",Flat_file!$E:$E,"443",Flat_file!$F:$F,"I")+SUMIFS(Flat_file!$H:$H,Flat_file!$B:$B,Summary_Inactive!$B$2,Flat_file!$C:$C,"Men",Flat_file!$D:$D,"30-34",Flat_file!$E:$E,"444",Flat_file!$F:$F,"I")+SUMIFS(Flat_file!$H:$H,Flat_file!$B:$B,Summary_Inactive!$B$2,Flat_file!$C:$C,"Men",Flat_file!$D:$D,"30-34",Flat_file!$E:$E,"453",Flat_file!$F:$F,"I")+SUMIFS(Flat_file!$H:$H,Flat_file!$B:$B,Summary_Inactive!$B$2,Flat_file!$C:$C,"Men",Flat_file!$D:$D,"30-34",Flat_file!$E:$E,"454",Flat_file!$F:$F,"I")</f>
        <v>0</v>
      </c>
      <c r="J74" s="89">
        <f>SUMIFS(Flat_file!$H:$H,Flat_file!$B:$B,Summary_Inactive!$B$2,Flat_file!$C:$C,"Men",Flat_file!$D:$D,"30-34",Flat_file!$E:$E,"540",Flat_file!$F:$F,"I")+SUMIFS(Flat_file!$H:$H,Flat_file!$B:$B,Summary_Inactive!$B$2,Flat_file!$C:$C,"Men",Flat_file!$D:$D,"30-34",Flat_file!$E:$E,"550",Flat_file!$F:$F,"I")+SUMIFS(Flat_file!$H:$H,Flat_file!$B:$B,Summary_Inactive!$B$2,Flat_file!$C:$C,"Men",Flat_file!$D:$D,"30-34",Flat_file!$E:$E,"560",Flat_file!$F:$F,"I")</f>
        <v>0</v>
      </c>
      <c r="K74" s="89">
        <f>SUMIFS(Flat_file!$H:$H,Flat_file!$B:$B,Summary_Inactive!$B$2,Flat_file!$C:$C,"Men",Flat_file!$D:$D,"30-34",Flat_file!$E:$E,"640",Flat_file!$F:$F,"I")+SUMIFS(Flat_file!$H:$H,Flat_file!$B:$B,Summary_Inactive!$B$2,Flat_file!$C:$C,"Men",Flat_file!$D:$D,"30-34",Flat_file!$E:$E,"650",Flat_file!$F:$F,"I")+SUMIFS(Flat_file!$H:$H,Flat_file!$B:$B,Summary_Inactive!$B$2,Flat_file!$C:$C,"Men",Flat_file!$D:$D,"30-34",Flat_file!$E:$E,"660",Flat_file!$F:$F,"I")</f>
        <v>0</v>
      </c>
      <c r="L74" s="89">
        <f>SUMIFS(Flat_file!$H:$H,Flat_file!$B:$B,Summary_Inactive!$B$2,Flat_file!$C:$C,"Men",Flat_file!$D:$D,"30-34",Flat_file!$E:$E,"740",Flat_file!$F:$F,"I")+SUMIFS(Flat_file!$H:$H,Flat_file!$B:$B,Summary_Inactive!$B$2,Flat_file!$C:$C,"Men",Flat_file!$D:$D,"30-34",Flat_file!$E:$E,"750",Flat_file!$F:$F,"I")+SUMIFS(Flat_file!$H:$H,Flat_file!$B:$B,Summary_Inactive!$B$2,Flat_file!$C:$C,"Men",Flat_file!$D:$D,"30-34",Flat_file!$E:$E,"760",Flat_file!$F:$F,"I")</f>
        <v>0</v>
      </c>
      <c r="M74" s="89">
        <f>SUMIFS(Flat_file!$H:$H,Flat_file!$B:$B,Summary_Inactive!$B$2,Flat_file!$C:$C,"Men",Flat_file!$D:$D,"30-34",Flat_file!$E:$E,"840",Flat_file!$F:$F,"I")+SUMIFS(Flat_file!$H:$H,Flat_file!$B:$B,Summary_Inactive!$B$2,Flat_file!$C:$C,"Men",Flat_file!$D:$D,"30-34",Flat_file!$E:$E,"850",Flat_file!$F:$F,"I")+SUMIFS(Flat_file!$H:$H,Flat_file!$B:$B,Summary_Inactive!$B$2,Flat_file!$C:$C,"Men",Flat_file!$D:$D,"30-34",Flat_file!$E:$E,"860",Flat_file!$F:$F,"I")</f>
        <v>0</v>
      </c>
      <c r="N74" s="89">
        <f>SUMIFS(Flat_file!$H:$H,Flat_file!$B:$B,Summary_Inactive!$B$2,Flat_file!$C:$C,"Men",Flat_file!$D:$D,"30-34",Flat_file!$E:$E,"999",Flat_file!$F:$F,"I")</f>
        <v>0</v>
      </c>
      <c r="O74" s="89">
        <f t="shared" si="49"/>
        <v>0</v>
      </c>
      <c r="P74" s="90"/>
      <c r="Q74" s="89">
        <f t="shared" si="50"/>
        <v>0</v>
      </c>
      <c r="R74" s="91"/>
      <c r="S74" s="89">
        <f t="shared" si="51"/>
        <v>0</v>
      </c>
      <c r="T74" s="89">
        <f t="shared" si="52"/>
        <v>0</v>
      </c>
      <c r="U74" s="89">
        <f t="shared" si="53"/>
        <v>0</v>
      </c>
      <c r="V74" s="90"/>
      <c r="W74" s="89">
        <f>SUMIFS(Flat_file!$H:$H,Flat_file!$B:$B,Summary_Inactive!$B$2,Flat_file!$C:$C,"Men",Flat_file!$D:$D,"30-34",Flat_file!$E:$E,"343",Flat_file!$F:$F,"I")+SUMIFS(Flat_file!$H:$H,Flat_file!$B:$B,Summary_Inactive!$B$2,Flat_file!$C:$C,"Men",Flat_file!$D:$D,"30-34",Flat_file!$E:$E,"344",Flat_file!$F:$F,"I")+SUMIFS(Flat_file!$H:$H,Flat_file!$B:$B,Summary_Inactive!$B$2,Flat_file!$C:$C,"Men",Flat_file!$D:$D,"30-34",Flat_file!$E:$E,"443",Flat_file!$F:$F,"I")+SUMIFS(Flat_file!$H:$H,Flat_file!$B:$B,Summary_Inactive!$B$2,Flat_file!$C:$C,"Men",Flat_file!$D:$D,"30-34",Flat_file!$E:$E,"444",Flat_file!$F:$F,"I")</f>
        <v>0</v>
      </c>
      <c r="X74" s="89">
        <f>SUMIFS(Flat_file!$H:$H,Flat_file!$B:$B,Summary_Inactive!$B$2,Flat_file!$C:$C,"Men",Flat_file!$D:$D,"30-34",Flat_file!$E:$E,"353",Flat_file!$F:$F,"I")+SUMIFS(Flat_file!$H:$H,Flat_file!$B:$B,Summary_Inactive!$B$2,Flat_file!$C:$C,"Men",Flat_file!$D:$D,"30-34",Flat_file!$E:$E,"354",Flat_file!$F:$F,"I")+SUMIFS(Flat_file!$H:$H,Flat_file!$B:$B,Summary_Inactive!$B$2,Flat_file!$C:$C,"Men",Flat_file!$D:$D,"30-34",Flat_file!$E:$E,"453",Flat_file!$F:$F,"I")+SUMIFS(Flat_file!$H:$H,Flat_file!$B:$B,Summary_Inactive!$B$2,Flat_file!$C:$C,"Men",Flat_file!$D:$D,"30-34",Flat_file!$E:$E,"454",Flat_file!$F:$F,"I")</f>
        <v>0</v>
      </c>
      <c r="Y74" s="90"/>
      <c r="Z74" s="89">
        <f>SUMIFS(Flat_file!$H:$H,Flat_file!$B:$B,Summary_Inactive!$B$2,Flat_file!$C:$C,"Men",Flat_file!$D:$D,"30-34",Flat_file!$E:$E,"640",Flat_file!$F:$F,"I")+SUMIFS(Flat_file!$H:$H,Flat_file!$B:$B,Summary_Inactive!$B$2,Flat_file!$C:$C,"Men",Flat_file!$D:$D,"30-34",Flat_file!$E:$E,"740",Flat_file!$F:$F,"I")+SUMIFS(Flat_file!$H:$H,Flat_file!$B:$B,Summary_Inactive!$B$2,Flat_file!$C:$C,"Men",Flat_file!$D:$D,"30-34",Flat_file!$E:$E,"840",Flat_file!$F:$F,"I")</f>
        <v>0</v>
      </c>
      <c r="AA74" s="89">
        <f>SUMIFS(Flat_file!$H:$H,Flat_file!$B:$B,Summary_Inactive!$B$2,Flat_file!$C:$C,"Men",Flat_file!$D:$D,"30-34",Flat_file!$E:$E,"650",Flat_file!$F:$F,"I")+SUMIFS(Flat_file!$H:$H,Flat_file!$B:$B,Summary_Inactive!$B$2,Flat_file!$C:$C,"Men",Flat_file!$D:$D,"30-34",Flat_file!$E:$E,"750",Flat_file!$F:$F,"I")+SUMIFS(Flat_file!$H:$H,Flat_file!$B:$B,Summary_Inactive!$B$2,Flat_file!$C:$C,"Men",Flat_file!$D:$D,"30-34",Flat_file!$E:$E,"850",Flat_file!$F:$F,"I")</f>
        <v>0</v>
      </c>
      <c r="AB74" s="89">
        <f>SUMIFS(Flat_file!$H:$H,Flat_file!$B:$B,Summary_Inactive!$B$2,Flat_file!$C:$C,"Men",Flat_file!$D:$D,"30-34",Flat_file!$E:$E,"660",Flat_file!$F:$F,"I")+SUMIFS(Flat_file!$H:$H,Flat_file!$B:$B,Summary_Inactive!$B$2,Flat_file!$C:$C,"Men",Flat_file!$D:$D,"30-34",Flat_file!$E:$E,"760",Flat_file!$F:$F,"I")+SUMIFS(Flat_file!$H:$H,Flat_file!$B:$B,Summary_Inactive!$B$2,Flat_file!$C:$C,"Men",Flat_file!$D:$D,"30-34",Flat_file!$E:$E,"860",Flat_file!$F:$F,"I")</f>
        <v>0</v>
      </c>
      <c r="AC74" s="3"/>
      <c r="AD74" s="3"/>
      <c r="AE74" s="3"/>
      <c r="AF74" s="3"/>
      <c r="AG74" s="3"/>
      <c r="AH74" s="3"/>
      <c r="AI74" s="3"/>
      <c r="AJ74" s="3"/>
      <c r="AK74" s="3"/>
      <c r="AL74" s="3"/>
      <c r="AM74" s="3"/>
      <c r="AN74" s="3"/>
      <c r="AO74" s="3"/>
      <c r="AP74" s="3"/>
      <c r="AQ74" s="3"/>
      <c r="AR74" s="3"/>
      <c r="AS74" s="3"/>
    </row>
    <row r="75" spans="1:45" customFormat="1" x14ac:dyDescent="0.2">
      <c r="A75" s="352"/>
      <c r="B75" s="79" t="s">
        <v>91</v>
      </c>
      <c r="C75" s="89">
        <f>SUMIFS(Flat_file!$H:$H,Flat_file!$B:$B,Summary_Inactive!$B$2,Flat_file!$C:$C,"Men",Flat_file!$D:$D,"35-39",Flat_file!$E:$E,"010",Flat_file!$F:$F,"I")+SUMIFS(Flat_file!$H:$H,Flat_file!$B:$B,Summary_Inactive!$B$2,Flat_file!$C:$C,"Men",Flat_file!$D:$D,"35-39",Flat_file!$E:$E,"020",Flat_file!$F:$F,"I")+SUMIFS(Flat_file!$H:$H,Flat_file!$B:$B,Summary_Inactive!$B$2,Flat_file!$C:$C,"Men",Flat_file!$D:$D,"35-39",Flat_file!$E:$E,"030",Flat_file!$F:$F,"I")</f>
        <v>0</v>
      </c>
      <c r="D75" s="89">
        <f>SUMIFS(Flat_file!$H:$H,Flat_file!$B:$B,Summary_Inactive!$B$2,Flat_file!$C:$C,"Men",Flat_file!$D:$D,"35-39",Flat_file!$E:$E,"100",Flat_file!$F:$F,"I")</f>
        <v>0</v>
      </c>
      <c r="E75" s="89">
        <f>SUMIFS(Flat_file!$H:$H,Flat_file!$B:$B,Summary_Inactive!$B$2,Flat_file!$C:$C,"Men",Flat_file!$D:$D,"35-39",Flat_file!$E:$E,"242",Flat_file!$F:$F,"I")+SUMIFS(Flat_file!$H:$H,Flat_file!$B:$B,Summary_Inactive!$B$2,Flat_file!$C:$C,"Men",Flat_file!$D:$D,"35-39",Flat_file!$E:$E,"252",Flat_file!$F:$F,"I")</f>
        <v>0</v>
      </c>
      <c r="F75" s="89">
        <f>SUMIFS(Flat_file!$H:$H,Flat_file!$B:$B,Summary_Inactive!$B$2,Flat_file!$C:$C,"Men",Flat_file!$D:$D,"35-39",Flat_file!$E:$E,"243",Flat_file!$F:$F,"I")+SUMIFS(Flat_file!$H:$H,Flat_file!$B:$B,Summary_Inactive!$B$2,Flat_file!$C:$C,"Men",Flat_file!$D:$D,"35-39",Flat_file!$E:$E,"244",Flat_file!$F:$F,"I")+SUMIFS(Flat_file!$H:$H,Flat_file!$B:$B,Summary_Inactive!$B$2,Flat_file!$C:$C,"Men",Flat_file!$D:$D,"35-39",Flat_file!$E:$E,"253",Flat_file!$F:$F,"I")+SUMIFS(Flat_file!$H:$H,Flat_file!$B:$B,Summary_Inactive!$B$2,Flat_file!$C:$C,"Men",Flat_file!$D:$D,"35-39",Flat_file!$E:$E,"254",Flat_file!$F:$F,"I")</f>
        <v>0</v>
      </c>
      <c r="G75" s="89">
        <f>SUMIFS(Flat_file!$H:$H,Flat_file!$B:$B,Summary_Inactive!$B$2,Flat_file!$C:$C,"Men",Flat_file!$D:$D,"35-39",Flat_file!$E:$E,"342",Flat_file!$F:$F,"I")+SUMIFS(Flat_file!$H:$H,Flat_file!$B:$B,Summary_Inactive!$B$2,Flat_file!$C:$C,"Men",Flat_file!$D:$D,"35-39",Flat_file!$E:$E,"352",Flat_file!$F:$F,"I")</f>
        <v>0</v>
      </c>
      <c r="H75" s="89">
        <f>SUMIFS(Flat_file!$H:$H,Flat_file!$B:$B,Summary_Inactive!$B$2,Flat_file!$C:$C,"Men",Flat_file!$D:$D,"35-39",Flat_file!$E:$E,"343",Flat_file!$F:$F,"I")+SUMIFS(Flat_file!$H:$H,Flat_file!$B:$B,Summary_Inactive!$B$2,Flat_file!$C:$C,"Men",Flat_file!$D:$D,"35-39",Flat_file!$E:$E,"344",Flat_file!$F:$F,"I")+SUMIFS(Flat_file!$H:$H,Flat_file!$B:$B,Summary_Inactive!$B$2,Flat_file!$C:$C,"Men",Flat_file!$D:$D,"35-39",Flat_file!$E:$E,"353",Flat_file!$F:$F,"I")+SUMIFS(Flat_file!$H:$H,Flat_file!$B:$B,Summary_Inactive!$B$2,Flat_file!$C:$C,"Men",Flat_file!$D:$D,"35-39",Flat_file!$E:$E,"354",Flat_file!$F:$F,"I")</f>
        <v>0</v>
      </c>
      <c r="I75" s="89">
        <f>SUMIFS(Flat_file!$H:$H,Flat_file!$B:$B,Summary_Inactive!$B$2,Flat_file!$C:$C,"Men",Flat_file!$D:$D,"35-39",Flat_file!$E:$E,"443",Flat_file!$F:$F,"I")+SUMIFS(Flat_file!$H:$H,Flat_file!$B:$B,Summary_Inactive!$B$2,Flat_file!$C:$C,"Men",Flat_file!$D:$D,"35-39",Flat_file!$E:$E,"444",Flat_file!$F:$F,"I")+SUMIFS(Flat_file!$H:$H,Flat_file!$B:$B,Summary_Inactive!$B$2,Flat_file!$C:$C,"Men",Flat_file!$D:$D,"35-39",Flat_file!$E:$E,"453",Flat_file!$F:$F,"I")+SUMIFS(Flat_file!$H:$H,Flat_file!$B:$B,Summary_Inactive!$B$2,Flat_file!$C:$C,"Men",Flat_file!$D:$D,"35-39",Flat_file!$E:$E,"454",Flat_file!$F:$F,"I")</f>
        <v>0</v>
      </c>
      <c r="J75" s="89">
        <f>SUMIFS(Flat_file!$H:$H,Flat_file!$B:$B,Summary_Inactive!$B$2,Flat_file!$C:$C,"Men",Flat_file!$D:$D,"35-39",Flat_file!$E:$E,"540",Flat_file!$F:$F,"I")+SUMIFS(Flat_file!$H:$H,Flat_file!$B:$B,Summary_Inactive!$B$2,Flat_file!$C:$C,"Men",Flat_file!$D:$D,"35-39",Flat_file!$E:$E,"550",Flat_file!$F:$F,"I")+SUMIFS(Flat_file!$H:$H,Flat_file!$B:$B,Summary_Inactive!$B$2,Flat_file!$C:$C,"Men",Flat_file!$D:$D,"35-39",Flat_file!$E:$E,"560",Flat_file!$F:$F,"I")</f>
        <v>0</v>
      </c>
      <c r="K75" s="89">
        <f>SUMIFS(Flat_file!$H:$H,Flat_file!$B:$B,Summary_Inactive!$B$2,Flat_file!$C:$C,"Men",Flat_file!$D:$D,"35-39",Flat_file!$E:$E,"640",Flat_file!$F:$F,"I")+SUMIFS(Flat_file!$H:$H,Flat_file!$B:$B,Summary_Inactive!$B$2,Flat_file!$C:$C,"Men",Flat_file!$D:$D,"35-39",Flat_file!$E:$E,"650",Flat_file!$F:$F,"I")+SUMIFS(Flat_file!$H:$H,Flat_file!$B:$B,Summary_Inactive!$B$2,Flat_file!$C:$C,"Men",Flat_file!$D:$D,"35-39",Flat_file!$E:$E,"660",Flat_file!$F:$F,"I")</f>
        <v>0</v>
      </c>
      <c r="L75" s="89">
        <f>SUMIFS(Flat_file!$H:$H,Flat_file!$B:$B,Summary_Inactive!$B$2,Flat_file!$C:$C,"Men",Flat_file!$D:$D,"35-39",Flat_file!$E:$E,"740",Flat_file!$F:$F,"I")+SUMIFS(Flat_file!$H:$H,Flat_file!$B:$B,Summary_Inactive!$B$2,Flat_file!$C:$C,"Men",Flat_file!$D:$D,"35-39",Flat_file!$E:$E,"750",Flat_file!$F:$F,"I")+SUMIFS(Flat_file!$H:$H,Flat_file!$B:$B,Summary_Inactive!$B$2,Flat_file!$C:$C,"Men",Flat_file!$D:$D,"35-39",Flat_file!$E:$E,"760",Flat_file!$F:$F,"I")</f>
        <v>0</v>
      </c>
      <c r="M75" s="89">
        <f>SUMIFS(Flat_file!$H:$H,Flat_file!$B:$B,Summary_Inactive!$B$2,Flat_file!$C:$C,"Men",Flat_file!$D:$D,"35-39",Flat_file!$E:$E,"840",Flat_file!$F:$F,"I")+SUMIFS(Flat_file!$H:$H,Flat_file!$B:$B,Summary_Inactive!$B$2,Flat_file!$C:$C,"Men",Flat_file!$D:$D,"35-39",Flat_file!$E:$E,"850",Flat_file!$F:$F,"I")+SUMIFS(Flat_file!$H:$H,Flat_file!$B:$B,Summary_Inactive!$B$2,Flat_file!$C:$C,"Men",Flat_file!$D:$D,"35-39",Flat_file!$E:$E,"860",Flat_file!$F:$F,"I")</f>
        <v>0</v>
      </c>
      <c r="N75" s="89">
        <f>SUMIFS(Flat_file!$H:$H,Flat_file!$B:$B,Summary_Inactive!$B$2,Flat_file!$C:$C,"Men",Flat_file!$D:$D,"35-39",Flat_file!$E:$E,"999",Flat_file!$F:$F,"I")</f>
        <v>0</v>
      </c>
      <c r="O75" s="89">
        <f t="shared" si="49"/>
        <v>0</v>
      </c>
      <c r="P75" s="90"/>
      <c r="Q75" s="89">
        <f t="shared" si="50"/>
        <v>0</v>
      </c>
      <c r="R75" s="91"/>
      <c r="S75" s="89">
        <f t="shared" si="51"/>
        <v>0</v>
      </c>
      <c r="T75" s="89">
        <f t="shared" si="52"/>
        <v>0</v>
      </c>
      <c r="U75" s="89">
        <f t="shared" si="53"/>
        <v>0</v>
      </c>
      <c r="V75" s="90"/>
      <c r="W75" s="89">
        <f>SUMIFS(Flat_file!$H:$H,Flat_file!$B:$B,Summary_Inactive!$B$2,Flat_file!$C:$C,"Men",Flat_file!$D:$D,"35-39",Flat_file!$E:$E,"343",Flat_file!$F:$F,"I")+SUMIFS(Flat_file!$H:$H,Flat_file!$B:$B,Summary_Inactive!$B$2,Flat_file!$C:$C,"Men",Flat_file!$D:$D,"35-39",Flat_file!$E:$E,"344",Flat_file!$F:$F,"I")+SUMIFS(Flat_file!$H:$H,Flat_file!$B:$B,Summary_Inactive!$B$2,Flat_file!$C:$C,"Men",Flat_file!$D:$D,"35-39",Flat_file!$E:$E,"443",Flat_file!$F:$F,"I")+SUMIFS(Flat_file!$H:$H,Flat_file!$B:$B,Summary_Inactive!$B$2,Flat_file!$C:$C,"Men",Flat_file!$D:$D,"35-39",Flat_file!$E:$E,"444",Flat_file!$F:$F,"I")</f>
        <v>0</v>
      </c>
      <c r="X75" s="89">
        <f>SUMIFS(Flat_file!$H:$H,Flat_file!$B:$B,Summary_Inactive!$B$2,Flat_file!$C:$C,"Men",Flat_file!$D:$D,"35-39",Flat_file!$E:$E,"353",Flat_file!$F:$F,"I")+SUMIFS(Flat_file!$H:$H,Flat_file!$B:$B,Summary_Inactive!$B$2,Flat_file!$C:$C,"Men",Flat_file!$D:$D,"35-39",Flat_file!$E:$E,"354",Flat_file!$F:$F,"I")+SUMIFS(Flat_file!$H:$H,Flat_file!$B:$B,Summary_Inactive!$B$2,Flat_file!$C:$C,"Men",Flat_file!$D:$D,"35-39",Flat_file!$E:$E,"453",Flat_file!$F:$F,"I")+SUMIFS(Flat_file!$H:$H,Flat_file!$B:$B,Summary_Inactive!$B$2,Flat_file!$C:$C,"Men",Flat_file!$D:$D,"35-39",Flat_file!$E:$E,"454",Flat_file!$F:$F,"I")</f>
        <v>0</v>
      </c>
      <c r="Y75" s="90"/>
      <c r="Z75" s="89">
        <f>SUMIFS(Flat_file!$H:$H,Flat_file!$B:$B,Summary_Inactive!$B$2,Flat_file!$C:$C,"Men",Flat_file!$D:$D,"35-39",Flat_file!$E:$E,"640",Flat_file!$F:$F,"I")+SUMIFS(Flat_file!$H:$H,Flat_file!$B:$B,Summary_Inactive!$B$2,Flat_file!$C:$C,"Men",Flat_file!$D:$D,"35-39",Flat_file!$E:$E,"740",Flat_file!$F:$F,"I")+SUMIFS(Flat_file!$H:$H,Flat_file!$B:$B,Summary_Inactive!$B$2,Flat_file!$C:$C,"Men",Flat_file!$D:$D,"35-39",Flat_file!$E:$E,"840",Flat_file!$F:$F,"I")</f>
        <v>0</v>
      </c>
      <c r="AA75" s="89">
        <f>SUMIFS(Flat_file!$H:$H,Flat_file!$B:$B,Summary_Inactive!$B$2,Flat_file!$C:$C,"Men",Flat_file!$D:$D,"35-39",Flat_file!$E:$E,"650",Flat_file!$F:$F,"I")+SUMIFS(Flat_file!$H:$H,Flat_file!$B:$B,Summary_Inactive!$B$2,Flat_file!$C:$C,"Men",Flat_file!$D:$D,"35-39",Flat_file!$E:$E,"750",Flat_file!$F:$F,"I")+SUMIFS(Flat_file!$H:$H,Flat_file!$B:$B,Summary_Inactive!$B$2,Flat_file!$C:$C,"Men",Flat_file!$D:$D,"35-39",Flat_file!$E:$E,"850",Flat_file!$F:$F,"I")</f>
        <v>0</v>
      </c>
      <c r="AB75" s="89">
        <f>SUMIFS(Flat_file!$H:$H,Flat_file!$B:$B,Summary_Inactive!$B$2,Flat_file!$C:$C,"Men",Flat_file!$D:$D,"35-39",Flat_file!$E:$E,"660",Flat_file!$F:$F,"I")+SUMIFS(Flat_file!$H:$H,Flat_file!$B:$B,Summary_Inactive!$B$2,Flat_file!$C:$C,"Men",Flat_file!$D:$D,"35-39",Flat_file!$E:$E,"760",Flat_file!$F:$F,"I")+SUMIFS(Flat_file!$H:$H,Flat_file!$B:$B,Summary_Inactive!$B$2,Flat_file!$C:$C,"Men",Flat_file!$D:$D,"35-39",Flat_file!$E:$E,"860",Flat_file!$F:$F,"I")</f>
        <v>0</v>
      </c>
      <c r="AC75" s="3"/>
      <c r="AD75" s="3"/>
      <c r="AE75" s="3"/>
      <c r="AF75" s="3"/>
      <c r="AG75" s="3"/>
      <c r="AH75" s="3"/>
      <c r="AI75" s="3"/>
      <c r="AJ75" s="3"/>
      <c r="AK75" s="3"/>
      <c r="AL75" s="3"/>
      <c r="AM75" s="3"/>
      <c r="AN75" s="3"/>
      <c r="AO75" s="3"/>
      <c r="AP75" s="3"/>
      <c r="AQ75" s="3"/>
      <c r="AR75" s="3"/>
      <c r="AS75" s="3"/>
    </row>
    <row r="76" spans="1:45" customFormat="1" x14ac:dyDescent="0.2">
      <c r="A76" s="352"/>
      <c r="B76" s="79" t="s">
        <v>92</v>
      </c>
      <c r="C76" s="89">
        <f>SUMIFS(Flat_file!$H:$H,Flat_file!$B:$B,Summary_Inactive!$B$2,Flat_file!$C:$C,"Men",Flat_file!$D:$D,"40-44",Flat_file!$E:$E,"010",Flat_file!$F:$F,"I")+SUMIFS(Flat_file!$H:$H,Flat_file!$B:$B,Summary_Inactive!$B$2,Flat_file!$C:$C,"Men",Flat_file!$D:$D,"40-44",Flat_file!$E:$E,"020",Flat_file!$F:$F,"I")+SUMIFS(Flat_file!$H:$H,Flat_file!$B:$B,Summary_Inactive!$B$2,Flat_file!$C:$C,"Men",Flat_file!$D:$D,"40-44",Flat_file!$E:$E,"030",Flat_file!$F:$F,"I")</f>
        <v>0</v>
      </c>
      <c r="D76" s="89">
        <f>SUMIFS(Flat_file!$H:$H,Flat_file!$B:$B,Summary_Inactive!$B$2,Flat_file!$C:$C,"Men",Flat_file!$D:$D,"40-44",Flat_file!$E:$E,"100",Flat_file!$F:$F,"I")</f>
        <v>0</v>
      </c>
      <c r="E76" s="89">
        <f>SUMIFS(Flat_file!$H:$H,Flat_file!$B:$B,Summary_Inactive!$B$2,Flat_file!$C:$C,"Men",Flat_file!$D:$D,"40-44",Flat_file!$E:$E,"242",Flat_file!$F:$F,"I")+SUMIFS(Flat_file!$H:$H,Flat_file!$B:$B,Summary_Inactive!$B$2,Flat_file!$C:$C,"Men",Flat_file!$D:$D,"40-44",Flat_file!$E:$E,"252",Flat_file!$F:$F,"I")</f>
        <v>0</v>
      </c>
      <c r="F76" s="89">
        <f>SUMIFS(Flat_file!$H:$H,Flat_file!$B:$B,Summary_Inactive!$B$2,Flat_file!$C:$C,"Men",Flat_file!$D:$D,"40-44",Flat_file!$E:$E,"243",Flat_file!$F:$F,"I")+SUMIFS(Flat_file!$H:$H,Flat_file!$B:$B,Summary_Inactive!$B$2,Flat_file!$C:$C,"Men",Flat_file!$D:$D,"40-44",Flat_file!$E:$E,"244",Flat_file!$F:$F,"I")+SUMIFS(Flat_file!$H:$H,Flat_file!$B:$B,Summary_Inactive!$B$2,Flat_file!$C:$C,"Men",Flat_file!$D:$D,"40-44",Flat_file!$E:$E,"253",Flat_file!$F:$F,"I")+SUMIFS(Flat_file!$H:$H,Flat_file!$B:$B,Summary_Inactive!$B$2,Flat_file!$C:$C,"Men",Flat_file!$D:$D,"40-44",Flat_file!$E:$E,"254",Flat_file!$F:$F,"I")</f>
        <v>0</v>
      </c>
      <c r="G76" s="89">
        <f>SUMIFS(Flat_file!$H:$H,Flat_file!$B:$B,Summary_Inactive!$B$2,Flat_file!$C:$C,"Men",Flat_file!$D:$D,"40-44",Flat_file!$E:$E,"342",Flat_file!$F:$F,"I")+SUMIFS(Flat_file!$H:$H,Flat_file!$B:$B,Summary_Inactive!$B$2,Flat_file!$C:$C,"Men",Flat_file!$D:$D,"40-44",Flat_file!$E:$E,"352",Flat_file!$F:$F,"I")</f>
        <v>0</v>
      </c>
      <c r="H76" s="89">
        <f>SUMIFS(Flat_file!$H:$H,Flat_file!$B:$B,Summary_Inactive!$B$2,Flat_file!$C:$C,"Men",Flat_file!$D:$D,"40-44",Flat_file!$E:$E,"343",Flat_file!$F:$F,"I")+SUMIFS(Flat_file!$H:$H,Flat_file!$B:$B,Summary_Inactive!$B$2,Flat_file!$C:$C,"Men",Flat_file!$D:$D,"40-44",Flat_file!$E:$E,"344",Flat_file!$F:$F,"I")+SUMIFS(Flat_file!$H:$H,Flat_file!$B:$B,Summary_Inactive!$B$2,Flat_file!$C:$C,"Men",Flat_file!$D:$D,"40-44",Flat_file!$E:$E,"353",Flat_file!$F:$F,"I")+SUMIFS(Flat_file!$H:$H,Flat_file!$B:$B,Summary_Inactive!$B$2,Flat_file!$C:$C,"Men",Flat_file!$D:$D,"40-44",Flat_file!$E:$E,"354",Flat_file!$F:$F,"I")</f>
        <v>0</v>
      </c>
      <c r="I76" s="89">
        <f>SUMIFS(Flat_file!$H:$H,Flat_file!$B:$B,Summary_Inactive!$B$2,Flat_file!$C:$C,"Men",Flat_file!$D:$D,"40-44",Flat_file!$E:$E,"443",Flat_file!$F:$F,"I")+SUMIFS(Flat_file!$H:$H,Flat_file!$B:$B,Summary_Inactive!$B$2,Flat_file!$C:$C,"Men",Flat_file!$D:$D,"40-44",Flat_file!$E:$E,"444",Flat_file!$F:$F,"I")+SUMIFS(Flat_file!$H:$H,Flat_file!$B:$B,Summary_Inactive!$B$2,Flat_file!$C:$C,"Men",Flat_file!$D:$D,"40-44",Flat_file!$E:$E,"453",Flat_file!$F:$F,"I")+SUMIFS(Flat_file!$H:$H,Flat_file!$B:$B,Summary_Inactive!$B$2,Flat_file!$C:$C,"Men",Flat_file!$D:$D,"40-44",Flat_file!$E:$E,"454",Flat_file!$F:$F,"I")</f>
        <v>0</v>
      </c>
      <c r="J76" s="89">
        <f>SUMIFS(Flat_file!$H:$H,Flat_file!$B:$B,Summary_Inactive!$B$2,Flat_file!$C:$C,"Men",Flat_file!$D:$D,"40-44",Flat_file!$E:$E,"540",Flat_file!$F:$F,"I")+SUMIFS(Flat_file!$H:$H,Flat_file!$B:$B,Summary_Inactive!$B$2,Flat_file!$C:$C,"Men",Flat_file!$D:$D,"40-44",Flat_file!$E:$E,"550",Flat_file!$F:$F,"I")+SUMIFS(Flat_file!$H:$H,Flat_file!$B:$B,Summary_Inactive!$B$2,Flat_file!$C:$C,"Men",Flat_file!$D:$D,"40-44",Flat_file!$E:$E,"560",Flat_file!$F:$F,"I")</f>
        <v>0</v>
      </c>
      <c r="K76" s="89">
        <f>SUMIFS(Flat_file!$H:$H,Flat_file!$B:$B,Summary_Inactive!$B$2,Flat_file!$C:$C,"Men",Flat_file!$D:$D,"40-44",Flat_file!$E:$E,"640",Flat_file!$F:$F,"I")+SUMIFS(Flat_file!$H:$H,Flat_file!$B:$B,Summary_Inactive!$B$2,Flat_file!$C:$C,"Men",Flat_file!$D:$D,"40-44",Flat_file!$E:$E,"650",Flat_file!$F:$F,"I")+SUMIFS(Flat_file!$H:$H,Flat_file!$B:$B,Summary_Inactive!$B$2,Flat_file!$C:$C,"Men",Flat_file!$D:$D,"40-44",Flat_file!$E:$E,"660",Flat_file!$F:$F,"I")</f>
        <v>0</v>
      </c>
      <c r="L76" s="89">
        <f>SUMIFS(Flat_file!$H:$H,Flat_file!$B:$B,Summary_Inactive!$B$2,Flat_file!$C:$C,"Men",Flat_file!$D:$D,"40-44",Flat_file!$E:$E,"740",Flat_file!$F:$F,"I")+SUMIFS(Flat_file!$H:$H,Flat_file!$B:$B,Summary_Inactive!$B$2,Flat_file!$C:$C,"Men",Flat_file!$D:$D,"40-44",Flat_file!$E:$E,"750",Flat_file!$F:$F,"I")+SUMIFS(Flat_file!$H:$H,Flat_file!$B:$B,Summary_Inactive!$B$2,Flat_file!$C:$C,"Men",Flat_file!$D:$D,"40-44",Flat_file!$E:$E,"760",Flat_file!$F:$F,"I")</f>
        <v>0</v>
      </c>
      <c r="M76" s="89">
        <f>SUMIFS(Flat_file!$H:$H,Flat_file!$B:$B,Summary_Inactive!$B$2,Flat_file!$C:$C,"Men",Flat_file!$D:$D,"40-44",Flat_file!$E:$E,"840",Flat_file!$F:$F,"I")+SUMIFS(Flat_file!$H:$H,Flat_file!$B:$B,Summary_Inactive!$B$2,Flat_file!$C:$C,"Men",Flat_file!$D:$D,"40-44",Flat_file!$E:$E,"850",Flat_file!$F:$F,"I")+SUMIFS(Flat_file!$H:$H,Flat_file!$B:$B,Summary_Inactive!$B$2,Flat_file!$C:$C,"Men",Flat_file!$D:$D,"40-44",Flat_file!$E:$E,"860",Flat_file!$F:$F,"I")</f>
        <v>0</v>
      </c>
      <c r="N76" s="89">
        <f>SUMIFS(Flat_file!$H:$H,Flat_file!$B:$B,Summary_Inactive!$B$2,Flat_file!$C:$C,"Men",Flat_file!$D:$D,"40-44",Flat_file!$E:$E,"999",Flat_file!$F:$F,"I")</f>
        <v>0</v>
      </c>
      <c r="O76" s="89">
        <f t="shared" si="49"/>
        <v>0</v>
      </c>
      <c r="P76" s="90"/>
      <c r="Q76" s="89">
        <f t="shared" si="50"/>
        <v>0</v>
      </c>
      <c r="R76" s="91"/>
      <c r="S76" s="89">
        <f t="shared" si="51"/>
        <v>0</v>
      </c>
      <c r="T76" s="89">
        <f t="shared" si="52"/>
        <v>0</v>
      </c>
      <c r="U76" s="89">
        <f t="shared" si="53"/>
        <v>0</v>
      </c>
      <c r="V76" s="90"/>
      <c r="W76" s="89">
        <f>SUMIFS(Flat_file!$H:$H,Flat_file!$B:$B,Summary_Inactive!$B$2,Flat_file!$C:$C,"Men",Flat_file!$D:$D,"40-44",Flat_file!$E:$E,"343",Flat_file!$F:$F,"I")+SUMIFS(Flat_file!$H:$H,Flat_file!$B:$B,Summary_Inactive!$B$2,Flat_file!$C:$C,"Men",Flat_file!$D:$D,"40-44",Flat_file!$E:$E,"344",Flat_file!$F:$F,"I")+SUMIFS(Flat_file!$H:$H,Flat_file!$B:$B,Summary_Inactive!$B$2,Flat_file!$C:$C,"Men",Flat_file!$D:$D,"40-44",Flat_file!$E:$E,"443",Flat_file!$F:$F,"I")+SUMIFS(Flat_file!$H:$H,Flat_file!$B:$B,Summary_Inactive!$B$2,Flat_file!$C:$C,"Men",Flat_file!$D:$D,"40-44",Flat_file!$E:$E,"444",Flat_file!$F:$F,"I")</f>
        <v>0</v>
      </c>
      <c r="X76" s="89">
        <f>SUMIFS(Flat_file!$H:$H,Flat_file!$B:$B,Summary_Inactive!$B$2,Flat_file!$C:$C,"Men",Flat_file!$D:$D,"40-44",Flat_file!$E:$E,"353",Flat_file!$F:$F,"I")+SUMIFS(Flat_file!$H:$H,Flat_file!$B:$B,Summary_Inactive!$B$2,Flat_file!$C:$C,"Men",Flat_file!$D:$D,"40-44",Flat_file!$E:$E,"354",Flat_file!$F:$F,"I")+SUMIFS(Flat_file!$H:$H,Flat_file!$B:$B,Summary_Inactive!$B$2,Flat_file!$C:$C,"Men",Flat_file!$D:$D,"40-44",Flat_file!$E:$E,"453",Flat_file!$F:$F,"I")+SUMIFS(Flat_file!$H:$H,Flat_file!$B:$B,Summary_Inactive!$B$2,Flat_file!$C:$C,"Men",Flat_file!$D:$D,"40-44",Flat_file!$E:$E,"454",Flat_file!$F:$F,"I")</f>
        <v>0</v>
      </c>
      <c r="Y76" s="90"/>
      <c r="Z76" s="89">
        <f>SUMIFS(Flat_file!$H:$H,Flat_file!$B:$B,Summary_Inactive!$B$2,Flat_file!$C:$C,"Men",Flat_file!$D:$D,"40-44",Flat_file!$E:$E,"640",Flat_file!$F:$F,"I")+SUMIFS(Flat_file!$H:$H,Flat_file!$B:$B,Summary_Inactive!$B$2,Flat_file!$C:$C,"Men",Flat_file!$D:$D,"40-44",Flat_file!$E:$E,"740",Flat_file!$F:$F,"I")+SUMIFS(Flat_file!$H:$H,Flat_file!$B:$B,Summary_Inactive!$B$2,Flat_file!$C:$C,"Men",Flat_file!$D:$D,"40-44",Flat_file!$E:$E,"840",Flat_file!$F:$F,"I")</f>
        <v>0</v>
      </c>
      <c r="AA76" s="89">
        <f>SUMIFS(Flat_file!$H:$H,Flat_file!$B:$B,Summary_Inactive!$B$2,Flat_file!$C:$C,"Men",Flat_file!$D:$D,"40-44",Flat_file!$E:$E,"650",Flat_file!$F:$F,"I")+SUMIFS(Flat_file!$H:$H,Flat_file!$B:$B,Summary_Inactive!$B$2,Flat_file!$C:$C,"Men",Flat_file!$D:$D,"40-44",Flat_file!$E:$E,"750",Flat_file!$F:$F,"I")+SUMIFS(Flat_file!$H:$H,Flat_file!$B:$B,Summary_Inactive!$B$2,Flat_file!$C:$C,"Men",Flat_file!$D:$D,"40-44",Flat_file!$E:$E,"850",Flat_file!$F:$F,"I")</f>
        <v>0</v>
      </c>
      <c r="AB76" s="89">
        <f>SUMIFS(Flat_file!$H:$H,Flat_file!$B:$B,Summary_Inactive!$B$2,Flat_file!$C:$C,"Men",Flat_file!$D:$D,"40-44",Flat_file!$E:$E,"660",Flat_file!$F:$F,"I")+SUMIFS(Flat_file!$H:$H,Flat_file!$B:$B,Summary_Inactive!$B$2,Flat_file!$C:$C,"Men",Flat_file!$D:$D,"40-44",Flat_file!$E:$E,"760",Flat_file!$F:$F,"I")+SUMIFS(Flat_file!$H:$H,Flat_file!$B:$B,Summary_Inactive!$B$2,Flat_file!$C:$C,"Men",Flat_file!$D:$D,"40-44",Flat_file!$E:$E,"860",Flat_file!$F:$F,"I")</f>
        <v>0</v>
      </c>
      <c r="AC76" s="3"/>
      <c r="AD76" s="3"/>
      <c r="AE76" s="3"/>
      <c r="AF76" s="3"/>
      <c r="AG76" s="3"/>
      <c r="AH76" s="3"/>
      <c r="AI76" s="3"/>
      <c r="AJ76" s="3"/>
      <c r="AK76" s="3"/>
      <c r="AL76" s="3"/>
      <c r="AM76" s="3"/>
      <c r="AN76" s="3"/>
      <c r="AO76" s="3"/>
      <c r="AP76" s="3"/>
      <c r="AQ76" s="3"/>
      <c r="AR76" s="3"/>
      <c r="AS76" s="3"/>
    </row>
    <row r="77" spans="1:45" customFormat="1" x14ac:dyDescent="0.2">
      <c r="A77" s="352"/>
      <c r="B77" s="79" t="s">
        <v>93</v>
      </c>
      <c r="C77" s="89">
        <f>SUMIFS(Flat_file!$H:$H,Flat_file!$B:$B,Summary_Inactive!$B$2,Flat_file!$C:$C,"Men",Flat_file!$D:$D,"45-49",Flat_file!$E:$E,"010",Flat_file!$F:$F,"I")+SUMIFS(Flat_file!$H:$H,Flat_file!$B:$B,Summary_Inactive!$B$2,Flat_file!$C:$C,"Men",Flat_file!$D:$D,"45-49",Flat_file!$E:$E,"020",Flat_file!$F:$F,"I")+SUMIFS(Flat_file!$H:$H,Flat_file!$B:$B,Summary_Inactive!$B$2,Flat_file!$C:$C,"Men",Flat_file!$D:$D,"45-49",Flat_file!$E:$E,"030",Flat_file!$F:$F,"I")</f>
        <v>0</v>
      </c>
      <c r="D77" s="89">
        <f>SUMIFS(Flat_file!$H:$H,Flat_file!$B:$B,Summary_Inactive!$B$2,Flat_file!$C:$C,"Men",Flat_file!$D:$D,"45-49",Flat_file!$E:$E,"100",Flat_file!$F:$F,"I")</f>
        <v>0</v>
      </c>
      <c r="E77" s="89">
        <f>SUMIFS(Flat_file!$H:$H,Flat_file!$B:$B,Summary_Inactive!$B$2,Flat_file!$C:$C,"Men",Flat_file!$D:$D,"45-49",Flat_file!$E:$E,"242",Flat_file!$F:$F,"I")+SUMIFS(Flat_file!$H:$H,Flat_file!$B:$B,Summary_Inactive!$B$2,Flat_file!$C:$C,"Men",Flat_file!$D:$D,"45-49",Flat_file!$E:$E,"252",Flat_file!$F:$F,"I")</f>
        <v>0</v>
      </c>
      <c r="F77" s="89">
        <f>SUMIFS(Flat_file!$H:$H,Flat_file!$B:$B,Summary_Inactive!$B$2,Flat_file!$C:$C,"Men",Flat_file!$D:$D,"45-49",Flat_file!$E:$E,"243",Flat_file!$F:$F,"I")+SUMIFS(Flat_file!$H:$H,Flat_file!$B:$B,Summary_Inactive!$B$2,Flat_file!$C:$C,"Men",Flat_file!$D:$D,"45-49",Flat_file!$E:$E,"244",Flat_file!$F:$F,"I")+SUMIFS(Flat_file!$H:$H,Flat_file!$B:$B,Summary_Inactive!$B$2,Flat_file!$C:$C,"Men",Flat_file!$D:$D,"45-49",Flat_file!$E:$E,"253",Flat_file!$F:$F,"I")+SUMIFS(Flat_file!$H:$H,Flat_file!$B:$B,Summary_Inactive!$B$2,Flat_file!$C:$C,"Men",Flat_file!$D:$D,"45-49",Flat_file!$E:$E,"254",Flat_file!$F:$F,"I")</f>
        <v>0</v>
      </c>
      <c r="G77" s="89">
        <f>SUMIFS(Flat_file!$H:$H,Flat_file!$B:$B,Summary_Inactive!$B$2,Flat_file!$C:$C,"Men",Flat_file!$D:$D,"45-49",Flat_file!$E:$E,"342",Flat_file!$F:$F,"I")+SUMIFS(Flat_file!$H:$H,Flat_file!$B:$B,Summary_Inactive!$B$2,Flat_file!$C:$C,"Men",Flat_file!$D:$D,"45-49",Flat_file!$E:$E,"352",Flat_file!$F:$F,"I")</f>
        <v>0</v>
      </c>
      <c r="H77" s="89">
        <f>SUMIFS(Flat_file!$H:$H,Flat_file!$B:$B,Summary_Inactive!$B$2,Flat_file!$C:$C,"Men",Flat_file!$D:$D,"45-49",Flat_file!$E:$E,"343",Flat_file!$F:$F,"I")+SUMIFS(Flat_file!$H:$H,Flat_file!$B:$B,Summary_Inactive!$B$2,Flat_file!$C:$C,"Men",Flat_file!$D:$D,"45-49",Flat_file!$E:$E,"344",Flat_file!$F:$F,"I")+SUMIFS(Flat_file!$H:$H,Flat_file!$B:$B,Summary_Inactive!$B$2,Flat_file!$C:$C,"Men",Flat_file!$D:$D,"45-49",Flat_file!$E:$E,"353",Flat_file!$F:$F,"I")+SUMIFS(Flat_file!$H:$H,Flat_file!$B:$B,Summary_Inactive!$B$2,Flat_file!$C:$C,"Men",Flat_file!$D:$D,"45-49",Flat_file!$E:$E,"354",Flat_file!$F:$F,"I")</f>
        <v>0</v>
      </c>
      <c r="I77" s="89">
        <f>SUMIFS(Flat_file!$H:$H,Flat_file!$B:$B,Summary_Inactive!$B$2,Flat_file!$C:$C,"Men",Flat_file!$D:$D,"45-49",Flat_file!$E:$E,"443",Flat_file!$F:$F,"I")+SUMIFS(Flat_file!$H:$H,Flat_file!$B:$B,Summary_Inactive!$B$2,Flat_file!$C:$C,"Men",Flat_file!$D:$D,"45-49",Flat_file!$E:$E,"444",Flat_file!$F:$F,"I")+SUMIFS(Flat_file!$H:$H,Flat_file!$B:$B,Summary_Inactive!$B$2,Flat_file!$C:$C,"Men",Flat_file!$D:$D,"45-49",Flat_file!$E:$E,"453",Flat_file!$F:$F,"I")+SUMIFS(Flat_file!$H:$H,Flat_file!$B:$B,Summary_Inactive!$B$2,Flat_file!$C:$C,"Men",Flat_file!$D:$D,"45-49",Flat_file!$E:$E,"454",Flat_file!$F:$F,"I")</f>
        <v>0</v>
      </c>
      <c r="J77" s="89">
        <f>SUMIFS(Flat_file!$H:$H,Flat_file!$B:$B,Summary_Inactive!$B$2,Flat_file!$C:$C,"Men",Flat_file!$D:$D,"45-49",Flat_file!$E:$E,"540",Flat_file!$F:$F,"I")+SUMIFS(Flat_file!$H:$H,Flat_file!$B:$B,Summary_Inactive!$B$2,Flat_file!$C:$C,"Men",Flat_file!$D:$D,"45-49",Flat_file!$E:$E,"550",Flat_file!$F:$F,"I")+SUMIFS(Flat_file!$H:$H,Flat_file!$B:$B,Summary_Inactive!$B$2,Flat_file!$C:$C,"Men",Flat_file!$D:$D,"45-49",Flat_file!$E:$E,"560",Flat_file!$F:$F,"I")</f>
        <v>0</v>
      </c>
      <c r="K77" s="89">
        <f>SUMIFS(Flat_file!$H:$H,Flat_file!$B:$B,Summary_Inactive!$B$2,Flat_file!$C:$C,"Men",Flat_file!$D:$D,"45-49",Flat_file!$E:$E,"640",Flat_file!$F:$F,"I")+SUMIFS(Flat_file!$H:$H,Flat_file!$B:$B,Summary_Inactive!$B$2,Flat_file!$C:$C,"Men",Flat_file!$D:$D,"45-49",Flat_file!$E:$E,"650",Flat_file!$F:$F,"I")+SUMIFS(Flat_file!$H:$H,Flat_file!$B:$B,Summary_Inactive!$B$2,Flat_file!$C:$C,"Men",Flat_file!$D:$D,"45-49",Flat_file!$E:$E,"660",Flat_file!$F:$F,"I")</f>
        <v>0</v>
      </c>
      <c r="L77" s="89">
        <f>SUMIFS(Flat_file!$H:$H,Flat_file!$B:$B,Summary_Inactive!$B$2,Flat_file!$C:$C,"Men",Flat_file!$D:$D,"45-49",Flat_file!$E:$E,"740",Flat_file!$F:$F,"I")+SUMIFS(Flat_file!$H:$H,Flat_file!$B:$B,Summary_Inactive!$B$2,Flat_file!$C:$C,"Men",Flat_file!$D:$D,"45-49",Flat_file!$E:$E,"750",Flat_file!$F:$F,"I")+SUMIFS(Flat_file!$H:$H,Flat_file!$B:$B,Summary_Inactive!$B$2,Flat_file!$C:$C,"Men",Flat_file!$D:$D,"45-49",Flat_file!$E:$E,"760",Flat_file!$F:$F,"I")</f>
        <v>0</v>
      </c>
      <c r="M77" s="89">
        <f>SUMIFS(Flat_file!$H:$H,Flat_file!$B:$B,Summary_Inactive!$B$2,Flat_file!$C:$C,"Men",Flat_file!$D:$D,"45-49",Flat_file!$E:$E,"840",Flat_file!$F:$F,"I")+SUMIFS(Flat_file!$H:$H,Flat_file!$B:$B,Summary_Inactive!$B$2,Flat_file!$C:$C,"Men",Flat_file!$D:$D,"45-49",Flat_file!$E:$E,"850",Flat_file!$F:$F,"I")+SUMIFS(Flat_file!$H:$H,Flat_file!$B:$B,Summary_Inactive!$B$2,Flat_file!$C:$C,"Men",Flat_file!$D:$D,"45-49",Flat_file!$E:$E,"860",Flat_file!$F:$F,"I")</f>
        <v>0</v>
      </c>
      <c r="N77" s="89">
        <f>SUMIFS(Flat_file!$H:$H,Flat_file!$B:$B,Summary_Inactive!$B$2,Flat_file!$C:$C,"Men",Flat_file!$D:$D,"45-49",Flat_file!$E:$E,"999",Flat_file!$F:$F,"I")</f>
        <v>0</v>
      </c>
      <c r="O77" s="89">
        <f t="shared" si="49"/>
        <v>0</v>
      </c>
      <c r="P77" s="90"/>
      <c r="Q77" s="89">
        <f t="shared" si="50"/>
        <v>0</v>
      </c>
      <c r="R77" s="91"/>
      <c r="S77" s="89">
        <f t="shared" si="51"/>
        <v>0</v>
      </c>
      <c r="T77" s="89">
        <f t="shared" si="52"/>
        <v>0</v>
      </c>
      <c r="U77" s="89">
        <f t="shared" si="53"/>
        <v>0</v>
      </c>
      <c r="V77" s="90"/>
      <c r="W77" s="89">
        <f>SUMIFS(Flat_file!$H:$H,Flat_file!$B:$B,Summary_Inactive!$B$2,Flat_file!$C:$C,"Men",Flat_file!$D:$D,"45-49",Flat_file!$E:$E,"343",Flat_file!$F:$F,"I")+SUMIFS(Flat_file!$H:$H,Flat_file!$B:$B,Summary_Inactive!$B$2,Flat_file!$C:$C,"Men",Flat_file!$D:$D,"45-49",Flat_file!$E:$E,"344",Flat_file!$F:$F,"I")+SUMIFS(Flat_file!$H:$H,Flat_file!$B:$B,Summary_Inactive!$B$2,Flat_file!$C:$C,"Men",Flat_file!$D:$D,"45-49",Flat_file!$E:$E,"443",Flat_file!$F:$F,"I")+SUMIFS(Flat_file!$H:$H,Flat_file!$B:$B,Summary_Inactive!$B$2,Flat_file!$C:$C,"Men",Flat_file!$D:$D,"45-49",Flat_file!$E:$E,"444",Flat_file!$F:$F,"I")</f>
        <v>0</v>
      </c>
      <c r="X77" s="89">
        <f>SUMIFS(Flat_file!$H:$H,Flat_file!$B:$B,Summary_Inactive!$B$2,Flat_file!$C:$C,"Men",Flat_file!$D:$D,"45-49",Flat_file!$E:$E,"353",Flat_file!$F:$F,"I")+SUMIFS(Flat_file!$H:$H,Flat_file!$B:$B,Summary_Inactive!$B$2,Flat_file!$C:$C,"Men",Flat_file!$D:$D,"45-49",Flat_file!$E:$E,"354",Flat_file!$F:$F,"I")+SUMIFS(Flat_file!$H:$H,Flat_file!$B:$B,Summary_Inactive!$B$2,Flat_file!$C:$C,"Men",Flat_file!$D:$D,"45-49",Flat_file!$E:$E,"453",Flat_file!$F:$F,"I")+SUMIFS(Flat_file!$H:$H,Flat_file!$B:$B,Summary_Inactive!$B$2,Flat_file!$C:$C,"Men",Flat_file!$D:$D,"45-49",Flat_file!$E:$E,"454",Flat_file!$F:$F,"I")</f>
        <v>0</v>
      </c>
      <c r="Y77" s="90"/>
      <c r="Z77" s="89">
        <f>SUMIFS(Flat_file!$H:$H,Flat_file!$B:$B,Summary_Inactive!$B$2,Flat_file!$C:$C,"Men",Flat_file!$D:$D,"45-49",Flat_file!$E:$E,"640",Flat_file!$F:$F,"I")+SUMIFS(Flat_file!$H:$H,Flat_file!$B:$B,Summary_Inactive!$B$2,Flat_file!$C:$C,"Men",Flat_file!$D:$D,"45-49",Flat_file!$E:$E,"740",Flat_file!$F:$F,"I")+SUMIFS(Flat_file!$H:$H,Flat_file!$B:$B,Summary_Inactive!$B$2,Flat_file!$C:$C,"Men",Flat_file!$D:$D,"45-49",Flat_file!$E:$E,"840",Flat_file!$F:$F,"I")</f>
        <v>0</v>
      </c>
      <c r="AA77" s="89">
        <f>SUMIFS(Flat_file!$H:$H,Flat_file!$B:$B,Summary_Inactive!$B$2,Flat_file!$C:$C,"Men",Flat_file!$D:$D,"45-49",Flat_file!$E:$E,"650",Flat_file!$F:$F,"I")+SUMIFS(Flat_file!$H:$H,Flat_file!$B:$B,Summary_Inactive!$B$2,Flat_file!$C:$C,"Men",Flat_file!$D:$D,"45-49",Flat_file!$E:$E,"750",Flat_file!$F:$F,"I")+SUMIFS(Flat_file!$H:$H,Flat_file!$B:$B,Summary_Inactive!$B$2,Flat_file!$C:$C,"Men",Flat_file!$D:$D,"45-49",Flat_file!$E:$E,"850",Flat_file!$F:$F,"I")</f>
        <v>0</v>
      </c>
      <c r="AB77" s="89">
        <f>SUMIFS(Flat_file!$H:$H,Flat_file!$B:$B,Summary_Inactive!$B$2,Flat_file!$C:$C,"Men",Flat_file!$D:$D,"45-49",Flat_file!$E:$E,"660",Flat_file!$F:$F,"I")+SUMIFS(Flat_file!$H:$H,Flat_file!$B:$B,Summary_Inactive!$B$2,Flat_file!$C:$C,"Men",Flat_file!$D:$D,"45-49",Flat_file!$E:$E,"760",Flat_file!$F:$F,"I")+SUMIFS(Flat_file!$H:$H,Flat_file!$B:$B,Summary_Inactive!$B$2,Flat_file!$C:$C,"Men",Flat_file!$D:$D,"45-49",Flat_file!$E:$E,"860",Flat_file!$F:$F,"I")</f>
        <v>0</v>
      </c>
      <c r="AC77" s="3"/>
      <c r="AD77" s="3"/>
      <c r="AE77" s="3"/>
      <c r="AF77" s="3"/>
      <c r="AG77" s="3"/>
      <c r="AH77" s="3"/>
      <c r="AI77" s="3"/>
      <c r="AJ77" s="3"/>
      <c r="AK77" s="3"/>
      <c r="AL77" s="3"/>
      <c r="AM77" s="3"/>
      <c r="AN77" s="3"/>
      <c r="AO77" s="3"/>
      <c r="AP77" s="3"/>
      <c r="AQ77" s="3"/>
      <c r="AR77" s="3"/>
      <c r="AS77" s="3"/>
    </row>
    <row r="78" spans="1:45" customFormat="1" x14ac:dyDescent="0.2">
      <c r="A78" s="352"/>
      <c r="B78" s="79" t="s">
        <v>94</v>
      </c>
      <c r="C78" s="89">
        <f>SUMIFS(Flat_file!$H:$H,Flat_file!$B:$B,Summary_Inactive!$B$2,Flat_file!$C:$C,"Men",Flat_file!$D:$D,"50-54",Flat_file!$E:$E,"010",Flat_file!$F:$F,"I")+SUMIFS(Flat_file!$H:$H,Flat_file!$B:$B,Summary_Inactive!$B$2,Flat_file!$C:$C,"Men",Flat_file!$D:$D,"50-54",Flat_file!$E:$E,"020",Flat_file!$F:$F,"I")+SUMIFS(Flat_file!$H:$H,Flat_file!$B:$B,Summary_Inactive!$B$2,Flat_file!$C:$C,"Men",Flat_file!$D:$D,"50-54",Flat_file!$E:$E,"030",Flat_file!$F:$F,"I")</f>
        <v>0</v>
      </c>
      <c r="D78" s="89">
        <f>SUMIFS(Flat_file!$H:$H,Flat_file!$B:$B,Summary_Inactive!$B$2,Flat_file!$C:$C,"Men",Flat_file!$D:$D,"50-54",Flat_file!$E:$E,"100",Flat_file!$F:$F,"I")</f>
        <v>0</v>
      </c>
      <c r="E78" s="89">
        <f>SUMIFS(Flat_file!$H:$H,Flat_file!$B:$B,Summary_Inactive!$B$2,Flat_file!$C:$C,"Men",Flat_file!$D:$D,"50-54",Flat_file!$E:$E,"242",Flat_file!$F:$F,"I")+SUMIFS(Flat_file!$H:$H,Flat_file!$B:$B,Summary_Inactive!$B$2,Flat_file!$C:$C,"Men",Flat_file!$D:$D,"50-54",Flat_file!$E:$E,"252",Flat_file!$F:$F,"I")</f>
        <v>0</v>
      </c>
      <c r="F78" s="89">
        <f>SUMIFS(Flat_file!$H:$H,Flat_file!$B:$B,Summary_Inactive!$B$2,Flat_file!$C:$C,"Men",Flat_file!$D:$D,"50-54",Flat_file!$E:$E,"243",Flat_file!$F:$F,"I")+SUMIFS(Flat_file!$H:$H,Flat_file!$B:$B,Summary_Inactive!$B$2,Flat_file!$C:$C,"Men",Flat_file!$D:$D,"50-54",Flat_file!$E:$E,"244",Flat_file!$F:$F,"I")+SUMIFS(Flat_file!$H:$H,Flat_file!$B:$B,Summary_Inactive!$B$2,Flat_file!$C:$C,"Men",Flat_file!$D:$D,"50-54",Flat_file!$E:$E,"253",Flat_file!$F:$F,"I")+SUMIFS(Flat_file!$H:$H,Flat_file!$B:$B,Summary_Inactive!$B$2,Flat_file!$C:$C,"Men",Flat_file!$D:$D,"50-54",Flat_file!$E:$E,"254",Flat_file!$F:$F,"I")</f>
        <v>0</v>
      </c>
      <c r="G78" s="89">
        <f>SUMIFS(Flat_file!$H:$H,Flat_file!$B:$B,Summary_Inactive!$B$2,Flat_file!$C:$C,"Men",Flat_file!$D:$D,"50-54",Flat_file!$E:$E,"342",Flat_file!$F:$F,"I")+SUMIFS(Flat_file!$H:$H,Flat_file!$B:$B,Summary_Inactive!$B$2,Flat_file!$C:$C,"Men",Flat_file!$D:$D,"50-54",Flat_file!$E:$E,"352",Flat_file!$F:$F,"I")</f>
        <v>0</v>
      </c>
      <c r="H78" s="89">
        <f>SUMIFS(Flat_file!$H:$H,Flat_file!$B:$B,Summary_Inactive!$B$2,Flat_file!$C:$C,"Men",Flat_file!$D:$D,"50-54",Flat_file!$E:$E,"343",Flat_file!$F:$F,"I")+SUMIFS(Flat_file!$H:$H,Flat_file!$B:$B,Summary_Inactive!$B$2,Flat_file!$C:$C,"Men",Flat_file!$D:$D,"50-54",Flat_file!$E:$E,"344",Flat_file!$F:$F,"I")+SUMIFS(Flat_file!$H:$H,Flat_file!$B:$B,Summary_Inactive!$B$2,Flat_file!$C:$C,"Men",Flat_file!$D:$D,"50-54",Flat_file!$E:$E,"353",Flat_file!$F:$F,"I")+SUMIFS(Flat_file!$H:$H,Flat_file!$B:$B,Summary_Inactive!$B$2,Flat_file!$C:$C,"Men",Flat_file!$D:$D,"50-54",Flat_file!$E:$E,"354",Flat_file!$F:$F,"I")</f>
        <v>0</v>
      </c>
      <c r="I78" s="89">
        <f>SUMIFS(Flat_file!$H:$H,Flat_file!$B:$B,Summary_Inactive!$B$2,Flat_file!$C:$C,"Men",Flat_file!$D:$D,"50-54",Flat_file!$E:$E,"443",Flat_file!$F:$F,"I")+SUMIFS(Flat_file!$H:$H,Flat_file!$B:$B,Summary_Inactive!$B$2,Flat_file!$C:$C,"Men",Flat_file!$D:$D,"50-54",Flat_file!$E:$E,"444",Flat_file!$F:$F,"I")+SUMIFS(Flat_file!$H:$H,Flat_file!$B:$B,Summary_Inactive!$B$2,Flat_file!$C:$C,"Men",Flat_file!$D:$D,"50-54",Flat_file!$E:$E,"453",Flat_file!$F:$F,"I")+SUMIFS(Flat_file!$H:$H,Flat_file!$B:$B,Summary_Inactive!$B$2,Flat_file!$C:$C,"Men",Flat_file!$D:$D,"50-54",Flat_file!$E:$E,"454",Flat_file!$F:$F,"I")</f>
        <v>0</v>
      </c>
      <c r="J78" s="89">
        <f>SUMIFS(Flat_file!$H:$H,Flat_file!$B:$B,Summary_Inactive!$B$2,Flat_file!$C:$C,"Men",Flat_file!$D:$D,"50-54",Flat_file!$E:$E,"540",Flat_file!$F:$F,"I")+SUMIFS(Flat_file!$H:$H,Flat_file!$B:$B,Summary_Inactive!$B$2,Flat_file!$C:$C,"Men",Flat_file!$D:$D,"50-54",Flat_file!$E:$E,"550",Flat_file!$F:$F,"I")+SUMIFS(Flat_file!$H:$H,Flat_file!$B:$B,Summary_Inactive!$B$2,Flat_file!$C:$C,"Men",Flat_file!$D:$D,"50-54",Flat_file!$E:$E,"560",Flat_file!$F:$F,"I")</f>
        <v>0</v>
      </c>
      <c r="K78" s="89">
        <f>SUMIFS(Flat_file!$H:$H,Flat_file!$B:$B,Summary_Inactive!$B$2,Flat_file!$C:$C,"Men",Flat_file!$D:$D,"50-54",Flat_file!$E:$E,"640",Flat_file!$F:$F,"I")+SUMIFS(Flat_file!$H:$H,Flat_file!$B:$B,Summary_Inactive!$B$2,Flat_file!$C:$C,"Men",Flat_file!$D:$D,"50-54",Flat_file!$E:$E,"650",Flat_file!$F:$F,"I")+SUMIFS(Flat_file!$H:$H,Flat_file!$B:$B,Summary_Inactive!$B$2,Flat_file!$C:$C,"Men",Flat_file!$D:$D,"50-54",Flat_file!$E:$E,"660",Flat_file!$F:$F,"I")</f>
        <v>0</v>
      </c>
      <c r="L78" s="89">
        <f>SUMIFS(Flat_file!$H:$H,Flat_file!$B:$B,Summary_Inactive!$B$2,Flat_file!$C:$C,"Men",Flat_file!$D:$D,"50-54",Flat_file!$E:$E,"740",Flat_file!$F:$F,"I")+SUMIFS(Flat_file!$H:$H,Flat_file!$B:$B,Summary_Inactive!$B$2,Flat_file!$C:$C,"Men",Flat_file!$D:$D,"50-54",Flat_file!$E:$E,"750",Flat_file!$F:$F,"I")+SUMIFS(Flat_file!$H:$H,Flat_file!$B:$B,Summary_Inactive!$B$2,Flat_file!$C:$C,"Men",Flat_file!$D:$D,"50-54",Flat_file!$E:$E,"760",Flat_file!$F:$F,"I")</f>
        <v>0</v>
      </c>
      <c r="M78" s="89">
        <f>SUMIFS(Flat_file!$H:$H,Flat_file!$B:$B,Summary_Inactive!$B$2,Flat_file!$C:$C,"Men",Flat_file!$D:$D,"50-54",Flat_file!$E:$E,"840",Flat_file!$F:$F,"I")+SUMIFS(Flat_file!$H:$H,Flat_file!$B:$B,Summary_Inactive!$B$2,Flat_file!$C:$C,"Men",Flat_file!$D:$D,"50-54",Flat_file!$E:$E,"850",Flat_file!$F:$F,"I")+SUMIFS(Flat_file!$H:$H,Flat_file!$B:$B,Summary_Inactive!$B$2,Flat_file!$C:$C,"Men",Flat_file!$D:$D,"50-54",Flat_file!$E:$E,"860",Flat_file!$F:$F,"I")</f>
        <v>0</v>
      </c>
      <c r="N78" s="89">
        <f>SUMIFS(Flat_file!$H:$H,Flat_file!$B:$B,Summary_Inactive!$B$2,Flat_file!$C:$C,"Men",Flat_file!$D:$D,"50-54",Flat_file!$E:$E,"999",Flat_file!$F:$F,"I")</f>
        <v>0</v>
      </c>
      <c r="O78" s="89">
        <f t="shared" si="49"/>
        <v>0</v>
      </c>
      <c r="P78" s="90"/>
      <c r="Q78" s="89">
        <f t="shared" si="50"/>
        <v>0</v>
      </c>
      <c r="R78" s="91"/>
      <c r="S78" s="89">
        <f t="shared" si="51"/>
        <v>0</v>
      </c>
      <c r="T78" s="89">
        <f t="shared" si="52"/>
        <v>0</v>
      </c>
      <c r="U78" s="89">
        <f t="shared" si="53"/>
        <v>0</v>
      </c>
      <c r="V78" s="90"/>
      <c r="W78" s="89">
        <f>SUMIFS(Flat_file!$H:$H,Flat_file!$B:$B,Summary_Inactive!$B$2,Flat_file!$C:$C,"Men",Flat_file!$D:$D,"50-54",Flat_file!$E:$E,"343",Flat_file!$F:$F,"I")+SUMIFS(Flat_file!$H:$H,Flat_file!$B:$B,Summary_Inactive!$B$2,Flat_file!$C:$C,"Men",Flat_file!$D:$D,"50-54",Flat_file!$E:$E,"344",Flat_file!$F:$F,"I")+SUMIFS(Flat_file!$H:$H,Flat_file!$B:$B,Summary_Inactive!$B$2,Flat_file!$C:$C,"Men",Flat_file!$D:$D,"50-54",Flat_file!$E:$E,"443",Flat_file!$F:$F,"I")+SUMIFS(Flat_file!$H:$H,Flat_file!$B:$B,Summary_Inactive!$B$2,Flat_file!$C:$C,"Men",Flat_file!$D:$D,"50-54",Flat_file!$E:$E,"444",Flat_file!$F:$F,"I")</f>
        <v>0</v>
      </c>
      <c r="X78" s="89">
        <f>SUMIFS(Flat_file!$H:$H,Flat_file!$B:$B,Summary_Inactive!$B$2,Flat_file!$C:$C,"Men",Flat_file!$D:$D,"50-54",Flat_file!$E:$E,"353",Flat_file!$F:$F,"I")+SUMIFS(Flat_file!$H:$H,Flat_file!$B:$B,Summary_Inactive!$B$2,Flat_file!$C:$C,"Men",Flat_file!$D:$D,"50-54",Flat_file!$E:$E,"354",Flat_file!$F:$F,"I")+SUMIFS(Flat_file!$H:$H,Flat_file!$B:$B,Summary_Inactive!$B$2,Flat_file!$C:$C,"Men",Flat_file!$D:$D,"50-54",Flat_file!$E:$E,"453",Flat_file!$F:$F,"I")+SUMIFS(Flat_file!$H:$H,Flat_file!$B:$B,Summary_Inactive!$B$2,Flat_file!$C:$C,"Men",Flat_file!$D:$D,"50-54",Flat_file!$E:$E,"454",Flat_file!$F:$F,"I")</f>
        <v>0</v>
      </c>
      <c r="Y78" s="90"/>
      <c r="Z78" s="89">
        <f>SUMIFS(Flat_file!$H:$H,Flat_file!$B:$B,Summary_Inactive!$B$2,Flat_file!$C:$C,"Men",Flat_file!$D:$D,"50-54",Flat_file!$E:$E,"640",Flat_file!$F:$F,"I")+SUMIFS(Flat_file!$H:$H,Flat_file!$B:$B,Summary_Inactive!$B$2,Flat_file!$C:$C,"Men",Flat_file!$D:$D,"50-54",Flat_file!$E:$E,"740",Flat_file!$F:$F,"I")+SUMIFS(Flat_file!$H:$H,Flat_file!$B:$B,Summary_Inactive!$B$2,Flat_file!$C:$C,"Men",Flat_file!$D:$D,"50-54",Flat_file!$E:$E,"840",Flat_file!$F:$F,"I")</f>
        <v>0</v>
      </c>
      <c r="AA78" s="89">
        <f>SUMIFS(Flat_file!$H:$H,Flat_file!$B:$B,Summary_Inactive!$B$2,Flat_file!$C:$C,"Men",Flat_file!$D:$D,"50-54",Flat_file!$E:$E,"650",Flat_file!$F:$F,"I")+SUMIFS(Flat_file!$H:$H,Flat_file!$B:$B,Summary_Inactive!$B$2,Flat_file!$C:$C,"Men",Flat_file!$D:$D,"50-54",Flat_file!$E:$E,"750",Flat_file!$F:$F,"I")+SUMIFS(Flat_file!$H:$H,Flat_file!$B:$B,Summary_Inactive!$B$2,Flat_file!$C:$C,"Men",Flat_file!$D:$D,"50-54",Flat_file!$E:$E,"850",Flat_file!$F:$F,"I")</f>
        <v>0</v>
      </c>
      <c r="AB78" s="89">
        <f>SUMIFS(Flat_file!$H:$H,Flat_file!$B:$B,Summary_Inactive!$B$2,Flat_file!$C:$C,"Men",Flat_file!$D:$D,"50-54",Flat_file!$E:$E,"660",Flat_file!$F:$F,"I")+SUMIFS(Flat_file!$H:$H,Flat_file!$B:$B,Summary_Inactive!$B$2,Flat_file!$C:$C,"Men",Flat_file!$D:$D,"50-54",Flat_file!$E:$E,"760",Flat_file!$F:$F,"I")+SUMIFS(Flat_file!$H:$H,Flat_file!$B:$B,Summary_Inactive!$B$2,Flat_file!$C:$C,"Men",Flat_file!$D:$D,"50-54",Flat_file!$E:$E,"860",Flat_file!$F:$F,"I")</f>
        <v>0</v>
      </c>
      <c r="AC78" s="3"/>
      <c r="AD78" s="3"/>
      <c r="AE78" s="3"/>
      <c r="AF78" s="3"/>
      <c r="AG78" s="3"/>
      <c r="AH78" s="3"/>
      <c r="AI78" s="3"/>
      <c r="AJ78" s="3"/>
      <c r="AK78" s="3"/>
      <c r="AL78" s="3"/>
      <c r="AM78" s="3"/>
      <c r="AN78" s="3"/>
      <c r="AO78" s="3"/>
      <c r="AP78" s="3"/>
      <c r="AQ78" s="3"/>
      <c r="AR78" s="3"/>
      <c r="AS78" s="3"/>
    </row>
    <row r="79" spans="1:45" customFormat="1" x14ac:dyDescent="0.2">
      <c r="A79" s="352"/>
      <c r="B79" s="79" t="s">
        <v>95</v>
      </c>
      <c r="C79" s="89">
        <f>SUMIFS(Flat_file!$H:$H,Flat_file!$B:$B,Summary_Inactive!$B$2,Flat_file!$C:$C,"Men",Flat_file!$D:$D,"55-59",Flat_file!$E:$E,"010",Flat_file!$F:$F,"I")+SUMIFS(Flat_file!$H:$H,Flat_file!$B:$B,Summary_Inactive!$B$2,Flat_file!$C:$C,"Men",Flat_file!$D:$D,"55-59",Flat_file!$E:$E,"020",Flat_file!$F:$F,"I")+SUMIFS(Flat_file!$H:$H,Flat_file!$B:$B,Summary_Inactive!$B$2,Flat_file!$C:$C,"Men",Flat_file!$D:$D,"55-59",Flat_file!$E:$E,"030",Flat_file!$F:$F,"I")</f>
        <v>0</v>
      </c>
      <c r="D79" s="89">
        <f>SUMIFS(Flat_file!$H:$H,Flat_file!$B:$B,Summary_Inactive!$B$2,Flat_file!$C:$C,"Men",Flat_file!$D:$D,"55-59",Flat_file!$E:$E,"100",Flat_file!$F:$F,"I")</f>
        <v>0</v>
      </c>
      <c r="E79" s="89">
        <f>SUMIFS(Flat_file!$H:$H,Flat_file!$B:$B,Summary_Inactive!$B$2,Flat_file!$C:$C,"Men",Flat_file!$D:$D,"55-59",Flat_file!$E:$E,"242",Flat_file!$F:$F,"I")+SUMIFS(Flat_file!$H:$H,Flat_file!$B:$B,Summary_Inactive!$B$2,Flat_file!$C:$C,"Men",Flat_file!$D:$D,"55-59",Flat_file!$E:$E,"252",Flat_file!$F:$F,"I")</f>
        <v>0</v>
      </c>
      <c r="F79" s="89">
        <f>SUMIFS(Flat_file!$H:$H,Flat_file!$B:$B,Summary_Inactive!$B$2,Flat_file!$C:$C,"Men",Flat_file!$D:$D,"55-59",Flat_file!$E:$E,"243",Flat_file!$F:$F,"I")+SUMIFS(Flat_file!$H:$H,Flat_file!$B:$B,Summary_Inactive!$B$2,Flat_file!$C:$C,"Men",Flat_file!$D:$D,"55-59",Flat_file!$E:$E,"244",Flat_file!$F:$F,"I")+SUMIFS(Flat_file!$H:$H,Flat_file!$B:$B,Summary_Inactive!$B$2,Flat_file!$C:$C,"Men",Flat_file!$D:$D,"55-59",Flat_file!$E:$E,"253",Flat_file!$F:$F,"I")+SUMIFS(Flat_file!$H:$H,Flat_file!$B:$B,Summary_Inactive!$B$2,Flat_file!$C:$C,"Men",Flat_file!$D:$D,"55-59",Flat_file!$E:$E,"254",Flat_file!$F:$F,"I")</f>
        <v>0</v>
      </c>
      <c r="G79" s="89">
        <f>SUMIFS(Flat_file!$H:$H,Flat_file!$B:$B,Summary_Inactive!$B$2,Flat_file!$C:$C,"Men",Flat_file!$D:$D,"55-59",Flat_file!$E:$E,"342",Flat_file!$F:$F,"I")+SUMIFS(Flat_file!$H:$H,Flat_file!$B:$B,Summary_Inactive!$B$2,Flat_file!$C:$C,"Men",Flat_file!$D:$D,"55-59",Flat_file!$E:$E,"352",Flat_file!$F:$F,"I")</f>
        <v>0</v>
      </c>
      <c r="H79" s="89">
        <f>SUMIFS(Flat_file!$H:$H,Flat_file!$B:$B,Summary_Inactive!$B$2,Flat_file!$C:$C,"Men",Flat_file!$D:$D,"55-59",Flat_file!$E:$E,"343",Flat_file!$F:$F,"I")+SUMIFS(Flat_file!$H:$H,Flat_file!$B:$B,Summary_Inactive!$B$2,Flat_file!$C:$C,"Men",Flat_file!$D:$D,"55-59",Flat_file!$E:$E,"344",Flat_file!$F:$F,"I")+SUMIFS(Flat_file!$H:$H,Flat_file!$B:$B,Summary_Inactive!$B$2,Flat_file!$C:$C,"Men",Flat_file!$D:$D,"55-59",Flat_file!$E:$E,"353",Flat_file!$F:$F,"I")+SUMIFS(Flat_file!$H:$H,Flat_file!$B:$B,Summary_Inactive!$B$2,Flat_file!$C:$C,"Men",Flat_file!$D:$D,"55-59",Flat_file!$E:$E,"354",Flat_file!$F:$F,"I")</f>
        <v>0</v>
      </c>
      <c r="I79" s="89">
        <f>SUMIFS(Flat_file!$H:$H,Flat_file!$B:$B,Summary_Inactive!$B$2,Flat_file!$C:$C,"Men",Flat_file!$D:$D,"55-59",Flat_file!$E:$E,"443",Flat_file!$F:$F,"I")+SUMIFS(Flat_file!$H:$H,Flat_file!$B:$B,Summary_Inactive!$B$2,Flat_file!$C:$C,"Men",Flat_file!$D:$D,"55-59",Flat_file!$E:$E,"444",Flat_file!$F:$F,"I")+SUMIFS(Flat_file!$H:$H,Flat_file!$B:$B,Summary_Inactive!$B$2,Flat_file!$C:$C,"Men",Flat_file!$D:$D,"55-59",Flat_file!$E:$E,"453",Flat_file!$F:$F,"I")+SUMIFS(Flat_file!$H:$H,Flat_file!$B:$B,Summary_Inactive!$B$2,Flat_file!$C:$C,"Men",Flat_file!$D:$D,"55-59",Flat_file!$E:$E,"454",Flat_file!$F:$F,"I")</f>
        <v>0</v>
      </c>
      <c r="J79" s="89">
        <f>SUMIFS(Flat_file!$H:$H,Flat_file!$B:$B,Summary_Inactive!$B$2,Flat_file!$C:$C,"Men",Flat_file!$D:$D,"55-59",Flat_file!$E:$E,"540",Flat_file!$F:$F,"I")+SUMIFS(Flat_file!$H:$H,Flat_file!$B:$B,Summary_Inactive!$B$2,Flat_file!$C:$C,"Men",Flat_file!$D:$D,"55-59",Flat_file!$E:$E,"550",Flat_file!$F:$F,"I")+SUMIFS(Flat_file!$H:$H,Flat_file!$B:$B,Summary_Inactive!$B$2,Flat_file!$C:$C,"Men",Flat_file!$D:$D,"55-59",Flat_file!$E:$E,"560",Flat_file!$F:$F,"I")</f>
        <v>0</v>
      </c>
      <c r="K79" s="89">
        <f>SUMIFS(Flat_file!$H:$H,Flat_file!$B:$B,Summary_Inactive!$B$2,Flat_file!$C:$C,"Men",Flat_file!$D:$D,"55-59",Flat_file!$E:$E,"640",Flat_file!$F:$F,"I")+SUMIFS(Flat_file!$H:$H,Flat_file!$B:$B,Summary_Inactive!$B$2,Flat_file!$C:$C,"Men",Flat_file!$D:$D,"55-59",Flat_file!$E:$E,"650",Flat_file!$F:$F,"I")+SUMIFS(Flat_file!$H:$H,Flat_file!$B:$B,Summary_Inactive!$B$2,Flat_file!$C:$C,"Men",Flat_file!$D:$D,"55-59",Flat_file!$E:$E,"660",Flat_file!$F:$F,"I")</f>
        <v>0</v>
      </c>
      <c r="L79" s="89">
        <f>SUMIFS(Flat_file!$H:$H,Flat_file!$B:$B,Summary_Inactive!$B$2,Flat_file!$C:$C,"Men",Flat_file!$D:$D,"55-59",Flat_file!$E:$E,"740",Flat_file!$F:$F,"I")+SUMIFS(Flat_file!$H:$H,Flat_file!$B:$B,Summary_Inactive!$B$2,Flat_file!$C:$C,"Men",Flat_file!$D:$D,"55-59",Flat_file!$E:$E,"750",Flat_file!$F:$F,"I")+SUMIFS(Flat_file!$H:$H,Flat_file!$B:$B,Summary_Inactive!$B$2,Flat_file!$C:$C,"Men",Flat_file!$D:$D,"55-59",Flat_file!$E:$E,"760",Flat_file!$F:$F,"I")</f>
        <v>0</v>
      </c>
      <c r="M79" s="89">
        <f>SUMIFS(Flat_file!$H:$H,Flat_file!$B:$B,Summary_Inactive!$B$2,Flat_file!$C:$C,"Men",Flat_file!$D:$D,"55-59",Flat_file!$E:$E,"840",Flat_file!$F:$F,"I")+SUMIFS(Flat_file!$H:$H,Flat_file!$B:$B,Summary_Inactive!$B$2,Flat_file!$C:$C,"Men",Flat_file!$D:$D,"55-59",Flat_file!$E:$E,"850",Flat_file!$F:$F,"I")+SUMIFS(Flat_file!$H:$H,Flat_file!$B:$B,Summary_Inactive!$B$2,Flat_file!$C:$C,"Men",Flat_file!$D:$D,"55-59",Flat_file!$E:$E,"860",Flat_file!$F:$F,"I")</f>
        <v>0</v>
      </c>
      <c r="N79" s="89">
        <f>SUMIFS(Flat_file!$H:$H,Flat_file!$B:$B,Summary_Inactive!$B$2,Flat_file!$C:$C,"Men",Flat_file!$D:$D,"55-59",Flat_file!$E:$E,"999",Flat_file!$F:$F,"I")</f>
        <v>0</v>
      </c>
      <c r="O79" s="89">
        <f t="shared" si="49"/>
        <v>0</v>
      </c>
      <c r="P79" s="90"/>
      <c r="Q79" s="89">
        <f t="shared" si="50"/>
        <v>0</v>
      </c>
      <c r="R79" s="91"/>
      <c r="S79" s="89">
        <f t="shared" si="51"/>
        <v>0</v>
      </c>
      <c r="T79" s="89">
        <f t="shared" si="52"/>
        <v>0</v>
      </c>
      <c r="U79" s="89">
        <f t="shared" si="53"/>
        <v>0</v>
      </c>
      <c r="V79" s="90"/>
      <c r="W79" s="89">
        <f>SUMIFS(Flat_file!$H:$H,Flat_file!$B:$B,Summary_Inactive!$B$2,Flat_file!$C:$C,"Men",Flat_file!$D:$D,"55-59",Flat_file!$E:$E,"343",Flat_file!$F:$F,"I")+SUMIFS(Flat_file!$H:$H,Flat_file!$B:$B,Summary_Inactive!$B$2,Flat_file!$C:$C,"Men",Flat_file!$D:$D,"55-59",Flat_file!$E:$E,"344",Flat_file!$F:$F,"I")+SUMIFS(Flat_file!$H:$H,Flat_file!$B:$B,Summary_Inactive!$B$2,Flat_file!$C:$C,"Men",Flat_file!$D:$D,"55-59",Flat_file!$E:$E,"443",Flat_file!$F:$F,"I")+SUMIFS(Flat_file!$H:$H,Flat_file!$B:$B,Summary_Inactive!$B$2,Flat_file!$C:$C,"Men",Flat_file!$D:$D,"55-59",Flat_file!$E:$E,"444",Flat_file!$F:$F,"I")</f>
        <v>0</v>
      </c>
      <c r="X79" s="89">
        <f>SUMIFS(Flat_file!$H:$H,Flat_file!$B:$B,Summary_Inactive!$B$2,Flat_file!$C:$C,"Men",Flat_file!$D:$D,"55-59",Flat_file!$E:$E,"353",Flat_file!$F:$F,"I")+SUMIFS(Flat_file!$H:$H,Flat_file!$B:$B,Summary_Inactive!$B$2,Flat_file!$C:$C,"Men",Flat_file!$D:$D,"55-59",Flat_file!$E:$E,"354",Flat_file!$F:$F,"I")+SUMIFS(Flat_file!$H:$H,Flat_file!$B:$B,Summary_Inactive!$B$2,Flat_file!$C:$C,"Men",Flat_file!$D:$D,"55-59",Flat_file!$E:$E,"453",Flat_file!$F:$F,"I")+SUMIFS(Flat_file!$H:$H,Flat_file!$B:$B,Summary_Inactive!$B$2,Flat_file!$C:$C,"Men",Flat_file!$D:$D,"55-59",Flat_file!$E:$E,"454",Flat_file!$F:$F,"I")</f>
        <v>0</v>
      </c>
      <c r="Y79" s="90"/>
      <c r="Z79" s="89">
        <f>SUMIFS(Flat_file!$H:$H,Flat_file!$B:$B,Summary_Inactive!$B$2,Flat_file!$C:$C,"Men",Flat_file!$D:$D,"55-59",Flat_file!$E:$E,"640",Flat_file!$F:$F,"I")+SUMIFS(Flat_file!$H:$H,Flat_file!$B:$B,Summary_Inactive!$B$2,Flat_file!$C:$C,"Men",Flat_file!$D:$D,"55-59",Flat_file!$E:$E,"740",Flat_file!$F:$F,"I")+SUMIFS(Flat_file!$H:$H,Flat_file!$B:$B,Summary_Inactive!$B$2,Flat_file!$C:$C,"Men",Flat_file!$D:$D,"55-59",Flat_file!$E:$E,"840",Flat_file!$F:$F,"I")</f>
        <v>0</v>
      </c>
      <c r="AA79" s="89">
        <f>SUMIFS(Flat_file!$H:$H,Flat_file!$B:$B,Summary_Inactive!$B$2,Flat_file!$C:$C,"Men",Flat_file!$D:$D,"55-59",Flat_file!$E:$E,"650",Flat_file!$F:$F,"I")+SUMIFS(Flat_file!$H:$H,Flat_file!$B:$B,Summary_Inactive!$B$2,Flat_file!$C:$C,"Men",Flat_file!$D:$D,"55-59",Flat_file!$E:$E,"750",Flat_file!$F:$F,"I")+SUMIFS(Flat_file!$H:$H,Flat_file!$B:$B,Summary_Inactive!$B$2,Flat_file!$C:$C,"Men",Flat_file!$D:$D,"55-59",Flat_file!$E:$E,"850",Flat_file!$F:$F,"I")</f>
        <v>0</v>
      </c>
      <c r="AB79" s="89">
        <f>SUMIFS(Flat_file!$H:$H,Flat_file!$B:$B,Summary_Inactive!$B$2,Flat_file!$C:$C,"Men",Flat_file!$D:$D,"55-59",Flat_file!$E:$E,"660",Flat_file!$F:$F,"I")+SUMIFS(Flat_file!$H:$H,Flat_file!$B:$B,Summary_Inactive!$B$2,Flat_file!$C:$C,"Men",Flat_file!$D:$D,"55-59",Flat_file!$E:$E,"760",Flat_file!$F:$F,"I")+SUMIFS(Flat_file!$H:$H,Flat_file!$B:$B,Summary_Inactive!$B$2,Flat_file!$C:$C,"Men",Flat_file!$D:$D,"55-59",Flat_file!$E:$E,"860",Flat_file!$F:$F,"I")</f>
        <v>0</v>
      </c>
      <c r="AC79" s="3"/>
      <c r="AD79" s="3"/>
      <c r="AE79" s="3"/>
      <c r="AF79" s="3"/>
      <c r="AG79" s="3"/>
      <c r="AH79" s="3"/>
      <c r="AI79" s="3"/>
      <c r="AJ79" s="3"/>
      <c r="AK79" s="3"/>
      <c r="AL79" s="3"/>
      <c r="AM79" s="3"/>
      <c r="AN79" s="3"/>
      <c r="AO79" s="3"/>
      <c r="AP79" s="3"/>
      <c r="AQ79" s="3"/>
      <c r="AR79" s="3"/>
      <c r="AS79" s="3"/>
    </row>
    <row r="80" spans="1:45" customFormat="1" x14ac:dyDescent="0.2">
      <c r="A80" s="352"/>
      <c r="B80" s="79" t="s">
        <v>96</v>
      </c>
      <c r="C80" s="89">
        <f>SUMIFS(Flat_file!$H:$H,Flat_file!$B:$B,Summary_Inactive!$B$2,Flat_file!$C:$C,"Men",Flat_file!$D:$D,"60-64",Flat_file!$E:$E,"010",Flat_file!$F:$F,"I")+SUMIFS(Flat_file!$H:$H,Flat_file!$B:$B,Summary_Inactive!$B$2,Flat_file!$C:$C,"Men",Flat_file!$D:$D,"60-64",Flat_file!$E:$E,"020",Flat_file!$F:$F,"I")+SUMIFS(Flat_file!$H:$H,Flat_file!$B:$B,Summary_Inactive!$B$2,Flat_file!$C:$C,"Men",Flat_file!$D:$D,"60-64",Flat_file!$E:$E,"030",Flat_file!$F:$F,"I")</f>
        <v>0</v>
      </c>
      <c r="D80" s="89">
        <f>SUMIFS(Flat_file!$H:$H,Flat_file!$B:$B,Summary_Inactive!$B$2,Flat_file!$C:$C,"Men",Flat_file!$D:$D,"60-64",Flat_file!$E:$E,"100",Flat_file!$F:$F,"I")</f>
        <v>0</v>
      </c>
      <c r="E80" s="89">
        <f>SUMIFS(Flat_file!$H:$H,Flat_file!$B:$B,Summary_Inactive!$B$2,Flat_file!$C:$C,"Men",Flat_file!$D:$D,"60-64",Flat_file!$E:$E,"242",Flat_file!$F:$F,"I")+SUMIFS(Flat_file!$H:$H,Flat_file!$B:$B,Summary_Inactive!$B$2,Flat_file!$C:$C,"Men",Flat_file!$D:$D,"60-64",Flat_file!$E:$E,"252",Flat_file!$F:$F,"I")</f>
        <v>0</v>
      </c>
      <c r="F80" s="89">
        <f>SUMIFS(Flat_file!$H:$H,Flat_file!$B:$B,Summary_Inactive!$B$2,Flat_file!$C:$C,"Men",Flat_file!$D:$D,"60-64",Flat_file!$E:$E,"243",Flat_file!$F:$F,"I")+SUMIFS(Flat_file!$H:$H,Flat_file!$B:$B,Summary_Inactive!$B$2,Flat_file!$C:$C,"Men",Flat_file!$D:$D,"60-64",Flat_file!$E:$E,"244",Flat_file!$F:$F,"I")+SUMIFS(Flat_file!$H:$H,Flat_file!$B:$B,Summary_Inactive!$B$2,Flat_file!$C:$C,"Men",Flat_file!$D:$D,"60-64",Flat_file!$E:$E,"253",Flat_file!$F:$F,"I")+SUMIFS(Flat_file!$H:$H,Flat_file!$B:$B,Summary_Inactive!$B$2,Flat_file!$C:$C,"Men",Flat_file!$D:$D,"60-64",Flat_file!$E:$E,"254",Flat_file!$F:$F,"I")</f>
        <v>0</v>
      </c>
      <c r="G80" s="89">
        <f>SUMIFS(Flat_file!$H:$H,Flat_file!$B:$B,Summary_Inactive!$B$2,Flat_file!$C:$C,"Men",Flat_file!$D:$D,"60-64",Flat_file!$E:$E,"342",Flat_file!$F:$F,"I")+SUMIFS(Flat_file!$H:$H,Flat_file!$B:$B,Summary_Inactive!$B$2,Flat_file!$C:$C,"Men",Flat_file!$D:$D,"60-64",Flat_file!$E:$E,"352",Flat_file!$F:$F,"I")</f>
        <v>0</v>
      </c>
      <c r="H80" s="89">
        <f>SUMIFS(Flat_file!$H:$H,Flat_file!$B:$B,Summary_Inactive!$B$2,Flat_file!$C:$C,"Men",Flat_file!$D:$D,"60-64",Flat_file!$E:$E,"343",Flat_file!$F:$F,"I")+SUMIFS(Flat_file!$H:$H,Flat_file!$B:$B,Summary_Inactive!$B$2,Flat_file!$C:$C,"Men",Flat_file!$D:$D,"60-64",Flat_file!$E:$E,"344",Flat_file!$F:$F,"I")+SUMIFS(Flat_file!$H:$H,Flat_file!$B:$B,Summary_Inactive!$B$2,Flat_file!$C:$C,"Men",Flat_file!$D:$D,"60-64",Flat_file!$E:$E,"353",Flat_file!$F:$F,"I")+SUMIFS(Flat_file!$H:$H,Flat_file!$B:$B,Summary_Inactive!$B$2,Flat_file!$C:$C,"Men",Flat_file!$D:$D,"60-64",Flat_file!$E:$E,"354",Flat_file!$F:$F,"I")</f>
        <v>0</v>
      </c>
      <c r="I80" s="89">
        <f>SUMIFS(Flat_file!$H:$H,Flat_file!$B:$B,Summary_Inactive!$B$2,Flat_file!$C:$C,"Men",Flat_file!$D:$D,"60-64",Flat_file!$E:$E,"443",Flat_file!$F:$F,"I")+SUMIFS(Flat_file!$H:$H,Flat_file!$B:$B,Summary_Inactive!$B$2,Flat_file!$C:$C,"Men",Flat_file!$D:$D,"60-64",Flat_file!$E:$E,"444",Flat_file!$F:$F,"I")+SUMIFS(Flat_file!$H:$H,Flat_file!$B:$B,Summary_Inactive!$B$2,Flat_file!$C:$C,"Men",Flat_file!$D:$D,"60-64",Flat_file!$E:$E,"453",Flat_file!$F:$F,"I")+SUMIFS(Flat_file!$H:$H,Flat_file!$B:$B,Summary_Inactive!$B$2,Flat_file!$C:$C,"Men",Flat_file!$D:$D,"60-64",Flat_file!$E:$E,"454",Flat_file!$F:$F,"I")</f>
        <v>0</v>
      </c>
      <c r="J80" s="89">
        <f>SUMIFS(Flat_file!$H:$H,Flat_file!$B:$B,Summary_Inactive!$B$2,Flat_file!$C:$C,"Men",Flat_file!$D:$D,"60-64",Flat_file!$E:$E,"540",Flat_file!$F:$F,"I")+SUMIFS(Flat_file!$H:$H,Flat_file!$B:$B,Summary_Inactive!$B$2,Flat_file!$C:$C,"Men",Flat_file!$D:$D,"60-64",Flat_file!$E:$E,"550",Flat_file!$F:$F,"I")+SUMIFS(Flat_file!$H:$H,Flat_file!$B:$B,Summary_Inactive!$B$2,Flat_file!$C:$C,"Men",Flat_file!$D:$D,"60-64",Flat_file!$E:$E,"560",Flat_file!$F:$F,"I")</f>
        <v>0</v>
      </c>
      <c r="K80" s="89">
        <f>SUMIFS(Flat_file!$H:$H,Flat_file!$B:$B,Summary_Inactive!$B$2,Flat_file!$C:$C,"Men",Flat_file!$D:$D,"60-64",Flat_file!$E:$E,"640",Flat_file!$F:$F,"I")+SUMIFS(Flat_file!$H:$H,Flat_file!$B:$B,Summary_Inactive!$B$2,Flat_file!$C:$C,"Men",Flat_file!$D:$D,"60-64",Flat_file!$E:$E,"650",Flat_file!$F:$F,"I")+SUMIFS(Flat_file!$H:$H,Flat_file!$B:$B,Summary_Inactive!$B$2,Flat_file!$C:$C,"Men",Flat_file!$D:$D,"60-64",Flat_file!$E:$E,"660",Flat_file!$F:$F,"I")</f>
        <v>0</v>
      </c>
      <c r="L80" s="89">
        <f>SUMIFS(Flat_file!$H:$H,Flat_file!$B:$B,Summary_Inactive!$B$2,Flat_file!$C:$C,"Men",Flat_file!$D:$D,"60-64",Flat_file!$E:$E,"740",Flat_file!$F:$F,"I")+SUMIFS(Flat_file!$H:$H,Flat_file!$B:$B,Summary_Inactive!$B$2,Flat_file!$C:$C,"Men",Flat_file!$D:$D,"60-64",Flat_file!$E:$E,"750",Flat_file!$F:$F,"I")+SUMIFS(Flat_file!$H:$H,Flat_file!$B:$B,Summary_Inactive!$B$2,Flat_file!$C:$C,"Men",Flat_file!$D:$D,"60-64",Flat_file!$E:$E,"760",Flat_file!$F:$F,"I")</f>
        <v>0</v>
      </c>
      <c r="M80" s="89">
        <f>SUMIFS(Flat_file!$H:$H,Flat_file!$B:$B,Summary_Inactive!$B$2,Flat_file!$C:$C,"Men",Flat_file!$D:$D,"60-64",Flat_file!$E:$E,"840",Flat_file!$F:$F,"I")+SUMIFS(Flat_file!$H:$H,Flat_file!$B:$B,Summary_Inactive!$B$2,Flat_file!$C:$C,"Men",Flat_file!$D:$D,"60-64",Flat_file!$E:$E,"850",Flat_file!$F:$F,"I")+SUMIFS(Flat_file!$H:$H,Flat_file!$B:$B,Summary_Inactive!$B$2,Flat_file!$C:$C,"Men",Flat_file!$D:$D,"60-64",Flat_file!$E:$E,"860",Flat_file!$F:$F,"I")</f>
        <v>0</v>
      </c>
      <c r="N80" s="89">
        <f>SUMIFS(Flat_file!$H:$H,Flat_file!$B:$B,Summary_Inactive!$B$2,Flat_file!$C:$C,"Men",Flat_file!$D:$D,"60-64",Flat_file!$E:$E,"999",Flat_file!$F:$F,"I")</f>
        <v>0</v>
      </c>
      <c r="O80" s="89">
        <f t="shared" si="49"/>
        <v>0</v>
      </c>
      <c r="P80" s="90"/>
      <c r="Q80" s="89">
        <f t="shared" si="50"/>
        <v>0</v>
      </c>
      <c r="R80" s="91"/>
      <c r="S80" s="89">
        <f t="shared" si="51"/>
        <v>0</v>
      </c>
      <c r="T80" s="89">
        <f t="shared" si="52"/>
        <v>0</v>
      </c>
      <c r="U80" s="89">
        <f t="shared" si="53"/>
        <v>0</v>
      </c>
      <c r="V80" s="90"/>
      <c r="W80" s="89">
        <f>SUMIFS(Flat_file!$H:$H,Flat_file!$B:$B,Summary_Inactive!$B$2,Flat_file!$C:$C,"Men",Flat_file!$D:$D,"60-64",Flat_file!$E:$E,"343",Flat_file!$F:$F,"I")+SUMIFS(Flat_file!$H:$H,Flat_file!$B:$B,Summary_Inactive!$B$2,Flat_file!$C:$C,"Men",Flat_file!$D:$D,"60-64",Flat_file!$E:$E,"344",Flat_file!$F:$F,"I")+SUMIFS(Flat_file!$H:$H,Flat_file!$B:$B,Summary_Inactive!$B$2,Flat_file!$C:$C,"Men",Flat_file!$D:$D,"60-64",Flat_file!$E:$E,"443",Flat_file!$F:$F,"I")+SUMIFS(Flat_file!$H:$H,Flat_file!$B:$B,Summary_Inactive!$B$2,Flat_file!$C:$C,"Men",Flat_file!$D:$D,"60-64",Flat_file!$E:$E,"444",Flat_file!$F:$F,"I")</f>
        <v>0</v>
      </c>
      <c r="X80" s="89">
        <f>SUMIFS(Flat_file!$H:$H,Flat_file!$B:$B,Summary_Inactive!$B$2,Flat_file!$C:$C,"Men",Flat_file!$D:$D,"60-64",Flat_file!$E:$E,"353",Flat_file!$F:$F,"I")+SUMIFS(Flat_file!$H:$H,Flat_file!$B:$B,Summary_Inactive!$B$2,Flat_file!$C:$C,"Men",Flat_file!$D:$D,"60-64",Flat_file!$E:$E,"354",Flat_file!$F:$F,"I")+SUMIFS(Flat_file!$H:$H,Flat_file!$B:$B,Summary_Inactive!$B$2,Flat_file!$C:$C,"Men",Flat_file!$D:$D,"60-64",Flat_file!$E:$E,"453",Flat_file!$F:$F,"I")+SUMIFS(Flat_file!$H:$H,Flat_file!$B:$B,Summary_Inactive!$B$2,Flat_file!$C:$C,"Men",Flat_file!$D:$D,"60-64",Flat_file!$E:$E,"454",Flat_file!$F:$F,"I")</f>
        <v>0</v>
      </c>
      <c r="Y80" s="90"/>
      <c r="Z80" s="89">
        <f>SUMIFS(Flat_file!$H:$H,Flat_file!$B:$B,Summary_Inactive!$B$2,Flat_file!$C:$C,"Men",Flat_file!$D:$D,"60-64",Flat_file!$E:$E,"640",Flat_file!$F:$F,"I")+SUMIFS(Flat_file!$H:$H,Flat_file!$B:$B,Summary_Inactive!$B$2,Flat_file!$C:$C,"Men",Flat_file!$D:$D,"60-64",Flat_file!$E:$E,"740",Flat_file!$F:$F,"I")+SUMIFS(Flat_file!$H:$H,Flat_file!$B:$B,Summary_Inactive!$B$2,Flat_file!$C:$C,"Men",Flat_file!$D:$D,"60-64",Flat_file!$E:$E,"840",Flat_file!$F:$F,"I")</f>
        <v>0</v>
      </c>
      <c r="AA80" s="89">
        <f>SUMIFS(Flat_file!$H:$H,Flat_file!$B:$B,Summary_Inactive!$B$2,Flat_file!$C:$C,"Men",Flat_file!$D:$D,"60-64",Flat_file!$E:$E,"650",Flat_file!$F:$F,"I")+SUMIFS(Flat_file!$H:$H,Flat_file!$B:$B,Summary_Inactive!$B$2,Flat_file!$C:$C,"Men",Flat_file!$D:$D,"60-64",Flat_file!$E:$E,"750",Flat_file!$F:$F,"I")+SUMIFS(Flat_file!$H:$H,Flat_file!$B:$B,Summary_Inactive!$B$2,Flat_file!$C:$C,"Men",Flat_file!$D:$D,"60-64",Flat_file!$E:$E,"850",Flat_file!$F:$F,"I")</f>
        <v>0</v>
      </c>
      <c r="AB80" s="89">
        <f>SUMIFS(Flat_file!$H:$H,Flat_file!$B:$B,Summary_Inactive!$B$2,Flat_file!$C:$C,"Men",Flat_file!$D:$D,"60-64",Flat_file!$E:$E,"660",Flat_file!$F:$F,"I")+SUMIFS(Flat_file!$H:$H,Flat_file!$B:$B,Summary_Inactive!$B$2,Flat_file!$C:$C,"Men",Flat_file!$D:$D,"60-64",Flat_file!$E:$E,"760",Flat_file!$F:$F,"I")+SUMIFS(Flat_file!$H:$H,Flat_file!$B:$B,Summary_Inactive!$B$2,Flat_file!$C:$C,"Men",Flat_file!$D:$D,"60-64",Flat_file!$E:$E,"860",Flat_file!$F:$F,"I")</f>
        <v>0</v>
      </c>
      <c r="AC80" s="3"/>
      <c r="AD80" s="3"/>
      <c r="AE80" s="3"/>
      <c r="AF80" s="3"/>
      <c r="AG80" s="3"/>
      <c r="AH80" s="3"/>
      <c r="AI80" s="3"/>
      <c r="AJ80" s="3"/>
      <c r="AK80" s="3"/>
      <c r="AL80" s="3"/>
      <c r="AM80" s="3"/>
      <c r="AN80" s="3"/>
      <c r="AO80" s="3"/>
      <c r="AP80" s="3"/>
      <c r="AQ80" s="3"/>
      <c r="AR80" s="3"/>
      <c r="AS80" s="3"/>
    </row>
    <row r="81" spans="1:45" customFormat="1" x14ac:dyDescent="0.2">
      <c r="A81" s="352"/>
      <c r="B81" s="79" t="s">
        <v>258</v>
      </c>
      <c r="C81" s="225">
        <f>SUMIFS(Flat_file!$H:$H,Flat_file!$B:$B,Summary_Inactive!$B$2,Flat_file!$C:$C,"Men",Flat_file!$D:$D,"65-69",Flat_file!$E:$E,"010",Flat_file!$F:$F,"I")+SUMIFS(Flat_file!$H:$H,Flat_file!$B:$B,Summary_Inactive!$B$2,Flat_file!$C:$C,"Men",Flat_file!$D:$D,"65-69",Flat_file!$E:$E,"020",Flat_file!$F:$F,"I")+SUMIFS(Flat_file!$H:$H,Flat_file!$B:$B,Summary_Inactive!$B$2,Flat_file!$C:$C,"Men",Flat_file!$D:$D,"65-69",Flat_file!$E:$E,"030",Flat_file!$F:$F,"I")</f>
        <v>0</v>
      </c>
      <c r="D81" s="225">
        <f>SUMIFS(Flat_file!$H:$H,Flat_file!$B:$B,Summary_Inactive!$B$2,Flat_file!$C:$C,"Men",Flat_file!$D:$D,"65-69",Flat_file!$E:$E,"100",Flat_file!$F:$F,"I")</f>
        <v>0</v>
      </c>
      <c r="E81" s="225">
        <f>SUMIFS(Flat_file!$H:$H,Flat_file!$B:$B,Summary_Inactive!$B$2,Flat_file!$C:$C,"Men",Flat_file!$D:$D,"65-69",Flat_file!$E:$E,"242",Flat_file!$F:$F,"I")+SUMIFS(Flat_file!$H:$H,Flat_file!$B:$B,Summary_Inactive!$B$2,Flat_file!$C:$C,"Men",Flat_file!$D:$D,"65-69",Flat_file!$E:$E,"252",Flat_file!$F:$F,"I")</f>
        <v>0</v>
      </c>
      <c r="F81" s="225">
        <f>SUMIFS(Flat_file!$H:$H,Flat_file!$B:$B,Summary_Inactive!$B$2,Flat_file!$C:$C,"Men",Flat_file!$D:$D,"65-69",Flat_file!$E:$E,"243",Flat_file!$F:$F,"I")+SUMIFS(Flat_file!$H:$H,Flat_file!$B:$B,Summary_Inactive!$B$2,Flat_file!$C:$C,"Men",Flat_file!$D:$D,"65-69",Flat_file!$E:$E,"244",Flat_file!$F:$F,"I")+SUMIFS(Flat_file!$H:$H,Flat_file!$B:$B,Summary_Inactive!$B$2,Flat_file!$C:$C,"Men",Flat_file!$D:$D,"65-69",Flat_file!$E:$E,"253",Flat_file!$F:$F,"I")+SUMIFS(Flat_file!$H:$H,Flat_file!$B:$B,Summary_Inactive!$B$2,Flat_file!$C:$C,"Men",Flat_file!$D:$D,"65-69",Flat_file!$E:$E,"254",Flat_file!$F:$F,"I")</f>
        <v>0</v>
      </c>
      <c r="G81" s="225">
        <f>SUMIFS(Flat_file!$H:$H,Flat_file!$B:$B,Summary_Inactive!$B$2,Flat_file!$C:$C,"Men",Flat_file!$D:$D,"65-69",Flat_file!$E:$E,"342",Flat_file!$F:$F,"I")+SUMIFS(Flat_file!$H:$H,Flat_file!$B:$B,Summary_Inactive!$B$2,Flat_file!$C:$C,"Men",Flat_file!$D:$D,"65-69",Flat_file!$E:$E,"352",Flat_file!$F:$F,"I")</f>
        <v>0</v>
      </c>
      <c r="H81" s="225">
        <f>SUMIFS(Flat_file!$H:$H,Flat_file!$B:$B,Summary_Inactive!$B$2,Flat_file!$C:$C,"Men",Flat_file!$D:$D,"65-69",Flat_file!$E:$E,"343",Flat_file!$F:$F,"I")+SUMIFS(Flat_file!$H:$H,Flat_file!$B:$B,Summary_Inactive!$B$2,Flat_file!$C:$C,"Men",Flat_file!$D:$D,"65-69",Flat_file!$E:$E,"344",Flat_file!$F:$F,"I")+SUMIFS(Flat_file!$H:$H,Flat_file!$B:$B,Summary_Inactive!$B$2,Flat_file!$C:$C,"Men",Flat_file!$D:$D,"65-69",Flat_file!$E:$E,"353",Flat_file!$F:$F,"I")+SUMIFS(Flat_file!$H:$H,Flat_file!$B:$B,Summary_Inactive!$B$2,Flat_file!$C:$C,"Men",Flat_file!$D:$D,"65-69",Flat_file!$E:$E,"354",Flat_file!$F:$F,"I")</f>
        <v>0</v>
      </c>
      <c r="I81" s="225">
        <f>SUMIFS(Flat_file!$H:$H,Flat_file!$B:$B,Summary_Inactive!$B$2,Flat_file!$C:$C,"Men",Flat_file!$D:$D,"65-69",Flat_file!$E:$E,"443",Flat_file!$F:$F,"I")+SUMIFS(Flat_file!$H:$H,Flat_file!$B:$B,Summary_Inactive!$B$2,Flat_file!$C:$C,"Men",Flat_file!$D:$D,"65-69",Flat_file!$E:$E,"444",Flat_file!$F:$F,"I")+SUMIFS(Flat_file!$H:$H,Flat_file!$B:$B,Summary_Inactive!$B$2,Flat_file!$C:$C,"Men",Flat_file!$D:$D,"65-69",Flat_file!$E:$E,"453",Flat_file!$F:$F,"I")+SUMIFS(Flat_file!$H:$H,Flat_file!$B:$B,Summary_Inactive!$B$2,Flat_file!$C:$C,"Men",Flat_file!$D:$D,"65-69",Flat_file!$E:$E,"454",Flat_file!$F:$F,"I")</f>
        <v>0</v>
      </c>
      <c r="J81" s="225">
        <f>SUMIFS(Flat_file!$H:$H,Flat_file!$B:$B,Summary_Inactive!$B$2,Flat_file!$C:$C,"Men",Flat_file!$D:$D,"65-69",Flat_file!$E:$E,"540",Flat_file!$F:$F,"I")+SUMIFS(Flat_file!$H:$H,Flat_file!$B:$B,Summary_Inactive!$B$2,Flat_file!$C:$C,"Men",Flat_file!$D:$D,"65-69",Flat_file!$E:$E,"550",Flat_file!$F:$F,"I")+SUMIFS(Flat_file!$H:$H,Flat_file!$B:$B,Summary_Inactive!$B$2,Flat_file!$C:$C,"Men",Flat_file!$D:$D,"65-69",Flat_file!$E:$E,"560",Flat_file!$F:$F,"I")</f>
        <v>0</v>
      </c>
      <c r="K81" s="225">
        <f>SUMIFS(Flat_file!$H:$H,Flat_file!$B:$B,Summary_Inactive!$B$2,Flat_file!$C:$C,"Men",Flat_file!$D:$D,"65-69",Flat_file!$E:$E,"640",Flat_file!$F:$F,"I")+SUMIFS(Flat_file!$H:$H,Flat_file!$B:$B,Summary_Inactive!$B$2,Flat_file!$C:$C,"Men",Flat_file!$D:$D,"65-69",Flat_file!$E:$E,"650",Flat_file!$F:$F,"I")+SUMIFS(Flat_file!$H:$H,Flat_file!$B:$B,Summary_Inactive!$B$2,Flat_file!$C:$C,"Men",Flat_file!$D:$D,"65-69",Flat_file!$E:$E,"660",Flat_file!$F:$F,"I")</f>
        <v>0</v>
      </c>
      <c r="L81" s="225">
        <f>SUMIFS(Flat_file!$H:$H,Flat_file!$B:$B,Summary_Inactive!$B$2,Flat_file!$C:$C,"Men",Flat_file!$D:$D,"65-69",Flat_file!$E:$E,"740",Flat_file!$F:$F,"I")+SUMIFS(Flat_file!$H:$H,Flat_file!$B:$B,Summary_Inactive!$B$2,Flat_file!$C:$C,"Men",Flat_file!$D:$D,"65-69",Flat_file!$E:$E,"750",Flat_file!$F:$F,"I")+SUMIFS(Flat_file!$H:$H,Flat_file!$B:$B,Summary_Inactive!$B$2,Flat_file!$C:$C,"Men",Flat_file!$D:$D,"65-69",Flat_file!$E:$E,"760",Flat_file!$F:$F,"I")</f>
        <v>0</v>
      </c>
      <c r="M81" s="225">
        <f>SUMIFS(Flat_file!$H:$H,Flat_file!$B:$B,Summary_Inactive!$B$2,Flat_file!$C:$C,"Men",Flat_file!$D:$D,"65-69",Flat_file!$E:$E,"840",Flat_file!$F:$F,"I")+SUMIFS(Flat_file!$H:$H,Flat_file!$B:$B,Summary_Inactive!$B$2,Flat_file!$C:$C,"Men",Flat_file!$D:$D,"65-69",Flat_file!$E:$E,"850",Flat_file!$F:$F,"I")+SUMIFS(Flat_file!$H:$H,Flat_file!$B:$B,Summary_Inactive!$B$2,Flat_file!$C:$C,"Men",Flat_file!$D:$D,"65-69",Flat_file!$E:$E,"860",Flat_file!$F:$F,"I")</f>
        <v>0</v>
      </c>
      <c r="N81" s="225">
        <f>SUMIFS(Flat_file!$H:$H,Flat_file!$B:$B,Summary_Inactive!$B$2,Flat_file!$C:$C,"Men",Flat_file!$D:$D,"65-69",Flat_file!$E:$E,"999",Flat_file!$F:$F,"I")</f>
        <v>0</v>
      </c>
      <c r="O81" s="225">
        <f t="shared" si="49"/>
        <v>0</v>
      </c>
      <c r="P81" s="90"/>
      <c r="Q81" s="225">
        <f t="shared" si="50"/>
        <v>0</v>
      </c>
      <c r="R81" s="91"/>
      <c r="S81" s="225">
        <f t="shared" si="51"/>
        <v>0</v>
      </c>
      <c r="T81" s="225">
        <f t="shared" si="52"/>
        <v>0</v>
      </c>
      <c r="U81" s="225">
        <f t="shared" si="53"/>
        <v>0</v>
      </c>
      <c r="V81" s="90"/>
      <c r="W81" s="225">
        <f>SUMIFS(Flat_file!$H:$H,Flat_file!$B:$B,Summary_Inactive!$B$2,Flat_file!$C:$C,"Men",Flat_file!$D:$D,"65-69",Flat_file!$E:$E,"343",Flat_file!$F:$F,"I")+SUMIFS(Flat_file!$H:$H,Flat_file!$B:$B,Summary_Inactive!$B$2,Flat_file!$C:$C,"Men",Flat_file!$D:$D,"65-69",Flat_file!$E:$E,"344",Flat_file!$F:$F,"I")+SUMIFS(Flat_file!$H:$H,Flat_file!$B:$B,Summary_Inactive!$B$2,Flat_file!$C:$C,"Men",Flat_file!$D:$D,"65-69",Flat_file!$E:$E,"443",Flat_file!$F:$F,"I")+SUMIFS(Flat_file!$H:$H,Flat_file!$B:$B,Summary_Inactive!$B$2,Flat_file!$C:$C,"Men",Flat_file!$D:$D,"65-69",Flat_file!$E:$E,"444",Flat_file!$F:$F,"I")</f>
        <v>0</v>
      </c>
      <c r="X81" s="225">
        <f>SUMIFS(Flat_file!$H:$H,Flat_file!$B:$B,Summary_Inactive!$B$2,Flat_file!$C:$C,"Men",Flat_file!$D:$D,"65-69",Flat_file!$E:$E,"353",Flat_file!$F:$F,"I")+SUMIFS(Flat_file!$H:$H,Flat_file!$B:$B,Summary_Inactive!$B$2,Flat_file!$C:$C,"Men",Flat_file!$D:$D,"65-69",Flat_file!$E:$E,"354",Flat_file!$F:$F,"I")+SUMIFS(Flat_file!$H:$H,Flat_file!$B:$B,Summary_Inactive!$B$2,Flat_file!$C:$C,"Men",Flat_file!$D:$D,"65-69",Flat_file!$E:$E,"453",Flat_file!$F:$F,"I")+SUMIFS(Flat_file!$H:$H,Flat_file!$B:$B,Summary_Inactive!$B$2,Flat_file!$C:$C,"Men",Flat_file!$D:$D,"65-69",Flat_file!$E:$E,"454",Flat_file!$F:$F,"I")</f>
        <v>0</v>
      </c>
      <c r="Y81" s="90"/>
      <c r="Z81" s="225">
        <f>SUMIFS(Flat_file!$H:$H,Flat_file!$B:$B,Summary_Inactive!$B$2,Flat_file!$C:$C,"Men",Flat_file!$D:$D,"65-69",Flat_file!$E:$E,"640",Flat_file!$F:$F,"I")+SUMIFS(Flat_file!$H:$H,Flat_file!$B:$B,Summary_Inactive!$B$2,Flat_file!$C:$C,"Men",Flat_file!$D:$D,"65-69",Flat_file!$E:$E,"740",Flat_file!$F:$F,"I")+SUMIFS(Flat_file!$H:$H,Flat_file!$B:$B,Summary_Inactive!$B$2,Flat_file!$C:$C,"Men",Flat_file!$D:$D,"65-69",Flat_file!$E:$E,"840",Flat_file!$F:$F,"I")</f>
        <v>0</v>
      </c>
      <c r="AA81" s="225">
        <f>SUMIFS(Flat_file!$H:$H,Flat_file!$B:$B,Summary_Inactive!$B$2,Flat_file!$C:$C,"Men",Flat_file!$D:$D,"65-69",Flat_file!$E:$E,"650",Flat_file!$F:$F,"I")+SUMIFS(Flat_file!$H:$H,Flat_file!$B:$B,Summary_Inactive!$B$2,Flat_file!$C:$C,"Men",Flat_file!$D:$D,"65-69",Flat_file!$E:$E,"750",Flat_file!$F:$F,"I")+SUMIFS(Flat_file!$H:$H,Flat_file!$B:$B,Summary_Inactive!$B$2,Flat_file!$C:$C,"Men",Flat_file!$D:$D,"65-69",Flat_file!$E:$E,"850",Flat_file!$F:$F,"I")</f>
        <v>0</v>
      </c>
      <c r="AB81" s="225">
        <f>SUMIFS(Flat_file!$H:$H,Flat_file!$B:$B,Summary_Inactive!$B$2,Flat_file!$C:$C,"Men",Flat_file!$D:$D,"65-69",Flat_file!$E:$E,"660",Flat_file!$F:$F,"I")+SUMIFS(Flat_file!$H:$H,Flat_file!$B:$B,Summary_Inactive!$B$2,Flat_file!$C:$C,"Men",Flat_file!$D:$D,"65-69",Flat_file!$E:$E,"760",Flat_file!$F:$F,"I")+SUMIFS(Flat_file!$H:$H,Flat_file!$B:$B,Summary_Inactive!$B$2,Flat_file!$C:$C,"Men",Flat_file!$D:$D,"65-69",Flat_file!$E:$E,"860",Flat_file!$F:$F,"I")</f>
        <v>0</v>
      </c>
      <c r="AC81" s="3"/>
      <c r="AD81" s="3"/>
      <c r="AE81" s="3"/>
      <c r="AF81" s="3"/>
      <c r="AG81" s="3"/>
      <c r="AH81" s="3"/>
      <c r="AI81" s="3"/>
      <c r="AJ81" s="3"/>
      <c r="AK81" s="3"/>
      <c r="AL81" s="3"/>
      <c r="AM81" s="3"/>
      <c r="AN81" s="3"/>
      <c r="AO81" s="3"/>
      <c r="AP81" s="3"/>
      <c r="AQ81" s="3"/>
      <c r="AR81" s="3"/>
      <c r="AS81" s="3"/>
    </row>
    <row r="82" spans="1:45" customFormat="1" x14ac:dyDescent="0.2">
      <c r="A82" s="352"/>
      <c r="B82" s="79" t="s">
        <v>260</v>
      </c>
      <c r="C82" s="225">
        <f>SUMIFS(Flat_file!$H:$H,Flat_file!$B:$B,Summary_Inactive!$B$2,Flat_file!$C:$C,"Men",Flat_file!$D:$D,"70-74",Flat_file!$E:$E,"010",Flat_file!$F:$F,"I")+SUMIFS(Flat_file!$H:$H,Flat_file!$B:$B,Summary_Inactive!$B$2,Flat_file!$C:$C,"Men",Flat_file!$D:$D,"70-74",Flat_file!$E:$E,"020",Flat_file!$F:$F,"I")+SUMIFS(Flat_file!$H:$H,Flat_file!$B:$B,Summary_Inactive!$B$2,Flat_file!$C:$C,"Men",Flat_file!$D:$D,"70-74",Flat_file!$E:$E,"030",Flat_file!$F:$F,"I")</f>
        <v>0</v>
      </c>
      <c r="D82" s="225">
        <f>SUMIFS(Flat_file!$H:$H,Flat_file!$B:$B,Summary_Inactive!$B$2,Flat_file!$C:$C,"Men",Flat_file!$D:$D,"70-74",Flat_file!$E:$E,"100",Flat_file!$F:$F,"I")</f>
        <v>0</v>
      </c>
      <c r="E82" s="225">
        <f>SUMIFS(Flat_file!$H:$H,Flat_file!$B:$B,Summary_Inactive!$B$2,Flat_file!$C:$C,"Men",Flat_file!$D:$D,"70-74",Flat_file!$E:$E,"242",Flat_file!$F:$F,"I")+SUMIFS(Flat_file!$H:$H,Flat_file!$B:$B,Summary_Inactive!$B$2,Flat_file!$C:$C,"Men",Flat_file!$D:$D,"70-74",Flat_file!$E:$E,"252",Flat_file!$F:$F,"I")</f>
        <v>0</v>
      </c>
      <c r="F82" s="225">
        <f>SUMIFS(Flat_file!$H:$H,Flat_file!$B:$B,Summary_Inactive!$B$2,Flat_file!$C:$C,"Men",Flat_file!$D:$D,"70-74",Flat_file!$E:$E,"243",Flat_file!$F:$F,"I")+SUMIFS(Flat_file!$H:$H,Flat_file!$B:$B,Summary_Inactive!$B$2,Flat_file!$C:$C,"Men",Flat_file!$D:$D,"70-74",Flat_file!$E:$E,"244",Flat_file!$F:$F,"I")+SUMIFS(Flat_file!$H:$H,Flat_file!$B:$B,Summary_Inactive!$B$2,Flat_file!$C:$C,"Men",Flat_file!$D:$D,"70-74",Flat_file!$E:$E,"253",Flat_file!$F:$F,"I")+SUMIFS(Flat_file!$H:$H,Flat_file!$B:$B,Summary_Inactive!$B$2,Flat_file!$C:$C,"Men",Flat_file!$D:$D,"70-74",Flat_file!$E:$E,"254",Flat_file!$F:$F,"I")</f>
        <v>0</v>
      </c>
      <c r="G82" s="225">
        <f>SUMIFS(Flat_file!$H:$H,Flat_file!$B:$B,Summary_Inactive!$B$2,Flat_file!$C:$C,"Men",Flat_file!$D:$D,"70-74",Flat_file!$E:$E,"342",Flat_file!$F:$F,"I")+SUMIFS(Flat_file!$H:$H,Flat_file!$B:$B,Summary_Inactive!$B$2,Flat_file!$C:$C,"Men",Flat_file!$D:$D,"70-74",Flat_file!$E:$E,"352",Flat_file!$F:$F,"I")</f>
        <v>0</v>
      </c>
      <c r="H82" s="225">
        <f>SUMIFS(Flat_file!$H:$H,Flat_file!$B:$B,Summary_Inactive!$B$2,Flat_file!$C:$C,"Men",Flat_file!$D:$D,"70-74",Flat_file!$E:$E,"343",Flat_file!$F:$F,"I")+SUMIFS(Flat_file!$H:$H,Flat_file!$B:$B,Summary_Inactive!$B$2,Flat_file!$C:$C,"Men",Flat_file!$D:$D,"70-74",Flat_file!$E:$E,"344",Flat_file!$F:$F,"I")+SUMIFS(Flat_file!$H:$H,Flat_file!$B:$B,Summary_Inactive!$B$2,Flat_file!$C:$C,"Men",Flat_file!$D:$D,"70-74",Flat_file!$E:$E,"353",Flat_file!$F:$F,"I")+SUMIFS(Flat_file!$H:$H,Flat_file!$B:$B,Summary_Inactive!$B$2,Flat_file!$C:$C,"Men",Flat_file!$D:$D,"70-74",Flat_file!$E:$E,"354",Flat_file!$F:$F,"I")</f>
        <v>0</v>
      </c>
      <c r="I82" s="225">
        <f>SUMIFS(Flat_file!$H:$H,Flat_file!$B:$B,Summary_Inactive!$B$2,Flat_file!$C:$C,"Men",Flat_file!$D:$D,"70-74",Flat_file!$E:$E,"443",Flat_file!$F:$F,"I")+SUMIFS(Flat_file!$H:$H,Flat_file!$B:$B,Summary_Inactive!$B$2,Flat_file!$C:$C,"Men",Flat_file!$D:$D,"70-74",Flat_file!$E:$E,"444",Flat_file!$F:$F,"I")+SUMIFS(Flat_file!$H:$H,Flat_file!$B:$B,Summary_Inactive!$B$2,Flat_file!$C:$C,"Men",Flat_file!$D:$D,"70-74",Flat_file!$E:$E,"453",Flat_file!$F:$F,"I")+SUMIFS(Flat_file!$H:$H,Flat_file!$B:$B,Summary_Inactive!$B$2,Flat_file!$C:$C,"Men",Flat_file!$D:$D,"70-74",Flat_file!$E:$E,"454",Flat_file!$F:$F,"I")</f>
        <v>0</v>
      </c>
      <c r="J82" s="225">
        <f>SUMIFS(Flat_file!$H:$H,Flat_file!$B:$B,Summary_Inactive!$B$2,Flat_file!$C:$C,"Men",Flat_file!$D:$D,"70-74",Flat_file!$E:$E,"540",Flat_file!$F:$F,"I")+SUMIFS(Flat_file!$H:$H,Flat_file!$B:$B,Summary_Inactive!$B$2,Flat_file!$C:$C,"Men",Flat_file!$D:$D,"70-74",Flat_file!$E:$E,"550",Flat_file!$F:$F,"I")+SUMIFS(Flat_file!$H:$H,Flat_file!$B:$B,Summary_Inactive!$B$2,Flat_file!$C:$C,"Men",Flat_file!$D:$D,"70-74",Flat_file!$E:$E,"560",Flat_file!$F:$F,"I")</f>
        <v>0</v>
      </c>
      <c r="K82" s="225">
        <f>SUMIFS(Flat_file!$H:$H,Flat_file!$B:$B,Summary_Inactive!$B$2,Flat_file!$C:$C,"Men",Flat_file!$D:$D,"70-74",Flat_file!$E:$E,"640",Flat_file!$F:$F,"I")+SUMIFS(Flat_file!$H:$H,Flat_file!$B:$B,Summary_Inactive!$B$2,Flat_file!$C:$C,"Men",Flat_file!$D:$D,"70-74",Flat_file!$E:$E,"650",Flat_file!$F:$F,"I")+SUMIFS(Flat_file!$H:$H,Flat_file!$B:$B,Summary_Inactive!$B$2,Flat_file!$C:$C,"Men",Flat_file!$D:$D,"70-74",Flat_file!$E:$E,"660",Flat_file!$F:$F,"I")</f>
        <v>0</v>
      </c>
      <c r="L82" s="225">
        <f>SUMIFS(Flat_file!$H:$H,Flat_file!$B:$B,Summary_Inactive!$B$2,Flat_file!$C:$C,"Men",Flat_file!$D:$D,"70-74",Flat_file!$E:$E,"740",Flat_file!$F:$F,"I")+SUMIFS(Flat_file!$H:$H,Flat_file!$B:$B,Summary_Inactive!$B$2,Flat_file!$C:$C,"Men",Flat_file!$D:$D,"70-74",Flat_file!$E:$E,"750",Flat_file!$F:$F,"I")+SUMIFS(Flat_file!$H:$H,Flat_file!$B:$B,Summary_Inactive!$B$2,Flat_file!$C:$C,"Men",Flat_file!$D:$D,"70-74",Flat_file!$E:$E,"760",Flat_file!$F:$F,"I")</f>
        <v>0</v>
      </c>
      <c r="M82" s="225">
        <f>SUMIFS(Flat_file!$H:$H,Flat_file!$B:$B,Summary_Inactive!$B$2,Flat_file!$C:$C,"Men",Flat_file!$D:$D,"70-74",Flat_file!$E:$E,"840",Flat_file!$F:$F,"I")+SUMIFS(Flat_file!$H:$H,Flat_file!$B:$B,Summary_Inactive!$B$2,Flat_file!$C:$C,"Men",Flat_file!$D:$D,"70-74",Flat_file!$E:$E,"850",Flat_file!$F:$F,"I")+SUMIFS(Flat_file!$H:$H,Flat_file!$B:$B,Summary_Inactive!$B$2,Flat_file!$C:$C,"Men",Flat_file!$D:$D,"70-74",Flat_file!$E:$E,"860",Flat_file!$F:$F,"I")</f>
        <v>0</v>
      </c>
      <c r="N82" s="225">
        <f>SUMIFS(Flat_file!$H:$H,Flat_file!$B:$B,Summary_Inactive!$B$2,Flat_file!$C:$C,"Men",Flat_file!$D:$D,"70-74",Flat_file!$E:$E,"999",Flat_file!$F:$F,"I")</f>
        <v>0</v>
      </c>
      <c r="O82" s="225">
        <f t="shared" si="49"/>
        <v>0</v>
      </c>
      <c r="P82" s="90"/>
      <c r="Q82" s="225">
        <f t="shared" si="50"/>
        <v>0</v>
      </c>
      <c r="R82" s="91"/>
      <c r="S82" s="225">
        <f t="shared" si="51"/>
        <v>0</v>
      </c>
      <c r="T82" s="225">
        <f t="shared" si="52"/>
        <v>0</v>
      </c>
      <c r="U82" s="225">
        <f t="shared" si="53"/>
        <v>0</v>
      </c>
      <c r="V82" s="90"/>
      <c r="W82" s="225">
        <f>SUMIFS(Flat_file!$H:$H,Flat_file!$B:$B,Summary_Inactive!$B$2,Flat_file!$C:$C,"Men",Flat_file!$D:$D,"70-74",Flat_file!$E:$E,"343",Flat_file!$F:$F,"I")+SUMIFS(Flat_file!$H:$H,Flat_file!$B:$B,Summary_Inactive!$B$2,Flat_file!$C:$C,"Men",Flat_file!$D:$D,"70-74",Flat_file!$E:$E,"344",Flat_file!$F:$F,"I")+SUMIFS(Flat_file!$H:$H,Flat_file!$B:$B,Summary_Inactive!$B$2,Flat_file!$C:$C,"Men",Flat_file!$D:$D,"70-74",Flat_file!$E:$E,"443",Flat_file!$F:$F,"I")+SUMIFS(Flat_file!$H:$H,Flat_file!$B:$B,Summary_Inactive!$B$2,Flat_file!$C:$C,"Men",Flat_file!$D:$D,"70-74",Flat_file!$E:$E,"444",Flat_file!$F:$F,"I")</f>
        <v>0</v>
      </c>
      <c r="X82" s="225">
        <f>SUMIFS(Flat_file!$H:$H,Flat_file!$B:$B,Summary_Inactive!$B$2,Flat_file!$C:$C,"Men",Flat_file!$D:$D,"70-74",Flat_file!$E:$E,"353",Flat_file!$F:$F,"I")+SUMIFS(Flat_file!$H:$H,Flat_file!$B:$B,Summary_Inactive!$B$2,Flat_file!$C:$C,"Men",Flat_file!$D:$D,"70-74",Flat_file!$E:$E,"354",Flat_file!$F:$F,"I")+SUMIFS(Flat_file!$H:$H,Flat_file!$B:$B,Summary_Inactive!$B$2,Flat_file!$C:$C,"Men",Flat_file!$D:$D,"70-74",Flat_file!$E:$E,"453",Flat_file!$F:$F,"I")+SUMIFS(Flat_file!$H:$H,Flat_file!$B:$B,Summary_Inactive!$B$2,Flat_file!$C:$C,"Men",Flat_file!$D:$D,"70-74",Flat_file!$E:$E,"454",Flat_file!$F:$F,"I")</f>
        <v>0</v>
      </c>
      <c r="Y82" s="90"/>
      <c r="Z82" s="225">
        <f>SUMIFS(Flat_file!$H:$H,Flat_file!$B:$B,Summary_Inactive!$B$2,Flat_file!$C:$C,"Men",Flat_file!$D:$D,"70-74",Flat_file!$E:$E,"640",Flat_file!$F:$F,"I")+SUMIFS(Flat_file!$H:$H,Flat_file!$B:$B,Summary_Inactive!$B$2,Flat_file!$C:$C,"Men",Flat_file!$D:$D,"70-74",Flat_file!$E:$E,"740",Flat_file!$F:$F,"I")+SUMIFS(Flat_file!$H:$H,Flat_file!$B:$B,Summary_Inactive!$B$2,Flat_file!$C:$C,"Men",Flat_file!$D:$D,"70-74",Flat_file!$E:$E,"840",Flat_file!$F:$F,"I")</f>
        <v>0</v>
      </c>
      <c r="AA82" s="225">
        <f>SUMIFS(Flat_file!$H:$H,Flat_file!$B:$B,Summary_Inactive!$B$2,Flat_file!$C:$C,"Men",Flat_file!$D:$D,"70-74",Flat_file!$E:$E,"650",Flat_file!$F:$F,"I")+SUMIFS(Flat_file!$H:$H,Flat_file!$B:$B,Summary_Inactive!$B$2,Flat_file!$C:$C,"Men",Flat_file!$D:$D,"70-74",Flat_file!$E:$E,"750",Flat_file!$F:$F,"I")+SUMIFS(Flat_file!$H:$H,Flat_file!$B:$B,Summary_Inactive!$B$2,Flat_file!$C:$C,"Men",Flat_file!$D:$D,"70-74",Flat_file!$E:$E,"850",Flat_file!$F:$F,"I")</f>
        <v>0</v>
      </c>
      <c r="AB82" s="225">
        <f>SUMIFS(Flat_file!$H:$H,Flat_file!$B:$B,Summary_Inactive!$B$2,Flat_file!$C:$C,"Men",Flat_file!$D:$D,"70-74",Flat_file!$E:$E,"660",Flat_file!$F:$F,"I")+SUMIFS(Flat_file!$H:$H,Flat_file!$B:$B,Summary_Inactive!$B$2,Flat_file!$C:$C,"Men",Flat_file!$D:$D,"70-74",Flat_file!$E:$E,"760",Flat_file!$F:$F,"I")+SUMIFS(Flat_file!$H:$H,Flat_file!$B:$B,Summary_Inactive!$B$2,Flat_file!$C:$C,"Men",Flat_file!$D:$D,"70-74",Flat_file!$E:$E,"860",Flat_file!$F:$F,"I")</f>
        <v>0</v>
      </c>
      <c r="AC82" s="3"/>
      <c r="AD82" s="3"/>
      <c r="AE82" s="3"/>
      <c r="AF82" s="3"/>
      <c r="AG82" s="3"/>
      <c r="AH82" s="3"/>
      <c r="AI82" s="3"/>
      <c r="AJ82" s="3"/>
      <c r="AK82" s="3"/>
      <c r="AL82" s="3"/>
      <c r="AM82" s="3"/>
      <c r="AN82" s="3"/>
      <c r="AO82" s="3"/>
      <c r="AP82" s="3"/>
      <c r="AQ82" s="3"/>
      <c r="AR82" s="3"/>
      <c r="AS82" s="3"/>
    </row>
    <row r="83" spans="1:45" customFormat="1" ht="13.5" thickBot="1" x14ac:dyDescent="0.25">
      <c r="A83" s="353"/>
      <c r="B83" s="80" t="s">
        <v>261</v>
      </c>
      <c r="C83" s="92">
        <f>SUMIFS(Flat_file!$H:$H,Flat_file!$B:$B,Summary_Inactive!$B$2,Flat_file!$C:$C,"Men",Flat_file!$D:$D,"75+",Flat_file!$E:$E,"010",Flat_file!$F:$F,"I")+SUMIFS(Flat_file!$H:$H,Flat_file!$B:$B,Summary_Inactive!$B$2,Flat_file!$C:$C,"Men",Flat_file!$D:$D,"75+",Flat_file!$E:$E,"020",Flat_file!$F:$F,"I")+SUMIFS(Flat_file!$H:$H,Flat_file!$B:$B,Summary_Inactive!$B$2,Flat_file!$C:$C,"Men",Flat_file!$D:$D,"75+",Flat_file!$E:$E,"030",Flat_file!$F:$F,"I")</f>
        <v>0</v>
      </c>
      <c r="D83" s="92">
        <f>SUMIFS(Flat_file!$H:$H,Flat_file!$B:$B,Summary_Inactive!$B$2,Flat_file!$C:$C,"Men",Flat_file!$D:$D,"75+",Flat_file!$E:$E,"100",Flat_file!$F:$F,"I")</f>
        <v>0</v>
      </c>
      <c r="E83" s="92">
        <f>SUMIFS(Flat_file!$H:$H,Flat_file!$B:$B,Summary_Inactive!$B$2,Flat_file!$C:$C,"Men",Flat_file!$D:$D,"75+",Flat_file!$E:$E,"242",Flat_file!$F:$F,"I")+SUMIFS(Flat_file!$H:$H,Flat_file!$B:$B,Summary_Inactive!$B$2,Flat_file!$C:$C,"Men",Flat_file!$D:$D,"75+",Flat_file!$E:$E,"252",Flat_file!$F:$F,"I")</f>
        <v>0</v>
      </c>
      <c r="F83" s="92">
        <f>SUMIFS(Flat_file!$H:$H,Flat_file!$B:$B,Summary_Inactive!$B$2,Flat_file!$C:$C,"Men",Flat_file!$D:$D,"75+",Flat_file!$E:$E,"243",Flat_file!$F:$F,"I")+SUMIFS(Flat_file!$H:$H,Flat_file!$B:$B,Summary_Inactive!$B$2,Flat_file!$C:$C,"Men",Flat_file!$D:$D,"75+",Flat_file!$E:$E,"244",Flat_file!$F:$F,"I")+SUMIFS(Flat_file!$H:$H,Flat_file!$B:$B,Summary_Inactive!$B$2,Flat_file!$C:$C,"Men",Flat_file!$D:$D,"75+",Flat_file!$E:$E,"253",Flat_file!$F:$F,"I")+SUMIFS(Flat_file!$H:$H,Flat_file!$B:$B,Summary_Inactive!$B$2,Flat_file!$C:$C,"Men",Flat_file!$D:$D,"75+",Flat_file!$E:$E,"254",Flat_file!$F:$F,"I")</f>
        <v>0</v>
      </c>
      <c r="G83" s="92">
        <f>SUMIFS(Flat_file!$H:$H,Flat_file!$B:$B,Summary_Inactive!$B$2,Flat_file!$C:$C,"Men",Flat_file!$D:$D,"75+",Flat_file!$E:$E,"342",Flat_file!$F:$F,"I")+SUMIFS(Flat_file!$H:$H,Flat_file!$B:$B,Summary_Inactive!$B$2,Flat_file!$C:$C,"Men",Flat_file!$D:$D,"75+",Flat_file!$E:$E,"352",Flat_file!$F:$F,"I")</f>
        <v>0</v>
      </c>
      <c r="H83" s="92">
        <f>SUMIFS(Flat_file!$H:$H,Flat_file!$B:$B,Summary_Inactive!$B$2,Flat_file!$C:$C,"Men",Flat_file!$D:$D,"75+",Flat_file!$E:$E,"343",Flat_file!$F:$F,"I")+SUMIFS(Flat_file!$H:$H,Flat_file!$B:$B,Summary_Inactive!$B$2,Flat_file!$C:$C,"Men",Flat_file!$D:$D,"75+",Flat_file!$E:$E,"344",Flat_file!$F:$F,"I")+SUMIFS(Flat_file!$H:$H,Flat_file!$B:$B,Summary_Inactive!$B$2,Flat_file!$C:$C,"Men",Flat_file!$D:$D,"75+",Flat_file!$E:$E,"353",Flat_file!$F:$F,"I")+SUMIFS(Flat_file!$H:$H,Flat_file!$B:$B,Summary_Inactive!$B$2,Flat_file!$C:$C,"Men",Flat_file!$D:$D,"75+",Flat_file!$E:$E,"354",Flat_file!$F:$F,"I")</f>
        <v>0</v>
      </c>
      <c r="I83" s="92">
        <f>SUMIFS(Flat_file!$H:$H,Flat_file!$B:$B,Summary_Inactive!$B$2,Flat_file!$C:$C,"Men",Flat_file!$D:$D,"75+",Flat_file!$E:$E,"443",Flat_file!$F:$F,"I")+SUMIFS(Flat_file!$H:$H,Flat_file!$B:$B,Summary_Inactive!$B$2,Flat_file!$C:$C,"Men",Flat_file!$D:$D,"75+",Flat_file!$E:$E,"444",Flat_file!$F:$F,"I")+SUMIFS(Flat_file!$H:$H,Flat_file!$B:$B,Summary_Inactive!$B$2,Flat_file!$C:$C,"Men",Flat_file!$D:$D,"75+",Flat_file!$E:$E,"453",Flat_file!$F:$F,"I")+SUMIFS(Flat_file!$H:$H,Flat_file!$B:$B,Summary_Inactive!$B$2,Flat_file!$C:$C,"Men",Flat_file!$D:$D,"75+",Flat_file!$E:$E,"454",Flat_file!$F:$F,"I")</f>
        <v>0</v>
      </c>
      <c r="J83" s="92">
        <f>SUMIFS(Flat_file!$H:$H,Flat_file!$B:$B,Summary_Inactive!$B$2,Flat_file!$C:$C,"Men",Flat_file!$D:$D,"75+",Flat_file!$E:$E,"540",Flat_file!$F:$F,"I")+SUMIFS(Flat_file!$H:$H,Flat_file!$B:$B,Summary_Inactive!$B$2,Flat_file!$C:$C,"Men",Flat_file!$D:$D,"75+",Flat_file!$E:$E,"550",Flat_file!$F:$F,"I")+SUMIFS(Flat_file!$H:$H,Flat_file!$B:$B,Summary_Inactive!$B$2,Flat_file!$C:$C,"Men",Flat_file!$D:$D,"75+",Flat_file!$E:$E,"560",Flat_file!$F:$F,"I")</f>
        <v>0</v>
      </c>
      <c r="K83" s="92">
        <f>SUMIFS(Flat_file!$H:$H,Flat_file!$B:$B,Summary_Inactive!$B$2,Flat_file!$C:$C,"Men",Flat_file!$D:$D,"75+",Flat_file!$E:$E,"640",Flat_file!$F:$F,"I")+SUMIFS(Flat_file!$H:$H,Flat_file!$B:$B,Summary_Inactive!$B$2,Flat_file!$C:$C,"Men",Flat_file!$D:$D,"75+",Flat_file!$E:$E,"650",Flat_file!$F:$F,"I")+SUMIFS(Flat_file!$H:$H,Flat_file!$B:$B,Summary_Inactive!$B$2,Flat_file!$C:$C,"Men",Flat_file!$D:$D,"75+",Flat_file!$E:$E,"660",Flat_file!$F:$F,"I")</f>
        <v>0</v>
      </c>
      <c r="L83" s="92">
        <f>SUMIFS(Flat_file!$H:$H,Flat_file!$B:$B,Summary_Inactive!$B$2,Flat_file!$C:$C,"Men",Flat_file!$D:$D,"75+",Flat_file!$E:$E,"740",Flat_file!$F:$F,"I")+SUMIFS(Flat_file!$H:$H,Flat_file!$B:$B,Summary_Inactive!$B$2,Flat_file!$C:$C,"Men",Flat_file!$D:$D,"75+",Flat_file!$E:$E,"750",Flat_file!$F:$F,"I")+SUMIFS(Flat_file!$H:$H,Flat_file!$B:$B,Summary_Inactive!$B$2,Flat_file!$C:$C,"Men",Flat_file!$D:$D,"75+",Flat_file!$E:$E,"760",Flat_file!$F:$F,"I")</f>
        <v>0</v>
      </c>
      <c r="M83" s="92">
        <f>SUMIFS(Flat_file!$H:$H,Flat_file!$B:$B,Summary_Inactive!$B$2,Flat_file!$C:$C,"Men",Flat_file!$D:$D,"75+",Flat_file!$E:$E,"840",Flat_file!$F:$F,"I")+SUMIFS(Flat_file!$H:$H,Flat_file!$B:$B,Summary_Inactive!$B$2,Flat_file!$C:$C,"Men",Flat_file!$D:$D,"75+",Flat_file!$E:$E,"850",Flat_file!$F:$F,"I")+SUMIFS(Flat_file!$H:$H,Flat_file!$B:$B,Summary_Inactive!$B$2,Flat_file!$C:$C,"Men",Flat_file!$D:$D,"75+",Flat_file!$E:$E,"860",Flat_file!$F:$F,"I")</f>
        <v>0</v>
      </c>
      <c r="N83" s="92">
        <f>SUMIFS(Flat_file!$H:$H,Flat_file!$B:$B,Summary_Inactive!$B$2,Flat_file!$C:$C,"Men",Flat_file!$D:$D,"75+",Flat_file!$E:$E,"999",Flat_file!$F:$F,"I")</f>
        <v>0</v>
      </c>
      <c r="O83" s="92">
        <f t="shared" si="49"/>
        <v>0</v>
      </c>
      <c r="P83" s="93"/>
      <c r="Q83" s="92">
        <f t="shared" si="50"/>
        <v>0</v>
      </c>
      <c r="R83" s="94"/>
      <c r="S83" s="92">
        <f t="shared" si="51"/>
        <v>0</v>
      </c>
      <c r="T83" s="92">
        <f t="shared" si="52"/>
        <v>0</v>
      </c>
      <c r="U83" s="92">
        <f t="shared" si="53"/>
        <v>0</v>
      </c>
      <c r="V83" s="93"/>
      <c r="W83" s="92">
        <f>SUMIFS(Flat_file!$H:$H,Flat_file!$B:$B,Summary_Inactive!$B$2,Flat_file!$C:$C,"Men",Flat_file!$D:$D,"75+",Flat_file!$E:$E,"343",Flat_file!$F:$F,"I")+SUMIFS(Flat_file!$H:$H,Flat_file!$B:$B,Summary_Inactive!$B$2,Flat_file!$C:$C,"Men",Flat_file!$D:$D,"75+",Flat_file!$E:$E,"344",Flat_file!$F:$F,"I")+SUMIFS(Flat_file!$H:$H,Flat_file!$B:$B,Summary_Inactive!$B$2,Flat_file!$C:$C,"Men",Flat_file!$D:$D,"75+",Flat_file!$E:$E,"443",Flat_file!$F:$F,"I")+SUMIFS(Flat_file!$H:$H,Flat_file!$B:$B,Summary_Inactive!$B$2,Flat_file!$C:$C,"Men",Flat_file!$D:$D,"75+",Flat_file!$E:$E,"444",Flat_file!$F:$F,"I")</f>
        <v>0</v>
      </c>
      <c r="X83" s="92">
        <f>SUMIFS(Flat_file!$H:$H,Flat_file!$B:$B,Summary_Inactive!$B$2,Flat_file!$C:$C,"Men",Flat_file!$D:$D,"75+",Flat_file!$E:$E,"353",Flat_file!$F:$F,"I")+SUMIFS(Flat_file!$H:$H,Flat_file!$B:$B,Summary_Inactive!$B$2,Flat_file!$C:$C,"Men",Flat_file!$D:$D,"75+",Flat_file!$E:$E,"354",Flat_file!$F:$F,"I")+SUMIFS(Flat_file!$H:$H,Flat_file!$B:$B,Summary_Inactive!$B$2,Flat_file!$C:$C,"Men",Flat_file!$D:$D,"75+",Flat_file!$E:$E,"453",Flat_file!$F:$F,"I")+SUMIFS(Flat_file!$H:$H,Flat_file!$B:$B,Summary_Inactive!$B$2,Flat_file!$C:$C,"Men",Flat_file!$D:$D,"75+",Flat_file!$E:$E,"454",Flat_file!$F:$F,"I")</f>
        <v>0</v>
      </c>
      <c r="Y83" s="93"/>
      <c r="Z83" s="92">
        <f>SUMIFS(Flat_file!$H:$H,Flat_file!$B:$B,Summary_Inactive!$B$2,Flat_file!$C:$C,"Men",Flat_file!$D:$D,"75+",Flat_file!$E:$E,"640",Flat_file!$F:$F,"I")+SUMIFS(Flat_file!$H:$H,Flat_file!$B:$B,Summary_Inactive!$B$2,Flat_file!$C:$C,"Men",Flat_file!$D:$D,"75+",Flat_file!$E:$E,"740",Flat_file!$F:$F,"I")+SUMIFS(Flat_file!$H:$H,Flat_file!$B:$B,Summary_Inactive!$B$2,Flat_file!$C:$C,"Men",Flat_file!$D:$D,"75+",Flat_file!$E:$E,"840",Flat_file!$F:$F,"I")</f>
        <v>0</v>
      </c>
      <c r="AA83" s="92">
        <f>SUMIFS(Flat_file!$H:$H,Flat_file!$B:$B,Summary_Inactive!$B$2,Flat_file!$C:$C,"Men",Flat_file!$D:$D,"75+",Flat_file!$E:$E,"650",Flat_file!$F:$F,"I")+SUMIFS(Flat_file!$H:$H,Flat_file!$B:$B,Summary_Inactive!$B$2,Flat_file!$C:$C,"Men",Flat_file!$D:$D,"75+",Flat_file!$E:$E,"750",Flat_file!$F:$F,"I")+SUMIFS(Flat_file!$H:$H,Flat_file!$B:$B,Summary_Inactive!$B$2,Flat_file!$C:$C,"Men",Flat_file!$D:$D,"75+",Flat_file!$E:$E,"850",Flat_file!$F:$F,"I")</f>
        <v>0</v>
      </c>
      <c r="AB83" s="92">
        <f>SUMIFS(Flat_file!$H:$H,Flat_file!$B:$B,Summary_Inactive!$B$2,Flat_file!$C:$C,"Men",Flat_file!$D:$D,"75+",Flat_file!$E:$E,"660",Flat_file!$F:$F,"I")+SUMIFS(Flat_file!$H:$H,Flat_file!$B:$B,Summary_Inactive!$B$2,Flat_file!$C:$C,"Men",Flat_file!$D:$D,"75+",Flat_file!$E:$E,"760",Flat_file!$F:$F,"I")+SUMIFS(Flat_file!$H:$H,Flat_file!$B:$B,Summary_Inactive!$B$2,Flat_file!$C:$C,"Men",Flat_file!$D:$D,"75+",Flat_file!$E:$E,"860",Flat_file!$F:$F,"I")</f>
        <v>0</v>
      </c>
      <c r="AC83" s="3"/>
      <c r="AD83" s="3"/>
      <c r="AE83" s="3"/>
      <c r="AF83" s="3"/>
      <c r="AG83" s="3"/>
      <c r="AH83" s="3"/>
      <c r="AI83" s="3"/>
      <c r="AJ83" s="3"/>
      <c r="AK83" s="3"/>
      <c r="AL83" s="3"/>
      <c r="AM83" s="3"/>
      <c r="AN83" s="3"/>
      <c r="AO83" s="3"/>
      <c r="AP83" s="3"/>
      <c r="AQ83" s="3"/>
      <c r="AR83" s="3"/>
      <c r="AS83" s="3"/>
    </row>
    <row r="84" spans="1:45" customFormat="1" ht="12.75" customHeight="1" x14ac:dyDescent="0.2">
      <c r="A84" s="351" t="s">
        <v>6</v>
      </c>
      <c r="B84" s="78" t="s">
        <v>87</v>
      </c>
      <c r="C84" s="86">
        <f>SUMIFS(Flat_file!$H:$H,Flat_file!$B:$B,Summary_Inactive!$B$2,Flat_file!$C:$C,"Women",Flat_file!$D:$D,"15-19",Flat_file!$E:$E,"010",Flat_file!$F:$F,"I")+SUMIFS(Flat_file!$H:$H,Flat_file!$B:$B,Summary_Inactive!$B$2,Flat_file!$C:$C,"Women",Flat_file!$D:$D,"15-19",Flat_file!$E:$E,"020",Flat_file!$F:$F,"I")+SUMIFS(Flat_file!$H:$H,Flat_file!$B:$B,Summary_Inactive!$B$2,Flat_file!$C:$C,"Women",Flat_file!$D:$D,"15-19",Flat_file!$E:$E,"030",Flat_file!$F:$F,"I")</f>
        <v>0</v>
      </c>
      <c r="D84" s="86">
        <f>SUMIFS(Flat_file!$H:$H,Flat_file!$B:$B,Summary_Inactive!$B$2,Flat_file!$C:$C,"Women",Flat_file!$D:$D,"15-19",Flat_file!$E:$E,"100",Flat_file!$F:$F,"I")</f>
        <v>0</v>
      </c>
      <c r="E84" s="86">
        <f>SUMIFS(Flat_file!$H:$H,Flat_file!$B:$B,Summary_Inactive!$B$2,Flat_file!$C:$C,"Women",Flat_file!$D:$D,"15-19",Flat_file!$E:$E,"242",Flat_file!$F:$F,"I")+SUMIFS(Flat_file!$H:$H,Flat_file!$B:$B,Summary_Inactive!$B$2,Flat_file!$C:$C,"Women",Flat_file!$D:$D,"15-19",Flat_file!$E:$E,"252",Flat_file!$F:$F,"I")</f>
        <v>0</v>
      </c>
      <c r="F84" s="86">
        <f>SUMIFS(Flat_file!$H:$H,Flat_file!$B:$B,Summary_Inactive!$B$2,Flat_file!$C:$C,"Women",Flat_file!$D:$D,"15-19",Flat_file!$E:$E,"243",Flat_file!$F:$F,"I")+SUMIFS(Flat_file!$H:$H,Flat_file!$B:$B,Summary_Inactive!$B$2,Flat_file!$C:$C,"Women",Flat_file!$D:$D,"15-19",Flat_file!$E:$E,"244",Flat_file!$F:$F,"I")+SUMIFS(Flat_file!$H:$H,Flat_file!$B:$B,Summary_Inactive!$B$2,Flat_file!$C:$C,"Women",Flat_file!$D:$D,"15-19",Flat_file!$E:$E,"253",Flat_file!$F:$F,"I")+SUMIFS(Flat_file!$H:$H,Flat_file!$B:$B,Summary_Inactive!$B$2,Flat_file!$C:$C,"Women",Flat_file!$D:$D,"15-19",Flat_file!$E:$E,"254",Flat_file!$F:$F,"I")</f>
        <v>0</v>
      </c>
      <c r="G84" s="86">
        <f>SUMIFS(Flat_file!$H:$H,Flat_file!$B:$B,Summary_Inactive!$B$2,Flat_file!$C:$C,"Women",Flat_file!$D:$D,"15-19",Flat_file!$E:$E,"342",Flat_file!$F:$F,"I")+SUMIFS(Flat_file!$H:$H,Flat_file!$B:$B,Summary_Inactive!$B$2,Flat_file!$C:$C,"Women",Flat_file!$D:$D,"15-19",Flat_file!$E:$E,"352",Flat_file!$F:$F,"I")</f>
        <v>0</v>
      </c>
      <c r="H84" s="86">
        <f>SUMIFS(Flat_file!$H:$H,Flat_file!$B:$B,Summary_Inactive!$B$2,Flat_file!$C:$C,"Women",Flat_file!$D:$D,"15-19",Flat_file!$E:$E,"343",Flat_file!$F:$F,"I")+SUMIFS(Flat_file!$H:$H,Flat_file!$B:$B,Summary_Inactive!$B$2,Flat_file!$C:$C,"Women",Flat_file!$D:$D,"15-19",Flat_file!$E:$E,"344",Flat_file!$F:$F,"I")+SUMIFS(Flat_file!$H:$H,Flat_file!$B:$B,Summary_Inactive!$B$2,Flat_file!$C:$C,"Women",Flat_file!$D:$D,"15-19",Flat_file!$E:$E,"353",Flat_file!$F:$F,"I")+SUMIFS(Flat_file!$H:$H,Flat_file!$B:$B,Summary_Inactive!$B$2,Flat_file!$C:$C,"Women",Flat_file!$D:$D,"15-19",Flat_file!$E:$E,"354",Flat_file!$F:$F,"I")</f>
        <v>0</v>
      </c>
      <c r="I84" s="86">
        <f>SUMIFS(Flat_file!$H:$H,Flat_file!$B:$B,Summary_Inactive!$B$2,Flat_file!$C:$C,"Women",Flat_file!$D:$D,"15-19",Flat_file!$E:$E,"443",Flat_file!$F:$F,"I")+SUMIFS(Flat_file!$H:$H,Flat_file!$B:$B,Summary_Inactive!$B$2,Flat_file!$C:$C,"Women",Flat_file!$D:$D,"15-19",Flat_file!$E:$E,"444",Flat_file!$F:$F,"I")+SUMIFS(Flat_file!$H:$H,Flat_file!$B:$B,Summary_Inactive!$B$2,Flat_file!$C:$C,"Women",Flat_file!$D:$D,"15-19",Flat_file!$E:$E,"453",Flat_file!$F:$F,"I")+SUMIFS(Flat_file!$H:$H,Flat_file!$B:$B,Summary_Inactive!$B$2,Flat_file!$C:$C,"Women",Flat_file!$D:$D,"15-19",Flat_file!$E:$E,"454",Flat_file!$F:$F,"I")</f>
        <v>0</v>
      </c>
      <c r="J84" s="86">
        <f>SUMIFS(Flat_file!$H:$H,Flat_file!$B:$B,Summary_Inactive!$B$2,Flat_file!$C:$C,"Women",Flat_file!$D:$D,"15-19",Flat_file!$E:$E,"540",Flat_file!$F:$F,"I")+SUMIFS(Flat_file!$H:$H,Flat_file!$B:$B,Summary_Inactive!$B$2,Flat_file!$C:$C,"Women",Flat_file!$D:$D,"15-19",Flat_file!$E:$E,"550",Flat_file!$F:$F,"I")+SUMIFS(Flat_file!$H:$H,Flat_file!$B:$B,Summary_Inactive!$B$2,Flat_file!$C:$C,"Women",Flat_file!$D:$D,"15-19",Flat_file!$E:$E,"560",Flat_file!$F:$F,"I")</f>
        <v>0</v>
      </c>
      <c r="K84" s="86">
        <f>SUMIFS(Flat_file!$H:$H,Flat_file!$B:$B,Summary_Inactive!$B$2,Flat_file!$C:$C,"Women",Flat_file!$D:$D,"15-19",Flat_file!$E:$E,"640",Flat_file!$F:$F,"I")+SUMIFS(Flat_file!$H:$H,Flat_file!$B:$B,Summary_Inactive!$B$2,Flat_file!$C:$C,"Women",Flat_file!$D:$D,"15-19",Flat_file!$E:$E,"650",Flat_file!$F:$F,"I")+SUMIFS(Flat_file!$H:$H,Flat_file!$B:$B,Summary_Inactive!$B$2,Flat_file!$C:$C,"Women",Flat_file!$D:$D,"15-19",Flat_file!$E:$E,"660",Flat_file!$F:$F,"I")</f>
        <v>0</v>
      </c>
      <c r="L84" s="86">
        <f>SUMIFS(Flat_file!$H:$H,Flat_file!$B:$B,Summary_Inactive!$B$2,Flat_file!$C:$C,"Women",Flat_file!$D:$D,"15-19",Flat_file!$E:$E,"740",Flat_file!$F:$F,"I")+SUMIFS(Flat_file!$H:$H,Flat_file!$B:$B,Summary_Inactive!$B$2,Flat_file!$C:$C,"Women",Flat_file!$D:$D,"15-19",Flat_file!$E:$E,"750",Flat_file!$F:$F,"I")+SUMIFS(Flat_file!$H:$H,Flat_file!$B:$B,Summary_Inactive!$B$2,Flat_file!$C:$C,"Women",Flat_file!$D:$D,"15-19",Flat_file!$E:$E,"760",Flat_file!$F:$F,"I")</f>
        <v>0</v>
      </c>
      <c r="M84" s="86">
        <f>SUMIFS(Flat_file!$H:$H,Flat_file!$B:$B,Summary_Inactive!$B$2,Flat_file!$C:$C,"Women",Flat_file!$D:$D,"15-19",Flat_file!$E:$E,"840",Flat_file!$F:$F,"I")+SUMIFS(Flat_file!$H:$H,Flat_file!$B:$B,Summary_Inactive!$B$2,Flat_file!$C:$C,"Women",Flat_file!$D:$D,"15-19",Flat_file!$E:$E,"850",Flat_file!$F:$F,"I")+SUMIFS(Flat_file!$H:$H,Flat_file!$B:$B,Summary_Inactive!$B$2,Flat_file!$C:$C,"Women",Flat_file!$D:$D,"15-19",Flat_file!$E:$E,"860",Flat_file!$F:$F,"I")</f>
        <v>0</v>
      </c>
      <c r="N84" s="86">
        <f>SUMIFS(Flat_file!$H:$H,Flat_file!$B:$B,Summary_Inactive!$B$2,Flat_file!$C:$C,"Women",Flat_file!$D:$D,"15-19",Flat_file!$E:$E,"999",Flat_file!$F:$F,"I")</f>
        <v>0</v>
      </c>
      <c r="O84" s="86">
        <f>SUM(C84:M84)</f>
        <v>0</v>
      </c>
      <c r="P84" s="87"/>
      <c r="Q84" s="86">
        <f>SUM(H84:M84)</f>
        <v>0</v>
      </c>
      <c r="R84" s="88"/>
      <c r="S84" s="86">
        <f>SUM(C84:G84)</f>
        <v>0</v>
      </c>
      <c r="T84" s="86">
        <f>SUM(H84:I84)</f>
        <v>0</v>
      </c>
      <c r="U84" s="86">
        <f>SUM(J84:M84)</f>
        <v>0</v>
      </c>
      <c r="V84" s="87"/>
      <c r="W84" s="86">
        <f>SUMIFS(Flat_file!$H:$H,Flat_file!$B:$B,Summary_Inactive!$B$2,Flat_file!$C:$C,"Women",Flat_file!$D:$D,"15-19",Flat_file!$E:$E,"343",Flat_file!$F:$F,"I")+SUMIFS(Flat_file!$H:$H,Flat_file!$B:$B,Summary_Inactive!$B$2,Flat_file!$C:$C,"Women",Flat_file!$D:$D,"15-19",Flat_file!$E:$E,"344",Flat_file!$F:$F,"I")+SUMIFS(Flat_file!$H:$H,Flat_file!$B:$B,Summary_Inactive!$B$2,Flat_file!$C:$C,"Women",Flat_file!$D:$D,"15-19",Flat_file!$E:$E,"443",Flat_file!$F:$F,"I")+SUMIFS(Flat_file!$H:$H,Flat_file!$B:$B,Summary_Inactive!$B$2,Flat_file!$C:$C,"Women",Flat_file!$D:$D,"15-19",Flat_file!$E:$E,"444",Flat_file!$F:$F,"I")</f>
        <v>0</v>
      </c>
      <c r="X84" s="86">
        <f>SUMIFS(Flat_file!$H:$H,Flat_file!$B:$B,Summary_Inactive!$B$2,Flat_file!$C:$C,"Women",Flat_file!$D:$D,"15-19",Flat_file!$E:$E,"353",Flat_file!$F:$F,"I")+SUMIFS(Flat_file!$H:$H,Flat_file!$B:$B,Summary_Inactive!$B$2,Flat_file!$C:$C,"Women",Flat_file!$D:$D,"15-19",Flat_file!$E:$E,"354",Flat_file!$F:$F,"I")+SUMIFS(Flat_file!$H:$H,Flat_file!$B:$B,Summary_Inactive!$B$2,Flat_file!$C:$C,"Women",Flat_file!$D:$D,"15-19",Flat_file!$E:$E,"453",Flat_file!$F:$F,"I")+SUMIFS(Flat_file!$H:$H,Flat_file!$B:$B,Summary_Inactive!$B$2,Flat_file!$C:$C,"Women",Flat_file!$D:$D,"15-19",Flat_file!$E:$E,"454",Flat_file!$F:$F,"I")</f>
        <v>0</v>
      </c>
      <c r="Y84" s="87"/>
      <c r="Z84" s="86">
        <f>SUMIFS(Flat_file!$H:$H,Flat_file!$B:$B,Summary_Inactive!$B$2,Flat_file!$C:$C,"Women",Flat_file!$D:$D,"15-19",Flat_file!$E:$E,"640",Flat_file!$F:$F,"I")+SUMIFS(Flat_file!$H:$H,Flat_file!$B:$B,Summary_Inactive!$B$2,Flat_file!$C:$C,"Women",Flat_file!$D:$D,"15-19",Flat_file!$E:$E,"740",Flat_file!$F:$F,"I")+SUMIFS(Flat_file!$H:$H,Flat_file!$B:$B,Summary_Inactive!$B$2,Flat_file!$C:$C,"Women",Flat_file!$D:$D,"15-19",Flat_file!$E:$E,"840",Flat_file!$F:$F,"I")</f>
        <v>0</v>
      </c>
      <c r="AA84" s="86">
        <f>SUMIFS(Flat_file!$H:$H,Flat_file!$B:$B,Summary_Inactive!$B$2,Flat_file!$C:$C,"Women",Flat_file!$D:$D,"15-19",Flat_file!$E:$E,"650",Flat_file!$F:$F,"I")+SUMIFS(Flat_file!$H:$H,Flat_file!$B:$B,Summary_Inactive!$B$2,Flat_file!$C:$C,"Women",Flat_file!$D:$D,"15-19",Flat_file!$E:$E,"750",Flat_file!$F:$F,"I")+SUMIFS(Flat_file!$H:$H,Flat_file!$B:$B,Summary_Inactive!$B$2,Flat_file!$C:$C,"Women",Flat_file!$D:$D,"15-19",Flat_file!$E:$E,"850",Flat_file!$F:$F,"I")</f>
        <v>0</v>
      </c>
      <c r="AB84" s="86">
        <f>SUMIFS(Flat_file!$H:$H,Flat_file!$B:$B,Summary_Inactive!$B$2,Flat_file!$C:$C,"Women",Flat_file!$D:$D,"15-19",Flat_file!$E:$E,"660",Flat_file!$F:$F,"I")+SUMIFS(Flat_file!$H:$H,Flat_file!$B:$B,Summary_Inactive!$B$2,Flat_file!$C:$C,"Women",Flat_file!$D:$D,"15-19",Flat_file!$E:$E,"760",Flat_file!$F:$F,"I")+SUMIFS(Flat_file!$H:$H,Flat_file!$B:$B,Summary_Inactive!$B$2,Flat_file!$C:$C,"Women",Flat_file!$D:$D,"15-19",Flat_file!$E:$E,"860",Flat_file!$F:$F,"I")</f>
        <v>0</v>
      </c>
      <c r="AC84" s="3"/>
      <c r="AD84" s="3"/>
      <c r="AE84" s="3"/>
      <c r="AF84" s="3"/>
      <c r="AG84" s="3"/>
      <c r="AH84" s="3"/>
      <c r="AI84" s="3"/>
      <c r="AJ84" s="3"/>
      <c r="AK84" s="3"/>
      <c r="AL84" s="3"/>
      <c r="AM84" s="3"/>
      <c r="AN84" s="3"/>
      <c r="AO84" s="3"/>
      <c r="AP84" s="3"/>
      <c r="AQ84" s="3"/>
      <c r="AR84" s="3"/>
      <c r="AS84" s="3"/>
    </row>
    <row r="85" spans="1:45" customFormat="1" x14ac:dyDescent="0.2">
      <c r="A85" s="352"/>
      <c r="B85" s="79" t="s">
        <v>88</v>
      </c>
      <c r="C85" s="89">
        <f>SUMIFS(Flat_file!$H:$H,Flat_file!$B:$B,Summary_Inactive!$B$2,Flat_file!$C:$C,"Women",Flat_file!$D:$D,"20-24",Flat_file!$E:$E,"010",Flat_file!$F:$F,"I")+SUMIFS(Flat_file!$H:$H,Flat_file!$B:$B,Summary_Inactive!$B$2,Flat_file!$C:$C,"Women",Flat_file!$D:$D,"20-24",Flat_file!$E:$E,"020",Flat_file!$F:$F,"I")+SUMIFS(Flat_file!$H:$H,Flat_file!$B:$B,Summary_Inactive!$B$2,Flat_file!$C:$C,"Women",Flat_file!$D:$D,"20-24",Flat_file!$E:$E,"030",Flat_file!$F:$F,"I")</f>
        <v>0</v>
      </c>
      <c r="D85" s="89">
        <f>SUMIFS(Flat_file!$H:$H,Flat_file!$B:$B,Summary_Inactive!$B$2,Flat_file!$C:$C,"Women",Flat_file!$D:$D,"20-24",Flat_file!$E:$E,"100",Flat_file!$F:$F,"I")</f>
        <v>0</v>
      </c>
      <c r="E85" s="89">
        <f>SUMIFS(Flat_file!$H:$H,Flat_file!$B:$B,Summary_Inactive!$B$2,Flat_file!$C:$C,"Women",Flat_file!$D:$D,"20-24",Flat_file!$E:$E,"242",Flat_file!$F:$F,"I")+SUMIFS(Flat_file!$H:$H,Flat_file!$B:$B,Summary_Inactive!$B$2,Flat_file!$C:$C,"Women",Flat_file!$D:$D,"20-24",Flat_file!$E:$E,"252",Flat_file!$F:$F,"I")</f>
        <v>0</v>
      </c>
      <c r="F85" s="89">
        <f>SUMIFS(Flat_file!$H:$H,Flat_file!$B:$B,Summary_Inactive!$B$2,Flat_file!$C:$C,"Women",Flat_file!$D:$D,"20-24",Flat_file!$E:$E,"243",Flat_file!$F:$F,"I")+SUMIFS(Flat_file!$H:$H,Flat_file!$B:$B,Summary_Inactive!$B$2,Flat_file!$C:$C,"Women",Flat_file!$D:$D,"20-24",Flat_file!$E:$E,"244",Flat_file!$F:$F,"I")+SUMIFS(Flat_file!$H:$H,Flat_file!$B:$B,Summary_Inactive!$B$2,Flat_file!$C:$C,"Women",Flat_file!$D:$D,"20-24",Flat_file!$E:$E,"253",Flat_file!$F:$F,"I")+SUMIFS(Flat_file!$H:$H,Flat_file!$B:$B,Summary_Inactive!$B$2,Flat_file!$C:$C,"Women",Flat_file!$D:$D,"20-24",Flat_file!$E:$E,"254",Flat_file!$F:$F,"I")</f>
        <v>0</v>
      </c>
      <c r="G85" s="89">
        <f>SUMIFS(Flat_file!$H:$H,Flat_file!$B:$B,Summary_Inactive!$B$2,Flat_file!$C:$C,"Women",Flat_file!$D:$D,"20-24",Flat_file!$E:$E,"342",Flat_file!$F:$F,"I")+SUMIFS(Flat_file!$H:$H,Flat_file!$B:$B,Summary_Inactive!$B$2,Flat_file!$C:$C,"Women",Flat_file!$D:$D,"20-24",Flat_file!$E:$E,"352",Flat_file!$F:$F,"I")</f>
        <v>0</v>
      </c>
      <c r="H85" s="89">
        <f>SUMIFS(Flat_file!$H:$H,Flat_file!$B:$B,Summary_Inactive!$B$2,Flat_file!$C:$C,"Women",Flat_file!$D:$D,"20-24",Flat_file!$E:$E,"343",Flat_file!$F:$F,"I")+SUMIFS(Flat_file!$H:$H,Flat_file!$B:$B,Summary_Inactive!$B$2,Flat_file!$C:$C,"Women",Flat_file!$D:$D,"20-24",Flat_file!$E:$E,"344",Flat_file!$F:$F,"I")+SUMIFS(Flat_file!$H:$H,Flat_file!$B:$B,Summary_Inactive!$B$2,Flat_file!$C:$C,"Women",Flat_file!$D:$D,"20-24",Flat_file!$E:$E,"353",Flat_file!$F:$F,"I")+SUMIFS(Flat_file!$H:$H,Flat_file!$B:$B,Summary_Inactive!$B$2,Flat_file!$C:$C,"Women",Flat_file!$D:$D,"20-24",Flat_file!$E:$E,"354",Flat_file!$F:$F,"I")</f>
        <v>0</v>
      </c>
      <c r="I85" s="89">
        <f>SUMIFS(Flat_file!$H:$H,Flat_file!$B:$B,Summary_Inactive!$B$2,Flat_file!$C:$C,"Women",Flat_file!$D:$D,"20-24",Flat_file!$E:$E,"443",Flat_file!$F:$F,"I")+SUMIFS(Flat_file!$H:$H,Flat_file!$B:$B,Summary_Inactive!$B$2,Flat_file!$C:$C,"Women",Flat_file!$D:$D,"20-24",Flat_file!$E:$E,"444",Flat_file!$F:$F,"I")+SUMIFS(Flat_file!$H:$H,Flat_file!$B:$B,Summary_Inactive!$B$2,Flat_file!$C:$C,"Women",Flat_file!$D:$D,"20-24",Flat_file!$E:$E,"453",Flat_file!$F:$F,"I")+SUMIFS(Flat_file!$H:$H,Flat_file!$B:$B,Summary_Inactive!$B$2,Flat_file!$C:$C,"Women",Flat_file!$D:$D,"20-24",Flat_file!$E:$E,"454",Flat_file!$F:$F,"I")</f>
        <v>0</v>
      </c>
      <c r="J85" s="89">
        <f>SUMIFS(Flat_file!$H:$H,Flat_file!$B:$B,Summary_Inactive!$B$2,Flat_file!$C:$C,"Women",Flat_file!$D:$D,"20-24",Flat_file!$E:$E,"540",Flat_file!$F:$F,"I")+SUMIFS(Flat_file!$H:$H,Flat_file!$B:$B,Summary_Inactive!$B$2,Flat_file!$C:$C,"Women",Flat_file!$D:$D,"20-24",Flat_file!$E:$E,"550",Flat_file!$F:$F,"I")+SUMIFS(Flat_file!$H:$H,Flat_file!$B:$B,Summary_Inactive!$B$2,Flat_file!$C:$C,"Women",Flat_file!$D:$D,"20-24",Flat_file!$E:$E,"560",Flat_file!$F:$F,"I")</f>
        <v>0</v>
      </c>
      <c r="K85" s="89">
        <f>SUMIFS(Flat_file!$H:$H,Flat_file!$B:$B,Summary_Inactive!$B$2,Flat_file!$C:$C,"Women",Flat_file!$D:$D,"20-24",Flat_file!$E:$E,"640",Flat_file!$F:$F,"I")+SUMIFS(Flat_file!$H:$H,Flat_file!$B:$B,Summary_Inactive!$B$2,Flat_file!$C:$C,"Women",Flat_file!$D:$D,"20-24",Flat_file!$E:$E,"650",Flat_file!$F:$F,"I")+SUMIFS(Flat_file!$H:$H,Flat_file!$B:$B,Summary_Inactive!$B$2,Flat_file!$C:$C,"Women",Flat_file!$D:$D,"20-24",Flat_file!$E:$E,"660",Flat_file!$F:$F,"I")</f>
        <v>0</v>
      </c>
      <c r="L85" s="89">
        <f>SUMIFS(Flat_file!$H:$H,Flat_file!$B:$B,Summary_Inactive!$B$2,Flat_file!$C:$C,"Women",Flat_file!$D:$D,"20-24",Flat_file!$E:$E,"740",Flat_file!$F:$F,"I")+SUMIFS(Flat_file!$H:$H,Flat_file!$B:$B,Summary_Inactive!$B$2,Flat_file!$C:$C,"Women",Flat_file!$D:$D,"20-24",Flat_file!$E:$E,"750",Flat_file!$F:$F,"I")+SUMIFS(Flat_file!$H:$H,Flat_file!$B:$B,Summary_Inactive!$B$2,Flat_file!$C:$C,"Women",Flat_file!$D:$D,"20-24",Flat_file!$E:$E,"760",Flat_file!$F:$F,"I")</f>
        <v>0</v>
      </c>
      <c r="M85" s="89">
        <f>SUMIFS(Flat_file!$H:$H,Flat_file!$B:$B,Summary_Inactive!$B$2,Flat_file!$C:$C,"Women",Flat_file!$D:$D,"20-24",Flat_file!$E:$E,"840",Flat_file!$F:$F,"I")+SUMIFS(Flat_file!$H:$H,Flat_file!$B:$B,Summary_Inactive!$B$2,Flat_file!$C:$C,"Women",Flat_file!$D:$D,"20-24",Flat_file!$E:$E,"850",Flat_file!$F:$F,"I")+SUMIFS(Flat_file!$H:$H,Flat_file!$B:$B,Summary_Inactive!$B$2,Flat_file!$C:$C,"Women",Flat_file!$D:$D,"20-24",Flat_file!$E:$E,"860",Flat_file!$F:$F,"I")</f>
        <v>0</v>
      </c>
      <c r="N85" s="89">
        <f>SUMIFS(Flat_file!$H:$H,Flat_file!$B:$B,Summary_Inactive!$B$2,Flat_file!$C:$C,"Women",Flat_file!$D:$D,"20-24",Flat_file!$E:$E,"999",Flat_file!$F:$F,"I")</f>
        <v>0</v>
      </c>
      <c r="O85" s="89">
        <f t="shared" ref="O85:O92" si="54">SUM(C85:M85)</f>
        <v>0</v>
      </c>
      <c r="P85" s="90"/>
      <c r="Q85" s="89">
        <f t="shared" ref="Q85:Q96" si="55">SUM(H85:M85)</f>
        <v>0</v>
      </c>
      <c r="R85" s="91"/>
      <c r="S85" s="89">
        <f t="shared" ref="S85:S96" si="56">SUM(C85:G85)</f>
        <v>0</v>
      </c>
      <c r="T85" s="89">
        <f t="shared" ref="T85:T96" si="57">SUM(H85:I85)</f>
        <v>0</v>
      </c>
      <c r="U85" s="89">
        <f t="shared" ref="U85:U96" si="58">SUM(J85:M85)</f>
        <v>0</v>
      </c>
      <c r="V85" s="90"/>
      <c r="W85" s="89">
        <f>SUMIFS(Flat_file!$H:$H,Flat_file!$B:$B,Summary_Inactive!$B$2,Flat_file!$C:$C,"Women",Flat_file!$D:$D,"20-24",Flat_file!$E:$E,"343",Flat_file!$F:$F,"I")+SUMIFS(Flat_file!$H:$H,Flat_file!$B:$B,Summary_Inactive!$B$2,Flat_file!$C:$C,"Women",Flat_file!$D:$D,"20-24",Flat_file!$E:$E,"344",Flat_file!$F:$F,"I")+SUMIFS(Flat_file!$H:$H,Flat_file!$B:$B,Summary_Inactive!$B$2,Flat_file!$C:$C,"Women",Flat_file!$D:$D,"20-24",Flat_file!$E:$E,"443",Flat_file!$F:$F,"I")+SUMIFS(Flat_file!$H:$H,Flat_file!$B:$B,Summary_Inactive!$B$2,Flat_file!$C:$C,"Women",Flat_file!$D:$D,"20-24",Flat_file!$E:$E,"444",Flat_file!$F:$F,"I")</f>
        <v>0</v>
      </c>
      <c r="X85" s="89">
        <f>SUMIFS(Flat_file!$H:$H,Flat_file!$B:$B,Summary_Inactive!$B$2,Flat_file!$C:$C,"Women",Flat_file!$D:$D,"20-24",Flat_file!$E:$E,"353",Flat_file!$F:$F,"I")+SUMIFS(Flat_file!$H:$H,Flat_file!$B:$B,Summary_Inactive!$B$2,Flat_file!$C:$C,"Women",Flat_file!$D:$D,"20-24",Flat_file!$E:$E,"354",Flat_file!$F:$F,"I")+SUMIFS(Flat_file!$H:$H,Flat_file!$B:$B,Summary_Inactive!$B$2,Flat_file!$C:$C,"Women",Flat_file!$D:$D,"20-24",Flat_file!$E:$E,"453",Flat_file!$F:$F,"I")+SUMIFS(Flat_file!$H:$H,Flat_file!$B:$B,Summary_Inactive!$B$2,Flat_file!$C:$C,"Women",Flat_file!$D:$D,"20-24",Flat_file!$E:$E,"454",Flat_file!$F:$F,"I")</f>
        <v>0</v>
      </c>
      <c r="Y85" s="90"/>
      <c r="Z85" s="89">
        <f>SUMIFS(Flat_file!$H:$H,Flat_file!$B:$B,Summary_Inactive!$B$2,Flat_file!$C:$C,"Women",Flat_file!$D:$D,"20-24",Flat_file!$E:$E,"640",Flat_file!$F:$F,"I")+SUMIFS(Flat_file!$H:$H,Flat_file!$B:$B,Summary_Inactive!$B$2,Flat_file!$C:$C,"Women",Flat_file!$D:$D,"20-24",Flat_file!$E:$E,"740",Flat_file!$F:$F,"I")+SUMIFS(Flat_file!$H:$H,Flat_file!$B:$B,Summary_Inactive!$B$2,Flat_file!$C:$C,"Women",Flat_file!$D:$D,"20-24",Flat_file!$E:$E,"840",Flat_file!$F:$F,"I")</f>
        <v>0</v>
      </c>
      <c r="AA85" s="89">
        <f>SUMIFS(Flat_file!$H:$H,Flat_file!$B:$B,Summary_Inactive!$B$2,Flat_file!$C:$C,"Women",Flat_file!$D:$D,"20-24",Flat_file!$E:$E,"650",Flat_file!$F:$F,"I")+SUMIFS(Flat_file!$H:$H,Flat_file!$B:$B,Summary_Inactive!$B$2,Flat_file!$C:$C,"Women",Flat_file!$D:$D,"20-24",Flat_file!$E:$E,"750",Flat_file!$F:$F,"I")+SUMIFS(Flat_file!$H:$H,Flat_file!$B:$B,Summary_Inactive!$B$2,Flat_file!$C:$C,"Women",Flat_file!$D:$D,"20-24",Flat_file!$E:$E,"850",Flat_file!$F:$F,"I")</f>
        <v>0</v>
      </c>
      <c r="AB85" s="89">
        <f>SUMIFS(Flat_file!$H:$H,Flat_file!$B:$B,Summary_Inactive!$B$2,Flat_file!$C:$C,"Women",Flat_file!$D:$D,"20-24",Flat_file!$E:$E,"660",Flat_file!$F:$F,"I")+SUMIFS(Flat_file!$H:$H,Flat_file!$B:$B,Summary_Inactive!$B$2,Flat_file!$C:$C,"Women",Flat_file!$D:$D,"20-24",Flat_file!$E:$E,"760",Flat_file!$F:$F,"I")+SUMIFS(Flat_file!$H:$H,Flat_file!$B:$B,Summary_Inactive!$B$2,Flat_file!$C:$C,"Women",Flat_file!$D:$D,"20-24",Flat_file!$E:$E,"860",Flat_file!$F:$F,"I")</f>
        <v>0</v>
      </c>
      <c r="AC85" s="3"/>
      <c r="AD85" s="3"/>
      <c r="AE85" s="3"/>
      <c r="AF85" s="3"/>
      <c r="AG85" s="3"/>
      <c r="AH85" s="3"/>
      <c r="AI85" s="3"/>
      <c r="AJ85" s="3"/>
      <c r="AK85" s="3"/>
      <c r="AL85" s="3"/>
      <c r="AM85" s="3"/>
      <c r="AN85" s="3"/>
      <c r="AO85" s="3"/>
      <c r="AP85" s="3"/>
      <c r="AQ85" s="3"/>
      <c r="AR85" s="3"/>
      <c r="AS85" s="3"/>
    </row>
    <row r="86" spans="1:45" customFormat="1" x14ac:dyDescent="0.2">
      <c r="A86" s="352"/>
      <c r="B86" s="79" t="s">
        <v>89</v>
      </c>
      <c r="C86" s="89">
        <f>SUMIFS(Flat_file!$H:$H,Flat_file!$B:$B,Summary_Inactive!$B$2,Flat_file!$C:$C,"Women",Flat_file!$D:$D,"25-29",Flat_file!$E:$E,"010",Flat_file!$F:$F,"I")+SUMIFS(Flat_file!$H:$H,Flat_file!$B:$B,Summary_Inactive!$B$2,Flat_file!$C:$C,"Women",Flat_file!$D:$D,"25-29",Flat_file!$E:$E,"020",Flat_file!$F:$F,"I")+SUMIFS(Flat_file!$H:$H,Flat_file!$B:$B,Summary_Inactive!$B$2,Flat_file!$C:$C,"Women",Flat_file!$D:$D,"25-29",Flat_file!$E:$E,"030",Flat_file!$F:$F,"I")</f>
        <v>0</v>
      </c>
      <c r="D86" s="89">
        <f>SUMIFS(Flat_file!$H:$H,Flat_file!$B:$B,Summary_Inactive!$B$2,Flat_file!$C:$C,"Women",Flat_file!$D:$D,"25-29",Flat_file!$E:$E,"100",Flat_file!$F:$F,"I")</f>
        <v>0</v>
      </c>
      <c r="E86" s="89">
        <f>SUMIFS(Flat_file!$H:$H,Flat_file!$B:$B,Summary_Inactive!$B$2,Flat_file!$C:$C,"Women",Flat_file!$D:$D,"25-29",Flat_file!$E:$E,"242",Flat_file!$F:$F,"I")+SUMIFS(Flat_file!$H:$H,Flat_file!$B:$B,Summary_Inactive!$B$2,Flat_file!$C:$C,"Women",Flat_file!$D:$D,"25-29",Flat_file!$E:$E,"252",Flat_file!$F:$F,"I")</f>
        <v>0</v>
      </c>
      <c r="F86" s="89">
        <f>SUMIFS(Flat_file!$H:$H,Flat_file!$B:$B,Summary_Inactive!$B$2,Flat_file!$C:$C,"Women",Flat_file!$D:$D,"25-29",Flat_file!$E:$E,"243",Flat_file!$F:$F,"I")+SUMIFS(Flat_file!$H:$H,Flat_file!$B:$B,Summary_Inactive!$B$2,Flat_file!$C:$C,"Women",Flat_file!$D:$D,"25-29",Flat_file!$E:$E,"244",Flat_file!$F:$F,"I")+SUMIFS(Flat_file!$H:$H,Flat_file!$B:$B,Summary_Inactive!$B$2,Flat_file!$C:$C,"Women",Flat_file!$D:$D,"25-29",Flat_file!$E:$E,"253",Flat_file!$F:$F,"I")+SUMIFS(Flat_file!$H:$H,Flat_file!$B:$B,Summary_Inactive!$B$2,Flat_file!$C:$C,"Women",Flat_file!$D:$D,"25-29",Flat_file!$E:$E,"254",Flat_file!$F:$F,"I")</f>
        <v>0</v>
      </c>
      <c r="G86" s="89">
        <f>SUMIFS(Flat_file!$H:$H,Flat_file!$B:$B,Summary_Inactive!$B$2,Flat_file!$C:$C,"Women",Flat_file!$D:$D,"25-29",Flat_file!$E:$E,"342",Flat_file!$F:$F,"I")+SUMIFS(Flat_file!$H:$H,Flat_file!$B:$B,Summary_Inactive!$B$2,Flat_file!$C:$C,"Women",Flat_file!$D:$D,"25-29",Flat_file!$E:$E,"352",Flat_file!$F:$F,"I")</f>
        <v>0</v>
      </c>
      <c r="H86" s="89">
        <f>SUMIFS(Flat_file!$H:$H,Flat_file!$B:$B,Summary_Inactive!$B$2,Flat_file!$C:$C,"Women",Flat_file!$D:$D,"25-29",Flat_file!$E:$E,"343",Flat_file!$F:$F,"I")+SUMIFS(Flat_file!$H:$H,Flat_file!$B:$B,Summary_Inactive!$B$2,Flat_file!$C:$C,"Women",Flat_file!$D:$D,"25-29",Flat_file!$E:$E,"344",Flat_file!$F:$F,"I")+SUMIFS(Flat_file!$H:$H,Flat_file!$B:$B,Summary_Inactive!$B$2,Flat_file!$C:$C,"Women",Flat_file!$D:$D,"25-29",Flat_file!$E:$E,"353",Flat_file!$F:$F,"I")+SUMIFS(Flat_file!$H:$H,Flat_file!$B:$B,Summary_Inactive!$B$2,Flat_file!$C:$C,"Women",Flat_file!$D:$D,"25-29",Flat_file!$E:$E,"354",Flat_file!$F:$F,"I")</f>
        <v>0</v>
      </c>
      <c r="I86" s="89">
        <f>SUMIFS(Flat_file!$H:$H,Flat_file!$B:$B,Summary_Inactive!$B$2,Flat_file!$C:$C,"Women",Flat_file!$D:$D,"25-29",Flat_file!$E:$E,"443",Flat_file!$F:$F,"I")+SUMIFS(Flat_file!$H:$H,Flat_file!$B:$B,Summary_Inactive!$B$2,Flat_file!$C:$C,"Women",Flat_file!$D:$D,"25-29",Flat_file!$E:$E,"444",Flat_file!$F:$F,"I")+SUMIFS(Flat_file!$H:$H,Flat_file!$B:$B,Summary_Inactive!$B$2,Flat_file!$C:$C,"Women",Flat_file!$D:$D,"25-29",Flat_file!$E:$E,"453",Flat_file!$F:$F,"I")+SUMIFS(Flat_file!$H:$H,Flat_file!$B:$B,Summary_Inactive!$B$2,Flat_file!$C:$C,"Women",Flat_file!$D:$D,"25-29",Flat_file!$E:$E,"454",Flat_file!$F:$F,"I")</f>
        <v>0</v>
      </c>
      <c r="J86" s="89">
        <f>SUMIFS(Flat_file!$H:$H,Flat_file!$B:$B,Summary_Inactive!$B$2,Flat_file!$C:$C,"Women",Flat_file!$D:$D,"25-29",Flat_file!$E:$E,"540",Flat_file!$F:$F,"I")+SUMIFS(Flat_file!$H:$H,Flat_file!$B:$B,Summary_Inactive!$B$2,Flat_file!$C:$C,"Women",Flat_file!$D:$D,"25-29",Flat_file!$E:$E,"550",Flat_file!$F:$F,"I")+SUMIFS(Flat_file!$H:$H,Flat_file!$B:$B,Summary_Inactive!$B$2,Flat_file!$C:$C,"Women",Flat_file!$D:$D,"25-29",Flat_file!$E:$E,"560",Flat_file!$F:$F,"I")</f>
        <v>0</v>
      </c>
      <c r="K86" s="89">
        <f>SUMIFS(Flat_file!$H:$H,Flat_file!$B:$B,Summary_Inactive!$B$2,Flat_file!$C:$C,"Women",Flat_file!$D:$D,"25-29",Flat_file!$E:$E,"640",Flat_file!$F:$F,"I")+SUMIFS(Flat_file!$H:$H,Flat_file!$B:$B,Summary_Inactive!$B$2,Flat_file!$C:$C,"Women",Flat_file!$D:$D,"25-29",Flat_file!$E:$E,"650",Flat_file!$F:$F,"I")+SUMIFS(Flat_file!$H:$H,Flat_file!$B:$B,Summary_Inactive!$B$2,Flat_file!$C:$C,"Women",Flat_file!$D:$D,"25-29",Flat_file!$E:$E,"660",Flat_file!$F:$F,"I")</f>
        <v>0</v>
      </c>
      <c r="L86" s="89">
        <f>SUMIFS(Flat_file!$H:$H,Flat_file!$B:$B,Summary_Inactive!$B$2,Flat_file!$C:$C,"Women",Flat_file!$D:$D,"25-29",Flat_file!$E:$E,"740",Flat_file!$F:$F,"I")+SUMIFS(Flat_file!$H:$H,Flat_file!$B:$B,Summary_Inactive!$B$2,Flat_file!$C:$C,"Women",Flat_file!$D:$D,"25-29",Flat_file!$E:$E,"750",Flat_file!$F:$F,"I")+SUMIFS(Flat_file!$H:$H,Flat_file!$B:$B,Summary_Inactive!$B$2,Flat_file!$C:$C,"Women",Flat_file!$D:$D,"25-29",Flat_file!$E:$E,"760",Flat_file!$F:$F,"I")</f>
        <v>0</v>
      </c>
      <c r="M86" s="89">
        <f>SUMIFS(Flat_file!$H:$H,Flat_file!$B:$B,Summary_Inactive!$B$2,Flat_file!$C:$C,"Women",Flat_file!$D:$D,"25-29",Flat_file!$E:$E,"840",Flat_file!$F:$F,"I")+SUMIFS(Flat_file!$H:$H,Flat_file!$B:$B,Summary_Inactive!$B$2,Flat_file!$C:$C,"Women",Flat_file!$D:$D,"25-29",Flat_file!$E:$E,"850",Flat_file!$F:$F,"I")+SUMIFS(Flat_file!$H:$H,Flat_file!$B:$B,Summary_Inactive!$B$2,Flat_file!$C:$C,"Women",Flat_file!$D:$D,"25-29",Flat_file!$E:$E,"860",Flat_file!$F:$F,"I")</f>
        <v>0</v>
      </c>
      <c r="N86" s="89">
        <f>SUMIFS(Flat_file!$H:$H,Flat_file!$B:$B,Summary_Inactive!$B$2,Flat_file!$C:$C,"Women",Flat_file!$D:$D,"25-29",Flat_file!$E:$E,"999",Flat_file!$F:$F,"I")</f>
        <v>0</v>
      </c>
      <c r="O86" s="89">
        <f t="shared" si="54"/>
        <v>0</v>
      </c>
      <c r="P86" s="90"/>
      <c r="Q86" s="89">
        <f t="shared" si="55"/>
        <v>0</v>
      </c>
      <c r="R86" s="91"/>
      <c r="S86" s="89">
        <f t="shared" si="56"/>
        <v>0</v>
      </c>
      <c r="T86" s="89">
        <f t="shared" si="57"/>
        <v>0</v>
      </c>
      <c r="U86" s="89">
        <f t="shared" si="58"/>
        <v>0</v>
      </c>
      <c r="V86" s="90"/>
      <c r="W86" s="89">
        <f>SUMIFS(Flat_file!$H:$H,Flat_file!$B:$B,Summary_Inactive!$B$2,Flat_file!$C:$C,"Women",Flat_file!$D:$D,"25-29",Flat_file!$E:$E,"343",Flat_file!$F:$F,"I")+SUMIFS(Flat_file!$H:$H,Flat_file!$B:$B,Summary_Inactive!$B$2,Flat_file!$C:$C,"Women",Flat_file!$D:$D,"25-29",Flat_file!$E:$E,"344",Flat_file!$F:$F,"I")+SUMIFS(Flat_file!$H:$H,Flat_file!$B:$B,Summary_Inactive!$B$2,Flat_file!$C:$C,"Women",Flat_file!$D:$D,"25-29",Flat_file!$E:$E,"443",Flat_file!$F:$F,"I")+SUMIFS(Flat_file!$H:$H,Flat_file!$B:$B,Summary_Inactive!$B$2,Flat_file!$C:$C,"Women",Flat_file!$D:$D,"25-29",Flat_file!$E:$E,"444",Flat_file!$F:$F,"I")</f>
        <v>0</v>
      </c>
      <c r="X86" s="89">
        <f>SUMIFS(Flat_file!$H:$H,Flat_file!$B:$B,Summary_Inactive!$B$2,Flat_file!$C:$C,"Women",Flat_file!$D:$D,"25-29",Flat_file!$E:$E,"353",Flat_file!$F:$F,"I")+SUMIFS(Flat_file!$H:$H,Flat_file!$B:$B,Summary_Inactive!$B$2,Flat_file!$C:$C,"Women",Flat_file!$D:$D,"25-29",Flat_file!$E:$E,"354",Flat_file!$F:$F,"I")+SUMIFS(Flat_file!$H:$H,Flat_file!$B:$B,Summary_Inactive!$B$2,Flat_file!$C:$C,"Women",Flat_file!$D:$D,"25-29",Flat_file!$E:$E,"453",Flat_file!$F:$F,"I")+SUMIFS(Flat_file!$H:$H,Flat_file!$B:$B,Summary_Inactive!$B$2,Flat_file!$C:$C,"Women",Flat_file!$D:$D,"25-29",Flat_file!$E:$E,"454",Flat_file!$F:$F,"I")</f>
        <v>0</v>
      </c>
      <c r="Y86" s="90"/>
      <c r="Z86" s="89">
        <f>SUMIFS(Flat_file!$H:$H,Flat_file!$B:$B,Summary_Inactive!$B$2,Flat_file!$C:$C,"Women",Flat_file!$D:$D,"25-29",Flat_file!$E:$E,"640",Flat_file!$F:$F,"I")+SUMIFS(Flat_file!$H:$H,Flat_file!$B:$B,Summary_Inactive!$B$2,Flat_file!$C:$C,"Women",Flat_file!$D:$D,"25-29",Flat_file!$E:$E,"740",Flat_file!$F:$F,"I")+SUMIFS(Flat_file!$H:$H,Flat_file!$B:$B,Summary_Inactive!$B$2,Flat_file!$C:$C,"Women",Flat_file!$D:$D,"25-29",Flat_file!$E:$E,"840",Flat_file!$F:$F,"I")</f>
        <v>0</v>
      </c>
      <c r="AA86" s="89">
        <f>SUMIFS(Flat_file!$H:$H,Flat_file!$B:$B,Summary_Inactive!$B$2,Flat_file!$C:$C,"Women",Flat_file!$D:$D,"25-29",Flat_file!$E:$E,"650",Flat_file!$F:$F,"I")+SUMIFS(Flat_file!$H:$H,Flat_file!$B:$B,Summary_Inactive!$B$2,Flat_file!$C:$C,"Women",Flat_file!$D:$D,"25-29",Flat_file!$E:$E,"750",Flat_file!$F:$F,"I")+SUMIFS(Flat_file!$H:$H,Flat_file!$B:$B,Summary_Inactive!$B$2,Flat_file!$C:$C,"Women",Flat_file!$D:$D,"25-29",Flat_file!$E:$E,"850",Flat_file!$F:$F,"I")</f>
        <v>0</v>
      </c>
      <c r="AB86" s="89">
        <f>SUMIFS(Flat_file!$H:$H,Flat_file!$B:$B,Summary_Inactive!$B$2,Flat_file!$C:$C,"Women",Flat_file!$D:$D,"25-29",Flat_file!$E:$E,"660",Flat_file!$F:$F,"I")+SUMIFS(Flat_file!$H:$H,Flat_file!$B:$B,Summary_Inactive!$B$2,Flat_file!$C:$C,"Women",Flat_file!$D:$D,"25-29",Flat_file!$E:$E,"760",Flat_file!$F:$F,"I")+SUMIFS(Flat_file!$H:$H,Flat_file!$B:$B,Summary_Inactive!$B$2,Flat_file!$C:$C,"Women",Flat_file!$D:$D,"25-29",Flat_file!$E:$E,"860",Flat_file!$F:$F,"I")</f>
        <v>0</v>
      </c>
      <c r="AC86" s="3"/>
      <c r="AD86" s="3"/>
      <c r="AE86" s="3"/>
      <c r="AF86" s="3"/>
      <c r="AG86" s="3"/>
      <c r="AH86" s="3"/>
      <c r="AI86" s="3"/>
      <c r="AJ86" s="3"/>
      <c r="AK86" s="3"/>
      <c r="AL86" s="3"/>
      <c r="AM86" s="3"/>
      <c r="AN86" s="3"/>
      <c r="AO86" s="3"/>
      <c r="AP86" s="3"/>
      <c r="AQ86" s="3"/>
      <c r="AR86" s="3"/>
      <c r="AS86" s="3"/>
    </row>
    <row r="87" spans="1:45" customFormat="1" x14ac:dyDescent="0.2">
      <c r="A87" s="352"/>
      <c r="B87" s="79" t="s">
        <v>90</v>
      </c>
      <c r="C87" s="89">
        <f>SUMIFS(Flat_file!$H:$H,Flat_file!$B:$B,Summary_Inactive!$B$2,Flat_file!$C:$C,"Women",Flat_file!$D:$D,"30-34",Flat_file!$E:$E,"010",Flat_file!$F:$F,"I")+SUMIFS(Flat_file!$H:$H,Flat_file!$B:$B,Summary_Inactive!$B$2,Flat_file!$C:$C,"Women",Flat_file!$D:$D,"30-34",Flat_file!$E:$E,"020",Flat_file!$F:$F,"I")+SUMIFS(Flat_file!$H:$H,Flat_file!$B:$B,Summary_Inactive!$B$2,Flat_file!$C:$C,"Women",Flat_file!$D:$D,"30-34",Flat_file!$E:$E,"030",Flat_file!$F:$F,"I")</f>
        <v>0</v>
      </c>
      <c r="D87" s="89">
        <f>SUMIFS(Flat_file!$H:$H,Flat_file!$B:$B,Summary_Inactive!$B$2,Flat_file!$C:$C,"Women",Flat_file!$D:$D,"30-34",Flat_file!$E:$E,"100",Flat_file!$F:$F,"I")</f>
        <v>0</v>
      </c>
      <c r="E87" s="89">
        <f>SUMIFS(Flat_file!$H:$H,Flat_file!$B:$B,Summary_Inactive!$B$2,Flat_file!$C:$C,"Women",Flat_file!$D:$D,"30-34",Flat_file!$E:$E,"242",Flat_file!$F:$F,"I")+SUMIFS(Flat_file!$H:$H,Flat_file!$B:$B,Summary_Inactive!$B$2,Flat_file!$C:$C,"Women",Flat_file!$D:$D,"30-34",Flat_file!$E:$E,"252",Flat_file!$F:$F,"I")</f>
        <v>0</v>
      </c>
      <c r="F87" s="89">
        <f>SUMIFS(Flat_file!$H:$H,Flat_file!$B:$B,Summary_Inactive!$B$2,Flat_file!$C:$C,"Women",Flat_file!$D:$D,"30-34",Flat_file!$E:$E,"243",Flat_file!$F:$F,"I")+SUMIFS(Flat_file!$H:$H,Flat_file!$B:$B,Summary_Inactive!$B$2,Flat_file!$C:$C,"Women",Flat_file!$D:$D,"30-34",Flat_file!$E:$E,"244",Flat_file!$F:$F,"I")+SUMIFS(Flat_file!$H:$H,Flat_file!$B:$B,Summary_Inactive!$B$2,Flat_file!$C:$C,"Women",Flat_file!$D:$D,"30-34",Flat_file!$E:$E,"253",Flat_file!$F:$F,"I")+SUMIFS(Flat_file!$H:$H,Flat_file!$B:$B,Summary_Inactive!$B$2,Flat_file!$C:$C,"Women",Flat_file!$D:$D,"30-34",Flat_file!$E:$E,"254",Flat_file!$F:$F,"I")</f>
        <v>0</v>
      </c>
      <c r="G87" s="89">
        <f>SUMIFS(Flat_file!$H:$H,Flat_file!$B:$B,Summary_Inactive!$B$2,Flat_file!$C:$C,"Women",Flat_file!$D:$D,"30-34",Flat_file!$E:$E,"342",Flat_file!$F:$F,"I")+SUMIFS(Flat_file!$H:$H,Flat_file!$B:$B,Summary_Inactive!$B$2,Flat_file!$C:$C,"Women",Flat_file!$D:$D,"30-34",Flat_file!$E:$E,"352",Flat_file!$F:$F,"I")</f>
        <v>0</v>
      </c>
      <c r="H87" s="89">
        <f>SUMIFS(Flat_file!$H:$H,Flat_file!$B:$B,Summary_Inactive!$B$2,Flat_file!$C:$C,"Women",Flat_file!$D:$D,"30-34",Flat_file!$E:$E,"343",Flat_file!$F:$F,"I")+SUMIFS(Flat_file!$H:$H,Flat_file!$B:$B,Summary_Inactive!$B$2,Flat_file!$C:$C,"Women",Flat_file!$D:$D,"30-34",Flat_file!$E:$E,"344",Flat_file!$F:$F,"I")+SUMIFS(Flat_file!$H:$H,Flat_file!$B:$B,Summary_Inactive!$B$2,Flat_file!$C:$C,"Women",Flat_file!$D:$D,"30-34",Flat_file!$E:$E,"353",Flat_file!$F:$F,"I")+SUMIFS(Flat_file!$H:$H,Flat_file!$B:$B,Summary_Inactive!$B$2,Flat_file!$C:$C,"Women",Flat_file!$D:$D,"30-34",Flat_file!$E:$E,"354",Flat_file!$F:$F,"I")</f>
        <v>0</v>
      </c>
      <c r="I87" s="89">
        <f>SUMIFS(Flat_file!$H:$H,Flat_file!$B:$B,Summary_Inactive!$B$2,Flat_file!$C:$C,"Women",Flat_file!$D:$D,"30-34",Flat_file!$E:$E,"443",Flat_file!$F:$F,"I")+SUMIFS(Flat_file!$H:$H,Flat_file!$B:$B,Summary_Inactive!$B$2,Flat_file!$C:$C,"Women",Flat_file!$D:$D,"30-34",Flat_file!$E:$E,"444",Flat_file!$F:$F,"I")+SUMIFS(Flat_file!$H:$H,Flat_file!$B:$B,Summary_Inactive!$B$2,Flat_file!$C:$C,"Women",Flat_file!$D:$D,"30-34",Flat_file!$E:$E,"453",Flat_file!$F:$F,"I")+SUMIFS(Flat_file!$H:$H,Flat_file!$B:$B,Summary_Inactive!$B$2,Flat_file!$C:$C,"Women",Flat_file!$D:$D,"30-34",Flat_file!$E:$E,"454",Flat_file!$F:$F,"I")</f>
        <v>0</v>
      </c>
      <c r="J87" s="89">
        <f>SUMIFS(Flat_file!$H:$H,Flat_file!$B:$B,Summary_Inactive!$B$2,Flat_file!$C:$C,"Women",Flat_file!$D:$D,"30-34",Flat_file!$E:$E,"540",Flat_file!$F:$F,"I")+SUMIFS(Flat_file!$H:$H,Flat_file!$B:$B,Summary_Inactive!$B$2,Flat_file!$C:$C,"Women",Flat_file!$D:$D,"30-34",Flat_file!$E:$E,"550",Flat_file!$F:$F,"I")+SUMIFS(Flat_file!$H:$H,Flat_file!$B:$B,Summary_Inactive!$B$2,Flat_file!$C:$C,"Women",Flat_file!$D:$D,"30-34",Flat_file!$E:$E,"560",Flat_file!$F:$F,"I")</f>
        <v>0</v>
      </c>
      <c r="K87" s="89">
        <f>SUMIFS(Flat_file!$H:$H,Flat_file!$B:$B,Summary_Inactive!$B$2,Flat_file!$C:$C,"Women",Flat_file!$D:$D,"30-34",Flat_file!$E:$E,"640",Flat_file!$F:$F,"I")+SUMIFS(Flat_file!$H:$H,Flat_file!$B:$B,Summary_Inactive!$B$2,Flat_file!$C:$C,"Women",Flat_file!$D:$D,"30-34",Flat_file!$E:$E,"650",Flat_file!$F:$F,"I")+SUMIFS(Flat_file!$H:$H,Flat_file!$B:$B,Summary_Inactive!$B$2,Flat_file!$C:$C,"Women",Flat_file!$D:$D,"30-34",Flat_file!$E:$E,"660",Flat_file!$F:$F,"I")</f>
        <v>0</v>
      </c>
      <c r="L87" s="89">
        <f>SUMIFS(Flat_file!$H:$H,Flat_file!$B:$B,Summary_Inactive!$B$2,Flat_file!$C:$C,"Women",Flat_file!$D:$D,"30-34",Flat_file!$E:$E,"740",Flat_file!$F:$F,"I")+SUMIFS(Flat_file!$H:$H,Flat_file!$B:$B,Summary_Inactive!$B$2,Flat_file!$C:$C,"Women",Flat_file!$D:$D,"30-34",Flat_file!$E:$E,"750",Flat_file!$F:$F,"I")+SUMIFS(Flat_file!$H:$H,Flat_file!$B:$B,Summary_Inactive!$B$2,Flat_file!$C:$C,"Women",Flat_file!$D:$D,"30-34",Flat_file!$E:$E,"760",Flat_file!$F:$F,"I")</f>
        <v>0</v>
      </c>
      <c r="M87" s="89">
        <f>SUMIFS(Flat_file!$H:$H,Flat_file!$B:$B,Summary_Inactive!$B$2,Flat_file!$C:$C,"Women",Flat_file!$D:$D,"30-34",Flat_file!$E:$E,"840",Flat_file!$F:$F,"I")+SUMIFS(Flat_file!$H:$H,Flat_file!$B:$B,Summary_Inactive!$B$2,Flat_file!$C:$C,"Women",Flat_file!$D:$D,"30-34",Flat_file!$E:$E,"850",Flat_file!$F:$F,"I")+SUMIFS(Flat_file!$H:$H,Flat_file!$B:$B,Summary_Inactive!$B$2,Flat_file!$C:$C,"Women",Flat_file!$D:$D,"30-34",Flat_file!$E:$E,"860",Flat_file!$F:$F,"I")</f>
        <v>0</v>
      </c>
      <c r="N87" s="89">
        <f>SUMIFS(Flat_file!$H:$H,Flat_file!$B:$B,Summary_Inactive!$B$2,Flat_file!$C:$C,"Women",Flat_file!$D:$D,"30-34",Flat_file!$E:$E,"999",Flat_file!$F:$F,"I")</f>
        <v>0</v>
      </c>
      <c r="O87" s="89">
        <f t="shared" si="54"/>
        <v>0</v>
      </c>
      <c r="P87" s="90"/>
      <c r="Q87" s="89">
        <f t="shared" si="55"/>
        <v>0</v>
      </c>
      <c r="R87" s="91"/>
      <c r="S87" s="89">
        <f t="shared" si="56"/>
        <v>0</v>
      </c>
      <c r="T87" s="89">
        <f t="shared" si="57"/>
        <v>0</v>
      </c>
      <c r="U87" s="89">
        <f t="shared" si="58"/>
        <v>0</v>
      </c>
      <c r="V87" s="90"/>
      <c r="W87" s="89">
        <f>SUMIFS(Flat_file!$H:$H,Flat_file!$B:$B,Summary_Inactive!$B$2,Flat_file!$C:$C,"Women",Flat_file!$D:$D,"30-34",Flat_file!$E:$E,"343",Flat_file!$F:$F,"I")+SUMIFS(Flat_file!$H:$H,Flat_file!$B:$B,Summary_Inactive!$B$2,Flat_file!$C:$C,"Women",Flat_file!$D:$D,"30-34",Flat_file!$E:$E,"344",Flat_file!$F:$F,"I")+SUMIFS(Flat_file!$H:$H,Flat_file!$B:$B,Summary_Inactive!$B$2,Flat_file!$C:$C,"Women",Flat_file!$D:$D,"30-34",Flat_file!$E:$E,"443",Flat_file!$F:$F,"I")+SUMIFS(Flat_file!$H:$H,Flat_file!$B:$B,Summary_Inactive!$B$2,Flat_file!$C:$C,"Women",Flat_file!$D:$D,"30-34",Flat_file!$E:$E,"444",Flat_file!$F:$F,"I")</f>
        <v>0</v>
      </c>
      <c r="X87" s="89">
        <f>SUMIFS(Flat_file!$H:$H,Flat_file!$B:$B,Summary_Inactive!$B$2,Flat_file!$C:$C,"Women",Flat_file!$D:$D,"30-34",Flat_file!$E:$E,"353",Flat_file!$F:$F,"I")+SUMIFS(Flat_file!$H:$H,Flat_file!$B:$B,Summary_Inactive!$B$2,Flat_file!$C:$C,"Women",Flat_file!$D:$D,"30-34",Flat_file!$E:$E,"354",Flat_file!$F:$F,"I")+SUMIFS(Flat_file!$H:$H,Flat_file!$B:$B,Summary_Inactive!$B$2,Flat_file!$C:$C,"Women",Flat_file!$D:$D,"30-34",Flat_file!$E:$E,"453",Flat_file!$F:$F,"I")+SUMIFS(Flat_file!$H:$H,Flat_file!$B:$B,Summary_Inactive!$B$2,Flat_file!$C:$C,"Women",Flat_file!$D:$D,"30-34",Flat_file!$E:$E,"454",Flat_file!$F:$F,"I")</f>
        <v>0</v>
      </c>
      <c r="Y87" s="90"/>
      <c r="Z87" s="89">
        <f>SUMIFS(Flat_file!$H:$H,Flat_file!$B:$B,Summary_Inactive!$B$2,Flat_file!$C:$C,"Women",Flat_file!$D:$D,"30-34",Flat_file!$E:$E,"640",Flat_file!$F:$F,"I")+SUMIFS(Flat_file!$H:$H,Flat_file!$B:$B,Summary_Inactive!$B$2,Flat_file!$C:$C,"Women",Flat_file!$D:$D,"30-34",Flat_file!$E:$E,"740",Flat_file!$F:$F,"I")+SUMIFS(Flat_file!$H:$H,Flat_file!$B:$B,Summary_Inactive!$B$2,Flat_file!$C:$C,"Women",Flat_file!$D:$D,"30-34",Flat_file!$E:$E,"840",Flat_file!$F:$F,"I")</f>
        <v>0</v>
      </c>
      <c r="AA87" s="89">
        <f>SUMIFS(Flat_file!$H:$H,Flat_file!$B:$B,Summary_Inactive!$B$2,Flat_file!$C:$C,"Women",Flat_file!$D:$D,"30-34",Flat_file!$E:$E,"650",Flat_file!$F:$F,"I")+SUMIFS(Flat_file!$H:$H,Flat_file!$B:$B,Summary_Inactive!$B$2,Flat_file!$C:$C,"Women",Flat_file!$D:$D,"30-34",Flat_file!$E:$E,"750",Flat_file!$F:$F,"I")+SUMIFS(Flat_file!$H:$H,Flat_file!$B:$B,Summary_Inactive!$B$2,Flat_file!$C:$C,"Women",Flat_file!$D:$D,"30-34",Flat_file!$E:$E,"850",Flat_file!$F:$F,"I")</f>
        <v>0</v>
      </c>
      <c r="AB87" s="89">
        <f>SUMIFS(Flat_file!$H:$H,Flat_file!$B:$B,Summary_Inactive!$B$2,Flat_file!$C:$C,"Women",Flat_file!$D:$D,"30-34",Flat_file!$E:$E,"660",Flat_file!$F:$F,"I")+SUMIFS(Flat_file!$H:$H,Flat_file!$B:$B,Summary_Inactive!$B$2,Flat_file!$C:$C,"Women",Flat_file!$D:$D,"30-34",Flat_file!$E:$E,"760",Flat_file!$F:$F,"I")+SUMIFS(Flat_file!$H:$H,Flat_file!$B:$B,Summary_Inactive!$B$2,Flat_file!$C:$C,"Women",Flat_file!$D:$D,"30-34",Flat_file!$E:$E,"860",Flat_file!$F:$F,"I")</f>
        <v>0</v>
      </c>
      <c r="AC87" s="3"/>
      <c r="AD87" s="3"/>
      <c r="AE87" s="3"/>
      <c r="AF87" s="3"/>
      <c r="AG87" s="3"/>
      <c r="AH87" s="3"/>
      <c r="AI87" s="3"/>
      <c r="AJ87" s="3"/>
      <c r="AK87" s="3"/>
      <c r="AL87" s="3"/>
      <c r="AM87" s="3"/>
      <c r="AN87" s="3"/>
      <c r="AO87" s="3"/>
      <c r="AP87" s="3"/>
      <c r="AQ87" s="3"/>
      <c r="AR87" s="3"/>
      <c r="AS87" s="3"/>
    </row>
    <row r="88" spans="1:45" customFormat="1" x14ac:dyDescent="0.2">
      <c r="A88" s="352"/>
      <c r="B88" s="79" t="s">
        <v>91</v>
      </c>
      <c r="C88" s="89">
        <f>SUMIFS(Flat_file!$H:$H,Flat_file!$B:$B,Summary_Inactive!$B$2,Flat_file!$C:$C,"Women",Flat_file!$D:$D,"35-39",Flat_file!$E:$E,"010",Flat_file!$F:$F,"I")+SUMIFS(Flat_file!$H:$H,Flat_file!$B:$B,Summary_Inactive!$B$2,Flat_file!$C:$C,"Women",Flat_file!$D:$D,"35-39",Flat_file!$E:$E,"020",Flat_file!$F:$F,"I")+SUMIFS(Flat_file!$H:$H,Flat_file!$B:$B,Summary_Inactive!$B$2,Flat_file!$C:$C,"Women",Flat_file!$D:$D,"35-39",Flat_file!$E:$E,"030",Flat_file!$F:$F,"I")</f>
        <v>0</v>
      </c>
      <c r="D88" s="89">
        <f>SUMIFS(Flat_file!$H:$H,Flat_file!$B:$B,Summary_Inactive!$B$2,Flat_file!$C:$C,"Women",Flat_file!$D:$D,"35-39",Flat_file!$E:$E,"100",Flat_file!$F:$F,"I")</f>
        <v>0</v>
      </c>
      <c r="E88" s="89">
        <f>SUMIFS(Flat_file!$H:$H,Flat_file!$B:$B,Summary_Inactive!$B$2,Flat_file!$C:$C,"Women",Flat_file!$D:$D,"35-39",Flat_file!$E:$E,"242",Flat_file!$F:$F,"I")+SUMIFS(Flat_file!$H:$H,Flat_file!$B:$B,Summary_Inactive!$B$2,Flat_file!$C:$C,"Women",Flat_file!$D:$D,"35-39",Flat_file!$E:$E,"252",Flat_file!$F:$F,"I")</f>
        <v>0</v>
      </c>
      <c r="F88" s="89">
        <f>SUMIFS(Flat_file!$H:$H,Flat_file!$B:$B,Summary_Inactive!$B$2,Flat_file!$C:$C,"Women",Flat_file!$D:$D,"35-39",Flat_file!$E:$E,"243",Flat_file!$F:$F,"I")+SUMIFS(Flat_file!$H:$H,Flat_file!$B:$B,Summary_Inactive!$B$2,Flat_file!$C:$C,"Women",Flat_file!$D:$D,"35-39",Flat_file!$E:$E,"244",Flat_file!$F:$F,"I")+SUMIFS(Flat_file!$H:$H,Flat_file!$B:$B,Summary_Inactive!$B$2,Flat_file!$C:$C,"Women",Flat_file!$D:$D,"35-39",Flat_file!$E:$E,"253",Flat_file!$F:$F,"I")+SUMIFS(Flat_file!$H:$H,Flat_file!$B:$B,Summary_Inactive!$B$2,Flat_file!$C:$C,"Women",Flat_file!$D:$D,"35-39",Flat_file!$E:$E,"254",Flat_file!$F:$F,"I")</f>
        <v>0</v>
      </c>
      <c r="G88" s="89">
        <f>SUMIFS(Flat_file!$H:$H,Flat_file!$B:$B,Summary_Inactive!$B$2,Flat_file!$C:$C,"Women",Flat_file!$D:$D,"35-39",Flat_file!$E:$E,"342",Flat_file!$F:$F,"I")+SUMIFS(Flat_file!$H:$H,Flat_file!$B:$B,Summary_Inactive!$B$2,Flat_file!$C:$C,"Women",Flat_file!$D:$D,"35-39",Flat_file!$E:$E,"352",Flat_file!$F:$F,"I")</f>
        <v>0</v>
      </c>
      <c r="H88" s="89">
        <f>SUMIFS(Flat_file!$H:$H,Flat_file!$B:$B,Summary_Inactive!$B$2,Flat_file!$C:$C,"Women",Flat_file!$D:$D,"35-39",Flat_file!$E:$E,"343",Flat_file!$F:$F,"I")+SUMIFS(Flat_file!$H:$H,Flat_file!$B:$B,Summary_Inactive!$B$2,Flat_file!$C:$C,"Women",Flat_file!$D:$D,"35-39",Flat_file!$E:$E,"344",Flat_file!$F:$F,"I")+SUMIFS(Flat_file!$H:$H,Flat_file!$B:$B,Summary_Inactive!$B$2,Flat_file!$C:$C,"Women",Flat_file!$D:$D,"35-39",Flat_file!$E:$E,"353",Flat_file!$F:$F,"I")+SUMIFS(Flat_file!$H:$H,Flat_file!$B:$B,Summary_Inactive!$B$2,Flat_file!$C:$C,"Women",Flat_file!$D:$D,"35-39",Flat_file!$E:$E,"354",Flat_file!$F:$F,"I")</f>
        <v>0</v>
      </c>
      <c r="I88" s="89">
        <f>SUMIFS(Flat_file!$H:$H,Flat_file!$B:$B,Summary_Inactive!$B$2,Flat_file!$C:$C,"Women",Flat_file!$D:$D,"35-39",Flat_file!$E:$E,"443",Flat_file!$F:$F,"I")+SUMIFS(Flat_file!$H:$H,Flat_file!$B:$B,Summary_Inactive!$B$2,Flat_file!$C:$C,"Women",Flat_file!$D:$D,"35-39",Flat_file!$E:$E,"444",Flat_file!$F:$F,"I")+SUMIFS(Flat_file!$H:$H,Flat_file!$B:$B,Summary_Inactive!$B$2,Flat_file!$C:$C,"Women",Flat_file!$D:$D,"35-39",Flat_file!$E:$E,"453",Flat_file!$F:$F,"I")+SUMIFS(Flat_file!$H:$H,Flat_file!$B:$B,Summary_Inactive!$B$2,Flat_file!$C:$C,"Women",Flat_file!$D:$D,"35-39",Flat_file!$E:$E,"454",Flat_file!$F:$F,"I")</f>
        <v>0</v>
      </c>
      <c r="J88" s="89">
        <f>SUMIFS(Flat_file!$H:$H,Flat_file!$B:$B,Summary_Inactive!$B$2,Flat_file!$C:$C,"Women",Flat_file!$D:$D,"35-39",Flat_file!$E:$E,"540",Flat_file!$F:$F,"I")+SUMIFS(Flat_file!$H:$H,Flat_file!$B:$B,Summary_Inactive!$B$2,Flat_file!$C:$C,"Women",Flat_file!$D:$D,"35-39",Flat_file!$E:$E,"550",Flat_file!$F:$F,"I")+SUMIFS(Flat_file!$H:$H,Flat_file!$B:$B,Summary_Inactive!$B$2,Flat_file!$C:$C,"Women",Flat_file!$D:$D,"35-39",Flat_file!$E:$E,"560",Flat_file!$F:$F,"I")</f>
        <v>0</v>
      </c>
      <c r="K88" s="89">
        <f>SUMIFS(Flat_file!$H:$H,Flat_file!$B:$B,Summary_Inactive!$B$2,Flat_file!$C:$C,"Women",Flat_file!$D:$D,"35-39",Flat_file!$E:$E,"640",Flat_file!$F:$F,"I")+SUMIFS(Flat_file!$H:$H,Flat_file!$B:$B,Summary_Inactive!$B$2,Flat_file!$C:$C,"Women",Flat_file!$D:$D,"35-39",Flat_file!$E:$E,"650",Flat_file!$F:$F,"I")+SUMIFS(Flat_file!$H:$H,Flat_file!$B:$B,Summary_Inactive!$B$2,Flat_file!$C:$C,"Women",Flat_file!$D:$D,"35-39",Flat_file!$E:$E,"660",Flat_file!$F:$F,"I")</f>
        <v>0</v>
      </c>
      <c r="L88" s="89">
        <f>SUMIFS(Flat_file!$H:$H,Flat_file!$B:$B,Summary_Inactive!$B$2,Flat_file!$C:$C,"Women",Flat_file!$D:$D,"35-39",Flat_file!$E:$E,"740",Flat_file!$F:$F,"I")+SUMIFS(Flat_file!$H:$H,Flat_file!$B:$B,Summary_Inactive!$B$2,Flat_file!$C:$C,"Women",Flat_file!$D:$D,"35-39",Flat_file!$E:$E,"750",Flat_file!$F:$F,"I")+SUMIFS(Flat_file!$H:$H,Flat_file!$B:$B,Summary_Inactive!$B$2,Flat_file!$C:$C,"Women",Flat_file!$D:$D,"35-39",Flat_file!$E:$E,"760",Flat_file!$F:$F,"I")</f>
        <v>0</v>
      </c>
      <c r="M88" s="89">
        <f>SUMIFS(Flat_file!$H:$H,Flat_file!$B:$B,Summary_Inactive!$B$2,Flat_file!$C:$C,"Women",Flat_file!$D:$D,"35-39",Flat_file!$E:$E,"840",Flat_file!$F:$F,"I")+SUMIFS(Flat_file!$H:$H,Flat_file!$B:$B,Summary_Inactive!$B$2,Flat_file!$C:$C,"Women",Flat_file!$D:$D,"35-39",Flat_file!$E:$E,"850",Flat_file!$F:$F,"I")+SUMIFS(Flat_file!$H:$H,Flat_file!$B:$B,Summary_Inactive!$B$2,Flat_file!$C:$C,"Women",Flat_file!$D:$D,"35-39",Flat_file!$E:$E,"860",Flat_file!$F:$F,"I")</f>
        <v>0</v>
      </c>
      <c r="N88" s="89">
        <f>SUMIFS(Flat_file!$H:$H,Flat_file!$B:$B,Summary_Inactive!$B$2,Flat_file!$C:$C,"Women",Flat_file!$D:$D,"35-39",Flat_file!$E:$E,"999",Flat_file!$F:$F,"I")</f>
        <v>0</v>
      </c>
      <c r="O88" s="89">
        <f t="shared" si="54"/>
        <v>0</v>
      </c>
      <c r="P88" s="90"/>
      <c r="Q88" s="89">
        <f t="shared" si="55"/>
        <v>0</v>
      </c>
      <c r="R88" s="91"/>
      <c r="S88" s="89">
        <f t="shared" si="56"/>
        <v>0</v>
      </c>
      <c r="T88" s="89">
        <f t="shared" si="57"/>
        <v>0</v>
      </c>
      <c r="U88" s="89">
        <f t="shared" si="58"/>
        <v>0</v>
      </c>
      <c r="V88" s="90"/>
      <c r="W88" s="89">
        <f>SUMIFS(Flat_file!$H:$H,Flat_file!$B:$B,Summary_Inactive!$B$2,Flat_file!$C:$C,"Women",Flat_file!$D:$D,"35-39",Flat_file!$E:$E,"343",Flat_file!$F:$F,"I")+SUMIFS(Flat_file!$H:$H,Flat_file!$B:$B,Summary_Inactive!$B$2,Flat_file!$C:$C,"Women",Flat_file!$D:$D,"35-39",Flat_file!$E:$E,"344",Flat_file!$F:$F,"I")+SUMIFS(Flat_file!$H:$H,Flat_file!$B:$B,Summary_Inactive!$B$2,Flat_file!$C:$C,"Women",Flat_file!$D:$D,"35-39",Flat_file!$E:$E,"443",Flat_file!$F:$F,"I")+SUMIFS(Flat_file!$H:$H,Flat_file!$B:$B,Summary_Inactive!$B$2,Flat_file!$C:$C,"Women",Flat_file!$D:$D,"35-39",Flat_file!$E:$E,"444",Flat_file!$F:$F,"I")</f>
        <v>0</v>
      </c>
      <c r="X88" s="89">
        <f>SUMIFS(Flat_file!$H:$H,Flat_file!$B:$B,Summary_Inactive!$B$2,Flat_file!$C:$C,"Women",Flat_file!$D:$D,"35-39",Flat_file!$E:$E,"353",Flat_file!$F:$F,"I")+SUMIFS(Flat_file!$H:$H,Flat_file!$B:$B,Summary_Inactive!$B$2,Flat_file!$C:$C,"Women",Flat_file!$D:$D,"35-39",Flat_file!$E:$E,"354",Flat_file!$F:$F,"I")+SUMIFS(Flat_file!$H:$H,Flat_file!$B:$B,Summary_Inactive!$B$2,Flat_file!$C:$C,"Women",Flat_file!$D:$D,"35-39",Flat_file!$E:$E,"453",Flat_file!$F:$F,"I")+SUMIFS(Flat_file!$H:$H,Flat_file!$B:$B,Summary_Inactive!$B$2,Flat_file!$C:$C,"Women",Flat_file!$D:$D,"35-39",Flat_file!$E:$E,"454",Flat_file!$F:$F,"I")</f>
        <v>0</v>
      </c>
      <c r="Y88" s="90"/>
      <c r="Z88" s="89">
        <f>SUMIFS(Flat_file!$H:$H,Flat_file!$B:$B,Summary_Inactive!$B$2,Flat_file!$C:$C,"Women",Flat_file!$D:$D,"35-39",Flat_file!$E:$E,"640",Flat_file!$F:$F,"I")+SUMIFS(Flat_file!$H:$H,Flat_file!$B:$B,Summary_Inactive!$B$2,Flat_file!$C:$C,"Women",Flat_file!$D:$D,"35-39",Flat_file!$E:$E,"740",Flat_file!$F:$F,"I")+SUMIFS(Flat_file!$H:$H,Flat_file!$B:$B,Summary_Inactive!$B$2,Flat_file!$C:$C,"Women",Flat_file!$D:$D,"35-39",Flat_file!$E:$E,"840",Flat_file!$F:$F,"I")</f>
        <v>0</v>
      </c>
      <c r="AA88" s="89">
        <f>SUMIFS(Flat_file!$H:$H,Flat_file!$B:$B,Summary_Inactive!$B$2,Flat_file!$C:$C,"Women",Flat_file!$D:$D,"35-39",Flat_file!$E:$E,"650",Flat_file!$F:$F,"I")+SUMIFS(Flat_file!$H:$H,Flat_file!$B:$B,Summary_Inactive!$B$2,Flat_file!$C:$C,"Women",Flat_file!$D:$D,"35-39",Flat_file!$E:$E,"750",Flat_file!$F:$F,"I")+SUMIFS(Flat_file!$H:$H,Flat_file!$B:$B,Summary_Inactive!$B$2,Flat_file!$C:$C,"Women",Flat_file!$D:$D,"35-39",Flat_file!$E:$E,"850",Flat_file!$F:$F,"I")</f>
        <v>0</v>
      </c>
      <c r="AB88" s="89">
        <f>SUMIFS(Flat_file!$H:$H,Flat_file!$B:$B,Summary_Inactive!$B$2,Flat_file!$C:$C,"Women",Flat_file!$D:$D,"35-39",Flat_file!$E:$E,"660",Flat_file!$F:$F,"I")+SUMIFS(Flat_file!$H:$H,Flat_file!$B:$B,Summary_Inactive!$B$2,Flat_file!$C:$C,"Women",Flat_file!$D:$D,"35-39",Flat_file!$E:$E,"760",Flat_file!$F:$F,"I")+SUMIFS(Flat_file!$H:$H,Flat_file!$B:$B,Summary_Inactive!$B$2,Flat_file!$C:$C,"Women",Flat_file!$D:$D,"35-39",Flat_file!$E:$E,"860",Flat_file!$F:$F,"I")</f>
        <v>0</v>
      </c>
      <c r="AC88" s="3"/>
      <c r="AD88" s="3"/>
      <c r="AE88" s="3"/>
      <c r="AF88" s="3"/>
      <c r="AG88" s="3"/>
      <c r="AH88" s="3"/>
      <c r="AI88" s="3"/>
      <c r="AJ88" s="3"/>
      <c r="AK88" s="3"/>
      <c r="AL88" s="3"/>
      <c r="AM88" s="3"/>
      <c r="AN88" s="3"/>
      <c r="AO88" s="3"/>
      <c r="AP88" s="3"/>
      <c r="AQ88" s="3"/>
      <c r="AR88" s="3"/>
      <c r="AS88" s="3"/>
    </row>
    <row r="89" spans="1:45" customFormat="1" x14ac:dyDescent="0.2">
      <c r="A89" s="352"/>
      <c r="B89" s="79" t="s">
        <v>92</v>
      </c>
      <c r="C89" s="89">
        <f>SUMIFS(Flat_file!$H:$H,Flat_file!$B:$B,Summary_Inactive!$B$2,Flat_file!$C:$C,"Women",Flat_file!$D:$D,"40-44",Flat_file!$E:$E,"010",Flat_file!$F:$F,"I")+SUMIFS(Flat_file!$H:$H,Flat_file!$B:$B,Summary_Inactive!$B$2,Flat_file!$C:$C,"Women",Flat_file!$D:$D,"40-44",Flat_file!$E:$E,"020",Flat_file!$F:$F,"I")+SUMIFS(Flat_file!$H:$H,Flat_file!$B:$B,Summary_Inactive!$B$2,Flat_file!$C:$C,"Women",Flat_file!$D:$D,"40-44",Flat_file!$E:$E,"030",Flat_file!$F:$F,"I")</f>
        <v>0</v>
      </c>
      <c r="D89" s="89">
        <f>SUMIFS(Flat_file!$H:$H,Flat_file!$B:$B,Summary_Inactive!$B$2,Flat_file!$C:$C,"Women",Flat_file!$D:$D,"40-44",Flat_file!$E:$E,"100",Flat_file!$F:$F,"I")</f>
        <v>0</v>
      </c>
      <c r="E89" s="89">
        <f>SUMIFS(Flat_file!$H:$H,Flat_file!$B:$B,Summary_Inactive!$B$2,Flat_file!$C:$C,"Women",Flat_file!$D:$D,"40-44",Flat_file!$E:$E,"242",Flat_file!$F:$F,"I")+SUMIFS(Flat_file!$H:$H,Flat_file!$B:$B,Summary_Inactive!$B$2,Flat_file!$C:$C,"Women",Flat_file!$D:$D,"40-44",Flat_file!$E:$E,"252",Flat_file!$F:$F,"I")</f>
        <v>0</v>
      </c>
      <c r="F89" s="89">
        <f>SUMIFS(Flat_file!$H:$H,Flat_file!$B:$B,Summary_Inactive!$B$2,Flat_file!$C:$C,"Women",Flat_file!$D:$D,"40-44",Flat_file!$E:$E,"243",Flat_file!$F:$F,"I")+SUMIFS(Flat_file!$H:$H,Flat_file!$B:$B,Summary_Inactive!$B$2,Flat_file!$C:$C,"Women",Flat_file!$D:$D,"40-44",Flat_file!$E:$E,"244",Flat_file!$F:$F,"I")+SUMIFS(Flat_file!$H:$H,Flat_file!$B:$B,Summary_Inactive!$B$2,Flat_file!$C:$C,"Women",Flat_file!$D:$D,"40-44",Flat_file!$E:$E,"253",Flat_file!$F:$F,"I")+SUMIFS(Flat_file!$H:$H,Flat_file!$B:$B,Summary_Inactive!$B$2,Flat_file!$C:$C,"Women",Flat_file!$D:$D,"40-44",Flat_file!$E:$E,"254",Flat_file!$F:$F,"I")</f>
        <v>0</v>
      </c>
      <c r="G89" s="89">
        <f>SUMIFS(Flat_file!$H:$H,Flat_file!$B:$B,Summary_Inactive!$B$2,Flat_file!$C:$C,"Women",Flat_file!$D:$D,"40-44",Flat_file!$E:$E,"342",Flat_file!$F:$F,"I")+SUMIFS(Flat_file!$H:$H,Flat_file!$B:$B,Summary_Inactive!$B$2,Flat_file!$C:$C,"Women",Flat_file!$D:$D,"40-44",Flat_file!$E:$E,"352",Flat_file!$F:$F,"I")</f>
        <v>0</v>
      </c>
      <c r="H89" s="89">
        <f>SUMIFS(Flat_file!$H:$H,Flat_file!$B:$B,Summary_Inactive!$B$2,Flat_file!$C:$C,"Women",Flat_file!$D:$D,"40-44",Flat_file!$E:$E,"343",Flat_file!$F:$F,"I")+SUMIFS(Flat_file!$H:$H,Flat_file!$B:$B,Summary_Inactive!$B$2,Flat_file!$C:$C,"Women",Flat_file!$D:$D,"40-44",Flat_file!$E:$E,"344",Flat_file!$F:$F,"I")+SUMIFS(Flat_file!$H:$H,Flat_file!$B:$B,Summary_Inactive!$B$2,Flat_file!$C:$C,"Women",Flat_file!$D:$D,"40-44",Flat_file!$E:$E,"353",Flat_file!$F:$F,"I")+SUMIFS(Flat_file!$H:$H,Flat_file!$B:$B,Summary_Inactive!$B$2,Flat_file!$C:$C,"Women",Flat_file!$D:$D,"40-44",Flat_file!$E:$E,"354",Flat_file!$F:$F,"I")</f>
        <v>0</v>
      </c>
      <c r="I89" s="89">
        <f>SUMIFS(Flat_file!$H:$H,Flat_file!$B:$B,Summary_Inactive!$B$2,Flat_file!$C:$C,"Women",Flat_file!$D:$D,"40-44",Flat_file!$E:$E,"443",Flat_file!$F:$F,"I")+SUMIFS(Flat_file!$H:$H,Flat_file!$B:$B,Summary_Inactive!$B$2,Flat_file!$C:$C,"Women",Flat_file!$D:$D,"40-44",Flat_file!$E:$E,"444",Flat_file!$F:$F,"I")+SUMIFS(Flat_file!$H:$H,Flat_file!$B:$B,Summary_Inactive!$B$2,Flat_file!$C:$C,"Women",Flat_file!$D:$D,"40-44",Flat_file!$E:$E,"453",Flat_file!$F:$F,"I")+SUMIFS(Flat_file!$H:$H,Flat_file!$B:$B,Summary_Inactive!$B$2,Flat_file!$C:$C,"Women",Flat_file!$D:$D,"40-44",Flat_file!$E:$E,"454",Flat_file!$F:$F,"I")</f>
        <v>0</v>
      </c>
      <c r="J89" s="89">
        <f>SUMIFS(Flat_file!$H:$H,Flat_file!$B:$B,Summary_Inactive!$B$2,Flat_file!$C:$C,"Women",Flat_file!$D:$D,"40-44",Flat_file!$E:$E,"540",Flat_file!$F:$F,"I")+SUMIFS(Flat_file!$H:$H,Flat_file!$B:$B,Summary_Inactive!$B$2,Flat_file!$C:$C,"Women",Flat_file!$D:$D,"40-44",Flat_file!$E:$E,"550",Flat_file!$F:$F,"I")+SUMIFS(Flat_file!$H:$H,Flat_file!$B:$B,Summary_Inactive!$B$2,Flat_file!$C:$C,"Women",Flat_file!$D:$D,"40-44",Flat_file!$E:$E,"560",Flat_file!$F:$F,"I")</f>
        <v>0</v>
      </c>
      <c r="K89" s="89">
        <f>SUMIFS(Flat_file!$H:$H,Flat_file!$B:$B,Summary_Inactive!$B$2,Flat_file!$C:$C,"Women",Flat_file!$D:$D,"40-44",Flat_file!$E:$E,"640",Flat_file!$F:$F,"I")+SUMIFS(Flat_file!$H:$H,Flat_file!$B:$B,Summary_Inactive!$B$2,Flat_file!$C:$C,"Women",Flat_file!$D:$D,"40-44",Flat_file!$E:$E,"650",Flat_file!$F:$F,"I")+SUMIFS(Flat_file!$H:$H,Flat_file!$B:$B,Summary_Inactive!$B$2,Flat_file!$C:$C,"Women",Flat_file!$D:$D,"40-44",Flat_file!$E:$E,"660",Flat_file!$F:$F,"I")</f>
        <v>0</v>
      </c>
      <c r="L89" s="89">
        <f>SUMIFS(Flat_file!$H:$H,Flat_file!$B:$B,Summary_Inactive!$B$2,Flat_file!$C:$C,"Women",Flat_file!$D:$D,"40-44",Flat_file!$E:$E,"740",Flat_file!$F:$F,"I")+SUMIFS(Flat_file!$H:$H,Flat_file!$B:$B,Summary_Inactive!$B$2,Flat_file!$C:$C,"Women",Flat_file!$D:$D,"40-44",Flat_file!$E:$E,"750",Flat_file!$F:$F,"I")+SUMIFS(Flat_file!$H:$H,Flat_file!$B:$B,Summary_Inactive!$B$2,Flat_file!$C:$C,"Women",Flat_file!$D:$D,"40-44",Flat_file!$E:$E,"760",Flat_file!$F:$F,"I")</f>
        <v>0</v>
      </c>
      <c r="M89" s="89">
        <f>SUMIFS(Flat_file!$H:$H,Flat_file!$B:$B,Summary_Inactive!$B$2,Flat_file!$C:$C,"Women",Flat_file!$D:$D,"40-44",Flat_file!$E:$E,"840",Flat_file!$F:$F,"I")+SUMIFS(Flat_file!$H:$H,Flat_file!$B:$B,Summary_Inactive!$B$2,Flat_file!$C:$C,"Women",Flat_file!$D:$D,"40-44",Flat_file!$E:$E,"850",Flat_file!$F:$F,"I")+SUMIFS(Flat_file!$H:$H,Flat_file!$B:$B,Summary_Inactive!$B$2,Flat_file!$C:$C,"Women",Flat_file!$D:$D,"40-44",Flat_file!$E:$E,"860",Flat_file!$F:$F,"I")</f>
        <v>0</v>
      </c>
      <c r="N89" s="89">
        <f>SUMIFS(Flat_file!$H:$H,Flat_file!$B:$B,Summary_Inactive!$B$2,Flat_file!$C:$C,"Women",Flat_file!$D:$D,"40-44",Flat_file!$E:$E,"999",Flat_file!$F:$F,"I")</f>
        <v>0</v>
      </c>
      <c r="O89" s="89">
        <f t="shared" si="54"/>
        <v>0</v>
      </c>
      <c r="P89" s="90"/>
      <c r="Q89" s="89">
        <f t="shared" si="55"/>
        <v>0</v>
      </c>
      <c r="R89" s="91"/>
      <c r="S89" s="89">
        <f t="shared" si="56"/>
        <v>0</v>
      </c>
      <c r="T89" s="89">
        <f t="shared" si="57"/>
        <v>0</v>
      </c>
      <c r="U89" s="89">
        <f t="shared" si="58"/>
        <v>0</v>
      </c>
      <c r="V89" s="90"/>
      <c r="W89" s="89">
        <f>SUMIFS(Flat_file!$H:$H,Flat_file!$B:$B,Summary_Inactive!$B$2,Flat_file!$C:$C,"Women",Flat_file!$D:$D,"40-44",Flat_file!$E:$E,"343",Flat_file!$F:$F,"I")+SUMIFS(Flat_file!$H:$H,Flat_file!$B:$B,Summary_Inactive!$B$2,Flat_file!$C:$C,"Women",Flat_file!$D:$D,"40-44",Flat_file!$E:$E,"344",Flat_file!$F:$F,"I")+SUMIFS(Flat_file!$H:$H,Flat_file!$B:$B,Summary_Inactive!$B$2,Flat_file!$C:$C,"Women",Flat_file!$D:$D,"40-44",Flat_file!$E:$E,"443",Flat_file!$F:$F,"I")+SUMIFS(Flat_file!$H:$H,Flat_file!$B:$B,Summary_Inactive!$B$2,Flat_file!$C:$C,"Women",Flat_file!$D:$D,"40-44",Flat_file!$E:$E,"444",Flat_file!$F:$F,"I")</f>
        <v>0</v>
      </c>
      <c r="X89" s="89">
        <f>SUMIFS(Flat_file!$H:$H,Flat_file!$B:$B,Summary_Inactive!$B$2,Flat_file!$C:$C,"Women",Flat_file!$D:$D,"40-44",Flat_file!$E:$E,"353",Flat_file!$F:$F,"I")+SUMIFS(Flat_file!$H:$H,Flat_file!$B:$B,Summary_Inactive!$B$2,Flat_file!$C:$C,"Women",Flat_file!$D:$D,"40-44",Flat_file!$E:$E,"354",Flat_file!$F:$F,"I")+SUMIFS(Flat_file!$H:$H,Flat_file!$B:$B,Summary_Inactive!$B$2,Flat_file!$C:$C,"Women",Flat_file!$D:$D,"40-44",Flat_file!$E:$E,"453",Flat_file!$F:$F,"I")+SUMIFS(Flat_file!$H:$H,Flat_file!$B:$B,Summary_Inactive!$B$2,Flat_file!$C:$C,"Women",Flat_file!$D:$D,"40-44",Flat_file!$E:$E,"454",Flat_file!$F:$F,"I")</f>
        <v>0</v>
      </c>
      <c r="Y89" s="90"/>
      <c r="Z89" s="89">
        <f>SUMIFS(Flat_file!$H:$H,Flat_file!$B:$B,Summary_Inactive!$B$2,Flat_file!$C:$C,"Women",Flat_file!$D:$D,"40-44",Flat_file!$E:$E,"640",Flat_file!$F:$F,"I")+SUMIFS(Flat_file!$H:$H,Flat_file!$B:$B,Summary_Inactive!$B$2,Flat_file!$C:$C,"Women",Flat_file!$D:$D,"40-44",Flat_file!$E:$E,"740",Flat_file!$F:$F,"I")+SUMIFS(Flat_file!$H:$H,Flat_file!$B:$B,Summary_Inactive!$B$2,Flat_file!$C:$C,"Women",Flat_file!$D:$D,"40-44",Flat_file!$E:$E,"840",Flat_file!$F:$F,"I")</f>
        <v>0</v>
      </c>
      <c r="AA89" s="89">
        <f>SUMIFS(Flat_file!$H:$H,Flat_file!$B:$B,Summary_Inactive!$B$2,Flat_file!$C:$C,"Women",Flat_file!$D:$D,"40-44",Flat_file!$E:$E,"650",Flat_file!$F:$F,"I")+SUMIFS(Flat_file!$H:$H,Flat_file!$B:$B,Summary_Inactive!$B$2,Flat_file!$C:$C,"Women",Flat_file!$D:$D,"40-44",Flat_file!$E:$E,"750",Flat_file!$F:$F,"I")+SUMIFS(Flat_file!$H:$H,Flat_file!$B:$B,Summary_Inactive!$B$2,Flat_file!$C:$C,"Women",Flat_file!$D:$D,"40-44",Flat_file!$E:$E,"850",Flat_file!$F:$F,"I")</f>
        <v>0</v>
      </c>
      <c r="AB89" s="89">
        <f>SUMIFS(Flat_file!$H:$H,Flat_file!$B:$B,Summary_Inactive!$B$2,Flat_file!$C:$C,"Women",Flat_file!$D:$D,"40-44",Flat_file!$E:$E,"660",Flat_file!$F:$F,"I")+SUMIFS(Flat_file!$H:$H,Flat_file!$B:$B,Summary_Inactive!$B$2,Flat_file!$C:$C,"Women",Flat_file!$D:$D,"40-44",Flat_file!$E:$E,"760",Flat_file!$F:$F,"I")+SUMIFS(Flat_file!$H:$H,Flat_file!$B:$B,Summary_Inactive!$B$2,Flat_file!$C:$C,"Women",Flat_file!$D:$D,"40-44",Flat_file!$E:$E,"860",Flat_file!$F:$F,"I")</f>
        <v>0</v>
      </c>
      <c r="AC89" s="3"/>
      <c r="AD89" s="3"/>
      <c r="AE89" s="3"/>
      <c r="AF89" s="3"/>
      <c r="AG89" s="3"/>
      <c r="AH89" s="3"/>
      <c r="AI89" s="3"/>
      <c r="AJ89" s="3"/>
      <c r="AK89" s="3"/>
      <c r="AL89" s="3"/>
      <c r="AM89" s="3"/>
      <c r="AN89" s="3"/>
      <c r="AO89" s="3"/>
      <c r="AP89" s="3"/>
      <c r="AQ89" s="3"/>
      <c r="AR89" s="3"/>
      <c r="AS89" s="3"/>
    </row>
    <row r="90" spans="1:45" customFormat="1" x14ac:dyDescent="0.2">
      <c r="A90" s="352"/>
      <c r="B90" s="79" t="s">
        <v>93</v>
      </c>
      <c r="C90" s="89">
        <f>SUMIFS(Flat_file!$H:$H,Flat_file!$B:$B,Summary_Inactive!$B$2,Flat_file!$C:$C,"Women",Flat_file!$D:$D,"45-49",Flat_file!$E:$E,"010",Flat_file!$F:$F,"I")+SUMIFS(Flat_file!$H:$H,Flat_file!$B:$B,Summary_Inactive!$B$2,Flat_file!$C:$C,"Women",Flat_file!$D:$D,"45-49",Flat_file!$E:$E,"020",Flat_file!$F:$F,"I")+SUMIFS(Flat_file!$H:$H,Flat_file!$B:$B,Summary_Inactive!$B$2,Flat_file!$C:$C,"Women",Flat_file!$D:$D,"45-49",Flat_file!$E:$E,"030",Flat_file!$F:$F,"I")</f>
        <v>0</v>
      </c>
      <c r="D90" s="89">
        <f>SUMIFS(Flat_file!$H:$H,Flat_file!$B:$B,Summary_Inactive!$B$2,Flat_file!$C:$C,"Women",Flat_file!$D:$D,"45-49",Flat_file!$E:$E,"100",Flat_file!$F:$F,"I")</f>
        <v>0</v>
      </c>
      <c r="E90" s="89">
        <f>SUMIFS(Flat_file!$H:$H,Flat_file!$B:$B,Summary_Inactive!$B$2,Flat_file!$C:$C,"Women",Flat_file!$D:$D,"45-49",Flat_file!$E:$E,"242",Flat_file!$F:$F,"I")+SUMIFS(Flat_file!$H:$H,Flat_file!$B:$B,Summary_Inactive!$B$2,Flat_file!$C:$C,"Women",Flat_file!$D:$D,"45-49",Flat_file!$E:$E,"252",Flat_file!$F:$F,"I")</f>
        <v>0</v>
      </c>
      <c r="F90" s="89">
        <f>SUMIFS(Flat_file!$H:$H,Flat_file!$B:$B,Summary_Inactive!$B$2,Flat_file!$C:$C,"Women",Flat_file!$D:$D,"45-49",Flat_file!$E:$E,"243",Flat_file!$F:$F,"I")+SUMIFS(Flat_file!$H:$H,Flat_file!$B:$B,Summary_Inactive!$B$2,Flat_file!$C:$C,"Women",Flat_file!$D:$D,"45-49",Flat_file!$E:$E,"244",Flat_file!$F:$F,"I")+SUMIFS(Flat_file!$H:$H,Flat_file!$B:$B,Summary_Inactive!$B$2,Flat_file!$C:$C,"Women",Flat_file!$D:$D,"45-49",Flat_file!$E:$E,"253",Flat_file!$F:$F,"I")+SUMIFS(Flat_file!$H:$H,Flat_file!$B:$B,Summary_Inactive!$B$2,Flat_file!$C:$C,"Women",Flat_file!$D:$D,"45-49",Flat_file!$E:$E,"254",Flat_file!$F:$F,"I")</f>
        <v>0</v>
      </c>
      <c r="G90" s="89">
        <f>SUMIFS(Flat_file!$H:$H,Flat_file!$B:$B,Summary_Inactive!$B$2,Flat_file!$C:$C,"Women",Flat_file!$D:$D,"45-49",Flat_file!$E:$E,"342",Flat_file!$F:$F,"I")+SUMIFS(Flat_file!$H:$H,Flat_file!$B:$B,Summary_Inactive!$B$2,Flat_file!$C:$C,"Women",Flat_file!$D:$D,"45-49",Flat_file!$E:$E,"352",Flat_file!$F:$F,"I")</f>
        <v>0</v>
      </c>
      <c r="H90" s="89">
        <f>SUMIFS(Flat_file!$H:$H,Flat_file!$B:$B,Summary_Inactive!$B$2,Flat_file!$C:$C,"Women",Flat_file!$D:$D,"45-49",Flat_file!$E:$E,"343",Flat_file!$F:$F,"I")+SUMIFS(Flat_file!$H:$H,Flat_file!$B:$B,Summary_Inactive!$B$2,Flat_file!$C:$C,"Women",Flat_file!$D:$D,"45-49",Flat_file!$E:$E,"344",Flat_file!$F:$F,"I")+SUMIFS(Flat_file!$H:$H,Flat_file!$B:$B,Summary_Inactive!$B$2,Flat_file!$C:$C,"Women",Flat_file!$D:$D,"45-49",Flat_file!$E:$E,"353",Flat_file!$F:$F,"I")+SUMIFS(Flat_file!$H:$H,Flat_file!$B:$B,Summary_Inactive!$B$2,Flat_file!$C:$C,"Women",Flat_file!$D:$D,"45-49",Flat_file!$E:$E,"354",Flat_file!$F:$F,"I")</f>
        <v>0</v>
      </c>
      <c r="I90" s="89">
        <f>SUMIFS(Flat_file!$H:$H,Flat_file!$B:$B,Summary_Inactive!$B$2,Flat_file!$C:$C,"Women",Flat_file!$D:$D,"45-49",Flat_file!$E:$E,"443",Flat_file!$F:$F,"I")+SUMIFS(Flat_file!$H:$H,Flat_file!$B:$B,Summary_Inactive!$B$2,Flat_file!$C:$C,"Women",Flat_file!$D:$D,"45-49",Flat_file!$E:$E,"444",Flat_file!$F:$F,"I")+SUMIFS(Flat_file!$H:$H,Flat_file!$B:$B,Summary_Inactive!$B$2,Flat_file!$C:$C,"Women",Flat_file!$D:$D,"45-49",Flat_file!$E:$E,"453",Flat_file!$F:$F,"I")+SUMIFS(Flat_file!$H:$H,Flat_file!$B:$B,Summary_Inactive!$B$2,Flat_file!$C:$C,"Women",Flat_file!$D:$D,"45-49",Flat_file!$E:$E,"454",Flat_file!$F:$F,"I")</f>
        <v>0</v>
      </c>
      <c r="J90" s="89">
        <f>SUMIFS(Flat_file!$H:$H,Flat_file!$B:$B,Summary_Inactive!$B$2,Flat_file!$C:$C,"Women",Flat_file!$D:$D,"45-49",Flat_file!$E:$E,"540",Flat_file!$F:$F,"I")+SUMIFS(Flat_file!$H:$H,Flat_file!$B:$B,Summary_Inactive!$B$2,Flat_file!$C:$C,"Women",Flat_file!$D:$D,"45-49",Flat_file!$E:$E,"550",Flat_file!$F:$F,"I")+SUMIFS(Flat_file!$H:$H,Flat_file!$B:$B,Summary_Inactive!$B$2,Flat_file!$C:$C,"Women",Flat_file!$D:$D,"45-49",Flat_file!$E:$E,"560",Flat_file!$F:$F,"I")</f>
        <v>0</v>
      </c>
      <c r="K90" s="89">
        <f>SUMIFS(Flat_file!$H:$H,Flat_file!$B:$B,Summary_Inactive!$B$2,Flat_file!$C:$C,"Women",Flat_file!$D:$D,"45-49",Flat_file!$E:$E,"640",Flat_file!$F:$F,"I")+SUMIFS(Flat_file!$H:$H,Flat_file!$B:$B,Summary_Inactive!$B$2,Flat_file!$C:$C,"Women",Flat_file!$D:$D,"45-49",Flat_file!$E:$E,"650",Flat_file!$F:$F,"I")+SUMIFS(Flat_file!$H:$H,Flat_file!$B:$B,Summary_Inactive!$B$2,Flat_file!$C:$C,"Women",Flat_file!$D:$D,"45-49",Flat_file!$E:$E,"660",Flat_file!$F:$F,"I")</f>
        <v>0</v>
      </c>
      <c r="L90" s="89">
        <f>SUMIFS(Flat_file!$H:$H,Flat_file!$B:$B,Summary_Inactive!$B$2,Flat_file!$C:$C,"Women",Flat_file!$D:$D,"45-49",Flat_file!$E:$E,"740",Flat_file!$F:$F,"I")+SUMIFS(Flat_file!$H:$H,Flat_file!$B:$B,Summary_Inactive!$B$2,Flat_file!$C:$C,"Women",Flat_file!$D:$D,"45-49",Flat_file!$E:$E,"750",Flat_file!$F:$F,"I")+SUMIFS(Flat_file!$H:$H,Flat_file!$B:$B,Summary_Inactive!$B$2,Flat_file!$C:$C,"Women",Flat_file!$D:$D,"45-49",Flat_file!$E:$E,"760",Flat_file!$F:$F,"I")</f>
        <v>0</v>
      </c>
      <c r="M90" s="89">
        <f>SUMIFS(Flat_file!$H:$H,Flat_file!$B:$B,Summary_Inactive!$B$2,Flat_file!$C:$C,"Women",Flat_file!$D:$D,"45-49",Flat_file!$E:$E,"840",Flat_file!$F:$F,"I")+SUMIFS(Flat_file!$H:$H,Flat_file!$B:$B,Summary_Inactive!$B$2,Flat_file!$C:$C,"Women",Flat_file!$D:$D,"45-49",Flat_file!$E:$E,"850",Flat_file!$F:$F,"I")+SUMIFS(Flat_file!$H:$H,Flat_file!$B:$B,Summary_Inactive!$B$2,Flat_file!$C:$C,"Women",Flat_file!$D:$D,"45-49",Flat_file!$E:$E,"860",Flat_file!$F:$F,"I")</f>
        <v>0</v>
      </c>
      <c r="N90" s="89">
        <f>SUMIFS(Flat_file!$H:$H,Flat_file!$B:$B,Summary_Inactive!$B$2,Flat_file!$C:$C,"Women",Flat_file!$D:$D,"45-49",Flat_file!$E:$E,"999",Flat_file!$F:$F,"I")</f>
        <v>0</v>
      </c>
      <c r="O90" s="89">
        <f t="shared" si="54"/>
        <v>0</v>
      </c>
      <c r="P90" s="90"/>
      <c r="Q90" s="89">
        <f t="shared" si="55"/>
        <v>0</v>
      </c>
      <c r="R90" s="91"/>
      <c r="S90" s="89">
        <f t="shared" si="56"/>
        <v>0</v>
      </c>
      <c r="T90" s="89">
        <f t="shared" si="57"/>
        <v>0</v>
      </c>
      <c r="U90" s="89">
        <f t="shared" si="58"/>
        <v>0</v>
      </c>
      <c r="V90" s="90"/>
      <c r="W90" s="89">
        <f>SUMIFS(Flat_file!$H:$H,Flat_file!$B:$B,Summary_Inactive!$B$2,Flat_file!$C:$C,"Women",Flat_file!$D:$D,"45-49",Flat_file!$E:$E,"343",Flat_file!$F:$F,"I")+SUMIFS(Flat_file!$H:$H,Flat_file!$B:$B,Summary_Inactive!$B$2,Flat_file!$C:$C,"Women",Flat_file!$D:$D,"45-49",Flat_file!$E:$E,"344",Flat_file!$F:$F,"I")+SUMIFS(Flat_file!$H:$H,Flat_file!$B:$B,Summary_Inactive!$B$2,Flat_file!$C:$C,"Women",Flat_file!$D:$D,"45-49",Flat_file!$E:$E,"443",Flat_file!$F:$F,"I")+SUMIFS(Flat_file!$H:$H,Flat_file!$B:$B,Summary_Inactive!$B$2,Flat_file!$C:$C,"Women",Flat_file!$D:$D,"45-49",Flat_file!$E:$E,"444",Flat_file!$F:$F,"I")</f>
        <v>0</v>
      </c>
      <c r="X90" s="89">
        <f>SUMIFS(Flat_file!$H:$H,Flat_file!$B:$B,Summary_Inactive!$B$2,Flat_file!$C:$C,"Women",Flat_file!$D:$D,"45-49",Flat_file!$E:$E,"353",Flat_file!$F:$F,"I")+SUMIFS(Flat_file!$H:$H,Flat_file!$B:$B,Summary_Inactive!$B$2,Flat_file!$C:$C,"Women",Flat_file!$D:$D,"45-49",Flat_file!$E:$E,"354",Flat_file!$F:$F,"I")+SUMIFS(Flat_file!$H:$H,Flat_file!$B:$B,Summary_Inactive!$B$2,Flat_file!$C:$C,"Women",Flat_file!$D:$D,"45-49",Flat_file!$E:$E,"453",Flat_file!$F:$F,"I")+SUMIFS(Flat_file!$H:$H,Flat_file!$B:$B,Summary_Inactive!$B$2,Flat_file!$C:$C,"Women",Flat_file!$D:$D,"45-49",Flat_file!$E:$E,"454",Flat_file!$F:$F,"I")</f>
        <v>0</v>
      </c>
      <c r="Y90" s="90"/>
      <c r="Z90" s="89">
        <f>SUMIFS(Flat_file!$H:$H,Flat_file!$B:$B,Summary_Inactive!$B$2,Flat_file!$C:$C,"Women",Flat_file!$D:$D,"45-49",Flat_file!$E:$E,"640",Flat_file!$F:$F,"I")+SUMIFS(Flat_file!$H:$H,Flat_file!$B:$B,Summary_Inactive!$B$2,Flat_file!$C:$C,"Women",Flat_file!$D:$D,"45-49",Flat_file!$E:$E,"740",Flat_file!$F:$F,"I")+SUMIFS(Flat_file!$H:$H,Flat_file!$B:$B,Summary_Inactive!$B$2,Flat_file!$C:$C,"Women",Flat_file!$D:$D,"45-49",Flat_file!$E:$E,"840",Flat_file!$F:$F,"I")</f>
        <v>0</v>
      </c>
      <c r="AA90" s="89">
        <f>SUMIFS(Flat_file!$H:$H,Flat_file!$B:$B,Summary_Inactive!$B$2,Flat_file!$C:$C,"Women",Flat_file!$D:$D,"45-49",Flat_file!$E:$E,"650",Flat_file!$F:$F,"I")+SUMIFS(Flat_file!$H:$H,Flat_file!$B:$B,Summary_Inactive!$B$2,Flat_file!$C:$C,"Women",Flat_file!$D:$D,"45-49",Flat_file!$E:$E,"750",Flat_file!$F:$F,"I")+SUMIFS(Flat_file!$H:$H,Flat_file!$B:$B,Summary_Inactive!$B$2,Flat_file!$C:$C,"Women",Flat_file!$D:$D,"45-49",Flat_file!$E:$E,"850",Flat_file!$F:$F,"I")</f>
        <v>0</v>
      </c>
      <c r="AB90" s="89">
        <f>SUMIFS(Flat_file!$H:$H,Flat_file!$B:$B,Summary_Inactive!$B$2,Flat_file!$C:$C,"Women",Flat_file!$D:$D,"45-49",Flat_file!$E:$E,"660",Flat_file!$F:$F,"I")+SUMIFS(Flat_file!$H:$H,Flat_file!$B:$B,Summary_Inactive!$B$2,Flat_file!$C:$C,"Women",Flat_file!$D:$D,"45-49",Flat_file!$E:$E,"760",Flat_file!$F:$F,"I")+SUMIFS(Flat_file!$H:$H,Flat_file!$B:$B,Summary_Inactive!$B$2,Flat_file!$C:$C,"Women",Flat_file!$D:$D,"45-49",Flat_file!$E:$E,"860",Flat_file!$F:$F,"I")</f>
        <v>0</v>
      </c>
      <c r="AC90" s="3"/>
      <c r="AD90" s="3"/>
      <c r="AE90" s="3"/>
      <c r="AF90" s="3"/>
      <c r="AG90" s="3"/>
      <c r="AH90" s="3"/>
      <c r="AI90" s="3"/>
      <c r="AJ90" s="3"/>
      <c r="AK90" s="3"/>
      <c r="AL90" s="3"/>
      <c r="AM90" s="3"/>
      <c r="AN90" s="3"/>
      <c r="AO90" s="3"/>
      <c r="AP90" s="3"/>
      <c r="AQ90" s="3"/>
      <c r="AR90" s="3"/>
      <c r="AS90" s="3"/>
    </row>
    <row r="91" spans="1:45" customFormat="1" x14ac:dyDescent="0.2">
      <c r="A91" s="352"/>
      <c r="B91" s="79" t="s">
        <v>94</v>
      </c>
      <c r="C91" s="89">
        <f>SUMIFS(Flat_file!$H:$H,Flat_file!$B:$B,Summary_Inactive!$B$2,Flat_file!$C:$C,"Women",Flat_file!$D:$D,"50-54",Flat_file!$E:$E,"010",Flat_file!$F:$F,"I")+SUMIFS(Flat_file!$H:$H,Flat_file!$B:$B,Summary_Inactive!$B$2,Flat_file!$C:$C,"Women",Flat_file!$D:$D,"50-54",Flat_file!$E:$E,"020",Flat_file!$F:$F,"I")+SUMIFS(Flat_file!$H:$H,Flat_file!$B:$B,Summary_Inactive!$B$2,Flat_file!$C:$C,"Women",Flat_file!$D:$D,"50-54",Flat_file!$E:$E,"030",Flat_file!$F:$F,"I")</f>
        <v>0</v>
      </c>
      <c r="D91" s="89">
        <f>SUMIFS(Flat_file!$H:$H,Flat_file!$B:$B,Summary_Inactive!$B$2,Flat_file!$C:$C,"Women",Flat_file!$D:$D,"50-54",Flat_file!$E:$E,"100",Flat_file!$F:$F,"I")</f>
        <v>0</v>
      </c>
      <c r="E91" s="89">
        <f>SUMIFS(Flat_file!$H:$H,Flat_file!$B:$B,Summary_Inactive!$B$2,Flat_file!$C:$C,"Women",Flat_file!$D:$D,"50-54",Flat_file!$E:$E,"242",Flat_file!$F:$F,"I")+SUMIFS(Flat_file!$H:$H,Flat_file!$B:$B,Summary_Inactive!$B$2,Flat_file!$C:$C,"Women",Flat_file!$D:$D,"50-54",Flat_file!$E:$E,"252",Flat_file!$F:$F,"I")</f>
        <v>0</v>
      </c>
      <c r="F91" s="89">
        <f>SUMIFS(Flat_file!$H:$H,Flat_file!$B:$B,Summary_Inactive!$B$2,Flat_file!$C:$C,"Women",Flat_file!$D:$D,"50-54",Flat_file!$E:$E,"243",Flat_file!$F:$F,"I")+SUMIFS(Flat_file!$H:$H,Flat_file!$B:$B,Summary_Inactive!$B$2,Flat_file!$C:$C,"Women",Flat_file!$D:$D,"50-54",Flat_file!$E:$E,"244",Flat_file!$F:$F,"I")+SUMIFS(Flat_file!$H:$H,Flat_file!$B:$B,Summary_Inactive!$B$2,Flat_file!$C:$C,"Women",Flat_file!$D:$D,"50-54",Flat_file!$E:$E,"253",Flat_file!$F:$F,"I")+SUMIFS(Flat_file!$H:$H,Flat_file!$B:$B,Summary_Inactive!$B$2,Flat_file!$C:$C,"Women",Flat_file!$D:$D,"50-54",Flat_file!$E:$E,"254",Flat_file!$F:$F,"I")</f>
        <v>0</v>
      </c>
      <c r="G91" s="89">
        <f>SUMIFS(Flat_file!$H:$H,Flat_file!$B:$B,Summary_Inactive!$B$2,Flat_file!$C:$C,"Women",Flat_file!$D:$D,"50-54",Flat_file!$E:$E,"342",Flat_file!$F:$F,"I")+SUMIFS(Flat_file!$H:$H,Flat_file!$B:$B,Summary_Inactive!$B$2,Flat_file!$C:$C,"Women",Flat_file!$D:$D,"50-54",Flat_file!$E:$E,"352",Flat_file!$F:$F,"I")</f>
        <v>0</v>
      </c>
      <c r="H91" s="89">
        <f>SUMIFS(Flat_file!$H:$H,Flat_file!$B:$B,Summary_Inactive!$B$2,Flat_file!$C:$C,"Women",Flat_file!$D:$D,"50-54",Flat_file!$E:$E,"343",Flat_file!$F:$F,"I")+SUMIFS(Flat_file!$H:$H,Flat_file!$B:$B,Summary_Inactive!$B$2,Flat_file!$C:$C,"Women",Flat_file!$D:$D,"50-54",Flat_file!$E:$E,"344",Flat_file!$F:$F,"I")+SUMIFS(Flat_file!$H:$H,Flat_file!$B:$B,Summary_Inactive!$B$2,Flat_file!$C:$C,"Women",Flat_file!$D:$D,"50-54",Flat_file!$E:$E,"353",Flat_file!$F:$F,"I")+SUMIFS(Flat_file!$H:$H,Flat_file!$B:$B,Summary_Inactive!$B$2,Flat_file!$C:$C,"Women",Flat_file!$D:$D,"50-54",Flat_file!$E:$E,"354",Flat_file!$F:$F,"I")</f>
        <v>0</v>
      </c>
      <c r="I91" s="89">
        <f>SUMIFS(Flat_file!$H:$H,Flat_file!$B:$B,Summary_Inactive!$B$2,Flat_file!$C:$C,"Women",Flat_file!$D:$D,"50-54",Flat_file!$E:$E,"443",Flat_file!$F:$F,"I")+SUMIFS(Flat_file!$H:$H,Flat_file!$B:$B,Summary_Inactive!$B$2,Flat_file!$C:$C,"Women",Flat_file!$D:$D,"50-54",Flat_file!$E:$E,"444",Flat_file!$F:$F,"I")+SUMIFS(Flat_file!$H:$H,Flat_file!$B:$B,Summary_Inactive!$B$2,Flat_file!$C:$C,"Women",Flat_file!$D:$D,"50-54",Flat_file!$E:$E,"453",Flat_file!$F:$F,"I")+SUMIFS(Flat_file!$H:$H,Flat_file!$B:$B,Summary_Inactive!$B$2,Flat_file!$C:$C,"Women",Flat_file!$D:$D,"50-54",Flat_file!$E:$E,"454",Flat_file!$F:$F,"I")</f>
        <v>0</v>
      </c>
      <c r="J91" s="89">
        <f>SUMIFS(Flat_file!$H:$H,Flat_file!$B:$B,Summary_Inactive!$B$2,Flat_file!$C:$C,"Women",Flat_file!$D:$D,"50-54",Flat_file!$E:$E,"540",Flat_file!$F:$F,"I")+SUMIFS(Flat_file!$H:$H,Flat_file!$B:$B,Summary_Inactive!$B$2,Flat_file!$C:$C,"Women",Flat_file!$D:$D,"50-54",Flat_file!$E:$E,"550",Flat_file!$F:$F,"I")+SUMIFS(Flat_file!$H:$H,Flat_file!$B:$B,Summary_Inactive!$B$2,Flat_file!$C:$C,"Women",Flat_file!$D:$D,"50-54",Flat_file!$E:$E,"560",Flat_file!$F:$F,"I")</f>
        <v>0</v>
      </c>
      <c r="K91" s="89">
        <f>SUMIFS(Flat_file!$H:$H,Flat_file!$B:$B,Summary_Inactive!$B$2,Flat_file!$C:$C,"Women",Flat_file!$D:$D,"50-54",Flat_file!$E:$E,"640",Flat_file!$F:$F,"I")+SUMIFS(Flat_file!$H:$H,Flat_file!$B:$B,Summary_Inactive!$B$2,Flat_file!$C:$C,"Women",Flat_file!$D:$D,"50-54",Flat_file!$E:$E,"650",Flat_file!$F:$F,"I")+SUMIFS(Flat_file!$H:$H,Flat_file!$B:$B,Summary_Inactive!$B$2,Flat_file!$C:$C,"Women",Flat_file!$D:$D,"50-54",Flat_file!$E:$E,"660",Flat_file!$F:$F,"I")</f>
        <v>0</v>
      </c>
      <c r="L91" s="89">
        <f>SUMIFS(Flat_file!$H:$H,Flat_file!$B:$B,Summary_Inactive!$B$2,Flat_file!$C:$C,"Women",Flat_file!$D:$D,"50-54",Flat_file!$E:$E,"740",Flat_file!$F:$F,"I")+SUMIFS(Flat_file!$H:$H,Flat_file!$B:$B,Summary_Inactive!$B$2,Flat_file!$C:$C,"Women",Flat_file!$D:$D,"50-54",Flat_file!$E:$E,"750",Flat_file!$F:$F,"I")+SUMIFS(Flat_file!$H:$H,Flat_file!$B:$B,Summary_Inactive!$B$2,Flat_file!$C:$C,"Women",Flat_file!$D:$D,"50-54",Flat_file!$E:$E,"760",Flat_file!$F:$F,"I")</f>
        <v>0</v>
      </c>
      <c r="M91" s="89">
        <f>SUMIFS(Flat_file!$H:$H,Flat_file!$B:$B,Summary_Inactive!$B$2,Flat_file!$C:$C,"Women",Flat_file!$D:$D,"50-54",Flat_file!$E:$E,"840",Flat_file!$F:$F,"I")+SUMIFS(Flat_file!$H:$H,Flat_file!$B:$B,Summary_Inactive!$B$2,Flat_file!$C:$C,"Women",Flat_file!$D:$D,"50-54",Flat_file!$E:$E,"850",Flat_file!$F:$F,"I")+SUMIFS(Flat_file!$H:$H,Flat_file!$B:$B,Summary_Inactive!$B$2,Flat_file!$C:$C,"Women",Flat_file!$D:$D,"50-54",Flat_file!$E:$E,"860",Flat_file!$F:$F,"I")</f>
        <v>0</v>
      </c>
      <c r="N91" s="89">
        <f>SUMIFS(Flat_file!$H:$H,Flat_file!$B:$B,Summary_Inactive!$B$2,Flat_file!$C:$C,"Women",Flat_file!$D:$D,"50-54",Flat_file!$E:$E,"999",Flat_file!$F:$F,"I")</f>
        <v>0</v>
      </c>
      <c r="O91" s="89">
        <f t="shared" si="54"/>
        <v>0</v>
      </c>
      <c r="P91" s="90"/>
      <c r="Q91" s="89">
        <f t="shared" si="55"/>
        <v>0</v>
      </c>
      <c r="R91" s="91"/>
      <c r="S91" s="89">
        <f t="shared" si="56"/>
        <v>0</v>
      </c>
      <c r="T91" s="89">
        <f t="shared" si="57"/>
        <v>0</v>
      </c>
      <c r="U91" s="89">
        <f t="shared" si="58"/>
        <v>0</v>
      </c>
      <c r="V91" s="90"/>
      <c r="W91" s="89">
        <f>SUMIFS(Flat_file!$H:$H,Flat_file!$B:$B,Summary_Inactive!$B$2,Flat_file!$C:$C,"Women",Flat_file!$D:$D,"50-54",Flat_file!$E:$E,"343",Flat_file!$F:$F,"I")+SUMIFS(Flat_file!$H:$H,Flat_file!$B:$B,Summary_Inactive!$B$2,Flat_file!$C:$C,"Women",Flat_file!$D:$D,"50-54",Flat_file!$E:$E,"344",Flat_file!$F:$F,"I")+SUMIFS(Flat_file!$H:$H,Flat_file!$B:$B,Summary_Inactive!$B$2,Flat_file!$C:$C,"Women",Flat_file!$D:$D,"50-54",Flat_file!$E:$E,"443",Flat_file!$F:$F,"I")+SUMIFS(Flat_file!$H:$H,Flat_file!$B:$B,Summary_Inactive!$B$2,Flat_file!$C:$C,"Women",Flat_file!$D:$D,"50-54",Flat_file!$E:$E,"444",Flat_file!$F:$F,"I")</f>
        <v>0</v>
      </c>
      <c r="X91" s="89">
        <f>SUMIFS(Flat_file!$H:$H,Flat_file!$B:$B,Summary_Inactive!$B$2,Flat_file!$C:$C,"Women",Flat_file!$D:$D,"50-54",Flat_file!$E:$E,"353",Flat_file!$F:$F,"I")+SUMIFS(Flat_file!$H:$H,Flat_file!$B:$B,Summary_Inactive!$B$2,Flat_file!$C:$C,"Women",Flat_file!$D:$D,"50-54",Flat_file!$E:$E,"354",Flat_file!$F:$F,"I")+SUMIFS(Flat_file!$H:$H,Flat_file!$B:$B,Summary_Inactive!$B$2,Flat_file!$C:$C,"Women",Flat_file!$D:$D,"50-54",Flat_file!$E:$E,"453",Flat_file!$F:$F,"I")+SUMIFS(Flat_file!$H:$H,Flat_file!$B:$B,Summary_Inactive!$B$2,Flat_file!$C:$C,"Women",Flat_file!$D:$D,"50-54",Flat_file!$E:$E,"454",Flat_file!$F:$F,"I")</f>
        <v>0</v>
      </c>
      <c r="Y91" s="90"/>
      <c r="Z91" s="89">
        <f>SUMIFS(Flat_file!$H:$H,Flat_file!$B:$B,Summary_Inactive!$B$2,Flat_file!$C:$C,"Women",Flat_file!$D:$D,"50-54",Flat_file!$E:$E,"640",Flat_file!$F:$F,"I")+SUMIFS(Flat_file!$H:$H,Flat_file!$B:$B,Summary_Inactive!$B$2,Flat_file!$C:$C,"Women",Flat_file!$D:$D,"50-54",Flat_file!$E:$E,"740",Flat_file!$F:$F,"I")+SUMIFS(Flat_file!$H:$H,Flat_file!$B:$B,Summary_Inactive!$B$2,Flat_file!$C:$C,"Women",Flat_file!$D:$D,"50-54",Flat_file!$E:$E,"840",Flat_file!$F:$F,"I")</f>
        <v>0</v>
      </c>
      <c r="AA91" s="89">
        <f>SUMIFS(Flat_file!$H:$H,Flat_file!$B:$B,Summary_Inactive!$B$2,Flat_file!$C:$C,"Women",Flat_file!$D:$D,"50-54",Flat_file!$E:$E,"650",Flat_file!$F:$F,"I")+SUMIFS(Flat_file!$H:$H,Flat_file!$B:$B,Summary_Inactive!$B$2,Flat_file!$C:$C,"Women",Flat_file!$D:$D,"50-54",Flat_file!$E:$E,"750",Flat_file!$F:$F,"I")+SUMIFS(Flat_file!$H:$H,Flat_file!$B:$B,Summary_Inactive!$B$2,Flat_file!$C:$C,"Women",Flat_file!$D:$D,"50-54",Flat_file!$E:$E,"850",Flat_file!$F:$F,"I")</f>
        <v>0</v>
      </c>
      <c r="AB91" s="89">
        <f>SUMIFS(Flat_file!$H:$H,Flat_file!$B:$B,Summary_Inactive!$B$2,Flat_file!$C:$C,"Women",Flat_file!$D:$D,"50-54",Flat_file!$E:$E,"660",Flat_file!$F:$F,"I")+SUMIFS(Flat_file!$H:$H,Flat_file!$B:$B,Summary_Inactive!$B$2,Flat_file!$C:$C,"Women",Flat_file!$D:$D,"50-54",Flat_file!$E:$E,"760",Flat_file!$F:$F,"I")+SUMIFS(Flat_file!$H:$H,Flat_file!$B:$B,Summary_Inactive!$B$2,Flat_file!$C:$C,"Women",Flat_file!$D:$D,"50-54",Flat_file!$E:$E,"860",Flat_file!$F:$F,"I")</f>
        <v>0</v>
      </c>
      <c r="AC91" s="3"/>
      <c r="AD91" s="3"/>
      <c r="AE91" s="3"/>
      <c r="AF91" s="3"/>
      <c r="AG91" s="3"/>
      <c r="AH91" s="3"/>
      <c r="AI91" s="3"/>
      <c r="AJ91" s="3"/>
      <c r="AK91" s="3"/>
      <c r="AL91" s="3"/>
      <c r="AM91" s="3"/>
      <c r="AN91" s="3"/>
      <c r="AO91" s="3"/>
      <c r="AP91" s="3"/>
      <c r="AQ91" s="3"/>
      <c r="AR91" s="3"/>
      <c r="AS91" s="3"/>
    </row>
    <row r="92" spans="1:45" customFormat="1" x14ac:dyDescent="0.2">
      <c r="A92" s="352"/>
      <c r="B92" s="79" t="s">
        <v>95</v>
      </c>
      <c r="C92" s="89">
        <f>SUMIFS(Flat_file!$H:$H,Flat_file!$B:$B,Summary_Inactive!$B$2,Flat_file!$C:$C,"Women",Flat_file!$D:$D,"55-59",Flat_file!$E:$E,"010",Flat_file!$F:$F,"I")+SUMIFS(Flat_file!$H:$H,Flat_file!$B:$B,Summary_Inactive!$B$2,Flat_file!$C:$C,"Women",Flat_file!$D:$D,"55-59",Flat_file!$E:$E,"020",Flat_file!$F:$F,"I")+SUMIFS(Flat_file!$H:$H,Flat_file!$B:$B,Summary_Inactive!$B$2,Flat_file!$C:$C,"Women",Flat_file!$D:$D,"55-59",Flat_file!$E:$E,"030",Flat_file!$F:$F,"I")</f>
        <v>0</v>
      </c>
      <c r="D92" s="89">
        <f>SUMIFS(Flat_file!$H:$H,Flat_file!$B:$B,Summary_Inactive!$B$2,Flat_file!$C:$C,"Women",Flat_file!$D:$D,"55-59",Flat_file!$E:$E,"100",Flat_file!$F:$F,"I")</f>
        <v>0</v>
      </c>
      <c r="E92" s="89">
        <f>SUMIFS(Flat_file!$H:$H,Flat_file!$B:$B,Summary_Inactive!$B$2,Flat_file!$C:$C,"Women",Flat_file!$D:$D,"55-59",Flat_file!$E:$E,"242",Flat_file!$F:$F,"I")+SUMIFS(Flat_file!$H:$H,Flat_file!$B:$B,Summary_Inactive!$B$2,Flat_file!$C:$C,"Women",Flat_file!$D:$D,"55-59",Flat_file!$E:$E,"252",Flat_file!$F:$F,"I")</f>
        <v>0</v>
      </c>
      <c r="F92" s="89">
        <f>SUMIFS(Flat_file!$H:$H,Flat_file!$B:$B,Summary_Inactive!$B$2,Flat_file!$C:$C,"Women",Flat_file!$D:$D,"55-59",Flat_file!$E:$E,"243",Flat_file!$F:$F,"I")+SUMIFS(Flat_file!$H:$H,Flat_file!$B:$B,Summary_Inactive!$B$2,Flat_file!$C:$C,"Women",Flat_file!$D:$D,"55-59",Flat_file!$E:$E,"244",Flat_file!$F:$F,"I")+SUMIFS(Flat_file!$H:$H,Flat_file!$B:$B,Summary_Inactive!$B$2,Flat_file!$C:$C,"Women",Flat_file!$D:$D,"55-59",Flat_file!$E:$E,"253",Flat_file!$F:$F,"I")+SUMIFS(Flat_file!$H:$H,Flat_file!$B:$B,Summary_Inactive!$B$2,Flat_file!$C:$C,"Women",Flat_file!$D:$D,"55-59",Flat_file!$E:$E,"254",Flat_file!$F:$F,"I")</f>
        <v>0</v>
      </c>
      <c r="G92" s="89">
        <f>SUMIFS(Flat_file!$H:$H,Flat_file!$B:$B,Summary_Inactive!$B$2,Flat_file!$C:$C,"Women",Flat_file!$D:$D,"55-59",Flat_file!$E:$E,"342",Flat_file!$F:$F,"I")+SUMIFS(Flat_file!$H:$H,Flat_file!$B:$B,Summary_Inactive!$B$2,Flat_file!$C:$C,"Women",Flat_file!$D:$D,"55-59",Flat_file!$E:$E,"352",Flat_file!$F:$F,"I")</f>
        <v>0</v>
      </c>
      <c r="H92" s="89">
        <f>SUMIFS(Flat_file!$H:$H,Flat_file!$B:$B,Summary_Inactive!$B$2,Flat_file!$C:$C,"Women",Flat_file!$D:$D,"55-59",Flat_file!$E:$E,"343",Flat_file!$F:$F,"I")+SUMIFS(Flat_file!$H:$H,Flat_file!$B:$B,Summary_Inactive!$B$2,Flat_file!$C:$C,"Women",Flat_file!$D:$D,"55-59",Flat_file!$E:$E,"344",Flat_file!$F:$F,"I")+SUMIFS(Flat_file!$H:$H,Flat_file!$B:$B,Summary_Inactive!$B$2,Flat_file!$C:$C,"Women",Flat_file!$D:$D,"55-59",Flat_file!$E:$E,"353",Flat_file!$F:$F,"I")+SUMIFS(Flat_file!$H:$H,Flat_file!$B:$B,Summary_Inactive!$B$2,Flat_file!$C:$C,"Women",Flat_file!$D:$D,"55-59",Flat_file!$E:$E,"354",Flat_file!$F:$F,"I")</f>
        <v>0</v>
      </c>
      <c r="I92" s="89">
        <f>SUMIFS(Flat_file!$H:$H,Flat_file!$B:$B,Summary_Inactive!$B$2,Flat_file!$C:$C,"Women",Flat_file!$D:$D,"55-59",Flat_file!$E:$E,"443",Flat_file!$F:$F,"I")+SUMIFS(Flat_file!$H:$H,Flat_file!$B:$B,Summary_Inactive!$B$2,Flat_file!$C:$C,"Women",Flat_file!$D:$D,"55-59",Flat_file!$E:$E,"444",Flat_file!$F:$F,"I")+SUMIFS(Flat_file!$H:$H,Flat_file!$B:$B,Summary_Inactive!$B$2,Flat_file!$C:$C,"Women",Flat_file!$D:$D,"55-59",Flat_file!$E:$E,"453",Flat_file!$F:$F,"I")+SUMIFS(Flat_file!$H:$H,Flat_file!$B:$B,Summary_Inactive!$B$2,Flat_file!$C:$C,"Women",Flat_file!$D:$D,"55-59",Flat_file!$E:$E,"454",Flat_file!$F:$F,"I")</f>
        <v>0</v>
      </c>
      <c r="J92" s="89">
        <f>SUMIFS(Flat_file!$H:$H,Flat_file!$B:$B,Summary_Inactive!$B$2,Flat_file!$C:$C,"Women",Flat_file!$D:$D,"55-59",Flat_file!$E:$E,"540",Flat_file!$F:$F,"I")+SUMIFS(Flat_file!$H:$H,Flat_file!$B:$B,Summary_Inactive!$B$2,Flat_file!$C:$C,"Women",Flat_file!$D:$D,"55-59",Flat_file!$E:$E,"550",Flat_file!$F:$F,"I")+SUMIFS(Flat_file!$H:$H,Flat_file!$B:$B,Summary_Inactive!$B$2,Flat_file!$C:$C,"Women",Flat_file!$D:$D,"55-59",Flat_file!$E:$E,"560",Flat_file!$F:$F,"I")</f>
        <v>0</v>
      </c>
      <c r="K92" s="89">
        <f>SUMIFS(Flat_file!$H:$H,Flat_file!$B:$B,Summary_Inactive!$B$2,Flat_file!$C:$C,"Women",Flat_file!$D:$D,"55-59",Flat_file!$E:$E,"640",Flat_file!$F:$F,"I")+SUMIFS(Flat_file!$H:$H,Flat_file!$B:$B,Summary_Inactive!$B$2,Flat_file!$C:$C,"Women",Flat_file!$D:$D,"55-59",Flat_file!$E:$E,"650",Flat_file!$F:$F,"I")+SUMIFS(Flat_file!$H:$H,Flat_file!$B:$B,Summary_Inactive!$B$2,Flat_file!$C:$C,"Women",Flat_file!$D:$D,"55-59",Flat_file!$E:$E,"660",Flat_file!$F:$F,"I")</f>
        <v>0</v>
      </c>
      <c r="L92" s="89">
        <f>SUMIFS(Flat_file!$H:$H,Flat_file!$B:$B,Summary_Inactive!$B$2,Flat_file!$C:$C,"Women",Flat_file!$D:$D,"55-59",Flat_file!$E:$E,"740",Flat_file!$F:$F,"I")+SUMIFS(Flat_file!$H:$H,Flat_file!$B:$B,Summary_Inactive!$B$2,Flat_file!$C:$C,"Women",Flat_file!$D:$D,"55-59",Flat_file!$E:$E,"750",Flat_file!$F:$F,"I")+SUMIFS(Flat_file!$H:$H,Flat_file!$B:$B,Summary_Inactive!$B$2,Flat_file!$C:$C,"Women",Flat_file!$D:$D,"55-59",Flat_file!$E:$E,"760",Flat_file!$F:$F,"I")</f>
        <v>0</v>
      </c>
      <c r="M92" s="89">
        <f>SUMIFS(Flat_file!$H:$H,Flat_file!$B:$B,Summary_Inactive!$B$2,Flat_file!$C:$C,"Women",Flat_file!$D:$D,"55-59",Flat_file!$E:$E,"840",Flat_file!$F:$F,"I")+SUMIFS(Flat_file!$H:$H,Flat_file!$B:$B,Summary_Inactive!$B$2,Flat_file!$C:$C,"Women",Flat_file!$D:$D,"55-59",Flat_file!$E:$E,"850",Flat_file!$F:$F,"I")+SUMIFS(Flat_file!$H:$H,Flat_file!$B:$B,Summary_Inactive!$B$2,Flat_file!$C:$C,"Women",Flat_file!$D:$D,"55-59",Flat_file!$E:$E,"860",Flat_file!$F:$F,"I")</f>
        <v>0</v>
      </c>
      <c r="N92" s="89">
        <f>SUMIFS(Flat_file!$H:$H,Flat_file!$B:$B,Summary_Inactive!$B$2,Flat_file!$C:$C,"Women",Flat_file!$D:$D,"55-59",Flat_file!$E:$E,"999",Flat_file!$F:$F,"I")</f>
        <v>0</v>
      </c>
      <c r="O92" s="89">
        <f t="shared" si="54"/>
        <v>0</v>
      </c>
      <c r="P92" s="90"/>
      <c r="Q92" s="89">
        <f t="shared" si="55"/>
        <v>0</v>
      </c>
      <c r="R92" s="91"/>
      <c r="S92" s="89">
        <f t="shared" si="56"/>
        <v>0</v>
      </c>
      <c r="T92" s="89">
        <f t="shared" si="57"/>
        <v>0</v>
      </c>
      <c r="U92" s="89">
        <f t="shared" si="58"/>
        <v>0</v>
      </c>
      <c r="V92" s="90"/>
      <c r="W92" s="89">
        <f>SUMIFS(Flat_file!$H:$H,Flat_file!$B:$B,Summary_Inactive!$B$2,Flat_file!$C:$C,"Women",Flat_file!$D:$D,"55-59",Flat_file!$E:$E,"343",Flat_file!$F:$F,"I")+SUMIFS(Flat_file!$H:$H,Flat_file!$B:$B,Summary_Inactive!$B$2,Flat_file!$C:$C,"Women",Flat_file!$D:$D,"55-59",Flat_file!$E:$E,"344",Flat_file!$F:$F,"I")+SUMIFS(Flat_file!$H:$H,Flat_file!$B:$B,Summary_Inactive!$B$2,Flat_file!$C:$C,"Women",Flat_file!$D:$D,"55-59",Flat_file!$E:$E,"443",Flat_file!$F:$F,"I")+SUMIFS(Flat_file!$H:$H,Flat_file!$B:$B,Summary_Inactive!$B$2,Flat_file!$C:$C,"Women",Flat_file!$D:$D,"55-59",Flat_file!$E:$E,"444",Flat_file!$F:$F,"I")</f>
        <v>0</v>
      </c>
      <c r="X92" s="89">
        <f>SUMIFS(Flat_file!$H:$H,Flat_file!$B:$B,Summary_Inactive!$B$2,Flat_file!$C:$C,"Women",Flat_file!$D:$D,"55-59",Flat_file!$E:$E,"353",Flat_file!$F:$F,"I")+SUMIFS(Flat_file!$H:$H,Flat_file!$B:$B,Summary_Inactive!$B$2,Flat_file!$C:$C,"Women",Flat_file!$D:$D,"55-59",Flat_file!$E:$E,"354",Flat_file!$F:$F,"I")+SUMIFS(Flat_file!$H:$H,Flat_file!$B:$B,Summary_Inactive!$B$2,Flat_file!$C:$C,"Women",Flat_file!$D:$D,"55-59",Flat_file!$E:$E,"453",Flat_file!$F:$F,"I")+SUMIFS(Flat_file!$H:$H,Flat_file!$B:$B,Summary_Inactive!$B$2,Flat_file!$C:$C,"Women",Flat_file!$D:$D,"55-59",Flat_file!$E:$E,"454",Flat_file!$F:$F,"I")</f>
        <v>0</v>
      </c>
      <c r="Y92" s="90"/>
      <c r="Z92" s="89">
        <f>SUMIFS(Flat_file!$H:$H,Flat_file!$B:$B,Summary_Inactive!$B$2,Flat_file!$C:$C,"Women",Flat_file!$D:$D,"55-59",Flat_file!$E:$E,"640",Flat_file!$F:$F,"I")+SUMIFS(Flat_file!$H:$H,Flat_file!$B:$B,Summary_Inactive!$B$2,Flat_file!$C:$C,"Women",Flat_file!$D:$D,"55-59",Flat_file!$E:$E,"740",Flat_file!$F:$F,"I")+SUMIFS(Flat_file!$H:$H,Flat_file!$B:$B,Summary_Inactive!$B$2,Flat_file!$C:$C,"Women",Flat_file!$D:$D,"55-59",Flat_file!$E:$E,"840",Flat_file!$F:$F,"I")</f>
        <v>0</v>
      </c>
      <c r="AA92" s="89">
        <f>SUMIFS(Flat_file!$H:$H,Flat_file!$B:$B,Summary_Inactive!$B$2,Flat_file!$C:$C,"Women",Flat_file!$D:$D,"55-59",Flat_file!$E:$E,"650",Flat_file!$F:$F,"I")+SUMIFS(Flat_file!$H:$H,Flat_file!$B:$B,Summary_Inactive!$B$2,Flat_file!$C:$C,"Women",Flat_file!$D:$D,"55-59",Flat_file!$E:$E,"750",Flat_file!$F:$F,"I")+SUMIFS(Flat_file!$H:$H,Flat_file!$B:$B,Summary_Inactive!$B$2,Flat_file!$C:$C,"Women",Flat_file!$D:$D,"55-59",Flat_file!$E:$E,"850",Flat_file!$F:$F,"I")</f>
        <v>0</v>
      </c>
      <c r="AB92" s="89">
        <f>SUMIFS(Flat_file!$H:$H,Flat_file!$B:$B,Summary_Inactive!$B$2,Flat_file!$C:$C,"Women",Flat_file!$D:$D,"55-59",Flat_file!$E:$E,"660",Flat_file!$F:$F,"I")+SUMIFS(Flat_file!$H:$H,Flat_file!$B:$B,Summary_Inactive!$B$2,Flat_file!$C:$C,"Women",Flat_file!$D:$D,"55-59",Flat_file!$E:$E,"760",Flat_file!$F:$F,"I")+SUMIFS(Flat_file!$H:$H,Flat_file!$B:$B,Summary_Inactive!$B$2,Flat_file!$C:$C,"Women",Flat_file!$D:$D,"55-59",Flat_file!$E:$E,"860",Flat_file!$F:$F,"I")</f>
        <v>0</v>
      </c>
      <c r="AC92" s="3"/>
      <c r="AD92" s="3"/>
      <c r="AE92" s="3"/>
      <c r="AF92" s="3"/>
      <c r="AG92" s="3"/>
      <c r="AH92" s="3"/>
      <c r="AI92" s="3"/>
      <c r="AJ92" s="3"/>
      <c r="AK92" s="3"/>
      <c r="AL92" s="3"/>
      <c r="AM92" s="3"/>
      <c r="AN92" s="3"/>
      <c r="AO92" s="3"/>
      <c r="AP92" s="3"/>
      <c r="AQ92" s="3"/>
      <c r="AR92" s="3"/>
      <c r="AS92" s="3"/>
    </row>
    <row r="93" spans="1:45" customFormat="1" x14ac:dyDescent="0.2">
      <c r="A93" s="352"/>
      <c r="B93" s="79" t="s">
        <v>96</v>
      </c>
      <c r="C93" s="89">
        <f>SUMIFS(Flat_file!$H:$H,Flat_file!$B:$B,Summary_Inactive!$B$2,Flat_file!$C:$C,"Women",Flat_file!$D:$D,"60-64",Flat_file!$E:$E,"010",Flat_file!$F:$F,"I")+SUMIFS(Flat_file!$H:$H,Flat_file!$B:$B,Summary_Inactive!$B$2,Flat_file!$C:$C,"Women",Flat_file!$D:$D,"60-64",Flat_file!$E:$E,"020",Flat_file!$F:$F,"I")+SUMIFS(Flat_file!$H:$H,Flat_file!$B:$B,Summary_Inactive!$B$2,Flat_file!$C:$C,"Women",Flat_file!$D:$D,"60-64",Flat_file!$E:$E,"030",Flat_file!$F:$F,"I")</f>
        <v>0</v>
      </c>
      <c r="D93" s="89">
        <f>SUMIFS(Flat_file!$H:$H,Flat_file!$B:$B,Summary_Inactive!$B$2,Flat_file!$C:$C,"Women",Flat_file!$D:$D,"60-64",Flat_file!$E:$E,"100",Flat_file!$F:$F,"I")</f>
        <v>0</v>
      </c>
      <c r="E93" s="89">
        <f>SUMIFS(Flat_file!$H:$H,Flat_file!$B:$B,Summary_Inactive!$B$2,Flat_file!$C:$C,"Women",Flat_file!$D:$D,"60-64",Flat_file!$E:$E,"242",Flat_file!$F:$F,"I")+SUMIFS(Flat_file!$H:$H,Flat_file!$B:$B,Summary_Inactive!$B$2,Flat_file!$C:$C,"Women",Flat_file!$D:$D,"60-64",Flat_file!$E:$E,"252",Flat_file!$F:$F,"I")</f>
        <v>0</v>
      </c>
      <c r="F93" s="89">
        <f>SUMIFS(Flat_file!$H:$H,Flat_file!$B:$B,Summary_Inactive!$B$2,Flat_file!$C:$C,"Women",Flat_file!$D:$D,"60-64",Flat_file!$E:$E,"243",Flat_file!$F:$F,"I")+SUMIFS(Flat_file!$H:$H,Flat_file!$B:$B,Summary_Inactive!$B$2,Flat_file!$C:$C,"Women",Flat_file!$D:$D,"60-64",Flat_file!$E:$E,"244",Flat_file!$F:$F,"I")+SUMIFS(Flat_file!$H:$H,Flat_file!$B:$B,Summary_Inactive!$B$2,Flat_file!$C:$C,"Women",Flat_file!$D:$D,"60-64",Flat_file!$E:$E,"253",Flat_file!$F:$F,"I")+SUMIFS(Flat_file!$H:$H,Flat_file!$B:$B,Summary_Inactive!$B$2,Flat_file!$C:$C,"Women",Flat_file!$D:$D,"60-64",Flat_file!$E:$E,"254",Flat_file!$F:$F,"I")</f>
        <v>0</v>
      </c>
      <c r="G93" s="89">
        <f>SUMIFS(Flat_file!$H:$H,Flat_file!$B:$B,Summary_Inactive!$B$2,Flat_file!$C:$C,"Women",Flat_file!$D:$D,"60-64",Flat_file!$E:$E,"342",Flat_file!$F:$F,"I")+SUMIFS(Flat_file!$H:$H,Flat_file!$B:$B,Summary_Inactive!$B$2,Flat_file!$C:$C,"Women",Flat_file!$D:$D,"60-64",Flat_file!$E:$E,"352",Flat_file!$F:$F,"I")</f>
        <v>0</v>
      </c>
      <c r="H93" s="89">
        <f>SUMIFS(Flat_file!$H:$H,Flat_file!$B:$B,Summary_Inactive!$B$2,Flat_file!$C:$C,"Women",Flat_file!$D:$D,"60-64",Flat_file!$E:$E,"343",Flat_file!$F:$F,"I")+SUMIFS(Flat_file!$H:$H,Flat_file!$B:$B,Summary_Inactive!$B$2,Flat_file!$C:$C,"Women",Flat_file!$D:$D,"60-64",Flat_file!$E:$E,"344",Flat_file!$F:$F,"I")+SUMIFS(Flat_file!$H:$H,Flat_file!$B:$B,Summary_Inactive!$B$2,Flat_file!$C:$C,"Women",Flat_file!$D:$D,"60-64",Flat_file!$E:$E,"353",Flat_file!$F:$F,"I")+SUMIFS(Flat_file!$H:$H,Flat_file!$B:$B,Summary_Inactive!$B$2,Flat_file!$C:$C,"Women",Flat_file!$D:$D,"60-64",Flat_file!$E:$E,"354",Flat_file!$F:$F,"I")</f>
        <v>0</v>
      </c>
      <c r="I93" s="89">
        <f>SUMIFS(Flat_file!$H:$H,Flat_file!$B:$B,Summary_Inactive!$B$2,Flat_file!$C:$C,"Women",Flat_file!$D:$D,"60-64",Flat_file!$E:$E,"443",Flat_file!$F:$F,"I")+SUMIFS(Flat_file!$H:$H,Flat_file!$B:$B,Summary_Inactive!$B$2,Flat_file!$C:$C,"Women",Flat_file!$D:$D,"60-64",Flat_file!$E:$E,"444",Flat_file!$F:$F,"I")+SUMIFS(Flat_file!$H:$H,Flat_file!$B:$B,Summary_Inactive!$B$2,Flat_file!$C:$C,"Women",Flat_file!$D:$D,"60-64",Flat_file!$E:$E,"453",Flat_file!$F:$F,"I")+SUMIFS(Flat_file!$H:$H,Flat_file!$B:$B,Summary_Inactive!$B$2,Flat_file!$C:$C,"Women",Flat_file!$D:$D,"60-64",Flat_file!$E:$E,"454",Flat_file!$F:$F,"I")</f>
        <v>0</v>
      </c>
      <c r="J93" s="89">
        <f>SUMIFS(Flat_file!$H:$H,Flat_file!$B:$B,Summary_Inactive!$B$2,Flat_file!$C:$C,"Women",Flat_file!$D:$D,"60-64",Flat_file!$E:$E,"540",Flat_file!$F:$F,"I")+SUMIFS(Flat_file!$H:$H,Flat_file!$B:$B,Summary_Inactive!$B$2,Flat_file!$C:$C,"Women",Flat_file!$D:$D,"60-64",Flat_file!$E:$E,"550",Flat_file!$F:$F,"I")+SUMIFS(Flat_file!$H:$H,Flat_file!$B:$B,Summary_Inactive!$B$2,Flat_file!$C:$C,"Women",Flat_file!$D:$D,"60-64",Flat_file!$E:$E,"560",Flat_file!$F:$F,"I")</f>
        <v>0</v>
      </c>
      <c r="K93" s="89">
        <f>SUMIFS(Flat_file!$H:$H,Flat_file!$B:$B,Summary_Inactive!$B$2,Flat_file!$C:$C,"Women",Flat_file!$D:$D,"60-64",Flat_file!$E:$E,"640",Flat_file!$F:$F,"I")+SUMIFS(Flat_file!$H:$H,Flat_file!$B:$B,Summary_Inactive!$B$2,Flat_file!$C:$C,"Women",Flat_file!$D:$D,"60-64",Flat_file!$E:$E,"650",Flat_file!$F:$F,"I")+SUMIFS(Flat_file!$H:$H,Flat_file!$B:$B,Summary_Inactive!$B$2,Flat_file!$C:$C,"Women",Flat_file!$D:$D,"60-64",Flat_file!$E:$E,"660",Flat_file!$F:$F,"I")</f>
        <v>0</v>
      </c>
      <c r="L93" s="89">
        <f>SUMIFS(Flat_file!$H:$H,Flat_file!$B:$B,Summary_Inactive!$B$2,Flat_file!$C:$C,"Women",Flat_file!$D:$D,"60-64",Flat_file!$E:$E,"740",Flat_file!$F:$F,"I")+SUMIFS(Flat_file!$H:$H,Flat_file!$B:$B,Summary_Inactive!$B$2,Flat_file!$C:$C,"Women",Flat_file!$D:$D,"60-64",Flat_file!$E:$E,"750",Flat_file!$F:$F,"I")+SUMIFS(Flat_file!$H:$H,Flat_file!$B:$B,Summary_Inactive!$B$2,Flat_file!$C:$C,"Women",Flat_file!$D:$D,"60-64",Flat_file!$E:$E,"760",Flat_file!$F:$F,"I")</f>
        <v>0</v>
      </c>
      <c r="M93" s="89">
        <f>SUMIFS(Flat_file!$H:$H,Flat_file!$B:$B,Summary_Inactive!$B$2,Flat_file!$C:$C,"Women",Flat_file!$D:$D,"60-64",Flat_file!$E:$E,"840",Flat_file!$F:$F,"I")+SUMIFS(Flat_file!$H:$H,Flat_file!$B:$B,Summary_Inactive!$B$2,Flat_file!$C:$C,"Women",Flat_file!$D:$D,"60-64",Flat_file!$E:$E,"850",Flat_file!$F:$F,"I")+SUMIFS(Flat_file!$H:$H,Flat_file!$B:$B,Summary_Inactive!$B$2,Flat_file!$C:$C,"Women",Flat_file!$D:$D,"60-64",Flat_file!$E:$E,"860",Flat_file!$F:$F,"I")</f>
        <v>0</v>
      </c>
      <c r="N93" s="89">
        <f>SUMIFS(Flat_file!$H:$H,Flat_file!$B:$B,Summary_Inactive!$B$2,Flat_file!$C:$C,"Women",Flat_file!$D:$D,"60-64",Flat_file!$E:$E,"999",Flat_file!$F:$F,"I")</f>
        <v>0</v>
      </c>
      <c r="O93" s="89">
        <f>SUM(C93:M93)</f>
        <v>0</v>
      </c>
      <c r="P93" s="90"/>
      <c r="Q93" s="89">
        <f t="shared" si="55"/>
        <v>0</v>
      </c>
      <c r="R93" s="91"/>
      <c r="S93" s="89">
        <f t="shared" si="56"/>
        <v>0</v>
      </c>
      <c r="T93" s="89">
        <f t="shared" si="57"/>
        <v>0</v>
      </c>
      <c r="U93" s="89">
        <f t="shared" si="58"/>
        <v>0</v>
      </c>
      <c r="V93" s="90"/>
      <c r="W93" s="89">
        <f>SUMIFS(Flat_file!$H:$H,Flat_file!$B:$B,Summary_Inactive!$B$2,Flat_file!$C:$C,"Women",Flat_file!$D:$D,"60-64",Flat_file!$E:$E,"343",Flat_file!$F:$F,"I")+SUMIFS(Flat_file!$H:$H,Flat_file!$B:$B,Summary_Inactive!$B$2,Flat_file!$C:$C,"Women",Flat_file!$D:$D,"60-64",Flat_file!$E:$E,"344",Flat_file!$F:$F,"I")+SUMIFS(Flat_file!$H:$H,Flat_file!$B:$B,Summary_Inactive!$B$2,Flat_file!$C:$C,"Women",Flat_file!$D:$D,"60-64",Flat_file!$E:$E,"443",Flat_file!$F:$F,"I")+SUMIFS(Flat_file!$H:$H,Flat_file!$B:$B,Summary_Inactive!$B$2,Flat_file!$C:$C,"Women",Flat_file!$D:$D,"60-64",Flat_file!$E:$E,"444",Flat_file!$F:$F,"I")</f>
        <v>0</v>
      </c>
      <c r="X93" s="89">
        <f>SUMIFS(Flat_file!$H:$H,Flat_file!$B:$B,Summary_Inactive!$B$2,Flat_file!$C:$C,"Women",Flat_file!$D:$D,"60-64",Flat_file!$E:$E,"353",Flat_file!$F:$F,"I")+SUMIFS(Flat_file!$H:$H,Flat_file!$B:$B,Summary_Inactive!$B$2,Flat_file!$C:$C,"Women",Flat_file!$D:$D,"60-64",Flat_file!$E:$E,"354",Flat_file!$F:$F,"I")+SUMIFS(Flat_file!$H:$H,Flat_file!$B:$B,Summary_Inactive!$B$2,Flat_file!$C:$C,"Women",Flat_file!$D:$D,"60-64",Flat_file!$E:$E,"453",Flat_file!$F:$F,"I")+SUMIFS(Flat_file!$H:$H,Flat_file!$B:$B,Summary_Inactive!$B$2,Flat_file!$C:$C,"Women",Flat_file!$D:$D,"60-64",Flat_file!$E:$E,"454",Flat_file!$F:$F,"I")</f>
        <v>0</v>
      </c>
      <c r="Y93" s="90"/>
      <c r="Z93" s="89">
        <f>SUMIFS(Flat_file!$H:$H,Flat_file!$B:$B,Summary_Inactive!$B$2,Flat_file!$C:$C,"Women",Flat_file!$D:$D,"60-64",Flat_file!$E:$E,"640",Flat_file!$F:$F,"I")+SUMIFS(Flat_file!$H:$H,Flat_file!$B:$B,Summary_Inactive!$B$2,Flat_file!$C:$C,"Women",Flat_file!$D:$D,"60-64",Flat_file!$E:$E,"740",Flat_file!$F:$F,"I")+SUMIFS(Flat_file!$H:$H,Flat_file!$B:$B,Summary_Inactive!$B$2,Flat_file!$C:$C,"Women",Flat_file!$D:$D,"60-64",Flat_file!$E:$E,"840",Flat_file!$F:$F,"I")</f>
        <v>0</v>
      </c>
      <c r="AA93" s="89">
        <f>SUMIFS(Flat_file!$H:$H,Flat_file!$B:$B,Summary_Inactive!$B$2,Flat_file!$C:$C,"Women",Flat_file!$D:$D,"60-64",Flat_file!$E:$E,"650",Flat_file!$F:$F,"I")+SUMIFS(Flat_file!$H:$H,Flat_file!$B:$B,Summary_Inactive!$B$2,Flat_file!$C:$C,"Women",Flat_file!$D:$D,"60-64",Flat_file!$E:$E,"750",Flat_file!$F:$F,"I")+SUMIFS(Flat_file!$H:$H,Flat_file!$B:$B,Summary_Inactive!$B$2,Flat_file!$C:$C,"Women",Flat_file!$D:$D,"60-64",Flat_file!$E:$E,"850",Flat_file!$F:$F,"I")</f>
        <v>0</v>
      </c>
      <c r="AB93" s="89">
        <f>SUMIFS(Flat_file!$H:$H,Flat_file!$B:$B,Summary_Inactive!$B$2,Flat_file!$C:$C,"Women",Flat_file!$D:$D,"60-64",Flat_file!$E:$E,"660",Flat_file!$F:$F,"I")+SUMIFS(Flat_file!$H:$H,Flat_file!$B:$B,Summary_Inactive!$B$2,Flat_file!$C:$C,"Women",Flat_file!$D:$D,"60-64",Flat_file!$E:$E,"760",Flat_file!$F:$F,"I")+SUMIFS(Flat_file!$H:$H,Flat_file!$B:$B,Summary_Inactive!$B$2,Flat_file!$C:$C,"Women",Flat_file!$D:$D,"60-64",Flat_file!$E:$E,"860",Flat_file!$F:$F,"I")</f>
        <v>0</v>
      </c>
      <c r="AC93" s="3"/>
      <c r="AD93" s="3"/>
      <c r="AE93" s="3"/>
      <c r="AF93" s="3"/>
      <c r="AG93" s="3"/>
      <c r="AH93" s="3"/>
      <c r="AI93" s="3"/>
      <c r="AJ93" s="3"/>
      <c r="AK93" s="3"/>
      <c r="AL93" s="3"/>
      <c r="AM93" s="3"/>
      <c r="AN93" s="3"/>
      <c r="AO93" s="3"/>
      <c r="AP93" s="3"/>
      <c r="AQ93" s="3"/>
      <c r="AR93" s="3"/>
      <c r="AS93" s="3"/>
    </row>
    <row r="94" spans="1:45" customFormat="1" x14ac:dyDescent="0.2">
      <c r="A94" s="352"/>
      <c r="B94" s="79" t="s">
        <v>258</v>
      </c>
      <c r="C94" s="225">
        <f>SUMIFS(Flat_file!$H:$H,Flat_file!$B:$B,Summary_Inactive!$B$2,Flat_file!$C:$C,"Women",Flat_file!$D:$D,"65-69",Flat_file!$E:$E,"010",Flat_file!$F:$F,"I")+SUMIFS(Flat_file!$H:$H,Flat_file!$B:$B,Summary_Inactive!$B$2,Flat_file!$C:$C,"Women",Flat_file!$D:$D,"65-69",Flat_file!$E:$E,"020",Flat_file!$F:$F,"I")+SUMIFS(Flat_file!$H:$H,Flat_file!$B:$B,Summary_Inactive!$B$2,Flat_file!$C:$C,"Women",Flat_file!$D:$D,"65-69",Flat_file!$E:$E,"030",Flat_file!$F:$F,"I")</f>
        <v>0</v>
      </c>
      <c r="D94" s="225">
        <f>SUMIFS(Flat_file!$H:$H,Flat_file!$B:$B,Summary_Inactive!$B$2,Flat_file!$C:$C,"Women",Flat_file!$D:$D,"65-69",Flat_file!$E:$E,"100",Flat_file!$F:$F,"I")</f>
        <v>0</v>
      </c>
      <c r="E94" s="225">
        <f>SUMIFS(Flat_file!$H:$H,Flat_file!$B:$B,Summary_Inactive!$B$2,Flat_file!$C:$C,"Women",Flat_file!$D:$D,"65-69",Flat_file!$E:$E,"242",Flat_file!$F:$F,"I")+SUMIFS(Flat_file!$H:$H,Flat_file!$B:$B,Summary_Inactive!$B$2,Flat_file!$C:$C,"Women",Flat_file!$D:$D,"65-69",Flat_file!$E:$E,"252",Flat_file!$F:$F,"I")</f>
        <v>0</v>
      </c>
      <c r="F94" s="225">
        <f>SUMIFS(Flat_file!$H:$H,Flat_file!$B:$B,Summary_Inactive!$B$2,Flat_file!$C:$C,"Women",Flat_file!$D:$D,"65-69",Flat_file!$E:$E,"243",Flat_file!$F:$F,"I")+SUMIFS(Flat_file!$H:$H,Flat_file!$B:$B,Summary_Inactive!$B$2,Flat_file!$C:$C,"Women",Flat_file!$D:$D,"65-69",Flat_file!$E:$E,"244",Flat_file!$F:$F,"I")+SUMIFS(Flat_file!$H:$H,Flat_file!$B:$B,Summary_Inactive!$B$2,Flat_file!$C:$C,"Women",Flat_file!$D:$D,"65-69",Flat_file!$E:$E,"253",Flat_file!$F:$F,"I")+SUMIFS(Flat_file!$H:$H,Flat_file!$B:$B,Summary_Inactive!$B$2,Flat_file!$C:$C,"Women",Flat_file!$D:$D,"65-69",Flat_file!$E:$E,"254",Flat_file!$F:$F,"I")</f>
        <v>0</v>
      </c>
      <c r="G94" s="225">
        <f>SUMIFS(Flat_file!$H:$H,Flat_file!$B:$B,Summary_Inactive!$B$2,Flat_file!$C:$C,"Women",Flat_file!$D:$D,"65-69",Flat_file!$E:$E,"342",Flat_file!$F:$F,"I")+SUMIFS(Flat_file!$H:$H,Flat_file!$B:$B,Summary_Inactive!$B$2,Flat_file!$C:$C,"Women",Flat_file!$D:$D,"65-69",Flat_file!$E:$E,"352",Flat_file!$F:$F,"I")</f>
        <v>0</v>
      </c>
      <c r="H94" s="225">
        <f>SUMIFS(Flat_file!$H:$H,Flat_file!$B:$B,Summary_Inactive!$B$2,Flat_file!$C:$C,"Women",Flat_file!$D:$D,"65-69",Flat_file!$E:$E,"343",Flat_file!$F:$F,"I")+SUMIFS(Flat_file!$H:$H,Flat_file!$B:$B,Summary_Inactive!$B$2,Flat_file!$C:$C,"Women",Flat_file!$D:$D,"65-69",Flat_file!$E:$E,"344",Flat_file!$F:$F,"I")+SUMIFS(Flat_file!$H:$H,Flat_file!$B:$B,Summary_Inactive!$B$2,Flat_file!$C:$C,"Women",Flat_file!$D:$D,"65-69",Flat_file!$E:$E,"353",Flat_file!$F:$F,"I")+SUMIFS(Flat_file!$H:$H,Flat_file!$B:$B,Summary_Inactive!$B$2,Flat_file!$C:$C,"Women",Flat_file!$D:$D,"65-69",Flat_file!$E:$E,"354",Flat_file!$F:$F,"I")</f>
        <v>0</v>
      </c>
      <c r="I94" s="225">
        <f>SUMIFS(Flat_file!$H:$H,Flat_file!$B:$B,Summary_Inactive!$B$2,Flat_file!$C:$C,"Women",Flat_file!$D:$D,"65-69",Flat_file!$E:$E,"443",Flat_file!$F:$F,"I")+SUMIFS(Flat_file!$H:$H,Flat_file!$B:$B,Summary_Inactive!$B$2,Flat_file!$C:$C,"Women",Flat_file!$D:$D,"65-69",Flat_file!$E:$E,"444",Flat_file!$F:$F,"I")+SUMIFS(Flat_file!$H:$H,Flat_file!$B:$B,Summary_Inactive!$B$2,Flat_file!$C:$C,"Women",Flat_file!$D:$D,"65-69",Flat_file!$E:$E,"453",Flat_file!$F:$F,"I")+SUMIFS(Flat_file!$H:$H,Flat_file!$B:$B,Summary_Inactive!$B$2,Flat_file!$C:$C,"Women",Flat_file!$D:$D,"65-69",Flat_file!$E:$E,"454",Flat_file!$F:$F,"I")</f>
        <v>0</v>
      </c>
      <c r="J94" s="225">
        <f>SUMIFS(Flat_file!$H:$H,Flat_file!$B:$B,Summary_Inactive!$B$2,Flat_file!$C:$C,"Women",Flat_file!$D:$D,"65-69",Flat_file!$E:$E,"540",Flat_file!$F:$F,"I")+SUMIFS(Flat_file!$H:$H,Flat_file!$B:$B,Summary_Inactive!$B$2,Flat_file!$C:$C,"Women",Flat_file!$D:$D,"65-69",Flat_file!$E:$E,"550",Flat_file!$F:$F,"I")+SUMIFS(Flat_file!$H:$H,Flat_file!$B:$B,Summary_Inactive!$B$2,Flat_file!$C:$C,"Women",Flat_file!$D:$D,"65-69",Flat_file!$E:$E,"560",Flat_file!$F:$F,"I")</f>
        <v>0</v>
      </c>
      <c r="K94" s="225">
        <f>SUMIFS(Flat_file!$H:$H,Flat_file!$B:$B,Summary_Inactive!$B$2,Flat_file!$C:$C,"Women",Flat_file!$D:$D,"65-69",Flat_file!$E:$E,"640",Flat_file!$F:$F,"I")+SUMIFS(Flat_file!$H:$H,Flat_file!$B:$B,Summary_Inactive!$B$2,Flat_file!$C:$C,"Women",Flat_file!$D:$D,"65-69",Flat_file!$E:$E,"650",Flat_file!$F:$F,"I")+SUMIFS(Flat_file!$H:$H,Flat_file!$B:$B,Summary_Inactive!$B$2,Flat_file!$C:$C,"Women",Flat_file!$D:$D,"65-69",Flat_file!$E:$E,"660",Flat_file!$F:$F,"I")</f>
        <v>0</v>
      </c>
      <c r="L94" s="225">
        <f>SUMIFS(Flat_file!$H:$H,Flat_file!$B:$B,Summary_Inactive!$B$2,Flat_file!$C:$C,"Women",Flat_file!$D:$D,"65-69",Flat_file!$E:$E,"740",Flat_file!$F:$F,"I")+SUMIFS(Flat_file!$H:$H,Flat_file!$B:$B,Summary_Inactive!$B$2,Flat_file!$C:$C,"Women",Flat_file!$D:$D,"65-69",Flat_file!$E:$E,"750",Flat_file!$F:$F,"I")+SUMIFS(Flat_file!$H:$H,Flat_file!$B:$B,Summary_Inactive!$B$2,Flat_file!$C:$C,"Women",Flat_file!$D:$D,"65-69",Flat_file!$E:$E,"760",Flat_file!$F:$F,"I")</f>
        <v>0</v>
      </c>
      <c r="M94" s="225">
        <f>SUMIFS(Flat_file!$H:$H,Flat_file!$B:$B,Summary_Inactive!$B$2,Flat_file!$C:$C,"Women",Flat_file!$D:$D,"65-69",Flat_file!$E:$E,"840",Flat_file!$F:$F,"I")+SUMIFS(Flat_file!$H:$H,Flat_file!$B:$B,Summary_Inactive!$B$2,Flat_file!$C:$C,"Women",Flat_file!$D:$D,"65-69",Flat_file!$E:$E,"850",Flat_file!$F:$F,"I")+SUMIFS(Flat_file!$H:$H,Flat_file!$B:$B,Summary_Inactive!$B$2,Flat_file!$C:$C,"Women",Flat_file!$D:$D,"65-69",Flat_file!$E:$E,"860",Flat_file!$F:$F,"I")</f>
        <v>0</v>
      </c>
      <c r="N94" s="225">
        <f>SUMIFS(Flat_file!$H:$H,Flat_file!$B:$B,Summary_Inactive!$B$2,Flat_file!$C:$C,"Women",Flat_file!$D:$D,"65-69",Flat_file!$E:$E,"999",Flat_file!$F:$F,"I")</f>
        <v>0</v>
      </c>
      <c r="O94" s="225">
        <f t="shared" ref="O94:O96" si="59">SUM(C94:M94)</f>
        <v>0</v>
      </c>
      <c r="P94" s="90"/>
      <c r="Q94" s="225">
        <f t="shared" si="55"/>
        <v>0</v>
      </c>
      <c r="R94" s="91"/>
      <c r="S94" s="225">
        <f t="shared" si="56"/>
        <v>0</v>
      </c>
      <c r="T94" s="225">
        <f t="shared" si="57"/>
        <v>0</v>
      </c>
      <c r="U94" s="225">
        <f t="shared" si="58"/>
        <v>0</v>
      </c>
      <c r="V94" s="90"/>
      <c r="W94" s="225">
        <f>SUMIFS(Flat_file!$H:$H,Flat_file!$B:$B,Summary_Inactive!$B$2,Flat_file!$C:$C,"Women",Flat_file!$D:$D,"65-69",Flat_file!$E:$E,"343",Flat_file!$F:$F,"I")+SUMIFS(Flat_file!$H:$H,Flat_file!$B:$B,Summary_Inactive!$B$2,Flat_file!$C:$C,"Women",Flat_file!$D:$D,"65-69",Flat_file!$E:$E,"344",Flat_file!$F:$F,"I")+SUMIFS(Flat_file!$H:$H,Flat_file!$B:$B,Summary_Inactive!$B$2,Flat_file!$C:$C,"Women",Flat_file!$D:$D,"65-69",Flat_file!$E:$E,"443",Flat_file!$F:$F,"I")+SUMIFS(Flat_file!$H:$H,Flat_file!$B:$B,Summary_Inactive!$B$2,Flat_file!$C:$C,"Women",Flat_file!$D:$D,"65-69",Flat_file!$E:$E,"444",Flat_file!$F:$F,"I")</f>
        <v>0</v>
      </c>
      <c r="X94" s="225">
        <f>SUMIFS(Flat_file!$H:$H,Flat_file!$B:$B,Summary_Inactive!$B$2,Flat_file!$C:$C,"Women",Flat_file!$D:$D,"65-69",Flat_file!$E:$E,"353",Flat_file!$F:$F,"I")+SUMIFS(Flat_file!$H:$H,Flat_file!$B:$B,Summary_Inactive!$B$2,Flat_file!$C:$C,"Women",Flat_file!$D:$D,"65-69",Flat_file!$E:$E,"354",Flat_file!$F:$F,"I")+SUMIFS(Flat_file!$H:$H,Flat_file!$B:$B,Summary_Inactive!$B$2,Flat_file!$C:$C,"Women",Flat_file!$D:$D,"65-69",Flat_file!$E:$E,"453",Flat_file!$F:$F,"I")+SUMIFS(Flat_file!$H:$H,Flat_file!$B:$B,Summary_Inactive!$B$2,Flat_file!$C:$C,"Women",Flat_file!$D:$D,"65-69",Flat_file!$E:$E,"454",Flat_file!$F:$F,"I")</f>
        <v>0</v>
      </c>
      <c r="Y94" s="90"/>
      <c r="Z94" s="225">
        <f>SUMIFS(Flat_file!$H:$H,Flat_file!$B:$B,Summary_Inactive!$B$2,Flat_file!$C:$C,"Women",Flat_file!$D:$D,"65-69",Flat_file!$E:$E,"640",Flat_file!$F:$F,"I")+SUMIFS(Flat_file!$H:$H,Flat_file!$B:$B,Summary_Inactive!$B$2,Flat_file!$C:$C,"Women",Flat_file!$D:$D,"65-69",Flat_file!$E:$E,"740",Flat_file!$F:$F,"I")+SUMIFS(Flat_file!$H:$H,Flat_file!$B:$B,Summary_Inactive!$B$2,Flat_file!$C:$C,"Women",Flat_file!$D:$D,"65-69",Flat_file!$E:$E,"840",Flat_file!$F:$F,"I")</f>
        <v>0</v>
      </c>
      <c r="AA94" s="225">
        <f>SUMIFS(Flat_file!$H:$H,Flat_file!$B:$B,Summary_Inactive!$B$2,Flat_file!$C:$C,"Women",Flat_file!$D:$D,"65-69",Flat_file!$E:$E,"650",Flat_file!$F:$F,"I")+SUMIFS(Flat_file!$H:$H,Flat_file!$B:$B,Summary_Inactive!$B$2,Flat_file!$C:$C,"Women",Flat_file!$D:$D,"65-69",Flat_file!$E:$E,"750",Flat_file!$F:$F,"I")+SUMIFS(Flat_file!$H:$H,Flat_file!$B:$B,Summary_Inactive!$B$2,Flat_file!$C:$C,"Women",Flat_file!$D:$D,"65-69",Flat_file!$E:$E,"850",Flat_file!$F:$F,"I")</f>
        <v>0</v>
      </c>
      <c r="AB94" s="225">
        <f>SUMIFS(Flat_file!$H:$H,Flat_file!$B:$B,Summary_Inactive!$B$2,Flat_file!$C:$C,"Women",Flat_file!$D:$D,"65-69",Flat_file!$E:$E,"660",Flat_file!$F:$F,"I")+SUMIFS(Flat_file!$H:$H,Flat_file!$B:$B,Summary_Inactive!$B$2,Flat_file!$C:$C,"Women",Flat_file!$D:$D,"65-69",Flat_file!$E:$E,"760",Flat_file!$F:$F,"I")+SUMIFS(Flat_file!$H:$H,Flat_file!$B:$B,Summary_Inactive!$B$2,Flat_file!$C:$C,"Women",Flat_file!$D:$D,"65-69",Flat_file!$E:$E,"860",Flat_file!$F:$F,"I")</f>
        <v>0</v>
      </c>
      <c r="AC94" s="3"/>
      <c r="AD94" s="3"/>
      <c r="AE94" s="3"/>
      <c r="AF94" s="3"/>
      <c r="AG94" s="3"/>
      <c r="AH94" s="3"/>
      <c r="AI94" s="3"/>
      <c r="AJ94" s="3"/>
      <c r="AK94" s="3"/>
      <c r="AL94" s="3"/>
      <c r="AM94" s="3"/>
      <c r="AN94" s="3"/>
      <c r="AO94" s="3"/>
      <c r="AP94" s="3"/>
      <c r="AQ94" s="3"/>
      <c r="AR94" s="3"/>
      <c r="AS94" s="3"/>
    </row>
    <row r="95" spans="1:45" customFormat="1" x14ac:dyDescent="0.2">
      <c r="A95" s="352"/>
      <c r="B95" s="79" t="s">
        <v>260</v>
      </c>
      <c r="C95" s="225">
        <f>SUMIFS(Flat_file!$H:$H,Flat_file!$B:$B,Summary_Inactive!$B$2,Flat_file!$C:$C,"Women",Flat_file!$D:$D,"70-74",Flat_file!$E:$E,"010",Flat_file!$F:$F,"I")+SUMIFS(Flat_file!$H:$H,Flat_file!$B:$B,Summary_Inactive!$B$2,Flat_file!$C:$C,"Women",Flat_file!$D:$D,"70-74",Flat_file!$E:$E,"020",Flat_file!$F:$F,"I")+SUMIFS(Flat_file!$H:$H,Flat_file!$B:$B,Summary_Inactive!$B$2,Flat_file!$C:$C,"Women",Flat_file!$D:$D,"70-74",Flat_file!$E:$E,"030",Flat_file!$F:$F,"I")</f>
        <v>0</v>
      </c>
      <c r="D95" s="225">
        <f>SUMIFS(Flat_file!$H:$H,Flat_file!$B:$B,Summary_Inactive!$B$2,Flat_file!$C:$C,"Women",Flat_file!$D:$D,"70-74",Flat_file!$E:$E,"100",Flat_file!$F:$F,"I")</f>
        <v>0</v>
      </c>
      <c r="E95" s="225">
        <f>SUMIFS(Flat_file!$H:$H,Flat_file!$B:$B,Summary_Inactive!$B$2,Flat_file!$C:$C,"Women",Flat_file!$D:$D,"70-74",Flat_file!$E:$E,"242",Flat_file!$F:$F,"I")+SUMIFS(Flat_file!$H:$H,Flat_file!$B:$B,Summary_Inactive!$B$2,Flat_file!$C:$C,"Women",Flat_file!$D:$D,"70-74",Flat_file!$E:$E,"252",Flat_file!$F:$F,"I")</f>
        <v>0</v>
      </c>
      <c r="F95" s="225">
        <f>SUMIFS(Flat_file!$H:$H,Flat_file!$B:$B,Summary_Inactive!$B$2,Flat_file!$C:$C,"Women",Flat_file!$D:$D,"70-74",Flat_file!$E:$E,"243",Flat_file!$F:$F,"I")+SUMIFS(Flat_file!$H:$H,Flat_file!$B:$B,Summary_Inactive!$B$2,Flat_file!$C:$C,"Women",Flat_file!$D:$D,"70-74",Flat_file!$E:$E,"244",Flat_file!$F:$F,"I")+SUMIFS(Flat_file!$H:$H,Flat_file!$B:$B,Summary_Inactive!$B$2,Flat_file!$C:$C,"Women",Flat_file!$D:$D,"70-74",Flat_file!$E:$E,"253",Flat_file!$F:$F,"I")+SUMIFS(Flat_file!$H:$H,Flat_file!$B:$B,Summary_Inactive!$B$2,Flat_file!$C:$C,"Women",Flat_file!$D:$D,"70-74",Flat_file!$E:$E,"254",Flat_file!$F:$F,"I")</f>
        <v>0</v>
      </c>
      <c r="G95" s="225">
        <f>SUMIFS(Flat_file!$H:$H,Flat_file!$B:$B,Summary_Inactive!$B$2,Flat_file!$C:$C,"Women",Flat_file!$D:$D,"70-74",Flat_file!$E:$E,"342",Flat_file!$F:$F,"I")+SUMIFS(Flat_file!$H:$H,Flat_file!$B:$B,Summary_Inactive!$B$2,Flat_file!$C:$C,"Women",Flat_file!$D:$D,"70-74",Flat_file!$E:$E,"352",Flat_file!$F:$F,"I")</f>
        <v>0</v>
      </c>
      <c r="H95" s="225">
        <f>SUMIFS(Flat_file!$H:$H,Flat_file!$B:$B,Summary_Inactive!$B$2,Flat_file!$C:$C,"Women",Flat_file!$D:$D,"70-74",Flat_file!$E:$E,"343",Flat_file!$F:$F,"I")+SUMIFS(Flat_file!$H:$H,Flat_file!$B:$B,Summary_Inactive!$B$2,Flat_file!$C:$C,"Women",Flat_file!$D:$D,"70-74",Flat_file!$E:$E,"344",Flat_file!$F:$F,"I")+SUMIFS(Flat_file!$H:$H,Flat_file!$B:$B,Summary_Inactive!$B$2,Flat_file!$C:$C,"Women",Flat_file!$D:$D,"70-74",Flat_file!$E:$E,"353",Flat_file!$F:$F,"I")+SUMIFS(Flat_file!$H:$H,Flat_file!$B:$B,Summary_Inactive!$B$2,Flat_file!$C:$C,"Women",Flat_file!$D:$D,"70-74",Flat_file!$E:$E,"354",Flat_file!$F:$F,"I")</f>
        <v>0</v>
      </c>
      <c r="I95" s="225">
        <f>SUMIFS(Flat_file!$H:$H,Flat_file!$B:$B,Summary_Inactive!$B$2,Flat_file!$C:$C,"Women",Flat_file!$D:$D,"70-74",Flat_file!$E:$E,"443",Flat_file!$F:$F,"I")+SUMIFS(Flat_file!$H:$H,Flat_file!$B:$B,Summary_Inactive!$B$2,Flat_file!$C:$C,"Women",Flat_file!$D:$D,"70-74",Flat_file!$E:$E,"444",Flat_file!$F:$F,"I")+SUMIFS(Flat_file!$H:$H,Flat_file!$B:$B,Summary_Inactive!$B$2,Flat_file!$C:$C,"Women",Flat_file!$D:$D,"70-74",Flat_file!$E:$E,"453",Flat_file!$F:$F,"I")+SUMIFS(Flat_file!$H:$H,Flat_file!$B:$B,Summary_Inactive!$B$2,Flat_file!$C:$C,"Women",Flat_file!$D:$D,"70-74",Flat_file!$E:$E,"454",Flat_file!$F:$F,"I")</f>
        <v>0</v>
      </c>
      <c r="J95" s="225">
        <f>SUMIFS(Flat_file!$H:$H,Flat_file!$B:$B,Summary_Inactive!$B$2,Flat_file!$C:$C,"Women",Flat_file!$D:$D,"70-74",Flat_file!$E:$E,"540",Flat_file!$F:$F,"I")+SUMIFS(Flat_file!$H:$H,Flat_file!$B:$B,Summary_Inactive!$B$2,Flat_file!$C:$C,"Women",Flat_file!$D:$D,"70-74",Flat_file!$E:$E,"550",Flat_file!$F:$F,"I")+SUMIFS(Flat_file!$H:$H,Flat_file!$B:$B,Summary_Inactive!$B$2,Flat_file!$C:$C,"Women",Flat_file!$D:$D,"70-74",Flat_file!$E:$E,"560",Flat_file!$F:$F,"I")</f>
        <v>0</v>
      </c>
      <c r="K95" s="225">
        <f>SUMIFS(Flat_file!$H:$H,Flat_file!$B:$B,Summary_Inactive!$B$2,Flat_file!$C:$C,"Women",Flat_file!$D:$D,"70-74",Flat_file!$E:$E,"640",Flat_file!$F:$F,"I")+SUMIFS(Flat_file!$H:$H,Flat_file!$B:$B,Summary_Inactive!$B$2,Flat_file!$C:$C,"Women",Flat_file!$D:$D,"70-74",Flat_file!$E:$E,"650",Flat_file!$F:$F,"I")+SUMIFS(Flat_file!$H:$H,Flat_file!$B:$B,Summary_Inactive!$B$2,Flat_file!$C:$C,"Women",Flat_file!$D:$D,"70-74",Flat_file!$E:$E,"660",Flat_file!$F:$F,"I")</f>
        <v>0</v>
      </c>
      <c r="L95" s="225">
        <f>SUMIFS(Flat_file!$H:$H,Flat_file!$B:$B,Summary_Inactive!$B$2,Flat_file!$C:$C,"Women",Flat_file!$D:$D,"70-74",Flat_file!$E:$E,"740",Flat_file!$F:$F,"I")+SUMIFS(Flat_file!$H:$H,Flat_file!$B:$B,Summary_Inactive!$B$2,Flat_file!$C:$C,"Women",Flat_file!$D:$D,"70-74",Flat_file!$E:$E,"750",Flat_file!$F:$F,"I")+SUMIFS(Flat_file!$H:$H,Flat_file!$B:$B,Summary_Inactive!$B$2,Flat_file!$C:$C,"Women",Flat_file!$D:$D,"70-74",Flat_file!$E:$E,"760",Flat_file!$F:$F,"I")</f>
        <v>0</v>
      </c>
      <c r="M95" s="225">
        <f>SUMIFS(Flat_file!$H:$H,Flat_file!$B:$B,Summary_Inactive!$B$2,Flat_file!$C:$C,"Women",Flat_file!$D:$D,"70-74",Flat_file!$E:$E,"840",Flat_file!$F:$F,"I")+SUMIFS(Flat_file!$H:$H,Flat_file!$B:$B,Summary_Inactive!$B$2,Flat_file!$C:$C,"Women",Flat_file!$D:$D,"70-74",Flat_file!$E:$E,"850",Flat_file!$F:$F,"I")+SUMIFS(Flat_file!$H:$H,Flat_file!$B:$B,Summary_Inactive!$B$2,Flat_file!$C:$C,"Women",Flat_file!$D:$D,"70-74",Flat_file!$E:$E,"860",Flat_file!$F:$F,"I")</f>
        <v>0</v>
      </c>
      <c r="N95" s="225">
        <f>SUMIFS(Flat_file!$H:$H,Flat_file!$B:$B,Summary_Inactive!$B$2,Flat_file!$C:$C,"Women",Flat_file!$D:$D,"70-74",Flat_file!$E:$E,"999",Flat_file!$F:$F,"I")</f>
        <v>0</v>
      </c>
      <c r="O95" s="225">
        <f t="shared" si="59"/>
        <v>0</v>
      </c>
      <c r="P95" s="90"/>
      <c r="Q95" s="225">
        <f t="shared" si="55"/>
        <v>0</v>
      </c>
      <c r="R95" s="91"/>
      <c r="S95" s="225">
        <f t="shared" si="56"/>
        <v>0</v>
      </c>
      <c r="T95" s="225">
        <f t="shared" si="57"/>
        <v>0</v>
      </c>
      <c r="U95" s="225">
        <f t="shared" si="58"/>
        <v>0</v>
      </c>
      <c r="V95" s="90"/>
      <c r="W95" s="225">
        <f>SUMIFS(Flat_file!$H:$H,Flat_file!$B:$B,Summary_Inactive!$B$2,Flat_file!$C:$C,"Women",Flat_file!$D:$D,"70-74",Flat_file!$E:$E,"343",Flat_file!$F:$F,"I")+SUMIFS(Flat_file!$H:$H,Flat_file!$B:$B,Summary_Inactive!$B$2,Flat_file!$C:$C,"Women",Flat_file!$D:$D,"70-74",Flat_file!$E:$E,"344",Flat_file!$F:$F,"I")+SUMIFS(Flat_file!$H:$H,Flat_file!$B:$B,Summary_Inactive!$B$2,Flat_file!$C:$C,"Women",Flat_file!$D:$D,"70-74",Flat_file!$E:$E,"443",Flat_file!$F:$F,"I")+SUMIFS(Flat_file!$H:$H,Flat_file!$B:$B,Summary_Inactive!$B$2,Flat_file!$C:$C,"Women",Flat_file!$D:$D,"70-74",Flat_file!$E:$E,"444",Flat_file!$F:$F,"I")</f>
        <v>0</v>
      </c>
      <c r="X95" s="225">
        <f>SUMIFS(Flat_file!$H:$H,Flat_file!$B:$B,Summary_Inactive!$B$2,Flat_file!$C:$C,"Women",Flat_file!$D:$D,"70-74",Flat_file!$E:$E,"353",Flat_file!$F:$F,"I")+SUMIFS(Flat_file!$H:$H,Flat_file!$B:$B,Summary_Inactive!$B$2,Flat_file!$C:$C,"Women",Flat_file!$D:$D,"70-74",Flat_file!$E:$E,"354",Flat_file!$F:$F,"I")+SUMIFS(Flat_file!$H:$H,Flat_file!$B:$B,Summary_Inactive!$B$2,Flat_file!$C:$C,"Women",Flat_file!$D:$D,"70-74",Flat_file!$E:$E,"453",Flat_file!$F:$F,"I")+SUMIFS(Flat_file!$H:$H,Flat_file!$B:$B,Summary_Inactive!$B$2,Flat_file!$C:$C,"Women",Flat_file!$D:$D,"70-74",Flat_file!$E:$E,"454",Flat_file!$F:$F,"I")</f>
        <v>0</v>
      </c>
      <c r="Y95" s="90"/>
      <c r="Z95" s="225">
        <f>SUMIFS(Flat_file!$H:$H,Flat_file!$B:$B,Summary_Inactive!$B$2,Flat_file!$C:$C,"Women",Flat_file!$D:$D,"70-74",Flat_file!$E:$E,"640",Flat_file!$F:$F,"I")+SUMIFS(Flat_file!$H:$H,Flat_file!$B:$B,Summary_Inactive!$B$2,Flat_file!$C:$C,"Women",Flat_file!$D:$D,"70-74",Flat_file!$E:$E,"740",Flat_file!$F:$F,"I")+SUMIFS(Flat_file!$H:$H,Flat_file!$B:$B,Summary_Inactive!$B$2,Flat_file!$C:$C,"Women",Flat_file!$D:$D,"70-74",Flat_file!$E:$E,"840",Flat_file!$F:$F,"I")</f>
        <v>0</v>
      </c>
      <c r="AA95" s="225">
        <f>SUMIFS(Flat_file!$H:$H,Flat_file!$B:$B,Summary_Inactive!$B$2,Flat_file!$C:$C,"Women",Flat_file!$D:$D,"70-74",Flat_file!$E:$E,"650",Flat_file!$F:$F,"I")+SUMIFS(Flat_file!$H:$H,Flat_file!$B:$B,Summary_Inactive!$B$2,Flat_file!$C:$C,"Women",Flat_file!$D:$D,"70-74",Flat_file!$E:$E,"750",Flat_file!$F:$F,"I")+SUMIFS(Flat_file!$H:$H,Flat_file!$B:$B,Summary_Inactive!$B$2,Flat_file!$C:$C,"Women",Flat_file!$D:$D,"70-74",Flat_file!$E:$E,"850",Flat_file!$F:$F,"I")</f>
        <v>0</v>
      </c>
      <c r="AB95" s="225">
        <f>SUMIFS(Flat_file!$H:$H,Flat_file!$B:$B,Summary_Inactive!$B$2,Flat_file!$C:$C,"Women",Flat_file!$D:$D,"70-74",Flat_file!$E:$E,"660",Flat_file!$F:$F,"I")+SUMIFS(Flat_file!$H:$H,Flat_file!$B:$B,Summary_Inactive!$B$2,Flat_file!$C:$C,"Women",Flat_file!$D:$D,"70-74",Flat_file!$E:$E,"760",Flat_file!$F:$F,"I")+SUMIFS(Flat_file!$H:$H,Flat_file!$B:$B,Summary_Inactive!$B$2,Flat_file!$C:$C,"Women",Flat_file!$D:$D,"70-74",Flat_file!$E:$E,"860",Flat_file!$F:$F,"I")</f>
        <v>0</v>
      </c>
      <c r="AC95" s="3"/>
      <c r="AD95" s="3"/>
      <c r="AE95" s="3"/>
      <c r="AF95" s="3"/>
      <c r="AG95" s="3"/>
      <c r="AH95" s="3"/>
      <c r="AI95" s="3"/>
      <c r="AJ95" s="3"/>
      <c r="AK95" s="3"/>
      <c r="AL95" s="3"/>
      <c r="AM95" s="3"/>
      <c r="AN95" s="3"/>
      <c r="AO95" s="3"/>
      <c r="AP95" s="3"/>
      <c r="AQ95" s="3"/>
      <c r="AR95" s="3"/>
      <c r="AS95" s="3"/>
    </row>
    <row r="96" spans="1:45" customFormat="1" ht="13.5" thickBot="1" x14ac:dyDescent="0.25">
      <c r="A96" s="353"/>
      <c r="B96" s="80" t="s">
        <v>261</v>
      </c>
      <c r="C96" s="92">
        <f>SUMIFS(Flat_file!$H:$H,Flat_file!$B:$B,Summary_Inactive!$B$2,Flat_file!$C:$C,"Women",Flat_file!$D:$D,"75+",Flat_file!$E:$E,"010",Flat_file!$F:$F,"I")+SUMIFS(Flat_file!$H:$H,Flat_file!$B:$B,Summary_Inactive!$B$2,Flat_file!$C:$C,"Women",Flat_file!$D:$D,"75+",Flat_file!$E:$E,"020",Flat_file!$F:$F,"I")+SUMIFS(Flat_file!$H:$H,Flat_file!$B:$B,Summary_Inactive!$B$2,Flat_file!$C:$C,"Women",Flat_file!$D:$D,"75+",Flat_file!$E:$E,"030",Flat_file!$F:$F,"I")</f>
        <v>0</v>
      </c>
      <c r="D96" s="92">
        <f>SUMIFS(Flat_file!$H:$H,Flat_file!$B:$B,Summary_Inactive!$B$2,Flat_file!$C:$C,"Women",Flat_file!$D:$D,"75+",Flat_file!$E:$E,"100",Flat_file!$F:$F,"I")</f>
        <v>0</v>
      </c>
      <c r="E96" s="92">
        <f>SUMIFS(Flat_file!$H:$H,Flat_file!$B:$B,Summary_Inactive!$B$2,Flat_file!$C:$C,"Women",Flat_file!$D:$D,"75+",Flat_file!$E:$E,"242",Flat_file!$F:$F,"I")+SUMIFS(Flat_file!$H:$H,Flat_file!$B:$B,Summary_Inactive!$B$2,Flat_file!$C:$C,"Women",Flat_file!$D:$D,"75+",Flat_file!$E:$E,"252",Flat_file!$F:$F,"I")</f>
        <v>0</v>
      </c>
      <c r="F96" s="92">
        <f>SUMIFS(Flat_file!$H:$H,Flat_file!$B:$B,Summary_Inactive!$B$2,Flat_file!$C:$C,"Women",Flat_file!$D:$D,"75+",Flat_file!$E:$E,"243",Flat_file!$F:$F,"I")+SUMIFS(Flat_file!$H:$H,Flat_file!$B:$B,Summary_Inactive!$B$2,Flat_file!$C:$C,"Women",Flat_file!$D:$D,"75+",Flat_file!$E:$E,"244",Flat_file!$F:$F,"I")+SUMIFS(Flat_file!$H:$H,Flat_file!$B:$B,Summary_Inactive!$B$2,Flat_file!$C:$C,"Women",Flat_file!$D:$D,"75+",Flat_file!$E:$E,"253",Flat_file!$F:$F,"I")+SUMIFS(Flat_file!$H:$H,Flat_file!$B:$B,Summary_Inactive!$B$2,Flat_file!$C:$C,"Women",Flat_file!$D:$D,"75+",Flat_file!$E:$E,"254",Flat_file!$F:$F,"I")</f>
        <v>0</v>
      </c>
      <c r="G96" s="92">
        <f>SUMIFS(Flat_file!$H:$H,Flat_file!$B:$B,Summary_Inactive!$B$2,Flat_file!$C:$C,"Women",Flat_file!$D:$D,"75+",Flat_file!$E:$E,"342",Flat_file!$F:$F,"I")+SUMIFS(Flat_file!$H:$H,Flat_file!$B:$B,Summary_Inactive!$B$2,Flat_file!$C:$C,"Women",Flat_file!$D:$D,"75+",Flat_file!$E:$E,"352",Flat_file!$F:$F,"I")</f>
        <v>0</v>
      </c>
      <c r="H96" s="92">
        <f>SUMIFS(Flat_file!$H:$H,Flat_file!$B:$B,Summary_Inactive!$B$2,Flat_file!$C:$C,"Women",Flat_file!$D:$D,"75+",Flat_file!$E:$E,"343",Flat_file!$F:$F,"I")+SUMIFS(Flat_file!$H:$H,Flat_file!$B:$B,Summary_Inactive!$B$2,Flat_file!$C:$C,"Women",Flat_file!$D:$D,"75+",Flat_file!$E:$E,"344",Flat_file!$F:$F,"I")+SUMIFS(Flat_file!$H:$H,Flat_file!$B:$B,Summary_Inactive!$B$2,Flat_file!$C:$C,"Women",Flat_file!$D:$D,"75+",Flat_file!$E:$E,"353",Flat_file!$F:$F,"I")+SUMIFS(Flat_file!$H:$H,Flat_file!$B:$B,Summary_Inactive!$B$2,Flat_file!$C:$C,"Women",Flat_file!$D:$D,"75+",Flat_file!$E:$E,"354",Flat_file!$F:$F,"I")</f>
        <v>0</v>
      </c>
      <c r="I96" s="92">
        <f>SUMIFS(Flat_file!$H:$H,Flat_file!$B:$B,Summary_Inactive!$B$2,Flat_file!$C:$C,"Women",Flat_file!$D:$D,"75+",Flat_file!$E:$E,"443",Flat_file!$F:$F,"I")+SUMIFS(Flat_file!$H:$H,Flat_file!$B:$B,Summary_Inactive!$B$2,Flat_file!$C:$C,"Women",Flat_file!$D:$D,"75+",Flat_file!$E:$E,"444",Flat_file!$F:$F,"I")+SUMIFS(Flat_file!$H:$H,Flat_file!$B:$B,Summary_Inactive!$B$2,Flat_file!$C:$C,"Women",Flat_file!$D:$D,"75+",Flat_file!$E:$E,"453",Flat_file!$F:$F,"I")+SUMIFS(Flat_file!$H:$H,Flat_file!$B:$B,Summary_Inactive!$B$2,Flat_file!$C:$C,"Women",Flat_file!$D:$D,"75+",Flat_file!$E:$E,"454",Flat_file!$F:$F,"I")</f>
        <v>0</v>
      </c>
      <c r="J96" s="92">
        <f>SUMIFS(Flat_file!$H:$H,Flat_file!$B:$B,Summary_Inactive!$B$2,Flat_file!$C:$C,"Women",Flat_file!$D:$D,"75+",Flat_file!$E:$E,"540",Flat_file!$F:$F,"I")+SUMIFS(Flat_file!$H:$H,Flat_file!$B:$B,Summary_Inactive!$B$2,Flat_file!$C:$C,"Women",Flat_file!$D:$D,"75+",Flat_file!$E:$E,"550",Flat_file!$F:$F,"I")+SUMIFS(Flat_file!$H:$H,Flat_file!$B:$B,Summary_Inactive!$B$2,Flat_file!$C:$C,"Women",Flat_file!$D:$D,"75+",Flat_file!$E:$E,"560",Flat_file!$F:$F,"I")</f>
        <v>0</v>
      </c>
      <c r="K96" s="92">
        <f>SUMIFS(Flat_file!$H:$H,Flat_file!$B:$B,Summary_Inactive!$B$2,Flat_file!$C:$C,"Women",Flat_file!$D:$D,"75+",Flat_file!$E:$E,"640",Flat_file!$F:$F,"I")+SUMIFS(Flat_file!$H:$H,Flat_file!$B:$B,Summary_Inactive!$B$2,Flat_file!$C:$C,"Women",Flat_file!$D:$D,"75+",Flat_file!$E:$E,"650",Flat_file!$F:$F,"I")+SUMIFS(Flat_file!$H:$H,Flat_file!$B:$B,Summary_Inactive!$B$2,Flat_file!$C:$C,"Women",Flat_file!$D:$D,"75+",Flat_file!$E:$E,"660",Flat_file!$F:$F,"I")</f>
        <v>0</v>
      </c>
      <c r="L96" s="92">
        <f>SUMIFS(Flat_file!$H:$H,Flat_file!$B:$B,Summary_Inactive!$B$2,Flat_file!$C:$C,"Women",Flat_file!$D:$D,"75+",Flat_file!$E:$E,"740",Flat_file!$F:$F,"I")+SUMIFS(Flat_file!$H:$H,Flat_file!$B:$B,Summary_Inactive!$B$2,Flat_file!$C:$C,"Women",Flat_file!$D:$D,"75+",Flat_file!$E:$E,"750",Flat_file!$F:$F,"I")+SUMIFS(Flat_file!$H:$H,Flat_file!$B:$B,Summary_Inactive!$B$2,Flat_file!$C:$C,"Women",Flat_file!$D:$D,"75+",Flat_file!$E:$E,"760",Flat_file!$F:$F,"I")</f>
        <v>0</v>
      </c>
      <c r="M96" s="92">
        <f>SUMIFS(Flat_file!$H:$H,Flat_file!$B:$B,Summary_Inactive!$B$2,Flat_file!$C:$C,"Women",Flat_file!$D:$D,"75+",Flat_file!$E:$E,"840",Flat_file!$F:$F,"I")+SUMIFS(Flat_file!$H:$H,Flat_file!$B:$B,Summary_Inactive!$B$2,Flat_file!$C:$C,"Women",Flat_file!$D:$D,"75+",Flat_file!$E:$E,"850",Flat_file!$F:$F,"I")+SUMIFS(Flat_file!$H:$H,Flat_file!$B:$B,Summary_Inactive!$B$2,Flat_file!$C:$C,"Women",Flat_file!$D:$D,"75+",Flat_file!$E:$E,"860",Flat_file!$F:$F,"I")</f>
        <v>0</v>
      </c>
      <c r="N96" s="92">
        <f>SUMIFS(Flat_file!$H:$H,Flat_file!$B:$B,Summary_Inactive!$B$2,Flat_file!$C:$C,"Women",Flat_file!$D:$D,"75+",Flat_file!$E:$E,"999",Flat_file!$F:$F,"I")</f>
        <v>0</v>
      </c>
      <c r="O96" s="92">
        <f t="shared" si="59"/>
        <v>0</v>
      </c>
      <c r="P96" s="93"/>
      <c r="Q96" s="92">
        <f t="shared" si="55"/>
        <v>0</v>
      </c>
      <c r="R96" s="94"/>
      <c r="S96" s="92">
        <f t="shared" si="56"/>
        <v>0</v>
      </c>
      <c r="T96" s="92">
        <f t="shared" si="57"/>
        <v>0</v>
      </c>
      <c r="U96" s="92">
        <f t="shared" si="58"/>
        <v>0</v>
      </c>
      <c r="V96" s="93"/>
      <c r="W96" s="92">
        <f>SUMIFS(Flat_file!$H:$H,Flat_file!$B:$B,Summary_Inactive!$B$2,Flat_file!$C:$C,"Women",Flat_file!$D:$D,"75+",Flat_file!$E:$E,"343",Flat_file!$F:$F,"I")+SUMIFS(Flat_file!$H:$H,Flat_file!$B:$B,Summary_Inactive!$B$2,Flat_file!$C:$C,"Women",Flat_file!$D:$D,"75+",Flat_file!$E:$E,"344",Flat_file!$F:$F,"I")+SUMIFS(Flat_file!$H:$H,Flat_file!$B:$B,Summary_Inactive!$B$2,Flat_file!$C:$C,"Women",Flat_file!$D:$D,"75+",Flat_file!$E:$E,"443",Flat_file!$F:$F,"I")+SUMIFS(Flat_file!$H:$H,Flat_file!$B:$B,Summary_Inactive!$B$2,Flat_file!$C:$C,"Women",Flat_file!$D:$D,"75+",Flat_file!$E:$E,"444",Flat_file!$F:$F,"I")</f>
        <v>0</v>
      </c>
      <c r="X96" s="92">
        <f>SUMIFS(Flat_file!$H:$H,Flat_file!$B:$B,Summary_Inactive!$B$2,Flat_file!$C:$C,"Women",Flat_file!$D:$D,"75+",Flat_file!$E:$E,"353",Flat_file!$F:$F,"I")+SUMIFS(Flat_file!$H:$H,Flat_file!$B:$B,Summary_Inactive!$B$2,Flat_file!$C:$C,"Women",Flat_file!$D:$D,"75+",Flat_file!$E:$E,"354",Flat_file!$F:$F,"I")+SUMIFS(Flat_file!$H:$H,Flat_file!$B:$B,Summary_Inactive!$B$2,Flat_file!$C:$C,"Women",Flat_file!$D:$D,"75+",Flat_file!$E:$E,"453",Flat_file!$F:$F,"I")+SUMIFS(Flat_file!$H:$H,Flat_file!$B:$B,Summary_Inactive!$B$2,Flat_file!$C:$C,"Women",Flat_file!$D:$D,"75+",Flat_file!$E:$E,"454",Flat_file!$F:$F,"I")</f>
        <v>0</v>
      </c>
      <c r="Y96" s="93"/>
      <c r="Z96" s="92">
        <f>SUMIFS(Flat_file!$H:$H,Flat_file!$B:$B,Summary_Inactive!$B$2,Flat_file!$C:$C,"Women",Flat_file!$D:$D,"75+",Flat_file!$E:$E,"640",Flat_file!$F:$F,"I")+SUMIFS(Flat_file!$H:$H,Flat_file!$B:$B,Summary_Inactive!$B$2,Flat_file!$C:$C,"Women",Flat_file!$D:$D,"75+",Flat_file!$E:$E,"740",Flat_file!$F:$F,"I")+SUMIFS(Flat_file!$H:$H,Flat_file!$B:$B,Summary_Inactive!$B$2,Flat_file!$C:$C,"Women",Flat_file!$D:$D,"75+",Flat_file!$E:$E,"840",Flat_file!$F:$F,"I")</f>
        <v>0</v>
      </c>
      <c r="AA96" s="92">
        <f>SUMIFS(Flat_file!$H:$H,Flat_file!$B:$B,Summary_Inactive!$B$2,Flat_file!$C:$C,"Women",Flat_file!$D:$D,"75+",Flat_file!$E:$E,"650",Flat_file!$F:$F,"I")+SUMIFS(Flat_file!$H:$H,Flat_file!$B:$B,Summary_Inactive!$B$2,Flat_file!$C:$C,"Women",Flat_file!$D:$D,"75+",Flat_file!$E:$E,"750",Flat_file!$F:$F,"I")+SUMIFS(Flat_file!$H:$H,Flat_file!$B:$B,Summary_Inactive!$B$2,Flat_file!$C:$C,"Women",Flat_file!$D:$D,"75+",Flat_file!$E:$E,"850",Flat_file!$F:$F,"I")</f>
        <v>0</v>
      </c>
      <c r="AB96" s="92">
        <f>SUMIFS(Flat_file!$H:$H,Flat_file!$B:$B,Summary_Inactive!$B$2,Flat_file!$C:$C,"Women",Flat_file!$D:$D,"75+",Flat_file!$E:$E,"660",Flat_file!$F:$F,"I")+SUMIFS(Flat_file!$H:$H,Flat_file!$B:$B,Summary_Inactive!$B$2,Flat_file!$C:$C,"Women",Flat_file!$D:$D,"75+",Flat_file!$E:$E,"760",Flat_file!$F:$F,"I")+SUMIFS(Flat_file!$H:$H,Flat_file!$B:$B,Summary_Inactive!$B$2,Flat_file!$C:$C,"Women",Flat_file!$D:$D,"75+",Flat_file!$E:$E,"860",Flat_file!$F:$F,"I")</f>
        <v>0</v>
      </c>
      <c r="AC96" s="3"/>
      <c r="AD96" s="3"/>
      <c r="AE96" s="3"/>
      <c r="AF96" s="3"/>
      <c r="AG96" s="3"/>
      <c r="AH96" s="3"/>
      <c r="AI96" s="3"/>
      <c r="AJ96" s="3"/>
      <c r="AK96" s="3"/>
      <c r="AL96" s="3"/>
      <c r="AM96" s="3"/>
      <c r="AN96" s="3"/>
      <c r="AO96" s="3"/>
      <c r="AP96" s="3"/>
      <c r="AQ96" s="3"/>
      <c r="AR96" s="3"/>
      <c r="AS96" s="3"/>
    </row>
    <row r="97" spans="1:28" x14ac:dyDescent="0.2">
      <c r="A97" s="351" t="s">
        <v>133</v>
      </c>
      <c r="B97" s="78" t="s">
        <v>87</v>
      </c>
      <c r="C97" s="86">
        <f t="shared" ref="C97:C106" si="60">C71+C84</f>
        <v>0</v>
      </c>
      <c r="D97" s="86">
        <f t="shared" ref="D97:O97" si="61">D71+D84</f>
        <v>0</v>
      </c>
      <c r="E97" s="86">
        <f t="shared" si="61"/>
        <v>0</v>
      </c>
      <c r="F97" s="86">
        <f t="shared" si="61"/>
        <v>0</v>
      </c>
      <c r="G97" s="86">
        <f t="shared" si="61"/>
        <v>0</v>
      </c>
      <c r="H97" s="86">
        <f t="shared" si="61"/>
        <v>0</v>
      </c>
      <c r="I97" s="86">
        <f t="shared" si="61"/>
        <v>0</v>
      </c>
      <c r="J97" s="86">
        <f t="shared" si="61"/>
        <v>0</v>
      </c>
      <c r="K97" s="86">
        <f t="shared" si="61"/>
        <v>0</v>
      </c>
      <c r="L97" s="86">
        <f t="shared" si="61"/>
        <v>0</v>
      </c>
      <c r="M97" s="86">
        <f t="shared" si="61"/>
        <v>0</v>
      </c>
      <c r="N97" s="86">
        <f t="shared" si="61"/>
        <v>0</v>
      </c>
      <c r="O97" s="86">
        <f t="shared" si="61"/>
        <v>0</v>
      </c>
      <c r="P97" s="87"/>
      <c r="Q97" s="86">
        <f t="shared" ref="Q97:Q106" si="62">Q71+Q84</f>
        <v>0</v>
      </c>
      <c r="R97" s="88"/>
      <c r="S97" s="86">
        <f t="shared" ref="S97:U106" si="63">S71+S84</f>
        <v>0</v>
      </c>
      <c r="T97" s="86">
        <f t="shared" si="63"/>
        <v>0</v>
      </c>
      <c r="U97" s="86">
        <f t="shared" si="63"/>
        <v>0</v>
      </c>
      <c r="V97" s="87"/>
      <c r="W97" s="86">
        <f t="shared" ref="W97:X106" si="64">W71+W84</f>
        <v>0</v>
      </c>
      <c r="X97" s="86">
        <f t="shared" si="64"/>
        <v>0</v>
      </c>
      <c r="Y97" s="87"/>
      <c r="Z97" s="86">
        <f t="shared" ref="Z97:AB106" si="65">Z71+Z84</f>
        <v>0</v>
      </c>
      <c r="AA97" s="86">
        <f t="shared" si="65"/>
        <v>0</v>
      </c>
      <c r="AB97" s="86">
        <f t="shared" si="65"/>
        <v>0</v>
      </c>
    </row>
    <row r="98" spans="1:28" x14ac:dyDescent="0.2">
      <c r="A98" s="352"/>
      <c r="B98" s="79" t="s">
        <v>88</v>
      </c>
      <c r="C98" s="89">
        <f t="shared" si="60"/>
        <v>0</v>
      </c>
      <c r="D98" s="89">
        <f t="shared" ref="D98:O98" si="66">D72+D85</f>
        <v>0</v>
      </c>
      <c r="E98" s="89">
        <f t="shared" si="66"/>
        <v>0</v>
      </c>
      <c r="F98" s="89">
        <f t="shared" si="66"/>
        <v>0</v>
      </c>
      <c r="G98" s="89">
        <f t="shared" si="66"/>
        <v>0</v>
      </c>
      <c r="H98" s="89">
        <f t="shared" si="66"/>
        <v>0</v>
      </c>
      <c r="I98" s="89">
        <f t="shared" si="66"/>
        <v>0</v>
      </c>
      <c r="J98" s="89">
        <f t="shared" si="66"/>
        <v>0</v>
      </c>
      <c r="K98" s="89">
        <f t="shared" si="66"/>
        <v>0</v>
      </c>
      <c r="L98" s="89">
        <f t="shared" si="66"/>
        <v>0</v>
      </c>
      <c r="M98" s="89">
        <f t="shared" si="66"/>
        <v>0</v>
      </c>
      <c r="N98" s="89">
        <f t="shared" si="66"/>
        <v>0</v>
      </c>
      <c r="O98" s="89">
        <f t="shared" si="66"/>
        <v>0</v>
      </c>
      <c r="P98" s="90"/>
      <c r="Q98" s="89">
        <f t="shared" si="62"/>
        <v>0</v>
      </c>
      <c r="R98" s="91"/>
      <c r="S98" s="89">
        <f t="shared" si="63"/>
        <v>0</v>
      </c>
      <c r="T98" s="89">
        <f t="shared" si="63"/>
        <v>0</v>
      </c>
      <c r="U98" s="89">
        <f t="shared" si="63"/>
        <v>0</v>
      </c>
      <c r="V98" s="90"/>
      <c r="W98" s="89">
        <f t="shared" si="64"/>
        <v>0</v>
      </c>
      <c r="X98" s="89">
        <f t="shared" si="64"/>
        <v>0</v>
      </c>
      <c r="Y98" s="90"/>
      <c r="Z98" s="89">
        <f t="shared" si="65"/>
        <v>0</v>
      </c>
      <c r="AA98" s="89">
        <f t="shared" si="65"/>
        <v>0</v>
      </c>
      <c r="AB98" s="89">
        <f t="shared" si="65"/>
        <v>0</v>
      </c>
    </row>
    <row r="99" spans="1:28" x14ac:dyDescent="0.2">
      <c r="A99" s="352"/>
      <c r="B99" s="79" t="s">
        <v>89</v>
      </c>
      <c r="C99" s="89">
        <f t="shared" si="60"/>
        <v>0</v>
      </c>
      <c r="D99" s="89">
        <f t="shared" ref="D99:O99" si="67">D73+D86</f>
        <v>0</v>
      </c>
      <c r="E99" s="89">
        <f t="shared" si="67"/>
        <v>0</v>
      </c>
      <c r="F99" s="89">
        <f t="shared" si="67"/>
        <v>0</v>
      </c>
      <c r="G99" s="89">
        <f t="shared" si="67"/>
        <v>0</v>
      </c>
      <c r="H99" s="89">
        <f t="shared" si="67"/>
        <v>0</v>
      </c>
      <c r="I99" s="89">
        <f t="shared" si="67"/>
        <v>0</v>
      </c>
      <c r="J99" s="89">
        <f t="shared" si="67"/>
        <v>0</v>
      </c>
      <c r="K99" s="89">
        <f t="shared" si="67"/>
        <v>0</v>
      </c>
      <c r="L99" s="89">
        <f t="shared" si="67"/>
        <v>0</v>
      </c>
      <c r="M99" s="89">
        <f t="shared" si="67"/>
        <v>0</v>
      </c>
      <c r="N99" s="89">
        <f t="shared" si="67"/>
        <v>0</v>
      </c>
      <c r="O99" s="89">
        <f t="shared" si="67"/>
        <v>0</v>
      </c>
      <c r="P99" s="90"/>
      <c r="Q99" s="89">
        <f t="shared" si="62"/>
        <v>0</v>
      </c>
      <c r="R99" s="91"/>
      <c r="S99" s="89">
        <f t="shared" si="63"/>
        <v>0</v>
      </c>
      <c r="T99" s="89">
        <f t="shared" si="63"/>
        <v>0</v>
      </c>
      <c r="U99" s="89">
        <f t="shared" si="63"/>
        <v>0</v>
      </c>
      <c r="V99" s="90"/>
      <c r="W99" s="89">
        <f t="shared" si="64"/>
        <v>0</v>
      </c>
      <c r="X99" s="89">
        <f t="shared" si="64"/>
        <v>0</v>
      </c>
      <c r="Y99" s="90"/>
      <c r="Z99" s="89">
        <f t="shared" si="65"/>
        <v>0</v>
      </c>
      <c r="AA99" s="89">
        <f t="shared" si="65"/>
        <v>0</v>
      </c>
      <c r="AB99" s="89">
        <f t="shared" si="65"/>
        <v>0</v>
      </c>
    </row>
    <row r="100" spans="1:28" x14ac:dyDescent="0.2">
      <c r="A100" s="352"/>
      <c r="B100" s="79" t="s">
        <v>90</v>
      </c>
      <c r="C100" s="89">
        <f t="shared" si="60"/>
        <v>0</v>
      </c>
      <c r="D100" s="89">
        <f t="shared" ref="D100:O100" si="68">D74+D87</f>
        <v>0</v>
      </c>
      <c r="E100" s="89">
        <f t="shared" si="68"/>
        <v>0</v>
      </c>
      <c r="F100" s="89">
        <f t="shared" si="68"/>
        <v>0</v>
      </c>
      <c r="G100" s="89">
        <f t="shared" si="68"/>
        <v>0</v>
      </c>
      <c r="H100" s="89">
        <f t="shared" si="68"/>
        <v>0</v>
      </c>
      <c r="I100" s="89">
        <f t="shared" si="68"/>
        <v>0</v>
      </c>
      <c r="J100" s="89">
        <f t="shared" si="68"/>
        <v>0</v>
      </c>
      <c r="K100" s="89">
        <f t="shared" si="68"/>
        <v>0</v>
      </c>
      <c r="L100" s="89">
        <f t="shared" si="68"/>
        <v>0</v>
      </c>
      <c r="M100" s="89">
        <f t="shared" si="68"/>
        <v>0</v>
      </c>
      <c r="N100" s="89">
        <f t="shared" si="68"/>
        <v>0</v>
      </c>
      <c r="O100" s="89">
        <f t="shared" si="68"/>
        <v>0</v>
      </c>
      <c r="P100" s="90"/>
      <c r="Q100" s="89">
        <f t="shared" si="62"/>
        <v>0</v>
      </c>
      <c r="R100" s="91"/>
      <c r="S100" s="89">
        <f t="shared" si="63"/>
        <v>0</v>
      </c>
      <c r="T100" s="89">
        <f t="shared" si="63"/>
        <v>0</v>
      </c>
      <c r="U100" s="89">
        <f t="shared" si="63"/>
        <v>0</v>
      </c>
      <c r="V100" s="90"/>
      <c r="W100" s="89">
        <f t="shared" si="64"/>
        <v>0</v>
      </c>
      <c r="X100" s="89">
        <f t="shared" si="64"/>
        <v>0</v>
      </c>
      <c r="Y100" s="90"/>
      <c r="Z100" s="89">
        <f t="shared" si="65"/>
        <v>0</v>
      </c>
      <c r="AA100" s="89">
        <f t="shared" si="65"/>
        <v>0</v>
      </c>
      <c r="AB100" s="89">
        <f t="shared" si="65"/>
        <v>0</v>
      </c>
    </row>
    <row r="101" spans="1:28" x14ac:dyDescent="0.2">
      <c r="A101" s="352"/>
      <c r="B101" s="79" t="s">
        <v>91</v>
      </c>
      <c r="C101" s="89">
        <f t="shared" si="60"/>
        <v>0</v>
      </c>
      <c r="D101" s="89">
        <f t="shared" ref="D101:O101" si="69">D75+D88</f>
        <v>0</v>
      </c>
      <c r="E101" s="89">
        <f t="shared" si="69"/>
        <v>0</v>
      </c>
      <c r="F101" s="89">
        <f t="shared" si="69"/>
        <v>0</v>
      </c>
      <c r="G101" s="89">
        <f t="shared" si="69"/>
        <v>0</v>
      </c>
      <c r="H101" s="89">
        <f t="shared" si="69"/>
        <v>0</v>
      </c>
      <c r="I101" s="89">
        <f t="shared" si="69"/>
        <v>0</v>
      </c>
      <c r="J101" s="89">
        <f t="shared" si="69"/>
        <v>0</v>
      </c>
      <c r="K101" s="89">
        <f t="shared" si="69"/>
        <v>0</v>
      </c>
      <c r="L101" s="89">
        <f t="shared" si="69"/>
        <v>0</v>
      </c>
      <c r="M101" s="89">
        <f t="shared" si="69"/>
        <v>0</v>
      </c>
      <c r="N101" s="89">
        <f t="shared" si="69"/>
        <v>0</v>
      </c>
      <c r="O101" s="89">
        <f t="shared" si="69"/>
        <v>0</v>
      </c>
      <c r="P101" s="90"/>
      <c r="Q101" s="89">
        <f t="shared" si="62"/>
        <v>0</v>
      </c>
      <c r="R101" s="91"/>
      <c r="S101" s="89">
        <f t="shared" si="63"/>
        <v>0</v>
      </c>
      <c r="T101" s="89">
        <f t="shared" si="63"/>
        <v>0</v>
      </c>
      <c r="U101" s="89">
        <f t="shared" si="63"/>
        <v>0</v>
      </c>
      <c r="V101" s="90"/>
      <c r="W101" s="89">
        <f t="shared" si="64"/>
        <v>0</v>
      </c>
      <c r="X101" s="89">
        <f t="shared" si="64"/>
        <v>0</v>
      </c>
      <c r="Y101" s="90"/>
      <c r="Z101" s="89">
        <f t="shared" si="65"/>
        <v>0</v>
      </c>
      <c r="AA101" s="89">
        <f t="shared" si="65"/>
        <v>0</v>
      </c>
      <c r="AB101" s="89">
        <f t="shared" si="65"/>
        <v>0</v>
      </c>
    </row>
    <row r="102" spans="1:28" x14ac:dyDescent="0.2">
      <c r="A102" s="352"/>
      <c r="B102" s="79" t="s">
        <v>92</v>
      </c>
      <c r="C102" s="89">
        <f t="shared" si="60"/>
        <v>0</v>
      </c>
      <c r="D102" s="89">
        <f t="shared" ref="D102:O102" si="70">D76+D89</f>
        <v>0</v>
      </c>
      <c r="E102" s="89">
        <f t="shared" si="70"/>
        <v>0</v>
      </c>
      <c r="F102" s="89">
        <f t="shared" si="70"/>
        <v>0</v>
      </c>
      <c r="G102" s="89">
        <f t="shared" si="70"/>
        <v>0</v>
      </c>
      <c r="H102" s="89">
        <f t="shared" si="70"/>
        <v>0</v>
      </c>
      <c r="I102" s="89">
        <f t="shared" si="70"/>
        <v>0</v>
      </c>
      <c r="J102" s="89">
        <f t="shared" si="70"/>
        <v>0</v>
      </c>
      <c r="K102" s="89">
        <f t="shared" si="70"/>
        <v>0</v>
      </c>
      <c r="L102" s="89">
        <f t="shared" si="70"/>
        <v>0</v>
      </c>
      <c r="M102" s="89">
        <f t="shared" si="70"/>
        <v>0</v>
      </c>
      <c r="N102" s="89">
        <f t="shared" si="70"/>
        <v>0</v>
      </c>
      <c r="O102" s="89">
        <f t="shared" si="70"/>
        <v>0</v>
      </c>
      <c r="P102" s="90"/>
      <c r="Q102" s="89">
        <f t="shared" si="62"/>
        <v>0</v>
      </c>
      <c r="R102" s="91"/>
      <c r="S102" s="89">
        <f t="shared" si="63"/>
        <v>0</v>
      </c>
      <c r="T102" s="89">
        <f t="shared" si="63"/>
        <v>0</v>
      </c>
      <c r="U102" s="89">
        <f t="shared" si="63"/>
        <v>0</v>
      </c>
      <c r="V102" s="90"/>
      <c r="W102" s="89">
        <f t="shared" si="64"/>
        <v>0</v>
      </c>
      <c r="X102" s="89">
        <f t="shared" si="64"/>
        <v>0</v>
      </c>
      <c r="Y102" s="90"/>
      <c r="Z102" s="89">
        <f t="shared" si="65"/>
        <v>0</v>
      </c>
      <c r="AA102" s="89">
        <f t="shared" si="65"/>
        <v>0</v>
      </c>
      <c r="AB102" s="89">
        <f t="shared" si="65"/>
        <v>0</v>
      </c>
    </row>
    <row r="103" spans="1:28" x14ac:dyDescent="0.2">
      <c r="A103" s="352"/>
      <c r="B103" s="79" t="s">
        <v>93</v>
      </c>
      <c r="C103" s="89">
        <f t="shared" si="60"/>
        <v>0</v>
      </c>
      <c r="D103" s="89">
        <f t="shared" ref="D103:O103" si="71">D77+D90</f>
        <v>0</v>
      </c>
      <c r="E103" s="89">
        <f t="shared" si="71"/>
        <v>0</v>
      </c>
      <c r="F103" s="89">
        <f t="shared" si="71"/>
        <v>0</v>
      </c>
      <c r="G103" s="89">
        <f t="shared" si="71"/>
        <v>0</v>
      </c>
      <c r="H103" s="89">
        <f t="shared" si="71"/>
        <v>0</v>
      </c>
      <c r="I103" s="89">
        <f t="shared" si="71"/>
        <v>0</v>
      </c>
      <c r="J103" s="89">
        <f t="shared" si="71"/>
        <v>0</v>
      </c>
      <c r="K103" s="89">
        <f t="shared" si="71"/>
        <v>0</v>
      </c>
      <c r="L103" s="89">
        <f t="shared" si="71"/>
        <v>0</v>
      </c>
      <c r="M103" s="89">
        <f t="shared" si="71"/>
        <v>0</v>
      </c>
      <c r="N103" s="89">
        <f t="shared" si="71"/>
        <v>0</v>
      </c>
      <c r="O103" s="89">
        <f t="shared" si="71"/>
        <v>0</v>
      </c>
      <c r="P103" s="90"/>
      <c r="Q103" s="89">
        <f t="shared" si="62"/>
        <v>0</v>
      </c>
      <c r="R103" s="91"/>
      <c r="S103" s="89">
        <f t="shared" si="63"/>
        <v>0</v>
      </c>
      <c r="T103" s="89">
        <f t="shared" si="63"/>
        <v>0</v>
      </c>
      <c r="U103" s="89">
        <f t="shared" si="63"/>
        <v>0</v>
      </c>
      <c r="V103" s="90"/>
      <c r="W103" s="89">
        <f t="shared" si="64"/>
        <v>0</v>
      </c>
      <c r="X103" s="89">
        <f t="shared" si="64"/>
        <v>0</v>
      </c>
      <c r="Y103" s="90"/>
      <c r="Z103" s="89">
        <f t="shared" si="65"/>
        <v>0</v>
      </c>
      <c r="AA103" s="89">
        <f t="shared" si="65"/>
        <v>0</v>
      </c>
      <c r="AB103" s="89">
        <f t="shared" si="65"/>
        <v>0</v>
      </c>
    </row>
    <row r="104" spans="1:28" x14ac:dyDescent="0.2">
      <c r="A104" s="352"/>
      <c r="B104" s="79" t="s">
        <v>94</v>
      </c>
      <c r="C104" s="89">
        <f t="shared" si="60"/>
        <v>0</v>
      </c>
      <c r="D104" s="89">
        <f t="shared" ref="D104:O104" si="72">D78+D91</f>
        <v>0</v>
      </c>
      <c r="E104" s="89">
        <f t="shared" si="72"/>
        <v>0</v>
      </c>
      <c r="F104" s="89">
        <f t="shared" si="72"/>
        <v>0</v>
      </c>
      <c r="G104" s="89">
        <f t="shared" si="72"/>
        <v>0</v>
      </c>
      <c r="H104" s="89">
        <f t="shared" si="72"/>
        <v>0</v>
      </c>
      <c r="I104" s="89">
        <f t="shared" si="72"/>
        <v>0</v>
      </c>
      <c r="J104" s="89">
        <f t="shared" si="72"/>
        <v>0</v>
      </c>
      <c r="K104" s="89">
        <f t="shared" si="72"/>
        <v>0</v>
      </c>
      <c r="L104" s="89">
        <f t="shared" si="72"/>
        <v>0</v>
      </c>
      <c r="M104" s="89">
        <f t="shared" si="72"/>
        <v>0</v>
      </c>
      <c r="N104" s="89">
        <f t="shared" si="72"/>
        <v>0</v>
      </c>
      <c r="O104" s="89">
        <f t="shared" si="72"/>
        <v>0</v>
      </c>
      <c r="P104" s="90"/>
      <c r="Q104" s="89">
        <f t="shared" si="62"/>
        <v>0</v>
      </c>
      <c r="R104" s="91"/>
      <c r="S104" s="89">
        <f t="shared" si="63"/>
        <v>0</v>
      </c>
      <c r="T104" s="89">
        <f t="shared" si="63"/>
        <v>0</v>
      </c>
      <c r="U104" s="89">
        <f t="shared" si="63"/>
        <v>0</v>
      </c>
      <c r="V104" s="90"/>
      <c r="W104" s="89">
        <f t="shared" si="64"/>
        <v>0</v>
      </c>
      <c r="X104" s="89">
        <f t="shared" si="64"/>
        <v>0</v>
      </c>
      <c r="Y104" s="90"/>
      <c r="Z104" s="89">
        <f t="shared" si="65"/>
        <v>0</v>
      </c>
      <c r="AA104" s="89">
        <f t="shared" si="65"/>
        <v>0</v>
      </c>
      <c r="AB104" s="89">
        <f t="shared" si="65"/>
        <v>0</v>
      </c>
    </row>
    <row r="105" spans="1:28" x14ac:dyDescent="0.2">
      <c r="A105" s="352"/>
      <c r="B105" s="79" t="s">
        <v>95</v>
      </c>
      <c r="C105" s="89">
        <f t="shared" si="60"/>
        <v>0</v>
      </c>
      <c r="D105" s="89">
        <f t="shared" ref="D105:O105" si="73">D79+D92</f>
        <v>0</v>
      </c>
      <c r="E105" s="89">
        <f t="shared" si="73"/>
        <v>0</v>
      </c>
      <c r="F105" s="89">
        <f t="shared" si="73"/>
        <v>0</v>
      </c>
      <c r="G105" s="89">
        <f t="shared" si="73"/>
        <v>0</v>
      </c>
      <c r="H105" s="89">
        <f t="shared" si="73"/>
        <v>0</v>
      </c>
      <c r="I105" s="89">
        <f t="shared" si="73"/>
        <v>0</v>
      </c>
      <c r="J105" s="89">
        <f t="shared" si="73"/>
        <v>0</v>
      </c>
      <c r="K105" s="89">
        <f t="shared" si="73"/>
        <v>0</v>
      </c>
      <c r="L105" s="89">
        <f t="shared" si="73"/>
        <v>0</v>
      </c>
      <c r="M105" s="89">
        <f t="shared" si="73"/>
        <v>0</v>
      </c>
      <c r="N105" s="89">
        <f t="shared" si="73"/>
        <v>0</v>
      </c>
      <c r="O105" s="89">
        <f t="shared" si="73"/>
        <v>0</v>
      </c>
      <c r="P105" s="90"/>
      <c r="Q105" s="89">
        <f t="shared" si="62"/>
        <v>0</v>
      </c>
      <c r="R105" s="91"/>
      <c r="S105" s="89">
        <f t="shared" si="63"/>
        <v>0</v>
      </c>
      <c r="T105" s="89">
        <f t="shared" si="63"/>
        <v>0</v>
      </c>
      <c r="U105" s="89">
        <f t="shared" si="63"/>
        <v>0</v>
      </c>
      <c r="V105" s="90"/>
      <c r="W105" s="89">
        <f t="shared" si="64"/>
        <v>0</v>
      </c>
      <c r="X105" s="89">
        <f t="shared" si="64"/>
        <v>0</v>
      </c>
      <c r="Y105" s="90"/>
      <c r="Z105" s="89">
        <f t="shared" si="65"/>
        <v>0</v>
      </c>
      <c r="AA105" s="89">
        <f t="shared" si="65"/>
        <v>0</v>
      </c>
      <c r="AB105" s="89">
        <f t="shared" si="65"/>
        <v>0</v>
      </c>
    </row>
    <row r="106" spans="1:28" x14ac:dyDescent="0.2">
      <c r="A106" s="352"/>
      <c r="B106" s="79" t="s">
        <v>96</v>
      </c>
      <c r="C106" s="89">
        <f t="shared" si="60"/>
        <v>0</v>
      </c>
      <c r="D106" s="89">
        <f t="shared" ref="D106:O106" si="74">D80+D93</f>
        <v>0</v>
      </c>
      <c r="E106" s="89">
        <f t="shared" si="74"/>
        <v>0</v>
      </c>
      <c r="F106" s="89">
        <f t="shared" si="74"/>
        <v>0</v>
      </c>
      <c r="G106" s="89">
        <f t="shared" si="74"/>
        <v>0</v>
      </c>
      <c r="H106" s="89">
        <f t="shared" si="74"/>
        <v>0</v>
      </c>
      <c r="I106" s="89">
        <f t="shared" si="74"/>
        <v>0</v>
      </c>
      <c r="J106" s="89">
        <f t="shared" si="74"/>
        <v>0</v>
      </c>
      <c r="K106" s="89">
        <f t="shared" si="74"/>
        <v>0</v>
      </c>
      <c r="L106" s="89">
        <f t="shared" si="74"/>
        <v>0</v>
      </c>
      <c r="M106" s="89">
        <f t="shared" si="74"/>
        <v>0</v>
      </c>
      <c r="N106" s="89">
        <f t="shared" si="74"/>
        <v>0</v>
      </c>
      <c r="O106" s="89">
        <f t="shared" si="74"/>
        <v>0</v>
      </c>
      <c r="P106" s="90"/>
      <c r="Q106" s="89">
        <f t="shared" si="62"/>
        <v>0</v>
      </c>
      <c r="R106" s="91"/>
      <c r="S106" s="89">
        <f t="shared" si="63"/>
        <v>0</v>
      </c>
      <c r="T106" s="89">
        <f t="shared" si="63"/>
        <v>0</v>
      </c>
      <c r="U106" s="89">
        <f t="shared" si="63"/>
        <v>0</v>
      </c>
      <c r="V106" s="90"/>
      <c r="W106" s="89">
        <f t="shared" si="64"/>
        <v>0</v>
      </c>
      <c r="X106" s="89">
        <f t="shared" si="64"/>
        <v>0</v>
      </c>
      <c r="Y106" s="90"/>
      <c r="Z106" s="89">
        <f t="shared" si="65"/>
        <v>0</v>
      </c>
      <c r="AA106" s="89">
        <f t="shared" si="65"/>
        <v>0</v>
      </c>
      <c r="AB106" s="89">
        <f t="shared" si="65"/>
        <v>0</v>
      </c>
    </row>
    <row r="107" spans="1:28" x14ac:dyDescent="0.2">
      <c r="A107" s="352"/>
      <c r="B107" s="79" t="s">
        <v>258</v>
      </c>
      <c r="C107" s="225">
        <f t="shared" ref="C107:AB107" si="75">C81+C94</f>
        <v>0</v>
      </c>
      <c r="D107" s="225">
        <f t="shared" si="75"/>
        <v>0</v>
      </c>
      <c r="E107" s="225">
        <f t="shared" si="75"/>
        <v>0</v>
      </c>
      <c r="F107" s="225">
        <f t="shared" si="75"/>
        <v>0</v>
      </c>
      <c r="G107" s="225">
        <f t="shared" si="75"/>
        <v>0</v>
      </c>
      <c r="H107" s="225">
        <f t="shared" si="75"/>
        <v>0</v>
      </c>
      <c r="I107" s="225">
        <f t="shared" si="75"/>
        <v>0</v>
      </c>
      <c r="J107" s="225">
        <f t="shared" si="75"/>
        <v>0</v>
      </c>
      <c r="K107" s="225">
        <f t="shared" si="75"/>
        <v>0</v>
      </c>
      <c r="L107" s="225">
        <f t="shared" si="75"/>
        <v>0</v>
      </c>
      <c r="M107" s="225">
        <f t="shared" si="75"/>
        <v>0</v>
      </c>
      <c r="N107" s="225">
        <f t="shared" si="75"/>
        <v>0</v>
      </c>
      <c r="O107" s="225">
        <f t="shared" si="75"/>
        <v>0</v>
      </c>
      <c r="P107" s="90">
        <f t="shared" si="75"/>
        <v>0</v>
      </c>
      <c r="Q107" s="225">
        <f t="shared" si="75"/>
        <v>0</v>
      </c>
      <c r="R107" s="91">
        <f t="shared" si="75"/>
        <v>0</v>
      </c>
      <c r="S107" s="225">
        <f t="shared" si="75"/>
        <v>0</v>
      </c>
      <c r="T107" s="225">
        <f t="shared" si="75"/>
        <v>0</v>
      </c>
      <c r="U107" s="225">
        <f t="shared" si="75"/>
        <v>0</v>
      </c>
      <c r="V107" s="90">
        <f t="shared" si="75"/>
        <v>0</v>
      </c>
      <c r="W107" s="225">
        <f t="shared" si="75"/>
        <v>0</v>
      </c>
      <c r="X107" s="225">
        <f t="shared" si="75"/>
        <v>0</v>
      </c>
      <c r="Y107" s="90">
        <f t="shared" si="75"/>
        <v>0</v>
      </c>
      <c r="Z107" s="225">
        <f t="shared" si="75"/>
        <v>0</v>
      </c>
      <c r="AA107" s="225">
        <f t="shared" si="75"/>
        <v>0</v>
      </c>
      <c r="AB107" s="225">
        <f t="shared" si="75"/>
        <v>0</v>
      </c>
    </row>
    <row r="108" spans="1:28" x14ac:dyDescent="0.2">
      <c r="A108" s="352"/>
      <c r="B108" s="79" t="s">
        <v>260</v>
      </c>
      <c r="C108" s="225">
        <f t="shared" ref="C108:AB108" si="76">C82+C95</f>
        <v>0</v>
      </c>
      <c r="D108" s="225">
        <f t="shared" si="76"/>
        <v>0</v>
      </c>
      <c r="E108" s="225">
        <f t="shared" si="76"/>
        <v>0</v>
      </c>
      <c r="F108" s="225">
        <f t="shared" si="76"/>
        <v>0</v>
      </c>
      <c r="G108" s="225">
        <f t="shared" si="76"/>
        <v>0</v>
      </c>
      <c r="H108" s="225">
        <f t="shared" si="76"/>
        <v>0</v>
      </c>
      <c r="I108" s="225">
        <f t="shared" si="76"/>
        <v>0</v>
      </c>
      <c r="J108" s="225">
        <f t="shared" si="76"/>
        <v>0</v>
      </c>
      <c r="K108" s="225">
        <f t="shared" si="76"/>
        <v>0</v>
      </c>
      <c r="L108" s="225">
        <f t="shared" si="76"/>
        <v>0</v>
      </c>
      <c r="M108" s="225">
        <f t="shared" si="76"/>
        <v>0</v>
      </c>
      <c r="N108" s="225">
        <f t="shared" si="76"/>
        <v>0</v>
      </c>
      <c r="O108" s="225">
        <f t="shared" si="76"/>
        <v>0</v>
      </c>
      <c r="P108" s="90">
        <f t="shared" si="76"/>
        <v>0</v>
      </c>
      <c r="Q108" s="225">
        <f t="shared" si="76"/>
        <v>0</v>
      </c>
      <c r="R108" s="91">
        <f t="shared" si="76"/>
        <v>0</v>
      </c>
      <c r="S108" s="225">
        <f t="shared" si="76"/>
        <v>0</v>
      </c>
      <c r="T108" s="225">
        <f t="shared" si="76"/>
        <v>0</v>
      </c>
      <c r="U108" s="225">
        <f t="shared" si="76"/>
        <v>0</v>
      </c>
      <c r="V108" s="90">
        <f t="shared" si="76"/>
        <v>0</v>
      </c>
      <c r="W108" s="225">
        <f t="shared" si="76"/>
        <v>0</v>
      </c>
      <c r="X108" s="225">
        <f t="shared" si="76"/>
        <v>0</v>
      </c>
      <c r="Y108" s="90">
        <f t="shared" si="76"/>
        <v>0</v>
      </c>
      <c r="Z108" s="225">
        <f t="shared" si="76"/>
        <v>0</v>
      </c>
      <c r="AA108" s="225">
        <f t="shared" si="76"/>
        <v>0</v>
      </c>
      <c r="AB108" s="225">
        <f t="shared" si="76"/>
        <v>0</v>
      </c>
    </row>
    <row r="109" spans="1:28" ht="13.5" thickBot="1" x14ac:dyDescent="0.25">
      <c r="A109" s="353"/>
      <c r="B109" s="80" t="s">
        <v>261</v>
      </c>
      <c r="C109" s="92">
        <f t="shared" ref="C109:AB109" si="77">C83+C96</f>
        <v>0</v>
      </c>
      <c r="D109" s="92">
        <f t="shared" si="77"/>
        <v>0</v>
      </c>
      <c r="E109" s="92">
        <f t="shared" si="77"/>
        <v>0</v>
      </c>
      <c r="F109" s="92">
        <f t="shared" si="77"/>
        <v>0</v>
      </c>
      <c r="G109" s="92">
        <f t="shared" si="77"/>
        <v>0</v>
      </c>
      <c r="H109" s="92">
        <f t="shared" si="77"/>
        <v>0</v>
      </c>
      <c r="I109" s="92">
        <f t="shared" si="77"/>
        <v>0</v>
      </c>
      <c r="J109" s="92">
        <f t="shared" si="77"/>
        <v>0</v>
      </c>
      <c r="K109" s="92">
        <f t="shared" si="77"/>
        <v>0</v>
      </c>
      <c r="L109" s="92">
        <f t="shared" si="77"/>
        <v>0</v>
      </c>
      <c r="M109" s="92">
        <f t="shared" si="77"/>
        <v>0</v>
      </c>
      <c r="N109" s="92">
        <f t="shared" si="77"/>
        <v>0</v>
      </c>
      <c r="O109" s="92">
        <f t="shared" si="77"/>
        <v>0</v>
      </c>
      <c r="P109" s="93">
        <f t="shared" si="77"/>
        <v>0</v>
      </c>
      <c r="Q109" s="92">
        <f t="shared" si="77"/>
        <v>0</v>
      </c>
      <c r="R109" s="94">
        <f t="shared" si="77"/>
        <v>0</v>
      </c>
      <c r="S109" s="92">
        <f t="shared" si="77"/>
        <v>0</v>
      </c>
      <c r="T109" s="92">
        <f t="shared" si="77"/>
        <v>0</v>
      </c>
      <c r="U109" s="92">
        <f t="shared" si="77"/>
        <v>0</v>
      </c>
      <c r="V109" s="93">
        <f t="shared" si="77"/>
        <v>0</v>
      </c>
      <c r="W109" s="92">
        <f t="shared" si="77"/>
        <v>0</v>
      </c>
      <c r="X109" s="92">
        <f t="shared" si="77"/>
        <v>0</v>
      </c>
      <c r="Y109" s="93">
        <f t="shared" si="77"/>
        <v>0</v>
      </c>
      <c r="Z109" s="92">
        <f t="shared" si="77"/>
        <v>0</v>
      </c>
      <c r="AA109" s="92">
        <f t="shared" si="77"/>
        <v>0</v>
      </c>
      <c r="AB109" s="92">
        <f t="shared" si="77"/>
        <v>0</v>
      </c>
    </row>
  </sheetData>
  <mergeCells count="27">
    <mergeCell ref="A45:A51"/>
    <mergeCell ref="A52:A58"/>
    <mergeCell ref="A59:A65"/>
    <mergeCell ref="T68:T69"/>
    <mergeCell ref="A68:A69"/>
    <mergeCell ref="B68:B69"/>
    <mergeCell ref="C68:C69"/>
    <mergeCell ref="D68:D69"/>
    <mergeCell ref="E68:F68"/>
    <mergeCell ref="O68:O69"/>
    <mergeCell ref="Q68:Q69"/>
    <mergeCell ref="A97:A109"/>
    <mergeCell ref="C3:AB3"/>
    <mergeCell ref="A6:A18"/>
    <mergeCell ref="A19:A31"/>
    <mergeCell ref="C67:AB67"/>
    <mergeCell ref="A32:A44"/>
    <mergeCell ref="U68:U69"/>
    <mergeCell ref="W68:X68"/>
    <mergeCell ref="Z68:AB68"/>
    <mergeCell ref="G68:H68"/>
    <mergeCell ref="I68:I69"/>
    <mergeCell ref="J68:M68"/>
    <mergeCell ref="N68:N69"/>
    <mergeCell ref="A71:A83"/>
    <mergeCell ref="A84:A96"/>
    <mergeCell ref="S68:S69"/>
  </mergeCells>
  <pageMargins left="0.70866141732283472" right="0.70866141732283472" top="0.74803149606299213" bottom="0.74803149606299213" header="0.31496062992125984" footer="0.31496062992125984"/>
  <pageSetup paperSize="9" scale="53" orientation="landscape" r:id="rId1"/>
  <headerFooter>
    <oddFooter>&amp;R&amp;A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EDF86EB0E6BE42B56868DF52A5F4F7" ma:contentTypeVersion="0" ma:contentTypeDescription="Create a new document." ma:contentTypeScope="" ma:versionID="5e300b10a974288dd9a955e9a9c72a43">
  <xsd:schema xmlns:xsd="http://www.w3.org/2001/XMLSchema" xmlns:p="http://schemas.microsoft.com/office/2006/metadata/properties" targetNamespace="http://schemas.microsoft.com/office/2006/metadata/properties" ma:root="true" ma:fieldsID="44608d658d880a74bad79e0bb6c71f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D6F311-25EA-495A-9A88-7460D7ED2FEB}">
  <ds:schemaRefs>
    <ds:schemaRef ds:uri="http://schemas.microsoft.com/office/2006/metadata/longProperties"/>
  </ds:schemaRefs>
</ds:datastoreItem>
</file>

<file path=customXml/itemProps2.xml><?xml version="1.0" encoding="utf-8"?>
<ds:datastoreItem xmlns:ds="http://schemas.openxmlformats.org/officeDocument/2006/customXml" ds:itemID="{C461EA7F-9FAC-4B01-93C2-601AA8FD1F98}">
  <ds:schemaRefs>
    <ds:schemaRef ds:uri="http://schemas.microsoft.com/sharepoint/v3/contenttype/forms"/>
  </ds:schemaRefs>
</ds:datastoreItem>
</file>

<file path=customXml/itemProps3.xml><?xml version="1.0" encoding="utf-8"?>
<ds:datastoreItem xmlns:ds="http://schemas.openxmlformats.org/officeDocument/2006/customXml" ds:itemID="{0E28737E-27FF-4A2D-BA1F-A8FAF07A6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91E0B7D-D653-4065-8242-44B56CEABDB5}">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vt:lpstr>
      <vt:lpstr>Contact_Info</vt:lpstr>
      <vt:lpstr>Definitions</vt:lpstr>
      <vt:lpstr>Data_source_Info</vt:lpstr>
      <vt:lpstr>NEAC_to_ISCED_2011</vt:lpstr>
      <vt:lpstr>Flat_file</vt:lpstr>
      <vt:lpstr>Summary_Employed</vt:lpstr>
      <vt:lpstr>Summary_Unemployed</vt:lpstr>
      <vt:lpstr>Summary_Inactive</vt:lpstr>
      <vt:lpstr>Summary_Population</vt:lpstr>
      <vt:lpstr>Summary_Indicators</vt:lpstr>
      <vt:lpstr>Cover!Print_Area</vt:lpstr>
      <vt:lpstr>Data_source_Info!Print_Area</vt:lpstr>
      <vt:lpstr>Definitions!Print_Area</vt:lpstr>
      <vt:lpstr>Flat_file!Print_Area</vt:lpstr>
      <vt:lpstr>NEAC_to_ISCED_2011!Print_Area</vt:lpstr>
      <vt:lpstr>Summary_Employed!Print_Area</vt:lpstr>
      <vt:lpstr>Summary_Inactive!Print_Area</vt:lpstr>
      <vt:lpstr>Summary_Indicators!Print_Area</vt:lpstr>
      <vt:lpstr>Summary_Population!Print_Area</vt:lpstr>
      <vt:lpstr>Summary_Unemployed!Print_Area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CASTANEDA VALLE Rodrigo</dc:creator>
  <cp:lastModifiedBy>ZERBE Adrian, SDD</cp:lastModifiedBy>
  <cp:lastPrinted>2017-10-23T12:28:31Z</cp:lastPrinted>
  <dcterms:created xsi:type="dcterms:W3CDTF">2012-12-07T16:17:14Z</dcterms:created>
  <dcterms:modified xsi:type="dcterms:W3CDTF">2023-02-10T08:40:40Z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0x010100F4EDF86EB0E6BE42B56868DF52A5F4F7</vt:lpwstr>
  </property>
  <property fmtid="{D5CDD505-2E9C-101B-9397-08002B2CF9AE}" pid="3" name="ContentType">
    <vt:lpwstr>Document</vt:lpwstr>
  </property>
  <property fmtid="{D5CDD505-2E9C-101B-9397-08002B2CF9AE}" pid="4" name="Topic">
    <vt:lpwstr>T&amp;C EAG 2013</vt:lpwstr>
  </property>
  <property fmtid="{D5CDD505-2E9C-101B-9397-08002B2CF9AE}" pid="5" name="MSIP_Label_0e5510b0-e729-4ef0-a3dd-4ba0dfe56c99_Enabled">
    <vt:lpwstr>true</vt:lpwstr>
  </property>
  <property fmtid="{D5CDD505-2E9C-101B-9397-08002B2CF9AE}" pid="6" name="MSIP_Label_0e5510b0-e729-4ef0-a3dd-4ba0dfe56c99_SetDate">
    <vt:lpwstr>2023-02-10T08:38:36Z</vt:lpwstr>
  </property>
  <property fmtid="{D5CDD505-2E9C-101B-9397-08002B2CF9AE}" pid="7" name="MSIP_Label_0e5510b0-e729-4ef0-a3dd-4ba0dfe56c99_Method">
    <vt:lpwstr>Standard</vt:lpwstr>
  </property>
  <property fmtid="{D5CDD505-2E9C-101B-9397-08002B2CF9AE}" pid="8" name="MSIP_Label_0e5510b0-e729-4ef0-a3dd-4ba0dfe56c99_Name">
    <vt:lpwstr>Restricted Use</vt:lpwstr>
  </property>
  <property fmtid="{D5CDD505-2E9C-101B-9397-08002B2CF9AE}" pid="9" name="MSIP_Label_0e5510b0-e729-4ef0-a3dd-4ba0dfe56c99_SiteId">
    <vt:lpwstr>ac41c7d4-1f61-460d-b0f4-fc925a2b471c</vt:lpwstr>
  </property>
  <property fmtid="{D5CDD505-2E9C-101B-9397-08002B2CF9AE}" pid="10" name="MSIP_Label_0e5510b0-e729-4ef0-a3dd-4ba0dfe56c99_ActionId">
    <vt:lpwstr>32a5853a-29af-462c-aac2-1aaaca045fca</vt:lpwstr>
  </property>
  <property fmtid="{D5CDD505-2E9C-101B-9397-08002B2CF9AE}" pid="11" name="MSIP_Label_0e5510b0-e729-4ef0-a3dd-4ba0dfe56c99_ContentBits">
    <vt:lpwstr>2</vt:lpwstr>
  </property>
</Properties>
</file>